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gif" Extension="gif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spreadsheetml.customProperty" PartName="/xl/customProperty1.bin"/>
  <Override ContentType="application/vnd.openxmlformats-officedocument.drawing+xml" PartName="/xl/drawings/drawing1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10.xml"/>
  <Override ContentType="application/vnd.openxmlformats-officedocument.spreadsheetml.externalLink+xml" PartName="/xl/externalLinks/externalLink11.xml"/>
  <Override ContentType="application/vnd.openxmlformats-officedocument.spreadsheetml.externalLink+xml" PartName="/xl/externalLinks/externalLink12.xml"/>
  <Override ContentType="application/vnd.openxmlformats-officedocument.spreadsheetml.externalLink+xml" PartName="/xl/externalLinks/externalLink13.xml"/>
  <Override ContentType="application/vnd.openxmlformats-officedocument.spreadsheetml.externalLink+xml" PartName="/xl/externalLinks/externalLink14.xml"/>
  <Override ContentType="application/vnd.openxmlformats-officedocument.spreadsheetml.externalLink+xml" PartName="/xl/externalLinks/externalLink15.xml"/>
  <Override ContentType="application/vnd.openxmlformats-officedocument.spreadsheetml.externalLink+xml" PartName="/xl/externalLinks/externalLink16.xml"/>
  <Override ContentType="application/vnd.openxmlformats-officedocument.spreadsheetml.externalLink+xml" PartName="/xl/externalLinks/externalLink17.xml"/>
  <Override ContentType="application/vnd.openxmlformats-officedocument.spreadsheetml.externalLink+xml" PartName="/xl/externalLinks/externalLink18.xml"/>
  <Override ContentType="application/vnd.openxmlformats-officedocument.spreadsheetml.externalLink+xml" PartName="/xl/externalLinks/externalLink19.xml"/>
  <Override ContentType="application/vnd.openxmlformats-officedocument.spreadsheetml.externalLink+xml" PartName="/xl/externalLinks/externalLink2.xml"/>
  <Override ContentType="application/vnd.openxmlformats-officedocument.spreadsheetml.externalLink+xml" PartName="/xl/externalLinks/externalLink20.xml"/>
  <Override ContentType="application/vnd.openxmlformats-officedocument.spreadsheetml.externalLink+xml" PartName="/xl/externalLinks/externalLink21.xml"/>
  <Override ContentType="application/vnd.openxmlformats-officedocument.spreadsheetml.externalLink+xml" PartName="/xl/externalLinks/externalLink22.xml"/>
  <Override ContentType="application/vnd.openxmlformats-officedocument.spreadsheetml.externalLink+xml" PartName="/xl/externalLinks/externalLink23.xml"/>
  <Override ContentType="application/vnd.openxmlformats-officedocument.spreadsheetml.externalLink+xml" PartName="/xl/externalLinks/externalLink24.xml"/>
  <Override ContentType="application/vnd.openxmlformats-officedocument.spreadsheetml.externalLink+xml" PartName="/xl/externalLinks/externalLink25.xml"/>
  <Override ContentType="application/vnd.openxmlformats-officedocument.spreadsheetml.externalLink+xml" PartName="/xl/externalLinks/externalLink26.xml"/>
  <Override ContentType="application/vnd.openxmlformats-officedocument.spreadsheetml.externalLink+xml" PartName="/xl/externalLinks/externalLink3.xml"/>
  <Override ContentType="application/vnd.openxmlformats-officedocument.spreadsheetml.externalLink+xml" PartName="/xl/externalLinks/externalLink4.xml"/>
  <Override ContentType="application/vnd.openxmlformats-officedocument.spreadsheetml.externalLink+xml" PartName="/xl/externalLinks/externalLink5.xml"/>
  <Override ContentType="application/vnd.openxmlformats-officedocument.spreadsheetml.externalLink+xml" PartName="/xl/externalLinks/externalLink6.xml"/>
  <Override ContentType="application/vnd.openxmlformats-officedocument.spreadsheetml.externalLink+xml" PartName="/xl/externalLinks/externalLink7.xml"/>
  <Override ContentType="application/vnd.openxmlformats-officedocument.spreadsheetml.externalLink+xml" PartName="/xl/externalLinks/externalLink8.xml"/>
  <Override ContentType="application/vnd.openxmlformats-officedocument.spreadsheetml.externalLink+xml" PartName="/xl/externalLinks/externalLink9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10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yes"?>
<Relationships xmlns="http://schemas.openxmlformats.org/package/2006/relationships">
<Relationship Id="rId1" Target="xl/workbook.xml" Type="http://schemas.openxmlformats.org/officeDocument/2006/relationships/officeDocument"/>
<Relationship Id="rId2" Target="docProps/core.xml" Type="http://schemas.openxmlformats.org/package/2006/relationships/metadata/core-properties"/>
<Relationship Id="rId3" Target="docProps/app.xml" Type="http://schemas.openxmlformats.org/officeDocument/2006/relationships/extended-properties"/>
<Relationship Id="rId4" Target="docProps/custom.xml" Type="http://schemas.openxmlformats.org/officeDocument/2006/relationships/custom-properties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/>
  <bookViews>
    <workbookView xWindow="2310" yWindow="1575" windowWidth="19095" windowHeight="11700" firstSheet="2" activeTab="2"/>
  </bookViews>
  <sheets>
    <sheet name="MWare_Cached" sheetId="26" state="veryHidden" r:id="rId1"/>
    <sheet name="__FDSCACHE__" sheetId="44" state="veryHidden" r:id="rId2"/>
    <sheet name="ImportantDisclosures" sheetId="128" r:id="rId3"/>
    <sheet name="Cover" sheetId="119" r:id="rId4"/>
    <sheet name="Valuation" sheetId="120" r:id="rId5"/>
    <sheet name="Model" sheetId="29" r:id="rId6"/>
    <sheet name="IndexInformation" sheetId="129" r:id="rId7"/>
    <sheet name="ModPubIndex" sheetId="130" r:id="rId8"/>
    <sheet name="MW-Cache" sheetId="28" state="veryHidden" r:id="rId9"/>
    <sheet name="LinkingMetadata" sheetId="78" state="veryHidden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</externalReferences>
  <definedNames>
    <definedName name="__FDS_HYPERLINK_TOGGLE_STATE__" hidden="1">"ON"</definedName>
    <definedName name="__FDS_UNIQUE_RANGE_ID_GENERATOR_COUNTER">147</definedName>
    <definedName name="_1__123Graph_ACHART_1E" hidden="1">[1]Aerospace!$AI$342:$AI$355</definedName>
    <definedName name="_1__FDSAUDITLINK__" hidden="1">{"fdsup://directions/FAT Viewer?action=UPDATE&amp;creator=factset&amp;DYN_ARGS=TRUE&amp;DOC_NAME=FAT:FQL_AUDITING_CLIENT_TEMPLATE.FAT&amp;display_string=Audit&amp;VAR:KEY=RIXWXUBGHE&amp;VAR:QUERY=RkZfRU5UUlBSX1ZBTF9EQUlMWSgwNC8xOS8yMDEwLCwsLCwnRElMJykvRUNBX01FQU5fU0FMRVMoMjAxMiwwN","C8xOS8yMDEwKQ==&amp;WINDOW=FIRST_POPUP&amp;HEIGHT=450&amp;WIDTH=450&amp;START_MAXIMIZED=FALSE&amp;VAR:CALENDAR=US&amp;VAR:SYMBOL=057580&amp;VAR:INDEX=0"}</definedName>
    <definedName name="_10__123Graph_Aｸﾞﾗﾌ_2" hidden="1">[2]単独!$AR$14:$AR$18</definedName>
    <definedName name="_10__123Graph_CCHART_1E" hidden="1">[1]Aerospace!$AK$342:$AK$355</definedName>
    <definedName name="_10__FDSAUDITLINK__" hidden="1">{"fdsup://directions/FAT Viewer?action=UPDATE&amp;creator=factset&amp;DYN_ARGS=TRUE&amp;DOC_NAME=FAT:FQL_AUDITING_CLIENT_TEMPLATE.FAT&amp;display_string=Audit&amp;VAR:KEY=DANUBAPSDU&amp;VAR:QUERY=RkZfRU5UUlBSX1ZBTF9EQUlMWSgwNC8xOS8yMDEwLCwsLCwnRElMJykvRUNBX01FQU5fU0FMRVMoMjAxMiwwN","C8xOS8yMDEwKQ==&amp;WINDOW=FIRST_POPUP&amp;HEIGHT=450&amp;WIDTH=450&amp;START_MAXIMIZED=FALSE&amp;VAR:CALENDAR=US&amp;VAR:SYMBOL=PCP&amp;VAR:INDEX=0"}</definedName>
    <definedName name="_100__FDSAUDITLINK__" hidden="1">{"fdsup://directions/FAT Viewer?action=UPDATE&amp;creator=factset&amp;DYN_ARGS=TRUE&amp;DOC_NAME=FAT:FQL_AUDITING_CLIENT_TEMPLATE.FAT&amp;display_string=Audit&amp;VAR:KEY=WTUFKZQZKN&amp;VAR:QUERY=RkZfRU5UUlBSX1ZBTF9EQUlMWSgwNC8yMC8yMDEwLCwsLCwnRElMJykvRUNBX01FQU5fU0FMRVMoMjAxMiwwN","C8yMC8yMDEwKQ==&amp;WINDOW=FIRST_POPUP&amp;HEIGHT=450&amp;WIDTH=450&amp;START_MAXIMIZED=FALSE&amp;VAR:CALENDAR=US&amp;VAR:SYMBOL=PCP&amp;VAR:INDEX=0"}</definedName>
    <definedName name="_101__FDSAUDITLINK__" hidden="1">{"fdsup://directions/FAT Viewer?action=UPDATE&amp;creator=factset&amp;DYN_ARGS=TRUE&amp;DOC_NAME=FAT:FQL_AUDITING_CLIENT_TEMPLATE.FAT&amp;display_string=Audit&amp;VAR:KEY=INWNADMRYL&amp;VAR:QUERY=RkZfRU5UUlBSX1ZBTF9EQUlMWSgwNC8yMC8yMDEwLCwsLCwnRElMJykvRUNBX01FQU5fU0FMRVMoMjAxMSwwN","C8yMC8yMDEwKQ==&amp;WINDOW=FIRST_POPUP&amp;HEIGHT=450&amp;WIDTH=450&amp;START_MAXIMIZED=FALSE&amp;VAR:CALENDAR=US&amp;VAR:SYMBOL=PCP&amp;VAR:INDEX=0"}</definedName>
    <definedName name="_102__FDSAUDITLINK__" hidden="1">{"fdsup://directions/FAT Viewer?action=UPDATE&amp;creator=factset&amp;DYN_ARGS=TRUE&amp;DOC_NAME=FAT:FQL_AUDITING_CLIENT_TEMPLATE.FAT&amp;display_string=Audit&amp;VAR:KEY=SNKXURCFYR&amp;VAR:QUERY=RkZfRU5UUlBSX1ZBTF9EQUlMWSgwNC8yMC8yMDEwLCwsLCwnRElMJykvRUNBX01FQU5fU0FMRVMoMjAxMCwwN","C8yMC8yMDEwKQ==&amp;WINDOW=FIRST_POPUP&amp;HEIGHT=450&amp;WIDTH=450&amp;START_MAXIMIZED=FALSE&amp;VAR:CALENDAR=US&amp;VAR:SYMBOL=PCP&amp;VAR:INDEX=0"}</definedName>
    <definedName name="_103__FDSAUDITLINK__" hidden="1">{"fdsup://directions/FAT Viewer?action=UPDATE&amp;creator=factset&amp;DYN_ARGS=TRUE&amp;DOC_NAME=FAT:FQL_AUDITING_CLIENT_TEMPLATE.FAT&amp;display_string=Audit&amp;VAR:KEY=ILYLILCPAB&amp;VAR:QUERY=RkZfRU5UUlBSX1ZBTF9EQUlMWSgwNC8yMC8yMDEwLCwsLCwnRElMJykvRUNBX01FQU5fRUJJVCgyMDEyLDA0L","zIwLzIwMTAp&amp;WINDOW=FIRST_POPUP&amp;HEIGHT=450&amp;WIDTH=450&amp;START_MAXIMIZED=FALSE&amp;VAR:CALENDAR=US&amp;VAR:SYMBOL=PCP&amp;VAR:INDEX=0"}</definedName>
    <definedName name="_104__FDSAUDITLINK__" hidden="1">{"fdsup://directions/FAT Viewer?action=UPDATE&amp;creator=factset&amp;DYN_ARGS=TRUE&amp;DOC_NAME=FAT:FQL_AUDITING_CLIENT_TEMPLATE.FAT&amp;display_string=Audit&amp;VAR:KEY=UDQHSRWDKZ&amp;VAR:QUERY=RkZfRU5UUlBSX1ZBTF9EQUlMWSgwNC8yMC8yMDEwLCwsLCwnRElMJykvRUNBX01FQU5fRUJJVCgyMDExLDA0L","zIwLzIwMTAp&amp;WINDOW=FIRST_POPUP&amp;HEIGHT=450&amp;WIDTH=450&amp;START_MAXIMIZED=FALSE&amp;VAR:CALENDAR=US&amp;VAR:SYMBOL=PCP&amp;VAR:INDEX=0"}</definedName>
    <definedName name="_105__FDSAUDITLINK__" hidden="1">{"fdsup://directions/FAT Viewer?action=UPDATE&amp;creator=factset&amp;DYN_ARGS=TRUE&amp;DOC_NAME=FAT:FQL_AUDITING_CLIENT_TEMPLATE.FAT&amp;display_string=Audit&amp;VAR:KEY=YVEDIJIFMT&amp;VAR:QUERY=RkZfRU5UUlBSX1ZBTF9EQUlMWSgwNC8yMC8yMDEwLCwsLCwnRElMJykvRUNBX01FQU5fRUJJVCgyMDEwLDA0L","zIwLzIwMTAp&amp;WINDOW=FIRST_POPUP&amp;HEIGHT=450&amp;WIDTH=450&amp;START_MAXIMIZED=FALSE&amp;VAR:CALENDAR=US&amp;VAR:SYMBOL=PCP&amp;VAR:INDEX=0"}</definedName>
    <definedName name="_106__FDSAUDITLINK__" hidden="1">{"fdsup://directions/FAT Viewer?action=UPDATE&amp;creator=factset&amp;DYN_ARGS=TRUE&amp;DOC_NAME=FAT:FQL_AUDITING_CLIENT_TEMPLATE.FAT&amp;display_string=Audit&amp;VAR:KEY=YRIDATSXKV&amp;VAR:QUERY=RkZfRU5UUlBSX1ZBTF9EQUlMWSgwNC8yMC8yMDEwLCwsLCwnRElMJykvRUNBX01FQU5fRUJJVERBKDIwMTIsM","DQvMjAvMjAxMCk=&amp;WINDOW=FIRST_POPUP&amp;HEIGHT=450&amp;WIDTH=450&amp;START_MAXIMIZED=FALSE&amp;VAR:CALENDAR=US&amp;VAR:SYMBOL=PCP&amp;VAR:INDEX=0"}</definedName>
    <definedName name="_107__FDSAUDITLINK__" hidden="1">{"fdsup://directions/FAT Viewer?action=UPDATE&amp;creator=factset&amp;DYN_ARGS=TRUE&amp;DOC_NAME=FAT:FQL_AUDITING_CLIENT_TEMPLATE.FAT&amp;display_string=Audit&amp;VAR:KEY=MDMLUFOBWN&amp;VAR:QUERY=RkZfRU5UUlBSX1ZBTF9EQUlMWSgwNC8yMC8yMDEwLCwsLCwnRElMJykvRUNBX01FQU5fRUJJVERBKDIwMTEsM","DQvMjAvMjAxMCk=&amp;WINDOW=FIRST_POPUP&amp;HEIGHT=450&amp;WIDTH=450&amp;START_MAXIMIZED=FALSE&amp;VAR:CALENDAR=US&amp;VAR:SYMBOL=PCP&amp;VAR:INDEX=0"}</definedName>
    <definedName name="_108__FDSAUDITLINK__" hidden="1">{"fdsup://directions/FAT Viewer?action=UPDATE&amp;creator=factset&amp;DYN_ARGS=TRUE&amp;DOC_NAME=FAT:FQL_AUDITING_CLIENT_TEMPLATE.FAT&amp;display_string=Audit&amp;VAR:KEY=ABWDAZALKH&amp;VAR:QUERY=RkZfRU5UUlBSX1ZBTF9EQUlMWSgwNC8yMC8yMDEwLCwsLCwnRElMJykvRUNBX01FQU5fRUJJVERBKDIwMTAsM","DQvMjAvMjAxMCk=&amp;WINDOW=FIRST_POPUP&amp;HEIGHT=450&amp;WIDTH=450&amp;START_MAXIMIZED=FALSE&amp;VAR:CALENDAR=US&amp;VAR:SYMBOL=PCP&amp;VAR:INDEX=0"}</definedName>
    <definedName name="_109__FDSAUDITLINK__" hidden="1">{"fdsup://directions/FAT Viewer?action=UPDATE&amp;creator=factset&amp;DYN_ARGS=TRUE&amp;DOC_NAME=FAT:FQL_AUDITING_CLIENT_TEMPLATE.FAT&amp;display_string=Audit&amp;VAR:KEY=EZUFKNIROD&amp;VAR:QUERY=RkZfRU5UUlBSX1ZBTF9EQUlMWSgwNC8yMC8yMDEwLCwsLCwnRElMJykvRUNBX01FQU5fU0FMRVMoMjAxMiwwN","C8yMC8yMDEwKQ==&amp;WINDOW=FIRST_POPUP&amp;HEIGHT=450&amp;WIDTH=450&amp;START_MAXIMIZED=FALSE&amp;VAR:CALENDAR=US&amp;VAR:SYMBOL=MOG.A&amp;VAR:INDEX=0"}</definedName>
    <definedName name="_11__123Graph_CCHART_2E" hidden="1">[1]Aerospace!$R$342:$R$373</definedName>
    <definedName name="_11__FDSAUDITLINK__" hidden="1">{"fdsup://directions/FAT Viewer?action=UPDATE&amp;creator=factset&amp;DYN_ARGS=TRUE&amp;DOC_NAME=FAT:FQL_AUDITING_CLIENT_TEMPLATE.FAT&amp;display_string=Audit&amp;VAR:KEY=FYZOHAPQLO&amp;VAR:QUERY=RkZfRU5UUlBSX1ZBTF9EQUlMWSgwNC8xOS8yMDEwLCwsLCwnRElMJykvRUNBX01FQU5fU0FMRVMoMjAxMSwwN","C8xOS8yMDEwKQ==&amp;WINDOW=FIRST_POPUP&amp;HEIGHT=450&amp;WIDTH=450&amp;START_MAXIMIZED=FALSE&amp;VAR:CALENDAR=US&amp;VAR:SYMBOL=PCP&amp;VAR:INDEX=0"}</definedName>
    <definedName name="_110__FDSAUDITLINK__" hidden="1">{"fdsup://directions/FAT Viewer?action=UPDATE&amp;creator=factset&amp;DYN_ARGS=TRUE&amp;DOC_NAME=FAT:FQL_AUDITING_CLIENT_TEMPLATE.FAT&amp;display_string=Audit&amp;VAR:KEY=UVGXETIZAR&amp;VAR:QUERY=RkZfRU5UUlBSX1ZBTF9EQUlMWSgwNC8yMC8yMDEwLCwsLCwnRElMJykvRUNBX01FQU5fU0FMRVMoMjAxMSwwN","C8yMC8yMDEwKQ==&amp;WINDOW=FIRST_POPUP&amp;HEIGHT=450&amp;WIDTH=450&amp;START_MAXIMIZED=FALSE&amp;VAR:CALENDAR=US&amp;VAR:SYMBOL=MOG.A&amp;VAR:INDEX=0"}</definedName>
    <definedName name="_111__FDSAUDITLINK__" hidden="1">{"fdsup://directions/FAT Viewer?action=UPDATE&amp;creator=factset&amp;DYN_ARGS=TRUE&amp;DOC_NAME=FAT:FQL_AUDITING_CLIENT_TEMPLATE.FAT&amp;display_string=Audit&amp;VAR:KEY=MLMBORAHGB&amp;VAR:QUERY=RkZfRU5UUlBSX1ZBTF9EQUlMWSgwNC8yMC8yMDEwLCwsLCwnRElMJykvRUNBX01FQU5fU0FMRVMoMjAxMCwwN","C8yMC8yMDEwKQ==&amp;WINDOW=FIRST_POPUP&amp;HEIGHT=450&amp;WIDTH=450&amp;START_MAXIMIZED=FALSE&amp;VAR:CALENDAR=US&amp;VAR:SYMBOL=MOG.A&amp;VAR:INDEX=0"}</definedName>
    <definedName name="_112__FDSAUDITLINK__" hidden="1">{"fdsup://directions/FAT Viewer?action=UPDATE&amp;creator=factset&amp;DYN_ARGS=TRUE&amp;DOC_NAME=FAT:FQL_AUDITING_CLIENT_TEMPLATE.FAT&amp;display_string=Audit&amp;VAR:KEY=GPUHEZUFAJ&amp;VAR:QUERY=RkZfRU5UUlBSX1ZBTF9EQUlMWSgwNC8yMC8yMDEwLCwsLCwnRElMJykvRUNBX01FQU5fRUJJVCgyMDEyLDA0L","zIwLzIwMTAp&amp;WINDOW=FIRST_POPUP&amp;HEIGHT=450&amp;WIDTH=450&amp;START_MAXIMIZED=FALSE&amp;VAR:CALENDAR=US&amp;VAR:SYMBOL=MOG.A&amp;VAR:INDEX=0"}</definedName>
    <definedName name="_113__FDSAUDITLINK__" hidden="1">{"fdsup://directions/FAT Viewer?action=UPDATE&amp;creator=factset&amp;DYN_ARGS=TRUE&amp;DOC_NAME=FAT:FQL_AUDITING_CLIENT_TEMPLATE.FAT&amp;display_string=Audit&amp;VAR:KEY=UPKXEHERAV&amp;VAR:QUERY=RkZfRU5UUlBSX1ZBTF9EQUlMWSgwNC8yMC8yMDEwLCwsLCwnRElMJykvRUNBX01FQU5fRUJJVCgyMDExLDA0L","zIwLzIwMTAp&amp;WINDOW=FIRST_POPUP&amp;HEIGHT=450&amp;WIDTH=450&amp;START_MAXIMIZED=FALSE&amp;VAR:CALENDAR=US&amp;VAR:SYMBOL=MOG.A&amp;VAR:INDEX=0"}</definedName>
    <definedName name="_114__FDSAUDITLINK__" hidden="1">{"fdsup://directions/FAT Viewer?action=UPDATE&amp;creator=factset&amp;DYN_ARGS=TRUE&amp;DOC_NAME=FAT:FQL_AUDITING_CLIENT_TEMPLATE.FAT&amp;display_string=Audit&amp;VAR:KEY=EVGVIFUHGR&amp;VAR:QUERY=RkZfRU5UUlBSX1ZBTF9EQUlMWSgwNC8yMC8yMDEwLCwsLCwnRElMJykvRUNBX01FQU5fRUJJVCgyMDEwLDA0L","zIwLzIwMTAp&amp;WINDOW=FIRST_POPUP&amp;HEIGHT=450&amp;WIDTH=450&amp;START_MAXIMIZED=FALSE&amp;VAR:CALENDAR=US&amp;VAR:SYMBOL=MOG.A&amp;VAR:INDEX=0"}</definedName>
    <definedName name="_115__FDSAUDITLINK__" hidden="1">{"fdsup://directions/FAT Viewer?action=UPDATE&amp;creator=factset&amp;DYN_ARGS=TRUE&amp;DOC_NAME=FAT:FQL_AUDITING_CLIENT_TEMPLATE.FAT&amp;display_string=Audit&amp;VAR:KEY=KNWZMRYVAP&amp;VAR:QUERY=RkZfRU5UUlBSX1ZBTF9EQUlMWSgwNC8yMC8yMDEwLCwsLCwnRElMJykvRUNBX01FQU5fRUJJVERBKDIwMTIsM","DQvMjAvMjAxMCk=&amp;WINDOW=FIRST_POPUP&amp;HEIGHT=450&amp;WIDTH=450&amp;START_MAXIMIZED=FALSE&amp;VAR:CALENDAR=US&amp;VAR:SYMBOL=MOG.A&amp;VAR:INDEX=0"}</definedName>
    <definedName name="_116__FDSAUDITLINK__" hidden="1">{"fdsup://directions/FAT Viewer?action=UPDATE&amp;creator=factset&amp;DYN_ARGS=TRUE&amp;DOC_NAME=FAT:FQL_AUDITING_CLIENT_TEMPLATE.FAT&amp;display_string=Audit&amp;VAR:KEY=UZGPGZEZIP&amp;VAR:QUERY=RkZfRU5UUlBSX1ZBTF9EQUlMWSgwNC8yMC8yMDEwLCwsLCwnRElMJykvRUNBX01FQU5fRUJJVERBKDIwMTEsM","DQvMjAvMjAxMCk=&amp;WINDOW=FIRST_POPUP&amp;HEIGHT=450&amp;WIDTH=450&amp;START_MAXIMIZED=FALSE&amp;VAR:CALENDAR=US&amp;VAR:SYMBOL=MOG.A&amp;VAR:INDEX=0"}</definedName>
    <definedName name="_117__FDSAUDITLINK__" hidden="1">{"fdsup://directions/FAT Viewer?action=UPDATE&amp;creator=factset&amp;DYN_ARGS=TRUE&amp;DOC_NAME=FAT:FQL_AUDITING_CLIENT_TEMPLATE.FAT&amp;display_string=Audit&amp;VAR:KEY=MXUZQHIROV&amp;VAR:QUERY=RkZfRU5UUlBSX1ZBTF9EQUlMWSgwNC8yMC8yMDEwLCwsLCwnRElMJykvRUNBX01FQU5fRUJJVERBKDIwMTAsM","DQvMjAvMjAxMCk=&amp;WINDOW=FIRST_POPUP&amp;HEIGHT=450&amp;WIDTH=450&amp;START_MAXIMIZED=FALSE&amp;VAR:CALENDAR=US&amp;VAR:SYMBOL=MOG.A&amp;VAR:INDEX=0"}</definedName>
    <definedName name="_118__FDSAUDITLINK__" hidden="1">{"fdsup://directions/FAT Viewer?action=UPDATE&amp;creator=factset&amp;DYN_ARGS=TRUE&amp;DOC_NAME=FAT:FQL_AUDITING_CLIENT_TEMPLATE.FAT&amp;display_string=Audit&amp;VAR:KEY=KNEHSREHKN&amp;VAR:QUERY=RkZfRU5UUlBSX1ZBTF9EQUlMWSgwNC8yMC8yMDEwLCwsLCwnRElMJykvRUNBX01FQU5fU0FMRVMoMjAxMiwwN","C8yMC8yMDEwKQ==&amp;WINDOW=FIRST_POPUP&amp;HEIGHT=450&amp;WIDTH=450&amp;START_MAXIMIZED=FALSE&amp;VAR:CALENDAR=US&amp;VAR:SYMBOL=COL&amp;VAR:INDEX=0"}</definedName>
    <definedName name="_119__FDSAUDITLINK__" hidden="1">{"fdsup://directions/FAT Viewer?action=UPDATE&amp;creator=factset&amp;DYN_ARGS=TRUE&amp;DOC_NAME=FAT:FQL_AUDITING_CLIENT_TEMPLATE.FAT&amp;display_string=Audit&amp;VAR:KEY=CHEBSBMJUZ&amp;VAR:QUERY=RkZfRU5UUlBSX1ZBTF9EQUlMWSgwNC8yMC8yMDEwLCwsLCwnRElMJykvRUNBX01FQU5fU0FMRVMoMjAxMSwwN","C8yMC8yMDEwKQ==&amp;WINDOW=FIRST_POPUP&amp;HEIGHT=450&amp;WIDTH=450&amp;START_MAXIMIZED=FALSE&amp;VAR:CALENDAR=US&amp;VAR:SYMBOL=COL&amp;VAR:INDEX=0"}</definedName>
    <definedName name="_12__123Graph_DCHART_1E" hidden="1">[1]Aerospace!$AL$342:$AL$355</definedName>
    <definedName name="_12__FDSAUDITLINK__" hidden="1">{"fdsup://directions/FAT Viewer?action=UPDATE&amp;creator=factset&amp;DYN_ARGS=TRUE&amp;DOC_NAME=FAT:FQL_AUDITING_CLIENT_TEMPLATE.FAT&amp;display_string=Audit&amp;VAR:KEY=LMZAZGRWDO&amp;VAR:QUERY=RkZfRU5UUlBSX1ZBTF9EQUlMWSgwNC8xOS8yMDEwLCwsLCwnRElMJykvRUNBX01FQU5fU0FMRVMoMjAxMCwwN","C8xOS8yMDEwKQ==&amp;WINDOW=FIRST_POPUP&amp;HEIGHT=450&amp;WIDTH=450&amp;START_MAXIMIZED=FALSE&amp;VAR:CALENDAR=US&amp;VAR:SYMBOL=PCP&amp;VAR:INDEX=0"}</definedName>
    <definedName name="_120__FDSAUDITLINK__" hidden="1">{"fdsup://directions/FAT Viewer?action=UPDATE&amp;creator=factset&amp;DYN_ARGS=TRUE&amp;DOC_NAME=FAT:FQL_AUDITING_CLIENT_TEMPLATE.FAT&amp;display_string=Audit&amp;VAR:KEY=QJKZKBWLSH&amp;VAR:QUERY=RkZfRU5UUlBSX1ZBTF9EQUlMWSgwNC8yMC8yMDEwLCwsLCwnRElMJykvRUNBX01FQU5fU0FMRVMoMjAxMCwwN","C8yMC8yMDEwKQ==&amp;WINDOW=FIRST_POPUP&amp;HEIGHT=450&amp;WIDTH=450&amp;START_MAXIMIZED=FALSE&amp;VAR:CALENDAR=US&amp;VAR:SYMBOL=COL&amp;VAR:INDEX=0"}</definedName>
    <definedName name="_121__FDSAUDITLINK__" hidden="1">{"fdsup://directions/FAT Viewer?action=UPDATE&amp;creator=factset&amp;DYN_ARGS=TRUE&amp;DOC_NAME=FAT:FQL_AUDITING_CLIENT_TEMPLATE.FAT&amp;display_string=Audit&amp;VAR:KEY=MPCTWXGDMN&amp;VAR:QUERY=RkZfRU5UUlBSX1ZBTF9EQUlMWSgwNC8yMC8yMDEwLCwsLCwnRElMJykvRUNBX01FQU5fRUJJVCgyMDEyLDA0L","zIwLzIwMTAp&amp;WINDOW=FIRST_POPUP&amp;HEIGHT=450&amp;WIDTH=450&amp;START_MAXIMIZED=FALSE&amp;VAR:CALENDAR=US&amp;VAR:SYMBOL=COL&amp;VAR:INDEX=0"}</definedName>
    <definedName name="_122__FDSAUDITLINK__" hidden="1">{"fdsup://directions/FAT Viewer?action=UPDATE&amp;creator=factset&amp;DYN_ARGS=TRUE&amp;DOC_NAME=FAT:FQL_AUDITING_CLIENT_TEMPLATE.FAT&amp;display_string=Audit&amp;VAR:KEY=MFMZOHIBCX&amp;VAR:QUERY=RkZfRU5UUlBSX1ZBTF9EQUlMWSgwNC8yMC8yMDEwLCwsLCwnRElMJykvRUNBX01FQU5fRUJJVCgyMDExLDA0L","zIwLzIwMTAp&amp;WINDOW=FIRST_POPUP&amp;HEIGHT=450&amp;WIDTH=450&amp;START_MAXIMIZED=FALSE&amp;VAR:CALENDAR=US&amp;VAR:SYMBOL=COL&amp;VAR:INDEX=0"}</definedName>
    <definedName name="_123__FDSAUDITLINK__" hidden="1">{"fdsup://directions/FAT Viewer?action=UPDATE&amp;creator=factset&amp;DYN_ARGS=TRUE&amp;DOC_NAME=FAT:FQL_AUDITING_CLIENT_TEMPLATE.FAT&amp;display_string=Audit&amp;VAR:KEY=ENODUVCNQD&amp;VAR:QUERY=RkZfRU5UUlBSX1ZBTF9EQUlMWSgwNC8yMC8yMDEwLCwsLCwnRElMJykvRUNBX01FQU5fRUJJVCgyMDEwLDA0L","zIwLzIwMTAp&amp;WINDOW=FIRST_POPUP&amp;HEIGHT=450&amp;WIDTH=450&amp;START_MAXIMIZED=FALSE&amp;VAR:CALENDAR=US&amp;VAR:SYMBOL=COL&amp;VAR:INDEX=0"}</definedName>
    <definedName name="_124__FDSAUDITLINK__" hidden="1">{"fdsup://directions/FAT Viewer?action=UPDATE&amp;creator=factset&amp;DYN_ARGS=TRUE&amp;DOC_NAME=FAT:FQL_AUDITING_CLIENT_TEMPLATE.FAT&amp;display_string=Audit&amp;VAR:KEY=URGBMVGNYT&amp;VAR:QUERY=RkZfRU5UUlBSX1ZBTF9EQUlMWSgwNC8yMC8yMDEwLCwsLCwnRElMJykvRUNBX01FQU5fRUJJVERBKDIwMTIsM","DQvMjAvMjAxMCk=&amp;WINDOW=FIRST_POPUP&amp;HEIGHT=450&amp;WIDTH=450&amp;START_MAXIMIZED=FALSE&amp;VAR:CALENDAR=US&amp;VAR:SYMBOL=COL&amp;VAR:INDEX=0"}</definedName>
    <definedName name="_125__FDSAUDITLINK__" hidden="1">{"fdsup://directions/FAT Viewer?action=UPDATE&amp;creator=factset&amp;DYN_ARGS=TRUE&amp;DOC_NAME=FAT:FQL_AUDITING_CLIENT_TEMPLATE.FAT&amp;display_string=Audit&amp;VAR:KEY=GRQHEPMBAR&amp;VAR:QUERY=RkZfRU5UUlBSX1ZBTF9EQUlMWSgwNC8yMC8yMDEwLCwsLCwnRElMJykvRUNBX01FQU5fRUJJVERBKDIwMTEsM","DQvMjAvMjAxMCk=&amp;WINDOW=FIRST_POPUP&amp;HEIGHT=450&amp;WIDTH=450&amp;START_MAXIMIZED=FALSE&amp;VAR:CALENDAR=US&amp;VAR:SYMBOL=COL&amp;VAR:INDEX=0"}</definedName>
    <definedName name="_126__FDSAUDITLINK__" hidden="1">{"fdsup://directions/FAT Viewer?action=UPDATE&amp;creator=factset&amp;DYN_ARGS=TRUE&amp;DOC_NAME=FAT:FQL_AUDITING_CLIENT_TEMPLATE.FAT&amp;display_string=Audit&amp;VAR:KEY=CDIXKTCNYJ&amp;VAR:QUERY=RkZfRU5UUlBSX1ZBTF9EQUlMWSgwNC8yMC8yMDEwLCwsLCwnRElMJykvRUNBX01FQU5fRUJJVERBKDIwMTAsM","DQvMjAvMjAxMCk=&amp;WINDOW=FIRST_POPUP&amp;HEIGHT=450&amp;WIDTH=450&amp;START_MAXIMIZED=FALSE&amp;VAR:CALENDAR=US&amp;VAR:SYMBOL=COL&amp;VAR:INDEX=0"}</definedName>
    <definedName name="_127__FDSAUDITLINK__" hidden="1">{"fdsup://directions/FAT Viewer?action=UPDATE&amp;creator=factset&amp;DYN_ARGS=TRUE&amp;DOC_NAME=FAT:FQL_AUDITING_CLIENT_TEMPLATE.FAT&amp;display_string=Audit&amp;VAR:KEY=QBIXENYXYD&amp;VAR:QUERY=RkZfRU5UUlBSX1ZBTF9EQUlMWSgwNC8yMC8yMDEwLCwsLCwnRElMJykvRUNBX01FQU5fU0FMRVMoMjAxMiwwN","C8yMC8yMDEwKQ==&amp;WINDOW=FIRST_POPUP&amp;HEIGHT=450&amp;WIDTH=450&amp;START_MAXIMIZED=FALSE&amp;VAR:CALENDAR=US&amp;VAR:SYMBOL=BEAV&amp;VAR:INDEX=0"}</definedName>
    <definedName name="_128__FDSAUDITLINK__" hidden="1">{"fdsup://directions/FAT Viewer?action=UPDATE&amp;creator=factset&amp;DYN_ARGS=TRUE&amp;DOC_NAME=FAT:FQL_AUDITING_CLIENT_TEMPLATE.FAT&amp;display_string=Audit&amp;VAR:KEY=ERWHONCNCD&amp;VAR:QUERY=RkZfRU5UUlBSX1ZBTF9EQUlMWSgwNC8yMC8yMDEwLCwsLCwnRElMJykvRUNBX01FQU5fU0FMRVMoMjAxMSwwN","C8yMC8yMDEwKQ==&amp;WINDOW=FIRST_POPUP&amp;HEIGHT=450&amp;WIDTH=450&amp;START_MAXIMIZED=FALSE&amp;VAR:CALENDAR=US&amp;VAR:SYMBOL=BEAV&amp;VAR:INDEX=0"}</definedName>
    <definedName name="_129__FDSAUDITLINK__" hidden="1">{"fdsup://directions/FAT Viewer?action=UPDATE&amp;creator=factset&amp;DYN_ARGS=TRUE&amp;DOC_NAME=FAT:FQL_AUDITING_CLIENT_TEMPLATE.FAT&amp;display_string=Audit&amp;VAR:KEY=IJAJQVQRIV&amp;VAR:QUERY=RkZfRU5UUlBSX1ZBTF9EQUlMWSgwNC8yMC8yMDEwLCwsLCwnRElMJykvRUNBX01FQU5fU0FMRVMoMjAxMCwwN","C8yMC8yMDEwKQ==&amp;WINDOW=FIRST_POPUP&amp;HEIGHT=450&amp;WIDTH=450&amp;START_MAXIMIZED=FALSE&amp;VAR:CALENDAR=US&amp;VAR:SYMBOL=BEAV&amp;VAR:INDEX=0"}</definedName>
    <definedName name="_13__123Graph_Dｸﾞﾗﾌ_1" hidden="1">[2]ｾｸﾞﾒﾝﾄ!$E$167:$I$167</definedName>
    <definedName name="_13__FDSAUDITLINK__" hidden="1">{"fdsup://directions/FAT Viewer?action=UPDATE&amp;creator=factset&amp;DYN_ARGS=TRUE&amp;DOC_NAME=FAT:FQL_AUDITING_CLIENT_TEMPLATE.FAT&amp;display_string=Audit&amp;VAR:KEY=LSLGXKXATO&amp;VAR:QUERY=RkZfRU5UUlBSX1ZBTF9EQUlMWSgwNC8xOS8yMDEwLCwsLCwnRElMJykvRUNBX01FQU5fRUJJVCgyMDEyLDA0L","zE5LzIwMTAp&amp;WINDOW=FIRST_POPUP&amp;HEIGHT=450&amp;WIDTH=450&amp;START_MAXIMIZED=FALSE&amp;VAR:CALENDAR=US&amp;VAR:SYMBOL=PCP&amp;VAR:INDEX=0"}</definedName>
    <definedName name="_130__FDSAUDITLINK__" hidden="1">{"fdsup://directions/FAT Viewer?action=UPDATE&amp;creator=factset&amp;DYN_ARGS=TRUE&amp;DOC_NAME=FAT:FQL_AUDITING_CLIENT_TEMPLATE.FAT&amp;display_string=Audit&amp;VAR:KEY=OBGVWRAVSZ&amp;VAR:QUERY=RkZfRU5UUlBSX1ZBTF9EQUlMWSgwNC8yMC8yMDEwLCwsLCwnRElMJykvRUNBX01FQU5fRUJJVCgyMDEyLDA0L","zIwLzIwMTAp&amp;WINDOW=FIRST_POPUP&amp;HEIGHT=450&amp;WIDTH=450&amp;START_MAXIMIZED=FALSE&amp;VAR:CALENDAR=US&amp;VAR:SYMBOL=BEAV&amp;VAR:INDEX=0"}</definedName>
    <definedName name="_131__FDSAUDITLINK__" hidden="1">{"fdsup://directions/FAT Viewer?action=UPDATE&amp;creator=factset&amp;DYN_ARGS=TRUE&amp;DOC_NAME=FAT:FQL_AUDITING_CLIENT_TEMPLATE.FAT&amp;display_string=Audit&amp;VAR:KEY=GJGHKVMZIP&amp;VAR:QUERY=RkZfRU5UUlBSX1ZBTF9EQUlMWSgwNC8yMC8yMDEwLCwsLCwnRElMJykvRUNBX01FQU5fRUJJVCgyMDExLDA0L","zIwLzIwMTAp&amp;WINDOW=FIRST_POPUP&amp;HEIGHT=450&amp;WIDTH=450&amp;START_MAXIMIZED=FALSE&amp;VAR:CALENDAR=US&amp;VAR:SYMBOL=BEAV&amp;VAR:INDEX=0"}</definedName>
    <definedName name="_132__FDSAUDITLINK__" hidden="1">{"fdsup://directions/FAT Viewer?action=UPDATE&amp;creator=factset&amp;DYN_ARGS=TRUE&amp;DOC_NAME=FAT:FQL_AUDITING_CLIENT_TEMPLATE.FAT&amp;display_string=Audit&amp;VAR:KEY=SDYFETALOB&amp;VAR:QUERY=RkZfRU5UUlBSX1ZBTF9EQUlMWSgwNC8yMC8yMDEwLCwsLCwnRElMJykvRUNBX01FQU5fRUJJVCgyMDEwLDA0L","zIwLzIwMTAp&amp;WINDOW=FIRST_POPUP&amp;HEIGHT=450&amp;WIDTH=450&amp;START_MAXIMIZED=FALSE&amp;VAR:CALENDAR=US&amp;VAR:SYMBOL=BEAV&amp;VAR:INDEX=0"}</definedName>
    <definedName name="_133__FDSAUDITLINK__" hidden="1">{"fdsup://directions/FAT Viewer?action=UPDATE&amp;creator=factset&amp;DYN_ARGS=TRUE&amp;DOC_NAME=FAT:FQL_AUDITING_CLIENT_TEMPLATE.FAT&amp;display_string=Audit&amp;VAR:KEY=MFIDCLYZCR&amp;VAR:QUERY=RkZfRU5UUlBSX1ZBTF9EQUlMWSgwNC8yMC8yMDEwLCwsLCwnRElMJykvRUNBX01FQU5fRUJJVERBKDIwMTIsM","DQvMjAvMjAxMCk=&amp;WINDOW=FIRST_POPUP&amp;HEIGHT=450&amp;WIDTH=450&amp;START_MAXIMIZED=FALSE&amp;VAR:CALENDAR=US&amp;VAR:SYMBOL=BEAV&amp;VAR:INDEX=0"}</definedName>
    <definedName name="_134__FDSAUDITLINK__" hidden="1">{"fdsup://directions/FAT Viewer?action=UPDATE&amp;creator=factset&amp;DYN_ARGS=TRUE&amp;DOC_NAME=FAT:FQL_AUDITING_CLIENT_TEMPLATE.FAT&amp;display_string=Audit&amp;VAR:KEY=YTARMDUXUJ&amp;VAR:QUERY=RkZfRU5UUlBSX1ZBTF9EQUlMWSgwNC8yMC8yMDEwLCwsLCwnRElMJykvRUNBX01FQU5fRUJJVERBKDIwMTEsM","DQvMjAvMjAxMCk=&amp;WINDOW=FIRST_POPUP&amp;HEIGHT=450&amp;WIDTH=450&amp;START_MAXIMIZED=FALSE&amp;VAR:CALENDAR=US&amp;VAR:SYMBOL=BEAV&amp;VAR:INDEX=0"}</definedName>
    <definedName name="_135__FDSAUDITLINK__" hidden="1">{"fdsup://directions/FAT Viewer?action=UPDATE&amp;creator=factset&amp;DYN_ARGS=TRUE&amp;DOC_NAME=FAT:FQL_AUDITING_CLIENT_TEMPLATE.FAT&amp;display_string=Audit&amp;VAR:KEY=UJSHMDEPYP&amp;VAR:QUERY=RkZfRU5UUlBSX1ZBTF9EQUlMWSgwNC8yMC8yMDEwLCwsLCwnRElMJykvRUNBX01FQU5fRUJJVERBKDIwMTAsM","DQvMjAvMjAxMCk=&amp;WINDOW=FIRST_POPUP&amp;HEIGHT=450&amp;WIDTH=450&amp;START_MAXIMIZED=FALSE&amp;VAR:CALENDAR=US&amp;VAR:SYMBOL=BEAV&amp;VAR:INDEX=0"}</definedName>
    <definedName name="_136__FDSAUDITLINK__" hidden="1">{"fdsup://directions/FAT Viewer?action=UPDATE&amp;creator=factset&amp;DYN_ARGS=TRUE&amp;DOC_NAME=FAT:FQL_AUDITING_CLIENT_TEMPLATE.FAT&amp;display_string=Audit&amp;VAR:KEY=WJSDMPCDGB&amp;VAR:QUERY=RkZfRU5UUlBSX1ZBTF9EQUlMWSg0MDcxMCwsLCwsJ0RJTCcp&amp;WINDOW=FIRST_POPUP&amp;HEIGHT=450&amp;WIDTH=","450&amp;START_MAXIMIZED=FALSE&amp;VAR:CALENDAR=US&amp;VAR:SYMBOL=GR&amp;VAR:INDEX=0"}</definedName>
    <definedName name="_137__FDSAUDITLINK__" hidden="1">{"fdsup://directions/FAT Viewer?action=UPDATE&amp;creator=factset&amp;DYN_ARGS=TRUE&amp;DOC_NAME=FAT:FQL_AUDITING_CLIENT_TEMPLATE.FAT&amp;display_string=Audit&amp;VAR:KEY=OZSHQVINUL&amp;VAR:QUERY=RkZfRU5UUlBSX1ZBTF9EQUlMWSg0MDcxMCwsLCwsJ0RJTCcp&amp;WINDOW=FIRST_POPUP&amp;HEIGHT=450&amp;WIDTH=","450&amp;START_MAXIMIZED=FALSE&amp;VAR:CALENDAR=US&amp;VAR:SYMBOL=COL&amp;VAR:INDEX=0"}</definedName>
    <definedName name="_138__FDSAUDITLINK__" hidden="1">{"fdsup://directions/FAT Viewer?action=UPDATE&amp;creator=factset&amp;DYN_ARGS=TRUE&amp;DOC_NAME=FAT:FQL_AUDITING_CLIENT_TEMPLATE.FAT&amp;display_string=Audit&amp;VAR:KEY=OPURKLWDYF&amp;VAR:QUERY=RkZfRU5UUlBSX1ZBTF9EQUlMWSg0MDcxMCwsLCwsJ0RJTCcp&amp;WINDOW=FIRST_POPUP&amp;HEIGHT=450&amp;WIDTH=","450&amp;START_MAXIMIZED=FALSE&amp;VAR:CALENDAR=US&amp;VAR:SYMBOL=TDG&amp;VAR:INDEX=0"}</definedName>
    <definedName name="_139__FDSAUDITLINK__" hidden="1">{"fdsup://directions/FAT Viewer?action=UPDATE&amp;creator=factset&amp;DYN_ARGS=TRUE&amp;DOC_NAME=FAT:FQL_AUDITING_CLIENT_TEMPLATE.FAT&amp;display_string=Audit&amp;VAR:KEY=ODMXGBIHWF&amp;VAR:QUERY=RkZfRU5UUlBSX1ZBTF9EQUlMWSg0MDcxMCwsLCwsJ0RJTCcp&amp;WINDOW=FIRST_POPUP&amp;HEIGHT=450&amp;WIDTH=","450&amp;START_MAXIMIZED=FALSE&amp;VAR:CALENDAR=US&amp;VAR:SYMBOL=BEAV&amp;VAR:INDEX=0"}</definedName>
    <definedName name="_14__123Graph_XCHART_2E" hidden="1">[1]Aerospace!$A$342:$A$374</definedName>
    <definedName name="_14__FDSAUDITLINK__" hidden="1">{"fdsup://directions/FAT Viewer?action=UPDATE&amp;creator=factset&amp;DYN_ARGS=TRUE&amp;DOC_NAME=FAT:FQL_AUDITING_CLIENT_TEMPLATE.FAT&amp;display_string=Audit&amp;VAR:KEY=JYZAJKDYBE&amp;VAR:QUERY=RkZfRU5UUlBSX1ZBTF9EQUlMWSgwNC8xOS8yMDEwLCwsLCwnRElMJykvRUNBX01FQU5fRUJJVCgyMDExLDA0L","zE5LzIwMTAp&amp;WINDOW=FIRST_POPUP&amp;HEIGHT=450&amp;WIDTH=450&amp;START_MAXIMIZED=FALSE&amp;VAR:CALENDAR=US&amp;VAR:SYMBOL=PCP&amp;VAR:INDEX=0"}</definedName>
    <definedName name="_140__FDSAUDITLINK__" hidden="1">{"fdsup://directions/FAT Viewer?action=UPDATE&amp;creator=factset&amp;DYN_ARGS=TRUE&amp;DOC_NAME=FAT:FQL_AUDITING_CLIENT_TEMPLATE.FAT&amp;display_string=Audit&amp;VAR:KEY=QVIRSHGNWF&amp;VAR:QUERY=RkZfRU5UUlBSX1ZBTF9EQUlMWSg0MDcxMCwsLCwsJ0RJTCcp&amp;WINDOW=FIRST_POPUP&amp;HEIGHT=450&amp;WIDTH=","450&amp;START_MAXIMIZED=FALSE&amp;VAR:CALENDAR=US&amp;VAR:SYMBOL=PCP&amp;VAR:INDEX=0"}</definedName>
    <definedName name="_141__FDSAUDITLINK__" hidden="1">{"fdsup://directions/FAT Viewer?action=UPDATE&amp;creator=factset&amp;DYN_ARGS=TRUE&amp;DOC_NAME=FAT:FQL_AUDITING_CLIENT_TEMPLATE.FAT&amp;display_string=Audit&amp;VAR:KEY=CZMFANYLSH&amp;VAR:QUERY=RkZfRU5UUlBSX1ZBTF9EQUlMWSg0MDcxMCwsLCwsJ0RJTCcp&amp;WINDOW=FIRST_POPUP&amp;HEIGHT=450&amp;WIDTH=","450&amp;START_MAXIMIZED=FALSE&amp;VAR:CALENDAR=US&amp;VAR:SYMBOL=MSM&amp;VAR:INDEX=0"}</definedName>
    <definedName name="_142__FDSAUDITLINK__" hidden="1">{"fdsup://directions/FAT Viewer?action=UPDATE&amp;creator=factset&amp;DYN_ARGS=TRUE&amp;DOC_NAME=FAT:FQL_AUDITING_CLIENT_TEMPLATE.FAT&amp;display_string=Audit&amp;VAR:KEY=QHSBGFUBUZ&amp;VAR:QUERY=RkZfRU5UUlBSX1ZBTF9EQUlMWSg0MDcxMCwsLCwsJ0RJTCcp&amp;WINDOW=FIRST_POPUP&amp;HEIGHT=450&amp;WIDTH=","450&amp;START_MAXIMIZED=FALSE&amp;VAR:CALENDAR=US&amp;VAR:SYMBOL=GWW&amp;VAR:INDEX=0"}</definedName>
    <definedName name="_143__FDSAUDITLINK__" hidden="1">{"fdsup://directions/FAT Viewer?action=UPDATE&amp;creator=factset&amp;DYN_ARGS=TRUE&amp;DOC_NAME=FAT:FQL_AUDITING_CLIENT_TEMPLATE.FAT&amp;display_string=Audit&amp;VAR:KEY=YPGJMFIVKH&amp;VAR:QUERY=RkZfRU5UUlBSX1ZBTF9EQUlMWSg0MDcxMCwsLCwsJ0RJTCcp&amp;WINDOW=FIRST_POPUP&amp;HEIGHT=450&amp;WIDTH=","450&amp;START_MAXIMIZED=FALSE&amp;VAR:CALENDAR=US&amp;VAR:SYMBOL=WSO&amp;VAR:INDEX=0"}</definedName>
    <definedName name="_144__FDSAUDITLINK__" hidden="1">{"fdsup://directions/FAT Viewer?action=UPDATE&amp;creator=factset&amp;DYN_ARGS=TRUE&amp;DOC_NAME=FAT:FQL_AUDITING_CLIENT_TEMPLATE.FAT&amp;display_string=Audit&amp;VAR:KEY=CPCTODUREJ&amp;VAR:QUERY=Q1NGX0RFQlQoQU5OLDQwNzEwKQ==&amp;WINDOW=FIRST_POPUP&amp;HEIGHT=450&amp;WIDTH=450&amp;START_MAXIMIZED=","FALSE&amp;VAR:CALENDAR=US&amp;VAR:SYMBOL=GR&amp;VAR:INDEX=0"}</definedName>
    <definedName name="_145__FDSAUDITLINK__" hidden="1">{"fdsup://directions/FAT Viewer?action=UPDATE&amp;creator=factset&amp;DYN_ARGS=TRUE&amp;DOC_NAME=FAT:FQL_AUDITING_CLIENT_TEMPLATE.FAT&amp;display_string=Audit&amp;VAR:KEY=CPCTODUREJ&amp;VAR:QUERY=Q1NGX0RFQlQoQU5OLDQwNzEwKQ==&amp;WINDOW=FIRST_POPUP&amp;HEIGHT=450&amp;WIDTH=450&amp;START_MAXIMIZED=","FALSE&amp;VAR:CALENDAR=US&amp;VAR:SYMBOL=GR&amp;VAR:INDEX=0"}</definedName>
    <definedName name="_146__FDSAUDITLINK__" hidden="1">{"fdsup://directions/FAT Viewer?action=UPDATE&amp;creator=factset&amp;DYN_ARGS=TRUE&amp;DOC_NAME=FAT:FQL_AUDITING_CLIENT_TEMPLATE.FAT&amp;display_string=Audit&amp;VAR:KEY=GXSPKFSPKD&amp;VAR:QUERY=RkZfRU5UUlBSX1ZBTF9EQUlMWSg0MDcxMCwsLCwsJ0RJTCcp&amp;WINDOW=FIRST_POPUP&amp;HEIGHT=450&amp;WIDTH=","450&amp;START_MAXIMIZED=FALSE&amp;VAR:CALENDAR=US&amp;VAR:SYMBOL=FAST&amp;VAR:INDEX=0"}</definedName>
    <definedName name="_147__FDSAUDITLINK__" hidden="1">{"fdsup://directions/FAT Viewer?action=UPDATE&amp;creator=factset&amp;DYN_ARGS=TRUE&amp;DOC_NAME=FAT:FQL_AUDITING_CLIENT_TEMPLATE.FAT&amp;display_string=Audit&amp;VAR:KEY=ZITCZEXKTM&amp;VAR:QUERY=RkZfRU5UUlBSX1ZBTF9EQUlMWSg0MDI4My43NzM0MzgsLCwsLCdESUwnKS9FQ0FfTUVBTl9FQklUKDIwMTIsN","DAyODMuNzczNDM4KQ==&amp;WINDOW=FIRST_POPUP&amp;HEIGHT=450&amp;WIDTH=450&amp;START_MAXIMIZED=FALSE&amp;VAR:CALENDAR=US&amp;VAR:SYMBOL=BEAV&amp;VAR:INDEX=0"}</definedName>
    <definedName name="_148__FDSAUDITLINK__" hidden="1">{"fdsup://directions/FAT Viewer?action=UPDATE&amp;creator=factset&amp;DYN_ARGS=TRUE&amp;DOC_NAME=FAT:FQL_AUDITING_CLIENT_TEMPLATE.FAT&amp;display_string=Audit&amp;VAR:KEY=XALIZSVYHI&amp;VAR:QUERY=RkZfRU5UUlBSX1ZBTF9EQUlMWSg0MDI4My43NzM0MzgsLCwsLCdESUwnKS9FQ0FfTUVBTl9FQklUKDIwMTEsN","DAyODMuNzczNDM4KQ==&amp;WINDOW=FIRST_POPUP&amp;HEIGHT=450&amp;WIDTH=450&amp;START_MAXIMIZED=FALSE&amp;VAR:CALENDAR=US&amp;VAR:SYMBOL=BEAV&amp;VAR:INDEX=0"}</definedName>
    <definedName name="_149__FDSAUDITLINK__" hidden="1">{"fdsup://directions/FAT Viewer?action=UPDATE&amp;creator=factset&amp;DYN_ARGS=TRUE&amp;DOC_NAME=FAT:FQL_AUDITING_CLIENT_TEMPLATE.FAT&amp;display_string=Audit&amp;VAR:KEY=JWHGXCTYBW&amp;VAR:QUERY=RkZfRU5UUlBSX1ZBTF9EQUlMWSg0MDI4My43NzM0MzgsLCwsLCdESUwnKS9FQ0FfTUVBTl9FQklUKDIwMTAsN","DAyODMuNzczNDM4KQ==&amp;WINDOW=FIRST_POPUP&amp;HEIGHT=450&amp;WIDTH=450&amp;START_MAXIMIZED=FALSE&amp;VAR:CALENDAR=US&amp;VAR:SYMBOL=BEAV&amp;VAR:INDEX=0"}</definedName>
    <definedName name="_15__FDSAUDITLINK__" hidden="1">{"fdsup://directions/FAT Viewer?action=UPDATE&amp;creator=factset&amp;DYN_ARGS=TRUE&amp;DOC_NAME=FAT:FQL_AUDITING_CLIENT_TEMPLATE.FAT&amp;display_string=Audit&amp;VAR:KEY=BQXYTKBKHU&amp;VAR:QUERY=RkZfRU5UUlBSX1ZBTF9EQUlMWSgwNC8xOS8yMDEwLCwsLCwnRElMJykvRUNBX01FQU5fRUJJVCgyMDEwLDA0L","zE5LzIwMTAp&amp;WINDOW=FIRST_POPUP&amp;HEIGHT=450&amp;WIDTH=450&amp;START_MAXIMIZED=FALSE&amp;VAR:CALENDAR=US&amp;VAR:SYMBOL=PCP&amp;VAR:INDEX=0"}</definedName>
    <definedName name="_150__FDSAUDITLINK__" hidden="1">{"fdsup://directions/FAT Viewer?action=UPDATE&amp;creator=factset&amp;DYN_ARGS=TRUE&amp;DOC_NAME=FAT:FQL_AUDITING_CLIENT_TEMPLATE.FAT&amp;display_string=Audit&amp;VAR:KEY=PMBUTKZUFY&amp;VAR:QUERY=RkZfRU5UUlBSX1ZBTF9EQUlMWSg0MDI4My43NzM0MzgsLCwsLCdESUwnKS9FQ0FfTUVBTl9FQklUREEoMjAxM","iw0MDI4My43NzM0Mzgp&amp;WINDOW=FIRST_POPUP&amp;HEIGHT=450&amp;WIDTH=450&amp;START_MAXIMIZED=FALSE&amp;VAR:CALENDAR=US&amp;VAR:SYMBOL=BEAV&amp;VAR:INDEX=0"}</definedName>
    <definedName name="_151__FDSAUDITLINK__" hidden="1">{"fdsup://directions/FAT Viewer?action=UPDATE&amp;creator=factset&amp;DYN_ARGS=TRUE&amp;DOC_NAME=FAT:FQL_AUDITING_CLIENT_TEMPLATE.FAT&amp;display_string=Audit&amp;VAR:KEY=JANGNSTGVO&amp;VAR:QUERY=RkZfRU5UUlBSX1ZBTF9EQUlMWSg0MDI4My43NzM0MzgsLCwsLCdESUwnKS9FQ0FfTUVBTl9FQklUREEoMjAxM","Sw0MDI4My43NzM0Mzgp&amp;WINDOW=FIRST_POPUP&amp;HEIGHT=450&amp;WIDTH=450&amp;START_MAXIMIZED=FALSE&amp;VAR:CALENDAR=US&amp;VAR:SYMBOL=BEAV&amp;VAR:INDEX=0"}</definedName>
    <definedName name="_152__FDSAUDITLINK__" hidden="1">{"fdsup://directions/FAT Viewer?action=UPDATE&amp;creator=factset&amp;DYN_ARGS=TRUE&amp;DOC_NAME=FAT:FQL_AUDITING_CLIENT_TEMPLATE.FAT&amp;display_string=Audit&amp;VAR:KEY=BYPGNGZAJA&amp;VAR:QUERY=RkZfRU5UUlBSX1ZBTF9EQUlMWSg0MDI4My43NzM0MzgsLCwsLCdESUwnKS9FQ0FfTUVBTl9FQklUREEoMjAxM","Cw0MDI4My43NzM0Mzgp&amp;WINDOW=FIRST_POPUP&amp;HEIGHT=450&amp;WIDTH=450&amp;START_MAXIMIZED=FALSE&amp;VAR:CALENDAR=US&amp;VAR:SYMBOL=BEAV&amp;VAR:INDEX=0"}</definedName>
    <definedName name="_153__FDSAUDITLINK__" hidden="1">{"fdsup://directions/FAT Viewer?action=UPDATE&amp;creator=factset&amp;DYN_ARGS=TRUE&amp;DOC_NAME=FAT:FQL_AUDITING_CLIENT_TEMPLATE.FAT&amp;display_string=Audit&amp;VAR:KEY=RKBALQHGHI&amp;VAR:QUERY=RkZfRU5UUlBSX1ZBTF9EQUlMWSgwNC8xNS8yMDEwLCwsLCwnRElMJykvRUNBX01FQU5fU0FMRVMoMjAxMiwwN","C8xNS8yMDEwKQ==&amp;WINDOW=FIRST_POPUP&amp;HEIGHT=450&amp;WIDTH=450&amp;START_MAXIMIZED=FALSE&amp;VAR:CALENDAR=US&amp;VAR:SYMBOL=057580&amp;VAR:INDEX=0"}</definedName>
    <definedName name="_154__FDSAUDITLINK__" hidden="1">{"fdsup://directions/FAT Viewer?action=UPDATE&amp;creator=factset&amp;DYN_ARGS=TRUE&amp;DOC_NAME=FAT:FQL_AUDITING_CLIENT_TEMPLATE.FAT&amp;display_string=Audit&amp;VAR:KEY=NGPGJYRAZQ&amp;VAR:QUERY=RkZfRU5UUlBSX1ZBTF9EQUlMWSgwNC8xNS8yMDEwLCwsLCwnRElMJykvRUNBX01FQU5fU0FMRVMoMjAxMSwwN","C8xNS8yMDEwKQ==&amp;WINDOW=FIRST_POPUP&amp;HEIGHT=450&amp;WIDTH=450&amp;START_MAXIMIZED=FALSE&amp;VAR:CALENDAR=US&amp;VAR:SYMBOL=057580&amp;VAR:INDEX=0"}</definedName>
    <definedName name="_155__FDSAUDITLINK__" hidden="1">{"fdsup://directions/FAT Viewer?action=UPDATE&amp;creator=factset&amp;DYN_ARGS=TRUE&amp;DOC_NAME=FAT:FQL_AUDITING_CLIENT_TEMPLATE.FAT&amp;display_string=Audit&amp;VAR:KEY=FIFIHUFKDG&amp;VAR:QUERY=RkZfRU5UUlBSX1ZBTF9EQUlMWSgwNC8xNS8yMDEwLCwsLCwnRElMJykvRUNBX01FQU5fU0FMRVMoMjAxMCwwN","C8xNS8yMDEwKQ==&amp;WINDOW=FIRST_POPUP&amp;HEIGHT=450&amp;WIDTH=450&amp;START_MAXIMIZED=FALSE&amp;VAR:CALENDAR=US&amp;VAR:SYMBOL=057580&amp;VAR:INDEX=0"}</definedName>
    <definedName name="_156__FDSAUDITLINK__" hidden="1">{"fdsup://directions/FAT Viewer?action=UPDATE&amp;creator=factset&amp;DYN_ARGS=TRUE&amp;DOC_NAME=FAT:FQL_AUDITING_CLIENT_TEMPLATE.FAT&amp;display_string=Audit&amp;VAR:KEY=XMJYPMVKXM&amp;VAR:QUERY=RkZfRU5UUlBSX1ZBTF9EQUlMWSgwNC8xNS8yMDEwLCwsLCwnRElMJykvRUNBX01FQU5fRUJJVCgyMDEyLDA0L","zE1LzIwMTAp&amp;WINDOW=FIRST_POPUP&amp;HEIGHT=450&amp;WIDTH=450&amp;START_MAXIMIZED=FALSE&amp;VAR:CALENDAR=US&amp;VAR:SYMBOL=057580&amp;VAR:INDEX=0"}</definedName>
    <definedName name="_157__FDSAUDITLINK__" hidden="1">{"fdsup://directions/FAT Viewer?action=UPDATE&amp;creator=factset&amp;DYN_ARGS=TRUE&amp;DOC_NAME=FAT:FQL_AUDITING_CLIENT_TEMPLATE.FAT&amp;display_string=Audit&amp;VAR:KEY=JWXABALEPW&amp;VAR:QUERY=RkZfRU5UUlBSX1ZBTF9EQUlMWSgwNC8xNS8yMDEwLCwsLCwnRElMJykvRUNBX01FQU5fRUJJVCgyMDExLDA0L","zE1LzIwMTAp&amp;WINDOW=FIRST_POPUP&amp;HEIGHT=450&amp;WIDTH=450&amp;START_MAXIMIZED=FALSE&amp;VAR:CALENDAR=US&amp;VAR:SYMBOL=057580&amp;VAR:INDEX=0"}</definedName>
    <definedName name="_158__FDSAUDITLINK__" hidden="1">{"fdsup://directions/FAT Viewer?action=UPDATE&amp;creator=factset&amp;DYN_ARGS=TRUE&amp;DOC_NAME=FAT:FQL_AUDITING_CLIENT_TEMPLATE.FAT&amp;display_string=Audit&amp;VAR:KEY=ROTMZEZQLI&amp;VAR:QUERY=RkZfRU5UUlBSX1ZBTF9EQUlMWSgwNC8xNS8yMDEwLCwsLCwnRElMJykvRUNBX01FQU5fRUJJVCgyMDEwLDA0L","zE1LzIwMTAp&amp;WINDOW=FIRST_POPUP&amp;HEIGHT=450&amp;WIDTH=450&amp;START_MAXIMIZED=FALSE&amp;VAR:CALENDAR=US&amp;VAR:SYMBOL=057580&amp;VAR:INDEX=0"}</definedName>
    <definedName name="_159__FDSAUDITLINK__" hidden="1">{"fdsup://directions/FAT Viewer?action=UPDATE&amp;creator=factset&amp;DYN_ARGS=TRUE&amp;DOC_NAME=FAT:FQL_AUDITING_CLIENT_TEMPLATE.FAT&amp;display_string=Audit&amp;VAR:KEY=PYVMDGJILA&amp;VAR:QUERY=RkZfRU5UUlBSX1ZBTF9EQUlMWSgwNC8xNS8yMDEwLCwsLCwnRElMJykvRUNBX01FQU5fRUJJVERBKDIwMTIsM","DQvMTUvMjAxMCk=&amp;WINDOW=FIRST_POPUP&amp;HEIGHT=450&amp;WIDTH=450&amp;START_MAXIMIZED=FALSE&amp;VAR:CALENDAR=US&amp;VAR:SYMBOL=057580&amp;VAR:INDEX=0"}</definedName>
    <definedName name="_16__123Graph_Bｸﾞﾗﾌ_1" hidden="1">[2]ｾｸﾞﾒﾝﾄ!$E$165:$I$165</definedName>
    <definedName name="_16__FDSAUDITLINK__" hidden="1">{"fdsup://directions/FAT Viewer?action=UPDATE&amp;creator=factset&amp;DYN_ARGS=TRUE&amp;DOC_NAME=FAT:FQL_AUDITING_CLIENT_TEMPLATE.FAT&amp;display_string=Audit&amp;VAR:KEY=DURMREDSXU&amp;VAR:QUERY=RkZfRU5UUlBSX1ZBTF9EQUlMWSgwNC8xOS8yMDEwLCwsLCwnRElMJykvRUNBX01FQU5fRUJJVERBKDIwMTIsM","DQvMTkvMjAxMCk=&amp;WINDOW=FIRST_POPUP&amp;HEIGHT=450&amp;WIDTH=450&amp;START_MAXIMIZED=FALSE&amp;VAR:CALENDAR=US&amp;VAR:SYMBOL=PCP&amp;VAR:INDEX=0"}</definedName>
    <definedName name="_160__FDSAUDITLINK__" hidden="1">{"fdsup://directions/FAT Viewer?action=UPDATE&amp;creator=factset&amp;DYN_ARGS=TRUE&amp;DOC_NAME=FAT:FQL_AUDITING_CLIENT_TEMPLATE.FAT&amp;display_string=Audit&amp;VAR:KEY=XKXIXEBGTA&amp;VAR:QUERY=RkZfRU5UUlBSX1ZBTF9EQUlMWSgwNC8xNS8yMDEwLCwsLCwnRElMJykvRUNBX01FQU5fRUJJVERBKDIwMTEsM","DQvMTUvMjAxMCk=&amp;WINDOW=FIRST_POPUP&amp;HEIGHT=450&amp;WIDTH=450&amp;START_MAXIMIZED=FALSE&amp;VAR:CALENDAR=US&amp;VAR:SYMBOL=057580&amp;VAR:INDEX=0"}</definedName>
    <definedName name="_161__FDSAUDITLINK__" hidden="1">{"fdsup://directions/FAT Viewer?action=UPDATE&amp;creator=factset&amp;DYN_ARGS=TRUE&amp;DOC_NAME=FAT:FQL_AUDITING_CLIENT_TEMPLATE.FAT&amp;display_string=Audit&amp;VAR:KEY=POVWPYFWJU&amp;VAR:QUERY=RkZfRU5UUlBSX1ZBTF9EQUlMWSgwNC8xNS8yMDEwLCwsLCwnRElMJykvRUNBX01FQU5fRUJJVERBKDIwMTAsM","DQvMTUvMjAxMCk=&amp;WINDOW=FIRST_POPUP&amp;HEIGHT=450&amp;WIDTH=450&amp;START_MAXIMIZED=FALSE&amp;VAR:CALENDAR=US&amp;VAR:SYMBOL=057580&amp;VAR:INDEX=0"}</definedName>
    <definedName name="_162__FDSAUDITLINK__" hidden="1">{"fdsup://directions/FAT Viewer?action=UPDATE&amp;creator=factset&amp;DYN_ARGS=TRUE&amp;DOC_NAME=FAT:FQL_AUDITING_CLIENT_TEMPLATE.FAT&amp;display_string=Audit&amp;VAR:KEY=BCJUBGXQTQ&amp;VAR:QUERY=RkZfRU5UUlBSX1ZBTF9EQUlMWSgwNC8xNS8yMDEwLCwsLCwnRElMJykvRUNBX01FQU5fU0FMRVMoMjAxMiwwN","C8xNS8yMDEwKQ==&amp;WINDOW=FIRST_POPUP&amp;HEIGHT=450&amp;WIDTH=450&amp;START_MAXIMIZED=FALSE&amp;VAR:CALENDAR=US&amp;VAR:SYMBOL=PCP&amp;VAR:INDEX=0"}</definedName>
    <definedName name="_163__FDSAUDITLINK__" hidden="1">{"fdsup://directions/FAT Viewer?action=UPDATE&amp;creator=factset&amp;DYN_ARGS=TRUE&amp;DOC_NAME=FAT:FQL_AUDITING_CLIENT_TEMPLATE.FAT&amp;display_string=Audit&amp;VAR:KEY=HEPQZQFGLS&amp;VAR:QUERY=RkZfRU5UUlBSX1ZBTF9EQUlMWSgwNC8xNS8yMDEwLCwsLCwnRElMJykvRUNBX01FQU5fU0FMRVMoMjAxMSwwN","C8xNS8yMDEwKQ==&amp;WINDOW=FIRST_POPUP&amp;HEIGHT=450&amp;WIDTH=450&amp;START_MAXIMIZED=FALSE&amp;VAR:CALENDAR=US&amp;VAR:SYMBOL=PCP&amp;VAR:INDEX=0"}</definedName>
    <definedName name="_164__FDSAUDITLINK__" hidden="1">{"fdsup://directions/FAT Viewer?action=UPDATE&amp;creator=factset&amp;DYN_ARGS=TRUE&amp;DOC_NAME=FAT:FQL_AUDITING_CLIENT_TEMPLATE.FAT&amp;display_string=Audit&amp;VAR:KEY=PWTUHYJEDM&amp;VAR:QUERY=RkZfRU5UUlBSX1ZBTF9EQUlMWSgwNC8xNS8yMDEwLCwsLCwnRElMJykvRUNBX01FQU5fU0FMRVMoMjAxMCwwN","C8xNS8yMDEwKQ==&amp;WINDOW=FIRST_POPUP&amp;HEIGHT=450&amp;WIDTH=450&amp;START_MAXIMIZED=FALSE&amp;VAR:CALENDAR=US&amp;VAR:SYMBOL=PCP&amp;VAR:INDEX=0"}</definedName>
    <definedName name="_165__FDSAUDITLINK__" hidden="1">{"fdsup://directions/FAT Viewer?action=UPDATE&amp;creator=factset&amp;DYN_ARGS=TRUE&amp;DOC_NAME=FAT:FQL_AUDITING_CLIENT_TEMPLATE.FAT&amp;display_string=Audit&amp;VAR:KEY=FELGZQVGVQ&amp;VAR:QUERY=RkZfRU5UUlBSX1ZBTF9EQUlMWSgwNC8xNS8yMDEwLCwsLCwnRElMJykvRUNBX01FQU5fRUJJVCgyMDEyLDA0L","zE1LzIwMTAp&amp;WINDOW=FIRST_POPUP&amp;HEIGHT=450&amp;WIDTH=450&amp;START_MAXIMIZED=FALSE&amp;VAR:CALENDAR=US&amp;VAR:SYMBOL=PCP&amp;VAR:INDEX=0"}</definedName>
    <definedName name="_166__FDSAUDITLINK__" hidden="1">{"fdsup://directions/FAT Viewer?action=UPDATE&amp;creator=factset&amp;DYN_ARGS=TRUE&amp;DOC_NAME=FAT:FQL_AUDITING_CLIENT_TEMPLATE.FAT&amp;display_string=Audit&amp;VAR:KEY=DYLKZCBUPI&amp;VAR:QUERY=RkZfRU5UUlBSX1ZBTF9EQUlMWSgwNC8xNS8yMDEwLCwsLCwnRElMJykvRUNBX01FQU5fRUJJVCgyMDExLDA0L","zE1LzIwMTAp&amp;WINDOW=FIRST_POPUP&amp;HEIGHT=450&amp;WIDTH=450&amp;START_MAXIMIZED=FALSE&amp;VAR:CALENDAR=US&amp;VAR:SYMBOL=PCP&amp;VAR:INDEX=0"}</definedName>
    <definedName name="_167__FDSAUDITLINK__" hidden="1">{"fdsup://directions/FAT Viewer?action=UPDATE&amp;creator=factset&amp;DYN_ARGS=TRUE&amp;DOC_NAME=FAT:FQL_AUDITING_CLIENT_TEMPLATE.FAT&amp;display_string=Audit&amp;VAR:KEY=FIDKXOPWHS&amp;VAR:QUERY=RkZfRU5UUlBSX1ZBTF9EQUlMWSgwNC8xNS8yMDEwLCwsLCwnRElMJykvRUNBX01FQU5fRUJJVCgyMDEwLDA0L","zE1LzIwMTAp&amp;WINDOW=FIRST_POPUP&amp;HEIGHT=450&amp;WIDTH=450&amp;START_MAXIMIZED=FALSE&amp;VAR:CALENDAR=US&amp;VAR:SYMBOL=PCP&amp;VAR:INDEX=0"}</definedName>
    <definedName name="_168__FDSAUDITLINK__" hidden="1">{"fdsup://directions/FAT Viewer?action=UPDATE&amp;creator=factset&amp;DYN_ARGS=TRUE&amp;DOC_NAME=FAT:FQL_AUDITING_CLIENT_TEMPLATE.FAT&amp;display_string=Audit&amp;VAR:KEY=BYTQHQVQHQ&amp;VAR:QUERY=RkZfRU5UUlBSX1ZBTF9EQUlMWSgwNC8xNS8yMDEwLCwsLCwnRElMJykvRUNBX01FQU5fRUJJVERBKDIwMTIsM","DQvMTUvMjAxMCk=&amp;WINDOW=FIRST_POPUP&amp;HEIGHT=450&amp;WIDTH=450&amp;START_MAXIMIZED=FALSE&amp;VAR:CALENDAR=US&amp;VAR:SYMBOL=PCP&amp;VAR:INDEX=0"}</definedName>
    <definedName name="_169__FDSAUDITLINK__" hidden="1">{"fdsup://directions/FAT Viewer?action=UPDATE&amp;creator=factset&amp;DYN_ARGS=TRUE&amp;DOC_NAME=FAT:FQL_AUDITING_CLIENT_TEMPLATE.FAT&amp;display_string=Audit&amp;VAR:KEY=VYZEHOVETY&amp;VAR:QUERY=RkZfRU5UUlBSX1ZBTF9EQUlMWSgwNC8xNS8yMDEwLCwsLCwnRElMJykvRUNBX01FQU5fRUJJVERBKDIwMTEsM","DQvMTUvMjAxMCk=&amp;WINDOW=FIRST_POPUP&amp;HEIGHT=450&amp;WIDTH=450&amp;START_MAXIMIZED=FALSE&amp;VAR:CALENDAR=US&amp;VAR:SYMBOL=PCP&amp;VAR:INDEX=0"}</definedName>
    <definedName name="_17__FDSAUDITLINK__" hidden="1">{"fdsup://directions/FAT Viewer?action=UPDATE&amp;creator=factset&amp;DYN_ARGS=TRUE&amp;DOC_NAME=FAT:FQL_AUDITING_CLIENT_TEMPLATE.FAT&amp;display_string=Audit&amp;VAR:KEY=TGPMLELETS&amp;VAR:QUERY=RkZfRU5UUlBSX1ZBTF9EQUlMWSgwNC8xOS8yMDEwLCwsLCwnRElMJykvRUNBX01FQU5fRUJJVERBKDIwMTEsM","DQvMTkvMjAxMCk=&amp;WINDOW=FIRST_POPUP&amp;HEIGHT=450&amp;WIDTH=450&amp;START_MAXIMIZED=FALSE&amp;VAR:CALENDAR=US&amp;VAR:SYMBOL=PCP&amp;VAR:INDEX=0"}</definedName>
    <definedName name="_170__FDSAUDITLINK__" hidden="1">{"fdsup://directions/FAT Viewer?action=UPDATE&amp;creator=factset&amp;DYN_ARGS=TRUE&amp;DOC_NAME=FAT:FQL_AUDITING_CLIENT_TEMPLATE.FAT&amp;display_string=Audit&amp;VAR:KEY=VCNOTINMHU&amp;VAR:QUERY=RkZfRU5UUlBSX1ZBTF9EQUlMWSgwNC8xNS8yMDEwLCwsLCwnRElMJykvRUNBX01FQU5fRUJJVERBKDIwMTAsM","DQvMTUvMjAxMCk=&amp;WINDOW=FIRST_POPUP&amp;HEIGHT=450&amp;WIDTH=450&amp;START_MAXIMIZED=FALSE&amp;VAR:CALENDAR=US&amp;VAR:SYMBOL=PCP&amp;VAR:INDEX=0"}</definedName>
    <definedName name="_171__FDSAUDITLINK__" hidden="1">{"fdsup://directions/FAT Viewer?action=UPDATE&amp;creator=factset&amp;DYN_ARGS=TRUE&amp;DOC_NAME=FAT:FQL_AUDITING_CLIENT_TEMPLATE.FAT&amp;display_string=Audit&amp;VAR:KEY=XIBMXMTGXI&amp;VAR:QUERY=RkZfRU5UUlBSX1ZBTF9EQUlMWSgwNC8xNS8yMDEwLCwsLCwnRElMJykvRUNBX01FQU5fU0FMRVMoMjAxMiwwN","C8xNS8yMDEwKQ==&amp;WINDOW=FIRST_POPUP&amp;HEIGHT=450&amp;WIDTH=450&amp;START_MAXIMIZED=FALSE&amp;VAR:CALENDAR=US&amp;VAR:SYMBOL=MOG.A&amp;VAR:INDEX=0"}</definedName>
    <definedName name="_172__FDSAUDITLINK__" hidden="1">{"fdsup://directions/FAT Viewer?action=UPDATE&amp;creator=factset&amp;DYN_ARGS=TRUE&amp;DOC_NAME=FAT:FQL_AUDITING_CLIENT_TEMPLATE.FAT&amp;display_string=Audit&amp;VAR:KEY=VUNKFKJCXM&amp;VAR:QUERY=RkZfRU5UUlBSX1ZBTF9EQUlMWSgwNC8xNS8yMDEwLCwsLCwnRElMJykvRUNBX01FQU5fU0FMRVMoMjAxMSwwN","C8xNS8yMDEwKQ==&amp;WINDOW=FIRST_POPUP&amp;HEIGHT=450&amp;WIDTH=450&amp;START_MAXIMIZED=FALSE&amp;VAR:CALENDAR=US&amp;VAR:SYMBOL=MOG.A&amp;VAR:INDEX=0"}</definedName>
    <definedName name="_173__FDSAUDITLINK__" hidden="1">{"fdsup://directions/FAT Viewer?action=UPDATE&amp;creator=factset&amp;DYN_ARGS=TRUE&amp;DOC_NAME=FAT:FQL_AUDITING_CLIENT_TEMPLATE.FAT&amp;display_string=Audit&amp;VAR:KEY=HCZCXGFWNY&amp;VAR:QUERY=RkZfRU5UUlBSX1ZBTF9EQUlMWSgwNC8xNS8yMDEwLCwsLCwnRElMJykvRUNBX01FQU5fU0FMRVMoMjAxMCwwN","C8xNS8yMDEwKQ==&amp;WINDOW=FIRST_POPUP&amp;HEIGHT=450&amp;WIDTH=450&amp;START_MAXIMIZED=FALSE&amp;VAR:CALENDAR=US&amp;VAR:SYMBOL=MOG.A&amp;VAR:INDEX=0"}</definedName>
    <definedName name="_174__FDSAUDITLINK__" hidden="1">{"fdsup://directions/FAT Viewer?action=UPDATE&amp;creator=factset&amp;DYN_ARGS=TRUE&amp;DOC_NAME=FAT:FQL_AUDITING_CLIENT_TEMPLATE.FAT&amp;display_string=Audit&amp;VAR:KEY=FEHWXQZQJM&amp;VAR:QUERY=RkZfRU5UUlBSX1ZBTF9EQUlMWSgwNC8xNS8yMDEwLCwsLCwnRElMJykvRUNBX01FQU5fRUJJVCgyMDEyLDA0L","zE1LzIwMTAp&amp;WINDOW=FIRST_POPUP&amp;HEIGHT=450&amp;WIDTH=450&amp;START_MAXIMIZED=FALSE&amp;VAR:CALENDAR=US&amp;VAR:SYMBOL=MOG.A&amp;VAR:INDEX=0"}</definedName>
    <definedName name="_175__FDSAUDITLINK__" hidden="1">{"fdsup://directions/FAT Viewer?action=UPDATE&amp;creator=factset&amp;DYN_ARGS=TRUE&amp;DOC_NAME=FAT:FQL_AUDITING_CLIENT_TEMPLATE.FAT&amp;display_string=Audit&amp;VAR:KEY=BWJULQNOTK&amp;VAR:QUERY=RkZfRU5UUlBSX1ZBTF9EQUlMWSgwNC8xNS8yMDEwLCwsLCwnRElMJykvRUNBX01FQU5fRUJJVCgyMDExLDA0L","zE1LzIwMTAp&amp;WINDOW=FIRST_POPUP&amp;HEIGHT=450&amp;WIDTH=450&amp;START_MAXIMIZED=FALSE&amp;VAR:CALENDAR=US&amp;VAR:SYMBOL=MOG.A&amp;VAR:INDEX=0"}</definedName>
    <definedName name="_176__FDSAUDITLINK__" hidden="1">{"fdsup://directions/FAT Viewer?action=UPDATE&amp;creator=factset&amp;DYN_ARGS=TRUE&amp;DOC_NAME=FAT:FQL_AUDITING_CLIENT_TEMPLATE.FAT&amp;display_string=Audit&amp;VAR:KEY=TMFQFQTGPC&amp;VAR:QUERY=RkZfRU5UUlBSX1ZBTF9EQUlMWSgwNC8xNS8yMDEwLCwsLCwnRElMJykvRUNBX01FQU5fRUJJVCgyMDEwLDA0L","zE1LzIwMTAp&amp;WINDOW=FIRST_POPUP&amp;HEIGHT=450&amp;WIDTH=450&amp;START_MAXIMIZED=FALSE&amp;VAR:CALENDAR=US&amp;VAR:SYMBOL=MOG.A&amp;VAR:INDEX=0"}</definedName>
    <definedName name="_177__FDSAUDITLINK__" hidden="1">{"fdsup://directions/FAT Viewer?action=UPDATE&amp;creator=factset&amp;DYN_ARGS=TRUE&amp;DOC_NAME=FAT:FQL_AUDITING_CLIENT_TEMPLATE.FAT&amp;display_string=Audit&amp;VAR:KEY=ZQFAJIHWVK&amp;VAR:QUERY=RkZfRU5UUlBSX1ZBTF9EQUlMWSgwNC8xNS8yMDEwLCwsLCwnRElMJykvRUNBX01FQU5fRUJJVERBKDIwMTIsM","DQvMTUvMjAxMCk=&amp;WINDOW=FIRST_POPUP&amp;HEIGHT=450&amp;WIDTH=450&amp;START_MAXIMIZED=FALSE&amp;VAR:CALENDAR=US&amp;VAR:SYMBOL=MOG.A&amp;VAR:INDEX=0"}</definedName>
    <definedName name="_178__FDSAUDITLINK__" hidden="1">{"fdsup://directions/FAT Viewer?action=UPDATE&amp;creator=factset&amp;DYN_ARGS=TRUE&amp;DOC_NAME=FAT:FQL_AUDITING_CLIENT_TEMPLATE.FAT&amp;display_string=Audit&amp;VAR:KEY=XEXYJSXQNS&amp;VAR:QUERY=RkZfRU5UUlBSX1ZBTF9EQUlMWSgwNC8xNS8yMDEwLCwsLCwnRElMJykvRUNBX01FQU5fRUJJVERBKDIwMTEsM","DQvMTUvMjAxMCk=&amp;WINDOW=FIRST_POPUP&amp;HEIGHT=450&amp;WIDTH=450&amp;START_MAXIMIZED=FALSE&amp;VAR:CALENDAR=US&amp;VAR:SYMBOL=MOG.A&amp;VAR:INDEX=0"}</definedName>
    <definedName name="_179__FDSAUDITLINK__" hidden="1">{"fdsup://directions/FAT Viewer?action=UPDATE&amp;creator=factset&amp;DYN_ARGS=TRUE&amp;DOC_NAME=FAT:FQL_AUDITING_CLIENT_TEMPLATE.FAT&amp;display_string=Audit&amp;VAR:KEY=FKLCNAHOFA&amp;VAR:QUERY=RkZfRU5UUlBSX1ZBTF9EQUlMWSgwNC8xNS8yMDEwLCwsLCwnRElMJykvRUNBX01FQU5fRUJJVERBKDIwMTAsM","DQvMTUvMjAxMCk=&amp;WINDOW=FIRST_POPUP&amp;HEIGHT=450&amp;WIDTH=450&amp;START_MAXIMIZED=FALSE&amp;VAR:CALENDAR=US&amp;VAR:SYMBOL=MOG.A&amp;VAR:INDEX=0"}</definedName>
    <definedName name="_18__FDSAUDITLINK__" hidden="1">{"fdsup://directions/FAT Viewer?action=UPDATE&amp;creator=factset&amp;DYN_ARGS=TRUE&amp;DOC_NAME=FAT:FQL_AUDITING_CLIENT_TEMPLATE.FAT&amp;display_string=Audit&amp;VAR:KEY=BCZCXQJQDE&amp;VAR:QUERY=RkZfRU5UUlBSX1ZBTF9EQUlMWSgwNC8xOS8yMDEwLCwsLCwnRElMJykvRUNBX01FQU5fRUJJVERBKDIwMTAsM","DQvMTkvMjAxMCk=&amp;WINDOW=FIRST_POPUP&amp;HEIGHT=450&amp;WIDTH=450&amp;START_MAXIMIZED=FALSE&amp;VAR:CALENDAR=US&amp;VAR:SYMBOL=PCP&amp;VAR:INDEX=0"}</definedName>
    <definedName name="_180__FDSAUDITLINK__" hidden="1">{"fdsup://directions/FAT Viewer?action=UPDATE&amp;creator=factset&amp;DYN_ARGS=TRUE&amp;DOC_NAME=FAT:FQL_AUDITING_CLIENT_TEMPLATE.FAT&amp;display_string=Audit&amp;VAR:KEY=JYDUXYJSHY&amp;VAR:QUERY=RkZfRU5UUlBSX1ZBTF9EQUlMWSgwNC8xNS8yMDEwLCwsLCwnRElMJykvRUNBX01FQU5fU0FMRVMoMjAxMiwwN","C8xNS8yMDEwKQ==&amp;WINDOW=FIRST_POPUP&amp;HEIGHT=450&amp;WIDTH=450&amp;START_MAXIMIZED=FALSE&amp;VAR:CALENDAR=US&amp;VAR:SYMBOL=COL&amp;VAR:INDEX=0"}</definedName>
    <definedName name="_181__FDSAUDITLINK__" hidden="1">{"fdsup://directions/FAT Viewer?action=UPDATE&amp;creator=factset&amp;DYN_ARGS=TRUE&amp;DOC_NAME=FAT:FQL_AUDITING_CLIENT_TEMPLATE.FAT&amp;display_string=Audit&amp;VAR:KEY=FKNYBOPCBS&amp;VAR:QUERY=RkZfRU5UUlBSX1ZBTF9EQUlMWSgwNC8xNS8yMDEwLCwsLCwnRElMJykvRUNBX01FQU5fU0FMRVMoMjAxMSwwN","C8xNS8yMDEwKQ==&amp;WINDOW=FIRST_POPUP&amp;HEIGHT=450&amp;WIDTH=450&amp;START_MAXIMIZED=FALSE&amp;VAR:CALENDAR=US&amp;VAR:SYMBOL=COL&amp;VAR:INDEX=0"}</definedName>
    <definedName name="_182__FDSAUDITLINK__" hidden="1">{"fdsup://directions/FAT Viewer?action=UPDATE&amp;creator=factset&amp;DYN_ARGS=TRUE&amp;DOC_NAME=FAT:FQL_AUDITING_CLIENT_TEMPLATE.FAT&amp;display_string=Audit&amp;VAR:KEY=DSDQXCRUDO&amp;VAR:QUERY=RkZfRU5UUlBSX1ZBTF9EQUlMWSgwNC8xNS8yMDEwLCwsLCwnRElMJykvRUNBX01FQU5fU0FMRVMoMjAxMCwwN","C8xNS8yMDEwKQ==&amp;WINDOW=FIRST_POPUP&amp;HEIGHT=450&amp;WIDTH=450&amp;START_MAXIMIZED=FALSE&amp;VAR:CALENDAR=US&amp;VAR:SYMBOL=COL&amp;VAR:INDEX=0"}</definedName>
    <definedName name="_183__FDSAUDITLINK__" hidden="1">{"fdsup://directions/FAT Viewer?action=UPDATE&amp;creator=factset&amp;DYN_ARGS=TRUE&amp;DOC_NAME=FAT:FQL_AUDITING_CLIENT_TEMPLATE.FAT&amp;display_string=Audit&amp;VAR:KEY=FUVIHATWTQ&amp;VAR:QUERY=RkZfRU5UUlBSX1ZBTF9EQUlMWSgwNC8xNS8yMDEwLCwsLCwnRElMJykvRUNBX01FQU5fRUJJVCgyMDEyLDA0L","zE1LzIwMTAp&amp;WINDOW=FIRST_POPUP&amp;HEIGHT=450&amp;WIDTH=450&amp;START_MAXIMIZED=FALSE&amp;VAR:CALENDAR=US&amp;VAR:SYMBOL=COL&amp;VAR:INDEX=0"}</definedName>
    <definedName name="_184__FDSAUDITLINK__" hidden="1">{"fdsup://directions/FAT Viewer?action=UPDATE&amp;creator=factset&amp;DYN_ARGS=TRUE&amp;DOC_NAME=FAT:FQL_AUDITING_CLIENT_TEMPLATE.FAT&amp;display_string=Audit&amp;VAR:KEY=LSNEDWZQNY&amp;VAR:QUERY=RkZfRU5UUlBSX1ZBTF9EQUlMWSgwNC8xNS8yMDEwLCwsLCwnRElMJykvRUNBX01FQU5fRUJJVCgyMDExLDA0L","zE1LzIwMTAp&amp;WINDOW=FIRST_POPUP&amp;HEIGHT=450&amp;WIDTH=450&amp;START_MAXIMIZED=FALSE&amp;VAR:CALENDAR=US&amp;VAR:SYMBOL=COL&amp;VAR:INDEX=0"}</definedName>
    <definedName name="_185__FDSAUDITLINK__" hidden="1">{"fdsup://directions/FAT Viewer?action=UPDATE&amp;creator=factset&amp;DYN_ARGS=TRUE&amp;DOC_NAME=FAT:FQL_AUDITING_CLIENT_TEMPLATE.FAT&amp;display_string=Audit&amp;VAR:KEY=DODSTGVEDE&amp;VAR:QUERY=RkZfRU5UUlBSX1ZBTF9EQUlMWSgwNC8xNS8yMDEwLCwsLCwnRElMJykvRUNBX01FQU5fRUJJVCgyMDEwLDA0L","zE1LzIwMTAp&amp;WINDOW=FIRST_POPUP&amp;HEIGHT=450&amp;WIDTH=450&amp;START_MAXIMIZED=FALSE&amp;VAR:CALENDAR=US&amp;VAR:SYMBOL=COL&amp;VAR:INDEX=0"}</definedName>
    <definedName name="_186__FDSAUDITLINK__" hidden="1">{"fdsup://directions/FAT Viewer?action=UPDATE&amp;creator=factset&amp;DYN_ARGS=TRUE&amp;DOC_NAME=FAT:FQL_AUDITING_CLIENT_TEMPLATE.FAT&amp;display_string=Audit&amp;VAR:KEY=RORCFUPOTS&amp;VAR:QUERY=RkZfRU5UUlBSX1ZBTF9EQUlMWSgwNC8xNS8yMDEwLCwsLCwnRElMJykvRUNBX01FQU5fRUJJVERBKDIwMTIsM","DQvMTUvMjAxMCk=&amp;WINDOW=FIRST_POPUP&amp;HEIGHT=450&amp;WIDTH=450&amp;START_MAXIMIZED=FALSE&amp;VAR:CALENDAR=US&amp;VAR:SYMBOL=COL&amp;VAR:INDEX=0"}</definedName>
    <definedName name="_187__FDSAUDITLINK__" hidden="1">{"fdsup://directions/FAT Viewer?action=UPDATE&amp;creator=factset&amp;DYN_ARGS=TRUE&amp;DOC_NAME=FAT:FQL_AUDITING_CLIENT_TEMPLATE.FAT&amp;display_string=Audit&amp;VAR:KEY=DYVGBYBEFC&amp;VAR:QUERY=RkZfRU5UUlBSX1ZBTF9EQUlMWSgwNC8xNS8yMDEwLCwsLCwnRElMJykvRUNBX01FQU5fRUJJVERBKDIwMTEsM","DQvMTUvMjAxMCk=&amp;WINDOW=FIRST_POPUP&amp;HEIGHT=450&amp;WIDTH=450&amp;START_MAXIMIZED=FALSE&amp;VAR:CALENDAR=US&amp;VAR:SYMBOL=COL&amp;VAR:INDEX=0"}</definedName>
    <definedName name="_188__FDSAUDITLINK__" hidden="1">{"fdsup://directions/FAT Viewer?action=UPDATE&amp;creator=factset&amp;DYN_ARGS=TRUE&amp;DOC_NAME=FAT:FQL_AUDITING_CLIENT_TEMPLATE.FAT&amp;display_string=Audit&amp;VAR:KEY=BOTEXSVMNA&amp;VAR:QUERY=RkZfRU5UUlBSX1ZBTF9EQUlMWSgwNC8xNS8yMDEwLCwsLCwnRElMJykvRUNBX01FQU5fRUJJVERBKDIwMTAsM","DQvMTUvMjAxMCk=&amp;WINDOW=FIRST_POPUP&amp;HEIGHT=450&amp;WIDTH=450&amp;START_MAXIMIZED=FALSE&amp;VAR:CALENDAR=US&amp;VAR:SYMBOL=COL&amp;VAR:INDEX=0"}</definedName>
    <definedName name="_189__FDSAUDITLINK__" hidden="1">{"fdsup://directions/FAT Viewer?action=UPDATE&amp;creator=factset&amp;DYN_ARGS=TRUE&amp;DOC_NAME=FAT:FQL_AUDITING_CLIENT_TEMPLATE.FAT&amp;display_string=Audit&amp;VAR:KEY=TILSNUHUNO&amp;VAR:QUERY=RkZfRU5UUlBSX1ZBTF9EQUlMWSgwNC8xNS8yMDEwLCwsLCwnRElMJykvRUNBX01FQU5fU0FMRVMoMjAxMiwwN","C8xNS8yMDEwKQ==&amp;WINDOW=FIRST_POPUP&amp;HEIGHT=450&amp;WIDTH=450&amp;START_MAXIMIZED=FALSE&amp;VAR:CALENDAR=US&amp;VAR:SYMBOL=BEAV&amp;VAR:INDEX=0"}</definedName>
    <definedName name="_19__FDSAUDITLINK__" hidden="1">{"fdsup://directions/FAT Viewer?action=UPDATE&amp;creator=factset&amp;DYN_ARGS=TRUE&amp;DOC_NAME=FAT:FQL_AUDITING_CLIENT_TEMPLATE.FAT&amp;display_string=Audit&amp;VAR:KEY=LUDCXYNYXW&amp;VAR:QUERY=RkZfRU5UUlBSX1ZBTF9EQUlMWSgwNC8xOS8yMDEwLCwsLCwnRElMJykvRUNBX01FQU5fU0FMRVMoMjAxMiwwN","C8xOS8yMDEwKQ==&amp;WINDOW=FIRST_POPUP&amp;HEIGHT=450&amp;WIDTH=450&amp;START_MAXIMIZED=FALSE&amp;VAR:CALENDAR=US&amp;VAR:SYMBOL=MOG.A&amp;VAR:INDEX=0"}</definedName>
    <definedName name="_190__FDSAUDITLINK__" hidden="1">{"fdsup://directions/FAT Viewer?action=UPDATE&amp;creator=factset&amp;DYN_ARGS=TRUE&amp;DOC_NAME=FAT:FQL_AUDITING_CLIENT_TEMPLATE.FAT&amp;display_string=Audit&amp;VAR:KEY=JQDABMVIDS&amp;VAR:QUERY=RkZfRU5UUlBSX1ZBTF9EQUlMWSgwNC8xNS8yMDEwLCwsLCwnRElMJykvRUNBX01FQU5fU0FMRVMoMjAxMSwwN","C8xNS8yMDEwKQ==&amp;WINDOW=FIRST_POPUP&amp;HEIGHT=450&amp;WIDTH=450&amp;START_MAXIMIZED=FALSE&amp;VAR:CALENDAR=US&amp;VAR:SYMBOL=BEAV&amp;VAR:INDEX=0"}</definedName>
    <definedName name="_191__FDSAUDITLINK__" hidden="1">{"fdsup://directions/FAT Viewer?action=UPDATE&amp;creator=factset&amp;DYN_ARGS=TRUE&amp;DOC_NAME=FAT:FQL_AUDITING_CLIENT_TEMPLATE.FAT&amp;display_string=Audit&amp;VAR:KEY=ZUPYJWBOXQ&amp;VAR:QUERY=RkZfRU5UUlBSX1ZBTF9EQUlMWSgwNC8xNS8yMDEwLCwsLCwnRElMJykvRUNBX01FQU5fU0FMRVMoMjAxMCwwN","C8xNS8yMDEwKQ==&amp;WINDOW=FIRST_POPUP&amp;HEIGHT=450&amp;WIDTH=450&amp;START_MAXIMIZED=FALSE&amp;VAR:CALENDAR=US&amp;VAR:SYMBOL=BEAV&amp;VAR:INDEX=0"}</definedName>
    <definedName name="_192__FDSAUDITLINK__" hidden="1">{"fdsup://directions/FAT Viewer?action=UPDATE&amp;creator=factset&amp;DYN_ARGS=TRUE&amp;DOC_NAME=FAT:FQL_AUDITING_CLIENT_TEMPLATE.FAT&amp;display_string=Audit&amp;VAR:KEY=ZQDGNIRGHU&amp;VAR:QUERY=RkZfRU5UUlBSX1ZBTF9EQUlMWSgwNC8xNS8yMDEwLCwsLCwnRElMJykvRUNBX01FQU5fRUJJVCgyMDEyLDA0L","zE1LzIwMTAp&amp;WINDOW=FIRST_POPUP&amp;HEIGHT=450&amp;WIDTH=450&amp;START_MAXIMIZED=FALSE&amp;VAR:CALENDAR=US&amp;VAR:SYMBOL=BEAV&amp;VAR:INDEX=0"}</definedName>
    <definedName name="_193__FDSAUDITLINK__" hidden="1">{"fdsup://directions/FAT Viewer?action=UPDATE&amp;creator=factset&amp;DYN_ARGS=TRUE&amp;DOC_NAME=FAT:FQL_AUDITING_CLIENT_TEMPLATE.FAT&amp;display_string=Audit&amp;VAR:KEY=ZQVYLKNOTS&amp;VAR:QUERY=RkZfRU5UUlBSX1ZBTF9EQUlMWSgwNC8xNS8yMDEwLCwsLCwnRElMJykvRUNBX01FQU5fRUJJVCgyMDExLDA0L","zE1LzIwMTAp&amp;WINDOW=FIRST_POPUP&amp;HEIGHT=450&amp;WIDTH=450&amp;START_MAXIMIZED=FALSE&amp;VAR:CALENDAR=US&amp;VAR:SYMBOL=BEAV&amp;VAR:INDEX=0"}</definedName>
    <definedName name="_194__FDSAUDITLINK__" hidden="1">{"fdsup://directions/FAT Viewer?action=UPDATE&amp;creator=factset&amp;DYN_ARGS=TRUE&amp;DOC_NAME=FAT:FQL_AUDITING_CLIENT_TEMPLATE.FAT&amp;display_string=Audit&amp;VAR:KEY=DMJIPIXMZS&amp;VAR:QUERY=RkZfRU5UUlBSX1ZBTF9EQUlMWSgwNC8xNS8yMDEwLCwsLCwnRElMJykvRUNBX01FQU5fRUJJVCgyMDEwLDA0L","zE1LzIwMTAp&amp;WINDOW=FIRST_POPUP&amp;HEIGHT=450&amp;WIDTH=450&amp;START_MAXIMIZED=FALSE&amp;VAR:CALENDAR=US&amp;VAR:SYMBOL=BEAV&amp;VAR:INDEX=0"}</definedName>
    <definedName name="_195__FDSAUDITLINK__" hidden="1">{"fdsup://directions/FAT Viewer?action=UPDATE&amp;creator=factset&amp;DYN_ARGS=TRUE&amp;DOC_NAME=FAT:FQL_AUDITING_CLIENT_TEMPLATE.FAT&amp;display_string=Audit&amp;VAR:KEY=HAFQPSBYHO&amp;VAR:QUERY=RkZfRU5UUlBSX1ZBTF9EQUlMWSgwNC8xNS8yMDEwLCwsLCwnRElMJykvRUNBX01FQU5fRUJJVERBKDIwMTIsM","DQvMTUvMjAxMCk=&amp;WINDOW=FIRST_POPUP&amp;HEIGHT=450&amp;WIDTH=450&amp;START_MAXIMIZED=FALSE&amp;VAR:CALENDAR=US&amp;VAR:SYMBOL=BEAV&amp;VAR:INDEX=0"}</definedName>
    <definedName name="_196__FDSAUDITLINK__" hidden="1">{"fdsup://directions/FAT Viewer?action=UPDATE&amp;creator=factset&amp;DYN_ARGS=TRUE&amp;DOC_NAME=FAT:FQL_AUDITING_CLIENT_TEMPLATE.FAT&amp;display_string=Audit&amp;VAR:KEY=JORSXALSNM&amp;VAR:QUERY=RkZfRU5UUlBSX1ZBTF9EQUlMWSgwNC8xNS8yMDEwLCwsLCwnRElMJykvRUNBX01FQU5fRUJJVERBKDIwMTEsM","DQvMTUvMjAxMCk=&amp;WINDOW=FIRST_POPUP&amp;HEIGHT=450&amp;WIDTH=450&amp;START_MAXIMIZED=FALSE&amp;VAR:CALENDAR=US&amp;VAR:SYMBOL=BEAV&amp;VAR:INDEX=0"}</definedName>
    <definedName name="_197__FDSAUDITLINK__" hidden="1">{"fdsup://directions/FAT Viewer?action=UPDATE&amp;creator=factset&amp;DYN_ARGS=TRUE&amp;DOC_NAME=FAT:FQL_AUDITING_CLIENT_TEMPLATE.FAT&amp;display_string=Audit&amp;VAR:KEY=BINSNCRSDG&amp;VAR:QUERY=RkZfRU5UUlBSX1ZBTF9EQUlMWSgwNC8xNS8yMDEwLCwsLCwnRElMJykvRUNBX01FQU5fRUJJVERBKDIwMTAsM","DQvMTUvMjAxMCk=&amp;WINDOW=FIRST_POPUP&amp;HEIGHT=450&amp;WIDTH=450&amp;START_MAXIMIZED=FALSE&amp;VAR:CALENDAR=US&amp;VAR:SYMBOL=BEAV&amp;VAR:INDEX=0"}</definedName>
    <definedName name="_198__FDSAUDITLINK__" hidden="1">{"fdsup://directions/FAT Viewer?action=UPDATE&amp;creator=factset&amp;DYN_ARGS=TRUE&amp;DOC_NAME=FAT:FQL_AUDITING_CLIENT_TEMPLATE.FAT&amp;display_string=Audit&amp;VAR:KEY=WNATQPOJKJ&amp;VAR:QUERY=RkZfRU5UUlBSX1ZBTF9EQUlMWSgwNC8xNS8yMDEwLCwsLCwnRElMJykvRUNBX01FQU5fU0FMRVMoMjAxMiwwN","C8xNS8yMDEwKQ==&amp;WINDOW=FIRST_POPUP&amp;HEIGHT=450&amp;WIDTH=450&amp;START_MAXIMIZED=FALSE&amp;VAR:CALENDAR=FIVEDAY&amp;VAR:SYMBOL=057580&amp;VAR:INDEX=0"}</definedName>
    <definedName name="_199__FDSAUDITLINK__" hidden="1">{"fdsup://directions/FAT Viewer?action=UPDATE&amp;creator=factset&amp;DYN_ARGS=TRUE&amp;DOC_NAME=FAT:FQL_AUDITING_CLIENT_TEMPLATE.FAT&amp;display_string=Audit&amp;VAR:KEY=UDSBSVAPGN&amp;VAR:QUERY=RkZfRU5UUlBSX1ZBTF9EQUlMWSgwNC8xNS8yMDEwLCwsLCwnRElMJykvRUNBX01FQU5fU0FMRVMoMjAxMSwwN","C8xNS8yMDEwKQ==&amp;WINDOW=FIRST_POPUP&amp;HEIGHT=450&amp;WIDTH=450&amp;START_MAXIMIZED=FALSE&amp;VAR:CALENDAR=FIVEDAY&amp;VAR:SYMBOL=057580&amp;VAR:INDEX=0"}</definedName>
    <definedName name="_2__123Graph_ACHART_2E" hidden="1">[1]Aerospace!$L$342:$L$373</definedName>
    <definedName name="_2__123Graph_Aｸﾞﾗﾌ_1" hidden="1">[2]ｾｸﾞﾒﾝﾄ!$E$164:$I$164</definedName>
    <definedName name="_2__FDSAUDITLINK__" hidden="1">{"fdsup://directions/FAT Viewer?action=UPDATE&amp;creator=factset&amp;DYN_ARGS=TRUE&amp;DOC_NAME=FAT:FQL_AUDITING_CLIENT_TEMPLATE.FAT&amp;display_string=Audit&amp;VAR:KEY=XERODMNETU&amp;VAR:QUERY=RkZfRU5UUlBSX1ZBTF9EQUlMWSgwNC8xOS8yMDEwLCwsLCwnRElMJykvRUNBX01FQU5fU0FMRVMoMjAxMSwwN","C8xOS8yMDEwKQ==&amp;WINDOW=FIRST_POPUP&amp;HEIGHT=450&amp;WIDTH=450&amp;START_MAXIMIZED=FALSE&amp;VAR:CALENDAR=US&amp;VAR:SYMBOL=057580&amp;VAR:INDEX=0"}</definedName>
    <definedName name="_20__FDSAUDITLINK__" hidden="1">{"fdsup://directions/FAT Viewer?action=UPDATE&amp;creator=factset&amp;DYN_ARGS=TRUE&amp;DOC_NAME=FAT:FQL_AUDITING_CLIENT_TEMPLATE.FAT&amp;display_string=Audit&amp;VAR:KEY=XADGFQLWHG&amp;VAR:QUERY=RkZfRU5UUlBSX1ZBTF9EQUlMWSgwNC8xOS8yMDEwLCwsLCwnRElMJykvRUNBX01FQU5fU0FMRVMoMjAxMSwwN","C8xOS8yMDEwKQ==&amp;WINDOW=FIRST_POPUP&amp;HEIGHT=450&amp;WIDTH=450&amp;START_MAXIMIZED=FALSE&amp;VAR:CALENDAR=US&amp;VAR:SYMBOL=MOG.A&amp;VAR:INDEX=0"}</definedName>
    <definedName name="_200__FDSAUDITLINK__" hidden="1">{"fdsup://directions/FAT Viewer?action=UPDATE&amp;creator=factset&amp;DYN_ARGS=TRUE&amp;DOC_NAME=FAT:FQL_AUDITING_CLIENT_TEMPLATE.FAT&amp;display_string=Audit&amp;VAR:KEY=QXKHORCDEP&amp;VAR:QUERY=RkZfRU5UUlBSX1ZBTF9EQUlMWSgwNC8xNS8yMDEwLCwsLCwnRElMJykvRUNBX01FQU5fU0FMRVMoMjAxMCwwN","C8xNS8yMDEwKQ==&amp;WINDOW=FIRST_POPUP&amp;HEIGHT=450&amp;WIDTH=450&amp;START_MAXIMIZED=FALSE&amp;VAR:CALENDAR=FIVEDAY&amp;VAR:SYMBOL=057580&amp;VAR:INDEX=0"}</definedName>
    <definedName name="_201__FDSAUDITLINK__" hidden="1">{"fdsup://directions/FAT Viewer?action=UPDATE&amp;creator=factset&amp;DYN_ARGS=TRUE&amp;DOC_NAME=FAT:FQL_AUDITING_CLIENT_TEMPLATE.FAT&amp;display_string=Audit&amp;VAR:KEY=MPSLEXKBAV&amp;VAR:QUERY=RkZfRU5UUlBSX1ZBTF9EQUlMWSgwNC8xNS8yMDEwLCwsLCwnRElMJykvRUNBX01FQU5fRUJJVCgyMDEyLDA0L","zE1LzIwMTAp&amp;WINDOW=FIRST_POPUP&amp;HEIGHT=450&amp;WIDTH=450&amp;START_MAXIMIZED=FALSE&amp;VAR:CALENDAR=FIVEDAY&amp;VAR:SYMBOL=057580&amp;VAR:INDEX=0"}</definedName>
    <definedName name="_202__FDSAUDITLINK__" hidden="1">{"fdsup://directions/FAT Viewer?action=UPDATE&amp;creator=factset&amp;DYN_ARGS=TRUE&amp;DOC_NAME=FAT:FQL_AUDITING_CLIENT_TEMPLATE.FAT&amp;display_string=Audit&amp;VAR:KEY=QTQFKXWVUB&amp;VAR:QUERY=RkZfRU5UUlBSX1ZBTF9EQUlMWSgwNC8xNS8yMDEwLCwsLCwnRElMJykvRUNBX01FQU5fRUJJVCgyMDExLDA0L","zE1LzIwMTAp&amp;WINDOW=FIRST_POPUP&amp;HEIGHT=450&amp;WIDTH=450&amp;START_MAXIMIZED=FALSE&amp;VAR:CALENDAR=FIVEDAY&amp;VAR:SYMBOL=057580&amp;VAR:INDEX=0"}</definedName>
    <definedName name="_203__FDSAUDITLINK__" hidden="1">{"fdsup://directions/FAT Viewer?action=UPDATE&amp;creator=factset&amp;DYN_ARGS=TRUE&amp;DOC_NAME=FAT:FQL_AUDITING_CLIENT_TEMPLATE.FAT&amp;display_string=Audit&amp;VAR:KEY=YFONABODGZ&amp;VAR:QUERY=RkZfRU5UUlBSX1ZBTF9EQUlMWSgwNC8xNS8yMDEwLCwsLCwnRElMJykvRUNBX01FQU5fRUJJVCgyMDEwLDA0L","zE1LzIwMTAp&amp;WINDOW=FIRST_POPUP&amp;HEIGHT=450&amp;WIDTH=450&amp;START_MAXIMIZED=FALSE&amp;VAR:CALENDAR=FIVEDAY&amp;VAR:SYMBOL=057580&amp;VAR:INDEX=0"}</definedName>
    <definedName name="_204__FDSAUDITLINK__" hidden="1">{"fdsup://directions/FAT Viewer?action=UPDATE&amp;creator=factset&amp;DYN_ARGS=TRUE&amp;DOC_NAME=FAT:FQL_AUDITING_CLIENT_TEMPLATE.FAT&amp;display_string=Audit&amp;VAR:KEY=KTSPELEPER&amp;VAR:QUERY=RkZfRU5UUlBSX1ZBTF9EQUlMWSgwNC8xNS8yMDEwLCwsLCwnRElMJykvRUNBX01FQU5fRUJJVERBKDIwMTIsM","DQvMTUvMjAxMCk=&amp;WINDOW=FIRST_POPUP&amp;HEIGHT=450&amp;WIDTH=450&amp;START_MAXIMIZED=FALSE&amp;VAR:CALENDAR=FIVEDAY&amp;VAR:SYMBOL=057580&amp;VAR:INDEX=0"}</definedName>
    <definedName name="_205__FDSAUDITLINK__" hidden="1">{"fdsup://directions/FAT Viewer?action=UPDATE&amp;creator=factset&amp;DYN_ARGS=TRUE&amp;DOC_NAME=FAT:FQL_AUDITING_CLIENT_TEMPLATE.FAT&amp;display_string=Audit&amp;VAR:KEY=SRMBEHKHMX&amp;VAR:QUERY=RkZfRU5UUlBSX1ZBTF9EQUlMWSgwNC8xNS8yMDEwLCwsLCwnRElMJykvRUNBX01FQU5fRUJJVERBKDIwMTEsM","DQvMTUvMjAxMCk=&amp;WINDOW=FIRST_POPUP&amp;HEIGHT=450&amp;WIDTH=450&amp;START_MAXIMIZED=FALSE&amp;VAR:CALENDAR=FIVEDAY&amp;VAR:SYMBOL=057580&amp;VAR:INDEX=0"}</definedName>
    <definedName name="_206__FDSAUDITLINK__" hidden="1">{"fdsup://directions/FAT Viewer?action=UPDATE&amp;creator=factset&amp;DYN_ARGS=TRUE&amp;DOC_NAME=FAT:FQL_AUDITING_CLIENT_TEMPLATE.FAT&amp;display_string=Audit&amp;VAR:KEY=SLIREJYLIZ&amp;VAR:QUERY=RkZfRU5UUlBSX1ZBTF9EQUlMWSgwNC8xNS8yMDEwLCwsLCwnRElMJykvRUNBX01FQU5fRUJJVERBKDIwMTAsM","DQvMTUvMjAxMCk=&amp;WINDOW=FIRST_POPUP&amp;HEIGHT=450&amp;WIDTH=450&amp;START_MAXIMIZED=FALSE&amp;VAR:CALENDAR=FIVEDAY&amp;VAR:SYMBOL=057580&amp;VAR:INDEX=0"}</definedName>
    <definedName name="_207__FDSAUDITLINK__" hidden="1">{"fdsup://directions/FAT Viewer?action=UPDATE&amp;creator=factset&amp;DYN_ARGS=TRUE&amp;DOC_NAME=FAT:FQL_AUDITING_CLIENT_TEMPLATE.FAT&amp;display_string=Audit&amp;VAR:KEY=CTGNEPGTQX&amp;VAR:QUERY=RkZfRU5UUlBSX1ZBTF9EQUlMWSgwNC8xNS8yMDEwLCwsLCwnRElMJykvRUNBX01FQU5fU0FMRVMoMjAxMiwwN","C8xNS8yMDEwKQ==&amp;WINDOW=FIRST_POPUP&amp;HEIGHT=450&amp;WIDTH=450&amp;START_MAXIMIZED=FALSE&amp;VAR:CALENDAR=FIVEDAY&amp;VAR:SYMBOL=PCP&amp;VAR:INDEX=0"}</definedName>
    <definedName name="_208__FDSAUDITLINK__" hidden="1">{"fdsup://directions/FAT Viewer?action=UPDATE&amp;creator=factset&amp;DYN_ARGS=TRUE&amp;DOC_NAME=FAT:FQL_AUDITING_CLIENT_TEMPLATE.FAT&amp;display_string=Audit&amp;VAR:KEY=GTKBEZYLIJ&amp;VAR:QUERY=RkZfRU5UUlBSX1ZBTF9EQUlMWSgwNC8xNS8yMDEwLCwsLCwnRElMJykvRUNBX01FQU5fU0FMRVMoMjAxMSwwN","C8xNS8yMDEwKQ==&amp;WINDOW=FIRST_POPUP&amp;HEIGHT=450&amp;WIDTH=450&amp;START_MAXIMIZED=FALSE&amp;VAR:CALENDAR=FIVEDAY&amp;VAR:SYMBOL=PCP&amp;VAR:INDEX=0"}</definedName>
    <definedName name="_209__FDSAUDITLINK__" hidden="1">{"fdsup://directions/FAT Viewer?action=UPDATE&amp;creator=factset&amp;DYN_ARGS=TRUE&amp;DOC_NAME=FAT:FQL_AUDITING_CLIENT_TEMPLATE.FAT&amp;display_string=Audit&amp;VAR:KEY=MXCNCBOVCZ&amp;VAR:QUERY=RkZfRU5UUlBSX1ZBTF9EQUlMWSgwNC8xNS8yMDEwLCwsLCwnRElMJykvRUNBX01FQU5fU0FMRVMoMjAxMCwwN","C8xNS8yMDEwKQ==&amp;WINDOW=FIRST_POPUP&amp;HEIGHT=450&amp;WIDTH=450&amp;START_MAXIMIZED=FALSE&amp;VAR:CALENDAR=FIVEDAY&amp;VAR:SYMBOL=PCP&amp;VAR:INDEX=0"}</definedName>
    <definedName name="_21__FDSAUDITLINK__" hidden="1">{"fdsup://directions/FAT Viewer?action=UPDATE&amp;creator=factset&amp;DYN_ARGS=TRUE&amp;DOC_NAME=FAT:FQL_AUDITING_CLIENT_TEMPLATE.FAT&amp;display_string=Audit&amp;VAR:KEY=XCZGHQXIJQ&amp;VAR:QUERY=RkZfRU5UUlBSX1ZBTF9EQUlMWSgwNC8xOS8yMDEwLCwsLCwnRElMJykvRUNBX01FQU5fU0FMRVMoMjAxMCwwN","C8xOS8yMDEwKQ==&amp;WINDOW=FIRST_POPUP&amp;HEIGHT=450&amp;WIDTH=450&amp;START_MAXIMIZED=FALSE&amp;VAR:CALENDAR=US&amp;VAR:SYMBOL=MOG.A&amp;VAR:INDEX=0"}</definedName>
    <definedName name="_210__FDSAUDITLINK__" hidden="1">{"fdsup://directions/FAT Viewer?action=UPDATE&amp;creator=factset&amp;DYN_ARGS=TRUE&amp;DOC_NAME=FAT:FQL_AUDITING_CLIENT_TEMPLATE.FAT&amp;display_string=Audit&amp;VAR:KEY=SNKHUDSLWF&amp;VAR:QUERY=RkZfRU5UUlBSX1ZBTF9EQUlMWSgwNC8xNS8yMDEwLCwsLCwnRElMJykvRUNBX01FQU5fRUJJVCgyMDEyLDA0L","zE1LzIwMTAp&amp;WINDOW=FIRST_POPUP&amp;HEIGHT=450&amp;WIDTH=450&amp;START_MAXIMIZED=FALSE&amp;VAR:CALENDAR=FIVEDAY&amp;VAR:SYMBOL=PCP&amp;VAR:INDEX=0"}</definedName>
    <definedName name="_211__FDSAUDITLINK__" hidden="1">{"fdsup://directions/FAT Viewer?action=UPDATE&amp;creator=factset&amp;DYN_ARGS=TRUE&amp;DOC_NAME=FAT:FQL_AUDITING_CLIENT_TEMPLATE.FAT&amp;display_string=Audit&amp;VAR:KEY=GXCZQRSLIJ&amp;VAR:QUERY=RkZfRU5UUlBSX1ZBTF9EQUlMWSgwNC8xNS8yMDEwLCwsLCwnRElMJykvRUNBX01FQU5fRUJJVCgyMDExLDA0L","zE1LzIwMTAp&amp;WINDOW=FIRST_POPUP&amp;HEIGHT=450&amp;WIDTH=450&amp;START_MAXIMIZED=FALSE&amp;VAR:CALENDAR=FIVEDAY&amp;VAR:SYMBOL=PCP&amp;VAR:INDEX=0"}</definedName>
    <definedName name="_212__FDSAUDITLINK__" hidden="1">{"fdsup://directions/FAT Viewer?action=UPDATE&amp;creator=factset&amp;DYN_ARGS=TRUE&amp;DOC_NAME=FAT:FQL_AUDITING_CLIENT_TEMPLATE.FAT&amp;display_string=Audit&amp;VAR:KEY=QZIJYBOVMH&amp;VAR:QUERY=RkZfRU5UUlBSX1ZBTF9EQUlMWSgwNC8xNS8yMDEwLCwsLCwnRElMJykvRUNBX01FQU5fRUJJVCgyMDEwLDA0L","zE1LzIwMTAp&amp;WINDOW=FIRST_POPUP&amp;HEIGHT=450&amp;WIDTH=450&amp;START_MAXIMIZED=FALSE&amp;VAR:CALENDAR=FIVEDAY&amp;VAR:SYMBOL=PCP&amp;VAR:INDEX=0"}</definedName>
    <definedName name="_213__FDSAUDITLINK__" hidden="1">{"fdsup://directions/FAT Viewer?action=UPDATE&amp;creator=factset&amp;DYN_ARGS=TRUE&amp;DOC_NAME=FAT:FQL_AUDITING_CLIENT_TEMPLATE.FAT&amp;display_string=Audit&amp;VAR:KEY=CFMXCFGRMN&amp;VAR:QUERY=RkZfRU5UUlBSX1ZBTF9EQUlMWSgwNC8xNS8yMDEwLCwsLCwnRElMJykvRUNBX01FQU5fRUJJVERBKDIwMTIsM","DQvMTUvMjAxMCk=&amp;WINDOW=FIRST_POPUP&amp;HEIGHT=450&amp;WIDTH=450&amp;START_MAXIMIZED=FALSE&amp;VAR:CALENDAR=FIVEDAY&amp;VAR:SYMBOL=PCP&amp;VAR:INDEX=0"}</definedName>
    <definedName name="_214__FDSAUDITLINK__" hidden="1">{"fdsup://directions/FAT Viewer?action=UPDATE&amp;creator=factset&amp;DYN_ARGS=TRUE&amp;DOC_NAME=FAT:FQL_AUDITING_CLIENT_TEMPLATE.FAT&amp;display_string=Audit&amp;VAR:KEY=MBUVIVOFCD&amp;VAR:QUERY=RkZfRU5UUlBSX1ZBTF9EQUlMWSgwNC8xNS8yMDEwLCwsLCwnRElMJykvRUNBX01FQU5fRUJJVERBKDIwMTEsM","DQvMTUvMjAxMCk=&amp;WINDOW=FIRST_POPUP&amp;HEIGHT=450&amp;WIDTH=450&amp;START_MAXIMIZED=FALSE&amp;VAR:CALENDAR=FIVEDAY&amp;VAR:SYMBOL=PCP&amp;VAR:INDEX=0"}</definedName>
    <definedName name="_215__FDSAUDITLINK__" hidden="1">{"fdsup://directions/FAT Viewer?action=UPDATE&amp;creator=factset&amp;DYN_ARGS=TRUE&amp;DOC_NAME=FAT:FQL_AUDITING_CLIENT_TEMPLATE.FAT&amp;display_string=Audit&amp;VAR:KEY=MRQHMTWPEF&amp;VAR:QUERY=RkZfRU5UUlBSX1ZBTF9EQUlMWSgwNC8xNS8yMDEwLCwsLCwnRElMJykvRUNBX01FQU5fRUJJVERBKDIwMTAsM","DQvMTUvMjAxMCk=&amp;WINDOW=FIRST_POPUP&amp;HEIGHT=450&amp;WIDTH=450&amp;START_MAXIMIZED=FALSE&amp;VAR:CALENDAR=FIVEDAY&amp;VAR:SYMBOL=PCP&amp;VAR:INDEX=0"}</definedName>
    <definedName name="_216__FDSAUDITLINK__" hidden="1">{"fdsup://directions/FAT Viewer?action=UPDATE&amp;creator=factset&amp;DYN_ARGS=TRUE&amp;DOC_NAME=FAT:FQL_AUDITING_CLIENT_TEMPLATE.FAT&amp;display_string=Audit&amp;VAR:KEY=AZIVORKVKF&amp;VAR:QUERY=RkZfRU5UUlBSX1ZBTF9EQUlMWSgwNC8xNS8yMDEwLCwsLCwnRElMJykvRUNBX01FQU5fU0FMRVMoMjAxMiwwN","C8xNS8yMDEwKQ==&amp;WINDOW=FIRST_POPUP&amp;HEIGHT=450&amp;WIDTH=450&amp;START_MAXIMIZED=FALSE&amp;VAR:CALENDAR=FIVEDAY&amp;VAR:SYMBOL=MOG.A&amp;VAR:INDEX=0"}</definedName>
    <definedName name="_217__FDSAUDITLINK__" hidden="1">{"fdsup://directions/FAT Viewer?action=UPDATE&amp;creator=factset&amp;DYN_ARGS=TRUE&amp;DOC_NAME=FAT:FQL_AUDITING_CLIENT_TEMPLATE.FAT&amp;display_string=Audit&amp;VAR:KEY=WPYPGLUXQJ&amp;VAR:QUERY=RkZfRU5UUlBSX1ZBTF9EQUlMWSgwNC8xNS8yMDEwLCwsLCwnRElMJykvRUNBX01FQU5fU0FMRVMoMjAxMSwwN","C8xNS8yMDEwKQ==&amp;WINDOW=FIRST_POPUP&amp;HEIGHT=450&amp;WIDTH=450&amp;START_MAXIMIZED=FALSE&amp;VAR:CALENDAR=FIVEDAY&amp;VAR:SYMBOL=MOG.A&amp;VAR:INDEX=0"}</definedName>
    <definedName name="_218__FDSAUDITLINK__" hidden="1">{"fdsup://directions/FAT Viewer?action=UPDATE&amp;creator=factset&amp;DYN_ARGS=TRUE&amp;DOC_NAME=FAT:FQL_AUDITING_CLIENT_TEMPLATE.FAT&amp;display_string=Audit&amp;VAR:KEY=CPEHEXCVWZ&amp;VAR:QUERY=RkZfRU5UUlBSX1ZBTF9EQUlMWSgwNC8xNS8yMDEwLCwsLCwnRElMJykvRUNBX01FQU5fU0FMRVMoMjAxMCwwN","C8xNS8yMDEwKQ==&amp;WINDOW=FIRST_POPUP&amp;HEIGHT=450&amp;WIDTH=450&amp;START_MAXIMIZED=FALSE&amp;VAR:CALENDAR=FIVEDAY&amp;VAR:SYMBOL=MOG.A&amp;VAR:INDEX=0"}</definedName>
    <definedName name="_219__FDSAUDITLINK__" hidden="1">{"fdsup://directions/FAT Viewer?action=UPDATE&amp;creator=factset&amp;DYN_ARGS=TRUE&amp;DOC_NAME=FAT:FQL_AUDITING_CLIENT_TEMPLATE.FAT&amp;display_string=Audit&amp;VAR:KEY=WDOPWFMZIV&amp;VAR:QUERY=RkZfRU5UUlBSX1ZBTF9EQUlMWSgwNC8xNS8yMDEwLCwsLCwnRElMJykvRUNBX01FQU5fRUJJVCgyMDEyLDA0L","zE1LzIwMTAp&amp;WINDOW=FIRST_POPUP&amp;HEIGHT=450&amp;WIDTH=450&amp;START_MAXIMIZED=FALSE&amp;VAR:CALENDAR=FIVEDAY&amp;VAR:SYMBOL=MOG.A&amp;VAR:INDEX=0"}</definedName>
    <definedName name="_22__FDSAUDITLINK__" hidden="1">{"fdsup://directions/FAT Viewer?action=UPDATE&amp;creator=factset&amp;DYN_ARGS=TRUE&amp;DOC_NAME=FAT:FQL_AUDITING_CLIENT_TEMPLATE.FAT&amp;display_string=Audit&amp;VAR:KEY=XWZSHCDCHY&amp;VAR:QUERY=RkZfRU5UUlBSX1ZBTF9EQUlMWSgwNC8xOS8yMDEwLCwsLCwnRElMJykvRUNBX01FQU5fRUJJVCgyMDEyLDA0L","zE5LzIwMTAp&amp;WINDOW=FIRST_POPUP&amp;HEIGHT=450&amp;WIDTH=450&amp;START_MAXIMIZED=FALSE&amp;VAR:CALENDAR=US&amp;VAR:SYMBOL=MOG.A&amp;VAR:INDEX=0"}</definedName>
    <definedName name="_220__FDSAUDITLINK__" hidden="1">{"fdsup://directions/FAT Viewer?action=UPDATE&amp;creator=factset&amp;DYN_ARGS=TRUE&amp;DOC_NAME=FAT:FQL_AUDITING_CLIENT_TEMPLATE.FAT&amp;display_string=Audit&amp;VAR:KEY=YVYTABGPQB&amp;VAR:QUERY=RkZfRU5UUlBSX1ZBTF9EQUlMWSgwNC8xNS8yMDEwLCwsLCwnRElMJykvRUNBX01FQU5fRUJJVCgyMDExLDA0L","zE1LzIwMTAp&amp;WINDOW=FIRST_POPUP&amp;HEIGHT=450&amp;WIDTH=450&amp;START_MAXIMIZED=FALSE&amp;VAR:CALENDAR=FIVEDAY&amp;VAR:SYMBOL=MOG.A&amp;VAR:INDEX=0"}</definedName>
    <definedName name="_221__FDSAUDITLINK__" hidden="1">{"fdsup://directions/FAT Viewer?action=UPDATE&amp;creator=factset&amp;DYN_ARGS=TRUE&amp;DOC_NAME=FAT:FQL_AUDITING_CLIENT_TEMPLATE.FAT&amp;display_string=Audit&amp;VAR:KEY=YTGVWBWZGV&amp;VAR:QUERY=RkZfRU5UUlBSX1ZBTF9EQUlMWSgwNC8xNS8yMDEwLCwsLCwnRElMJykvRUNBX01FQU5fRUJJVCgyMDEwLDA0L","zE1LzIwMTAp&amp;WINDOW=FIRST_POPUP&amp;HEIGHT=450&amp;WIDTH=450&amp;START_MAXIMIZED=FALSE&amp;VAR:CALENDAR=FIVEDAY&amp;VAR:SYMBOL=MOG.A&amp;VAR:INDEX=0"}</definedName>
    <definedName name="_222__FDSAUDITLINK__" hidden="1">{"fdsup://directions/FAT Viewer?action=UPDATE&amp;creator=factset&amp;DYN_ARGS=TRUE&amp;DOC_NAME=FAT:FQL_AUDITING_CLIENT_TEMPLATE.FAT&amp;display_string=Audit&amp;VAR:KEY=KBMHWVSTAX&amp;VAR:QUERY=RkZfRU5UUlBSX1ZBTF9EQUlMWSgwNC8xNS8yMDEwLCwsLCwnRElMJykvRUNBX01FQU5fRUJJVERBKDIwMTIsM","DQvMTUvMjAxMCk=&amp;WINDOW=FIRST_POPUP&amp;HEIGHT=450&amp;WIDTH=450&amp;START_MAXIMIZED=FALSE&amp;VAR:CALENDAR=FIVEDAY&amp;VAR:SYMBOL=MOG.A&amp;VAR:INDEX=0"}</definedName>
    <definedName name="_223__FDSAUDITLINK__" hidden="1">{"fdsup://directions/FAT Viewer?action=UPDATE&amp;creator=factset&amp;DYN_ARGS=TRUE&amp;DOC_NAME=FAT:FQL_AUDITING_CLIENT_TEMPLATE.FAT&amp;display_string=Audit&amp;VAR:KEY=SFSFCBGRWD&amp;VAR:QUERY=RkZfRU5UUlBSX1ZBTF9EQUlMWSgwNC8xNS8yMDEwLCwsLCwnRElMJykvRUNBX01FQU5fRUJJVERBKDIwMTEsM","DQvMTUvMjAxMCk=&amp;WINDOW=FIRST_POPUP&amp;HEIGHT=450&amp;WIDTH=450&amp;START_MAXIMIZED=FALSE&amp;VAR:CALENDAR=FIVEDAY&amp;VAR:SYMBOL=MOG.A&amp;VAR:INDEX=0"}</definedName>
    <definedName name="_224__FDSAUDITLINK__" hidden="1">{"fdsup://directions/FAT Viewer?action=UPDATE&amp;creator=factset&amp;DYN_ARGS=TRUE&amp;DOC_NAME=FAT:FQL_AUDITING_CLIENT_TEMPLATE.FAT&amp;display_string=Audit&amp;VAR:KEY=QXELCPMFWJ&amp;VAR:QUERY=RkZfRU5UUlBSX1ZBTF9EQUlMWSgwNC8xNS8yMDEwLCwsLCwnRElMJykvRUNBX01FQU5fRUJJVERBKDIwMTAsM","DQvMTUvMjAxMCk=&amp;WINDOW=FIRST_POPUP&amp;HEIGHT=450&amp;WIDTH=450&amp;START_MAXIMIZED=FALSE&amp;VAR:CALENDAR=FIVEDAY&amp;VAR:SYMBOL=MOG.A&amp;VAR:INDEX=0"}</definedName>
    <definedName name="_225__FDSAUDITLINK__" hidden="1">{"fdsup://directions/FAT Viewer?action=UPDATE&amp;creator=factset&amp;DYN_ARGS=TRUE&amp;DOC_NAME=FAT:FQL_AUDITING_CLIENT_TEMPLATE.FAT&amp;display_string=Audit&amp;VAR:KEY=UBUBIHQXIP&amp;VAR:QUERY=RkZfRU5UUlBSX1ZBTF9EQUlMWSgwNC8xNS8yMDEwLCwsLCwnRElMJykvRUNBX01FQU5fU0FMRVMoMjAxMiwwN","C8xNS8yMDEwKQ==&amp;WINDOW=FIRST_POPUP&amp;HEIGHT=450&amp;WIDTH=450&amp;START_MAXIMIZED=FALSE&amp;VAR:CALENDAR=FIVEDAY&amp;VAR:SYMBOL=COL&amp;VAR:INDEX=0"}</definedName>
    <definedName name="_226__FDSAUDITLINK__" hidden="1">{"fdsup://directions/FAT Viewer?action=UPDATE&amp;creator=factset&amp;DYN_ARGS=TRUE&amp;DOC_NAME=FAT:FQL_AUDITING_CLIENT_TEMPLATE.FAT&amp;display_string=Audit&amp;VAR:KEY=YRAPEBELCT&amp;VAR:QUERY=RkZfRU5UUlBSX1ZBTF9EQUlMWSgwNC8xNS8yMDEwLCwsLCwnRElMJykvRUNBX01FQU5fU0FMRVMoMjAxMSwwN","C8xNS8yMDEwKQ==&amp;WINDOW=FIRST_POPUP&amp;HEIGHT=450&amp;WIDTH=450&amp;START_MAXIMIZED=FALSE&amp;VAR:CALENDAR=FIVEDAY&amp;VAR:SYMBOL=COL&amp;VAR:INDEX=0"}</definedName>
    <definedName name="_227__FDSAUDITLINK__" hidden="1">{"fdsup://directions/FAT Viewer?action=UPDATE&amp;creator=factset&amp;DYN_ARGS=TRUE&amp;DOC_NAME=FAT:FQL_AUDITING_CLIENT_TEMPLATE.FAT&amp;display_string=Audit&amp;VAR:KEY=KLANGJSPAT&amp;VAR:QUERY=RkZfRU5UUlBSX1ZBTF9EQUlMWSgwNC8xNS8yMDEwLCwsLCwnRElMJykvRUNBX01FQU5fU0FMRVMoMjAxMCwwN","C8xNS8yMDEwKQ==&amp;WINDOW=FIRST_POPUP&amp;HEIGHT=450&amp;WIDTH=450&amp;START_MAXIMIZED=FALSE&amp;VAR:CALENDAR=FIVEDAY&amp;VAR:SYMBOL=COL&amp;VAR:INDEX=0"}</definedName>
    <definedName name="_228__FDSAUDITLINK__" hidden="1">{"fdsup://directions/FAT Viewer?action=UPDATE&amp;creator=factset&amp;DYN_ARGS=TRUE&amp;DOC_NAME=FAT:FQL_AUDITING_CLIENT_TEMPLATE.FAT&amp;display_string=Audit&amp;VAR:KEY=YPSDAFGHSV&amp;VAR:QUERY=RkZfRU5UUlBSX1ZBTF9EQUlMWSgwNC8xNS8yMDEwLCwsLCwnRElMJykvRUNBX01FQU5fRUJJVCgyMDEyLDA0L","zE1LzIwMTAp&amp;WINDOW=FIRST_POPUP&amp;HEIGHT=450&amp;WIDTH=450&amp;START_MAXIMIZED=FALSE&amp;VAR:CALENDAR=FIVEDAY&amp;VAR:SYMBOL=COL&amp;VAR:INDEX=0"}</definedName>
    <definedName name="_229__FDSAUDITLINK__" hidden="1">{"fdsup://directions/FAT Viewer?action=UPDATE&amp;creator=factset&amp;DYN_ARGS=TRUE&amp;DOC_NAME=FAT:FQL_AUDITING_CLIENT_TEMPLATE.FAT&amp;display_string=Audit&amp;VAR:KEY=QXUXATUBAX&amp;VAR:QUERY=RkZfRU5UUlBSX1ZBTF9EQUlMWSgwNC8xNS8yMDEwLCwsLCwnRElMJykvRUNBX01FQU5fRUJJVCgyMDExLDA0L","zE1LzIwMTAp&amp;WINDOW=FIRST_POPUP&amp;HEIGHT=450&amp;WIDTH=450&amp;START_MAXIMIZED=FALSE&amp;VAR:CALENDAR=FIVEDAY&amp;VAR:SYMBOL=COL&amp;VAR:INDEX=0"}</definedName>
    <definedName name="_23__123Graph_Dｸﾞﾗﾌ_1" hidden="1">[2]ｾｸﾞﾒﾝﾄ!$E$167:$I$167</definedName>
    <definedName name="_23__FDSAUDITLINK__" hidden="1">{"fdsup://directions/FAT Viewer?action=UPDATE&amp;creator=factset&amp;DYN_ARGS=TRUE&amp;DOC_NAME=FAT:FQL_AUDITING_CLIENT_TEMPLATE.FAT&amp;display_string=Audit&amp;VAR:KEY=LWZADKTCBU&amp;VAR:QUERY=RkZfRU5UUlBSX1ZBTF9EQUlMWSgwNC8xOS8yMDEwLCwsLCwnRElMJykvRUNBX01FQU5fRUJJVCgyMDExLDA0L","zE5LzIwMTAp&amp;WINDOW=FIRST_POPUP&amp;HEIGHT=450&amp;WIDTH=450&amp;START_MAXIMIZED=FALSE&amp;VAR:CALENDAR=US&amp;VAR:SYMBOL=MOG.A&amp;VAR:INDEX=0"}</definedName>
    <definedName name="_230__FDSAUDITLINK__" hidden="1">{"fdsup://directions/FAT Viewer?action=UPDATE&amp;creator=factset&amp;DYN_ARGS=TRUE&amp;DOC_NAME=FAT:FQL_AUDITING_CLIENT_TEMPLATE.FAT&amp;display_string=Audit&amp;VAR:KEY=IHKBGZONMR&amp;VAR:QUERY=RkZfRU5UUlBSX1ZBTF9EQUlMWSgwNC8xNS8yMDEwLCwsLCwnRElMJykvRUNBX01FQU5fRUJJVCgyMDEwLDA0L","zE1LzIwMTAp&amp;WINDOW=FIRST_POPUP&amp;HEIGHT=450&amp;WIDTH=450&amp;START_MAXIMIZED=FALSE&amp;VAR:CALENDAR=FIVEDAY&amp;VAR:SYMBOL=COL&amp;VAR:INDEX=0"}</definedName>
    <definedName name="_231__FDSAUDITLINK__" hidden="1">{"fdsup://directions/FAT Viewer?action=UPDATE&amp;creator=factset&amp;DYN_ARGS=TRUE&amp;DOC_NAME=FAT:FQL_AUDITING_CLIENT_TEMPLATE.FAT&amp;display_string=Audit&amp;VAR:KEY=MZOXITKJOP&amp;VAR:QUERY=RkZfRU5UUlBSX1ZBTF9EQUlMWSgwNC8xNS8yMDEwLCwsLCwnRElMJykvRUNBX01FQU5fRUJJVERBKDIwMTIsM","DQvMTUvMjAxMCk=&amp;WINDOW=FIRST_POPUP&amp;HEIGHT=450&amp;WIDTH=450&amp;START_MAXIMIZED=FALSE&amp;VAR:CALENDAR=FIVEDAY&amp;VAR:SYMBOL=COL&amp;VAR:INDEX=0"}</definedName>
    <definedName name="_232__FDSAUDITLINK__" hidden="1">{"fdsup://directions/FAT Viewer?action=UPDATE&amp;creator=factset&amp;DYN_ARGS=TRUE&amp;DOC_NAME=FAT:FQL_AUDITING_CLIENT_TEMPLATE.FAT&amp;display_string=Audit&amp;VAR:KEY=ETGNQNIPUB&amp;VAR:QUERY=RkZfRU5UUlBSX1ZBTF9EQUlMWSgwNC8xNS8yMDEwLCwsLCwnRElMJykvRUNBX01FQU5fRUJJVERBKDIwMTEsM","DQvMTUvMjAxMCk=&amp;WINDOW=FIRST_POPUP&amp;HEIGHT=450&amp;WIDTH=450&amp;START_MAXIMIZED=FALSE&amp;VAR:CALENDAR=FIVEDAY&amp;VAR:SYMBOL=COL&amp;VAR:INDEX=0"}</definedName>
    <definedName name="_233__FDSAUDITLINK__" hidden="1">{"fdsup://directions/FAT Viewer?action=UPDATE&amp;creator=factset&amp;DYN_ARGS=TRUE&amp;DOC_NAME=FAT:FQL_AUDITING_CLIENT_TEMPLATE.FAT&amp;display_string=Audit&amp;VAR:KEY=UZCTKNAXST&amp;VAR:QUERY=RkZfRU5UUlBSX1ZBTF9EQUlMWSgwNC8xNS8yMDEwLCwsLCwnRElMJykvRUNBX01FQU5fRUJJVERBKDIwMTAsM","DQvMTUvMjAxMCk=&amp;WINDOW=FIRST_POPUP&amp;HEIGHT=450&amp;WIDTH=450&amp;START_MAXIMIZED=FALSE&amp;VAR:CALENDAR=FIVEDAY&amp;VAR:SYMBOL=COL&amp;VAR:INDEX=0"}</definedName>
    <definedName name="_234__FDSAUDITLINK__" hidden="1">{"fdsup://directions/FAT Viewer?action=UPDATE&amp;creator=factset&amp;DYN_ARGS=TRUE&amp;DOC_NAME=FAT:FQL_AUDITING_CLIENT_TEMPLATE.FAT&amp;display_string=Audit&amp;VAR:KEY=UVIBKRSFUL&amp;VAR:QUERY=RkZfRU5UUlBSX1ZBTF9EQUlMWSgwNC8xNS8yMDEwLCwsLCwnRElMJykvRUNBX01FQU5fU0FMRVMoMjAxMiwwN","C8xNS8yMDEwKQ==&amp;WINDOW=FIRST_POPUP&amp;HEIGHT=450&amp;WIDTH=450&amp;START_MAXIMIZED=FALSE&amp;VAR:CALENDAR=FIVEDAY&amp;VAR:SYMBOL=BEAV&amp;VAR:INDEX=0"}</definedName>
    <definedName name="_235__FDSAUDITLINK__" hidden="1">{"fdsup://directions/FAT Viewer?action=UPDATE&amp;creator=factset&amp;DYN_ARGS=TRUE&amp;DOC_NAME=FAT:FQL_AUDITING_CLIENT_TEMPLATE.FAT&amp;display_string=Audit&amp;VAR:KEY=GTQRWPEPWF&amp;VAR:QUERY=RkZfRU5UUlBSX1ZBTF9EQUlMWSgwNC8xNS8yMDEwLCwsLCwnRElMJykvRUNBX01FQU5fU0FMRVMoMjAxMSwwN","C8xNS8yMDEwKQ==&amp;WINDOW=FIRST_POPUP&amp;HEIGHT=450&amp;WIDTH=450&amp;START_MAXIMIZED=FALSE&amp;VAR:CALENDAR=FIVEDAY&amp;VAR:SYMBOL=BEAV&amp;VAR:INDEX=0"}</definedName>
    <definedName name="_236__FDSAUDITLINK__" hidden="1">{"fdsup://directions/FAT Viewer?action=UPDATE&amp;creator=factset&amp;DYN_ARGS=TRUE&amp;DOC_NAME=FAT:FQL_AUDITING_CLIENT_TEMPLATE.FAT&amp;display_string=Audit&amp;VAR:KEY=ALUHWVSJER&amp;VAR:QUERY=RkZfRU5UUlBSX1ZBTF9EQUlMWSgwNC8xNS8yMDEwLCwsLCwnRElMJykvRUNBX01FQU5fU0FMRVMoMjAxMCwwN","C8xNS8yMDEwKQ==&amp;WINDOW=FIRST_POPUP&amp;HEIGHT=450&amp;WIDTH=450&amp;START_MAXIMIZED=FALSE&amp;VAR:CALENDAR=FIVEDAY&amp;VAR:SYMBOL=BEAV&amp;VAR:INDEX=0"}</definedName>
    <definedName name="_237__FDSAUDITLINK__" hidden="1">{"fdsup://directions/FAT Viewer?action=UPDATE&amp;creator=factset&amp;DYN_ARGS=TRUE&amp;DOC_NAME=FAT:FQL_AUDITING_CLIENT_TEMPLATE.FAT&amp;display_string=Audit&amp;VAR:KEY=UTUDWRCPCF&amp;VAR:QUERY=RkZfRU5UUlBSX1ZBTF9EQUlMWSgwNC8xNS8yMDEwLCwsLCwnRElMJykvRUNBX01FQU5fRUJJVCgyMDEyLDA0L","zE1LzIwMTAp&amp;WINDOW=FIRST_POPUP&amp;HEIGHT=450&amp;WIDTH=450&amp;START_MAXIMIZED=FALSE&amp;VAR:CALENDAR=FIVEDAY&amp;VAR:SYMBOL=BEAV&amp;VAR:INDEX=0"}</definedName>
    <definedName name="_238__FDSAUDITLINK__" hidden="1">{"fdsup://directions/FAT Viewer?action=UPDATE&amp;creator=factset&amp;DYN_ARGS=TRUE&amp;DOC_NAME=FAT:FQL_AUDITING_CLIENT_TEMPLATE.FAT&amp;display_string=Audit&amp;VAR:KEY=CTETURKPYZ&amp;VAR:QUERY=RkZfRU5UUlBSX1ZBTF9EQUlMWSgwNC8xNS8yMDEwLCwsLCwnRElMJykvRUNBX01FQU5fRUJJVCgyMDExLDA0L","zE1LzIwMTAp&amp;WINDOW=FIRST_POPUP&amp;HEIGHT=450&amp;WIDTH=450&amp;START_MAXIMIZED=FALSE&amp;VAR:CALENDAR=FIVEDAY&amp;VAR:SYMBOL=BEAV&amp;VAR:INDEX=0"}</definedName>
    <definedName name="_239__FDSAUDITLINK__" hidden="1">{"fdsup://directions/FAT Viewer?action=UPDATE&amp;creator=factset&amp;DYN_ARGS=TRUE&amp;DOC_NAME=FAT:FQL_AUDITING_CLIENT_TEMPLATE.FAT&amp;display_string=Audit&amp;VAR:KEY=MHAHGFMJAT&amp;VAR:QUERY=RkZfRU5UUlBSX1ZBTF9EQUlMWSgwNC8xNS8yMDEwLCwsLCwnRElMJykvRUNBX01FQU5fRUJJVCgyMDEwLDA0L","zE1LzIwMTAp&amp;WINDOW=FIRST_POPUP&amp;HEIGHT=450&amp;WIDTH=450&amp;START_MAXIMIZED=FALSE&amp;VAR:CALENDAR=FIVEDAY&amp;VAR:SYMBOL=BEAV&amp;VAR:INDEX=0"}</definedName>
    <definedName name="_24__FDSAUDITLINK__" hidden="1">{"fdsup://directions/FAT Viewer?action=UPDATE&amp;creator=factset&amp;DYN_ARGS=TRUE&amp;DOC_NAME=FAT:FQL_AUDITING_CLIENT_TEMPLATE.FAT&amp;display_string=Audit&amp;VAR:KEY=BKJYVAVSDM&amp;VAR:QUERY=RkZfRU5UUlBSX1ZBTF9EQUlMWSgwNC8xOS8yMDEwLCwsLCwnRElMJykvRUNBX01FQU5fRUJJVCgyMDEwLDA0L","zE5LzIwMTAp&amp;WINDOW=FIRST_POPUP&amp;HEIGHT=450&amp;WIDTH=450&amp;START_MAXIMIZED=FALSE&amp;VAR:CALENDAR=US&amp;VAR:SYMBOL=MOG.A&amp;VAR:INDEX=0"}</definedName>
    <definedName name="_240__FDSAUDITLINK__" hidden="1">{"fdsup://directions/FAT Viewer?action=UPDATE&amp;creator=factset&amp;DYN_ARGS=TRUE&amp;DOC_NAME=FAT:FQL_AUDITING_CLIENT_TEMPLATE.FAT&amp;display_string=Audit&amp;VAR:KEY=MDOBUVOVAH&amp;VAR:QUERY=RkZfRU5UUlBSX1ZBTF9EQUlMWSgwNC8xNS8yMDEwLCwsLCwnRElMJykvRUNBX01FQU5fRUJJVERBKDIwMTIsM","DQvMTUvMjAxMCk=&amp;WINDOW=FIRST_POPUP&amp;HEIGHT=450&amp;WIDTH=450&amp;START_MAXIMIZED=FALSE&amp;VAR:CALENDAR=FIVEDAY&amp;VAR:SYMBOL=BEAV&amp;VAR:INDEX=0"}</definedName>
    <definedName name="_241__FDSAUDITLINK__" hidden="1">{"fdsup://directions/FAT Viewer?action=UPDATE&amp;creator=factset&amp;DYN_ARGS=TRUE&amp;DOC_NAME=FAT:FQL_AUDITING_CLIENT_TEMPLATE.FAT&amp;display_string=Audit&amp;VAR:KEY=OLCFCPGXUL&amp;VAR:QUERY=RkZfRU5UUlBSX1ZBTF9EQUlMWSgwNC8xNS8yMDEwLCwsLCwnRElMJykvRUNBX01FQU5fRUJJVERBKDIwMTEsM","DQvMTUvMjAxMCk=&amp;WINDOW=FIRST_POPUP&amp;HEIGHT=450&amp;WIDTH=450&amp;START_MAXIMIZED=FALSE&amp;VAR:CALENDAR=FIVEDAY&amp;VAR:SYMBOL=BEAV&amp;VAR:INDEX=0"}</definedName>
    <definedName name="_242__FDSAUDITLINK__" hidden="1">{"fdsup://directions/FAT Viewer?action=UPDATE&amp;creator=factset&amp;DYN_ARGS=TRUE&amp;DOC_NAME=FAT:FQL_AUDITING_CLIENT_TEMPLATE.FAT&amp;display_string=Audit&amp;VAR:KEY=CHMZWLUFMN&amp;VAR:QUERY=RkZfRU5UUlBSX1ZBTF9EQUlMWSgwNC8xNS8yMDEwLCwsLCwnRElMJykvRUNBX01FQU5fRUJJVERBKDIwMTAsM","DQvMTUvMjAxMCk=&amp;WINDOW=FIRST_POPUP&amp;HEIGHT=450&amp;WIDTH=450&amp;START_MAXIMIZED=FALSE&amp;VAR:CALENDAR=FIVEDAY&amp;VAR:SYMBOL=BEAV&amp;VAR:INDEX=0"}</definedName>
    <definedName name="_243__FDSAUDITLINK__" hidden="1">{"fdsup://directions/FAT Viewer?action=UPDATE&amp;creator=factset&amp;DYN_ARGS=TRUE&amp;DOC_NAME=FAT:FQL_AUDITING_CLIENT_TEMPLATE.FAT&amp;display_string=Audit&amp;VAR:KEY=WXCNOTILIB&amp;VAR:QUERY=RkZfRU5UUlBSX1ZBTF9EQUlMWSgwNC8xNi8yMDEwLCwsLCwnRElMJykvRUNBX01FQU5fU0FMRVMoMjAxMiwwN","C8xNi8yMDEwKQ==&amp;WINDOW=FIRST_POPUP&amp;HEIGHT=450&amp;WIDTH=450&amp;START_MAXIMIZED=FALSE&amp;VAR:CALENDAR=FIVEDAY&amp;VAR:SYMBOL=057580&amp;VAR:INDEX=0"}</definedName>
    <definedName name="_244__FDSAUDITLINK__" hidden="1">{"fdsup://directions/FAT Viewer?action=UPDATE&amp;creator=factset&amp;DYN_ARGS=TRUE&amp;DOC_NAME=FAT:FQL_AUDITING_CLIENT_TEMPLATE.FAT&amp;display_string=Audit&amp;VAR:KEY=ELCZMPQJEP&amp;VAR:QUERY=RkZfRU5UUlBSX1ZBTF9EQUlMWSgwNC8xNi8yMDEwLCwsLCwnRElMJykvRUNBX01FQU5fU0FMRVMoMjAxMSwwN","C8xNi8yMDEwKQ==&amp;WINDOW=FIRST_POPUP&amp;HEIGHT=450&amp;WIDTH=450&amp;START_MAXIMIZED=FALSE&amp;VAR:CALENDAR=FIVEDAY&amp;VAR:SYMBOL=057580&amp;VAR:INDEX=0"}</definedName>
    <definedName name="_245__FDSAUDITLINK__" hidden="1">{"fdsup://directions/FAT Viewer?action=UPDATE&amp;creator=factset&amp;DYN_ARGS=TRUE&amp;DOC_NAME=FAT:FQL_AUDITING_CLIENT_TEMPLATE.FAT&amp;display_string=Audit&amp;VAR:KEY=EDWXWJWDSJ&amp;VAR:QUERY=RkZfRU5UUlBSX1ZBTF9EQUlMWSgwNC8xNi8yMDEwLCwsLCwnRElMJykvRUNBX01FQU5fU0FMRVMoMjAxMCwwN","C8xNi8yMDEwKQ==&amp;WINDOW=FIRST_POPUP&amp;HEIGHT=450&amp;WIDTH=450&amp;START_MAXIMIZED=FALSE&amp;VAR:CALENDAR=FIVEDAY&amp;VAR:SYMBOL=057580&amp;VAR:INDEX=0"}</definedName>
    <definedName name="_246__FDSAUDITLINK__" hidden="1">{"fdsup://directions/FAT Viewer?action=UPDATE&amp;creator=factset&amp;DYN_ARGS=TRUE&amp;DOC_NAME=FAT:FQL_AUDITING_CLIENT_TEMPLATE.FAT&amp;display_string=Audit&amp;VAR:KEY=SDERCRWJAV&amp;VAR:QUERY=RkZfRU5UUlBSX1ZBTF9EQUlMWSgwNC8xNi8yMDEwLCwsLCwnRElMJykvRUNBX01FQU5fRUJJVCgyMDEyLDA0L","zE2LzIwMTAp&amp;WINDOW=FIRST_POPUP&amp;HEIGHT=450&amp;WIDTH=450&amp;START_MAXIMIZED=FALSE&amp;VAR:CALENDAR=FIVEDAY&amp;VAR:SYMBOL=057580&amp;VAR:INDEX=0"}</definedName>
    <definedName name="_247__FDSAUDITLINK__" hidden="1">{"fdsup://directions/FAT Viewer?action=UPDATE&amp;creator=factset&amp;DYN_ARGS=TRUE&amp;DOC_NAME=FAT:FQL_AUDITING_CLIENT_TEMPLATE.FAT&amp;display_string=Audit&amp;VAR:KEY=IRSNKDCDSV&amp;VAR:QUERY=RkZfRU5UUlBSX1ZBTF9EQUlMWSgwNC8xNi8yMDEwLCwsLCwnRElMJykvRUNBX01FQU5fRUJJVCgyMDExLDA0L","zE2LzIwMTAp&amp;WINDOW=FIRST_POPUP&amp;HEIGHT=450&amp;WIDTH=450&amp;START_MAXIMIZED=FALSE&amp;VAR:CALENDAR=FIVEDAY&amp;VAR:SYMBOL=057580&amp;VAR:INDEX=0"}</definedName>
    <definedName name="_248__FDSAUDITLINK__" hidden="1">{"fdsup://directions/FAT Viewer?action=UPDATE&amp;creator=factset&amp;DYN_ARGS=TRUE&amp;DOC_NAME=FAT:FQL_AUDITING_CLIENT_TEMPLATE.FAT&amp;display_string=Audit&amp;VAR:KEY=UNYTKVMJMX&amp;VAR:QUERY=RkZfRU5UUlBSX1ZBTF9EQUlMWSgwNC8xNi8yMDEwLCwsLCwnRElMJykvRUNBX01FQU5fRUJJVCgyMDEwLDA0L","zE2LzIwMTAp&amp;WINDOW=FIRST_POPUP&amp;HEIGHT=450&amp;WIDTH=450&amp;START_MAXIMIZED=FALSE&amp;VAR:CALENDAR=FIVEDAY&amp;VAR:SYMBOL=057580&amp;VAR:INDEX=0"}</definedName>
    <definedName name="_249__FDSAUDITLINK__" hidden="1">{"fdsup://directions/FAT Viewer?action=UPDATE&amp;creator=factset&amp;DYN_ARGS=TRUE&amp;DOC_NAME=FAT:FQL_AUDITING_CLIENT_TEMPLATE.FAT&amp;display_string=Audit&amp;VAR:KEY=WNUBIPOVIP&amp;VAR:QUERY=RkZfRU5UUlBSX1ZBTF9EQUlMWSgwNC8xNi8yMDEwLCwsLCwnRElMJykvRUNBX01FQU5fRUJJVERBKDIwMTIsM","DQvMTYvMjAxMCk=&amp;WINDOW=FIRST_POPUP&amp;HEIGHT=450&amp;WIDTH=450&amp;START_MAXIMIZED=FALSE&amp;VAR:CALENDAR=FIVEDAY&amp;VAR:SYMBOL=057580&amp;VAR:INDEX=0"}</definedName>
    <definedName name="_25__FDSAUDITLINK__" hidden="1">{"fdsup://directions/FAT Viewer?action=UPDATE&amp;creator=factset&amp;DYN_ARGS=TRUE&amp;DOC_NAME=FAT:FQL_AUDITING_CLIENT_TEMPLATE.FAT&amp;display_string=Audit&amp;VAR:KEY=ROHMNYVGJU&amp;VAR:QUERY=RkZfRU5UUlBSX1ZBTF9EQUlMWSgwNC8xOS8yMDEwLCwsLCwnRElMJykvRUNBX01FQU5fRUJJVERBKDIwMTIsM","DQvMTkvMjAxMCk=&amp;WINDOW=FIRST_POPUP&amp;HEIGHT=450&amp;WIDTH=450&amp;START_MAXIMIZED=FALSE&amp;VAR:CALENDAR=US&amp;VAR:SYMBOL=MOG.A&amp;VAR:INDEX=0"}</definedName>
    <definedName name="_250__FDSAUDITLINK__" hidden="1">{"fdsup://directions/FAT Viewer?action=UPDATE&amp;creator=factset&amp;DYN_ARGS=TRUE&amp;DOC_NAME=FAT:FQL_AUDITING_CLIENT_TEMPLATE.FAT&amp;display_string=Audit&amp;VAR:KEY=MVGREVQRKT&amp;VAR:QUERY=RkZfRU5UUlBSX1ZBTF9EQUlMWSgwNC8xNi8yMDEwLCwsLCwnRElMJykvRUNBX01FQU5fRUJJVERBKDIwMTEsM","DQvMTYvMjAxMCk=&amp;WINDOW=FIRST_POPUP&amp;HEIGHT=450&amp;WIDTH=450&amp;START_MAXIMIZED=FALSE&amp;VAR:CALENDAR=FIVEDAY&amp;VAR:SYMBOL=057580&amp;VAR:INDEX=0"}</definedName>
    <definedName name="_251__FDSAUDITLINK__" hidden="1">{"fdsup://directions/FAT Viewer?action=UPDATE&amp;creator=factset&amp;DYN_ARGS=TRUE&amp;DOC_NAME=FAT:FQL_AUDITING_CLIENT_TEMPLATE.FAT&amp;display_string=Audit&amp;VAR:KEY=KXEDOBKROB&amp;VAR:QUERY=RkZfRU5UUlBSX1ZBTF9EQUlMWSgwNC8xNi8yMDEwLCwsLCwnRElMJykvRUNBX01FQU5fRUJJVERBKDIwMTAsM","DQvMTYvMjAxMCk=&amp;WINDOW=FIRST_POPUP&amp;HEIGHT=450&amp;WIDTH=450&amp;START_MAXIMIZED=FALSE&amp;VAR:CALENDAR=FIVEDAY&amp;VAR:SYMBOL=057580&amp;VAR:INDEX=0"}</definedName>
    <definedName name="_252__FDSAUDITLINK__" hidden="1">{"fdsup://directions/FAT Viewer?action=UPDATE&amp;creator=factset&amp;DYN_ARGS=TRUE&amp;DOC_NAME=FAT:FQL_AUDITING_CLIENT_TEMPLATE.FAT&amp;display_string=Audit&amp;VAR:KEY=SFMFQTIPWX&amp;VAR:QUERY=RkZfRU5UUlBSX1ZBTF9EQUlMWSgwNC8xNi8yMDEwLCwsLCwnRElMJykvRUNBX01FQU5fU0FMRVMoMjAxMiwwN","C8xNi8yMDEwKQ==&amp;WINDOW=FIRST_POPUP&amp;HEIGHT=450&amp;WIDTH=450&amp;START_MAXIMIZED=FALSE&amp;VAR:CALENDAR=FIVEDAY&amp;VAR:SYMBOL=PCP&amp;VAR:INDEX=0"}</definedName>
    <definedName name="_253__FDSAUDITLINK__" hidden="1">{"fdsup://directions/FAT Viewer?action=UPDATE&amp;creator=factset&amp;DYN_ARGS=TRUE&amp;DOC_NAME=FAT:FQL_AUDITING_CLIENT_TEMPLATE.FAT&amp;display_string=Audit&amp;VAR:KEY=MVALONQRGZ&amp;VAR:QUERY=RkZfRU5UUlBSX1ZBTF9EQUlMWSgwNC8xNi8yMDEwLCwsLCwnRElMJykvRUNBX01FQU5fU0FMRVMoMjAxMSwwN","C8xNi8yMDEwKQ==&amp;WINDOW=FIRST_POPUP&amp;HEIGHT=450&amp;WIDTH=450&amp;START_MAXIMIZED=FALSE&amp;VAR:CALENDAR=FIVEDAY&amp;VAR:SYMBOL=PCP&amp;VAR:INDEX=0"}</definedName>
    <definedName name="_254__FDSAUDITLINK__" hidden="1">{"fdsup://directions/FAT Viewer?action=UPDATE&amp;creator=factset&amp;DYN_ARGS=TRUE&amp;DOC_NAME=FAT:FQL_AUDITING_CLIENT_TEMPLATE.FAT&amp;display_string=Audit&amp;VAR:KEY=UJCFEHYRAT&amp;VAR:QUERY=RkZfRU5UUlBSX1ZBTF9EQUlMWSgwNC8xNi8yMDEwLCwsLCwnRElMJykvRUNBX01FQU5fU0FMRVMoMjAxMCwwN","C8xNi8yMDEwKQ==&amp;WINDOW=FIRST_POPUP&amp;HEIGHT=450&amp;WIDTH=450&amp;START_MAXIMIZED=FALSE&amp;VAR:CALENDAR=FIVEDAY&amp;VAR:SYMBOL=PCP&amp;VAR:INDEX=0"}</definedName>
    <definedName name="_255__FDSAUDITLINK__" hidden="1">{"fdsup://directions/FAT Viewer?action=UPDATE&amp;creator=factset&amp;DYN_ARGS=TRUE&amp;DOC_NAME=FAT:FQL_AUDITING_CLIENT_TEMPLATE.FAT&amp;display_string=Audit&amp;VAR:KEY=EVWZSBSVWP&amp;VAR:QUERY=RkZfRU5UUlBSX1ZBTF9EQUlMWSgwNC8xNi8yMDEwLCwsLCwnRElMJykvRUNBX01FQU5fRUJJVCgyMDEyLDA0L","zE2LzIwMTAp&amp;WINDOW=FIRST_POPUP&amp;HEIGHT=450&amp;WIDTH=450&amp;START_MAXIMIZED=FALSE&amp;VAR:CALENDAR=FIVEDAY&amp;VAR:SYMBOL=PCP&amp;VAR:INDEX=0"}</definedName>
    <definedName name="_256__FDSAUDITLINK__" hidden="1">{"fdsup://directions/FAT Viewer?action=UPDATE&amp;creator=factset&amp;DYN_ARGS=TRUE&amp;DOC_NAME=FAT:FQL_AUDITING_CLIENT_TEMPLATE.FAT&amp;display_string=Audit&amp;VAR:KEY=YLCFYBMPQH&amp;VAR:QUERY=RkZfRU5UUlBSX1ZBTF9EQUlMWSgwNC8xNi8yMDEwLCwsLCwnRElMJykvRUNBX01FQU5fRUJJVCgyMDExLDA0L","zE2LzIwMTAp&amp;WINDOW=FIRST_POPUP&amp;HEIGHT=450&amp;WIDTH=450&amp;START_MAXIMIZED=FALSE&amp;VAR:CALENDAR=FIVEDAY&amp;VAR:SYMBOL=PCP&amp;VAR:INDEX=0"}</definedName>
    <definedName name="_257__FDSAUDITLINK__" hidden="1">{"fdsup://directions/FAT Viewer?action=UPDATE&amp;creator=factset&amp;DYN_ARGS=TRUE&amp;DOC_NAME=FAT:FQL_AUDITING_CLIENT_TEMPLATE.FAT&amp;display_string=Audit&amp;VAR:KEY=ILWNAVSRYH&amp;VAR:QUERY=RkZfRU5UUlBSX1ZBTF9EQUlMWSgwNC8xNi8yMDEwLCwsLCwnRElMJykvRUNBX01FQU5fRUJJVCgyMDEwLDA0L","zE2LzIwMTAp&amp;WINDOW=FIRST_POPUP&amp;HEIGHT=450&amp;WIDTH=450&amp;START_MAXIMIZED=FALSE&amp;VAR:CALENDAR=FIVEDAY&amp;VAR:SYMBOL=PCP&amp;VAR:INDEX=0"}</definedName>
    <definedName name="_258__FDSAUDITLINK__" hidden="1">{"fdsup://directions/FAT Viewer?action=UPDATE&amp;creator=factset&amp;DYN_ARGS=TRUE&amp;DOC_NAME=FAT:FQL_AUDITING_CLIENT_TEMPLATE.FAT&amp;display_string=Audit&amp;VAR:KEY=EPQXWZSPSZ&amp;VAR:QUERY=RkZfRU5UUlBSX1ZBTF9EQUlMWSgwNC8xNi8yMDEwLCwsLCwnRElMJykvRUNBX01FQU5fRUJJVERBKDIwMTIsM","DQvMTYvMjAxMCk=&amp;WINDOW=FIRST_POPUP&amp;HEIGHT=450&amp;WIDTH=450&amp;START_MAXIMIZED=FALSE&amp;VAR:CALENDAR=FIVEDAY&amp;VAR:SYMBOL=PCP&amp;VAR:INDEX=0"}</definedName>
    <definedName name="_259__FDSAUDITLINK__" hidden="1">{"fdsup://directions/FAT Viewer?action=UPDATE&amp;creator=factset&amp;DYN_ARGS=TRUE&amp;DOC_NAME=FAT:FQL_AUDITING_CLIENT_TEMPLATE.FAT&amp;display_string=Audit&amp;VAR:KEY=QNUVMVCTEH&amp;VAR:QUERY=RkZfRU5UUlBSX1ZBTF9EQUlMWSgwNC8xNi8yMDEwLCwsLCwnRElMJykvRUNBX01FQU5fRUJJVERBKDIwMTEsM","DQvMTYvMjAxMCk=&amp;WINDOW=FIRST_POPUP&amp;HEIGHT=450&amp;WIDTH=450&amp;START_MAXIMIZED=FALSE&amp;VAR:CALENDAR=FIVEDAY&amp;VAR:SYMBOL=PCP&amp;VAR:INDEX=0"}</definedName>
    <definedName name="_26__FDSAUDITLINK__" hidden="1">{"fdsup://directions/FAT Viewer?action=UPDATE&amp;creator=factset&amp;DYN_ARGS=TRUE&amp;DOC_NAME=FAT:FQL_AUDITING_CLIENT_TEMPLATE.FAT&amp;display_string=Audit&amp;VAR:KEY=NMDMVWJIZW&amp;VAR:QUERY=RkZfRU5UUlBSX1ZBTF9EQUlMWSgwNC8xOS8yMDEwLCwsLCwnRElMJykvRUNBX01FQU5fRUJJVERBKDIwMTEsM","DQvMTkvMjAxMCk=&amp;WINDOW=FIRST_POPUP&amp;HEIGHT=450&amp;WIDTH=450&amp;START_MAXIMIZED=FALSE&amp;VAR:CALENDAR=US&amp;VAR:SYMBOL=MOG.A&amp;VAR:INDEX=0"}</definedName>
    <definedName name="_260__FDSAUDITLINK__" hidden="1">{"fdsup://directions/FAT Viewer?action=UPDATE&amp;creator=factset&amp;DYN_ARGS=TRUE&amp;DOC_NAME=FAT:FQL_AUDITING_CLIENT_TEMPLATE.FAT&amp;display_string=Audit&amp;VAR:KEY=KFEXYLSNGD&amp;VAR:QUERY=RkZfRU5UUlBSX1ZBTF9EQUlMWSgwNC8xNi8yMDEwLCwsLCwnRElMJykvRUNBX01FQU5fRUJJVERBKDIwMTAsM","DQvMTYvMjAxMCk=&amp;WINDOW=FIRST_POPUP&amp;HEIGHT=450&amp;WIDTH=450&amp;START_MAXIMIZED=FALSE&amp;VAR:CALENDAR=FIVEDAY&amp;VAR:SYMBOL=PCP&amp;VAR:INDEX=0"}</definedName>
    <definedName name="_261__FDSAUDITLINK__" hidden="1">{"fdsup://directions/FAT Viewer?action=UPDATE&amp;creator=factset&amp;DYN_ARGS=TRUE&amp;DOC_NAME=FAT:FQL_AUDITING_CLIENT_TEMPLATE.FAT&amp;display_string=Audit&amp;VAR:KEY=GHEHUDOBSJ&amp;VAR:QUERY=RkZfRU5UUlBSX1ZBTF9EQUlMWSgwNC8xNi8yMDEwLCwsLCwnRElMJykvRUNBX01FQU5fU0FMRVMoMjAxMiwwN","C8xNi8yMDEwKQ==&amp;WINDOW=FIRST_POPUP&amp;HEIGHT=450&amp;WIDTH=450&amp;START_MAXIMIZED=FALSE&amp;VAR:CALENDAR=FIVEDAY&amp;VAR:SYMBOL=MOG.A&amp;VAR:INDEX=0"}</definedName>
    <definedName name="_262__FDSAUDITLINK__" hidden="1">{"fdsup://directions/FAT Viewer?action=UPDATE&amp;creator=factset&amp;DYN_ARGS=TRUE&amp;DOC_NAME=FAT:FQL_AUDITING_CLIENT_TEMPLATE.FAT&amp;display_string=Audit&amp;VAR:KEY=CPYLKZMJWP&amp;VAR:QUERY=RkZfRU5UUlBSX1ZBTF9EQUlMWSgwNC8xNi8yMDEwLCwsLCwnRElMJykvRUNBX01FQU5fU0FMRVMoMjAxMSwwN","C8xNi8yMDEwKQ==&amp;WINDOW=FIRST_POPUP&amp;HEIGHT=450&amp;WIDTH=450&amp;START_MAXIMIZED=FALSE&amp;VAR:CALENDAR=FIVEDAY&amp;VAR:SYMBOL=MOG.A&amp;VAR:INDEX=0"}</definedName>
    <definedName name="_263__FDSAUDITLINK__" hidden="1">{"fdsup://directions/FAT Viewer?action=UPDATE&amp;creator=factset&amp;DYN_ARGS=TRUE&amp;DOC_NAME=FAT:FQL_AUDITING_CLIENT_TEMPLATE.FAT&amp;display_string=Audit&amp;VAR:KEY=YLGDKRAJCX&amp;VAR:QUERY=RkZfRU5UUlBSX1ZBTF9EQUlMWSgwNC8xNi8yMDEwLCwsLCwnRElMJykvRUNBX01FQU5fU0FMRVMoMjAxMCwwN","C8xNi8yMDEwKQ==&amp;WINDOW=FIRST_POPUP&amp;HEIGHT=450&amp;WIDTH=450&amp;START_MAXIMIZED=FALSE&amp;VAR:CALENDAR=FIVEDAY&amp;VAR:SYMBOL=MOG.A&amp;VAR:INDEX=0"}</definedName>
    <definedName name="_264__FDSAUDITLINK__" hidden="1">{"fdsup://directions/FAT Viewer?action=UPDATE&amp;creator=factset&amp;DYN_ARGS=TRUE&amp;DOC_NAME=FAT:FQL_AUDITING_CLIENT_TEMPLATE.FAT&amp;display_string=Audit&amp;VAR:KEY=QDALWPOXEF&amp;VAR:QUERY=RkZfRU5UUlBSX1ZBTF9EQUlMWSgwNC8xNi8yMDEwLCwsLCwnRElMJykvRUNBX01FQU5fRUJJVCgyMDEyLDA0L","zE2LzIwMTAp&amp;WINDOW=FIRST_POPUP&amp;HEIGHT=450&amp;WIDTH=450&amp;START_MAXIMIZED=FALSE&amp;VAR:CALENDAR=FIVEDAY&amp;VAR:SYMBOL=MOG.A&amp;VAR:INDEX=0"}</definedName>
    <definedName name="_265__FDSAUDITLINK__" hidden="1">{"fdsup://directions/FAT Viewer?action=UPDATE&amp;creator=factset&amp;DYN_ARGS=TRUE&amp;DOC_NAME=FAT:FQL_AUDITING_CLIENT_TEMPLATE.FAT&amp;display_string=Audit&amp;VAR:KEY=KFGTEZYZCR&amp;VAR:QUERY=RkZfRU5UUlBSX1ZBTF9EQUlMWSgwNC8xNi8yMDEwLCwsLCwnRElMJykvRUNBX01FQU5fRUJJVCgyMDExLDA0L","zE2LzIwMTAp&amp;WINDOW=FIRST_POPUP&amp;HEIGHT=450&amp;WIDTH=450&amp;START_MAXIMIZED=FALSE&amp;VAR:CALENDAR=FIVEDAY&amp;VAR:SYMBOL=MOG.A&amp;VAR:INDEX=0"}</definedName>
    <definedName name="_266__FDSAUDITLINK__" hidden="1">{"fdsup://directions/FAT Viewer?action=UPDATE&amp;creator=factset&amp;DYN_ARGS=TRUE&amp;DOC_NAME=FAT:FQL_AUDITING_CLIENT_TEMPLATE.FAT&amp;display_string=Audit&amp;VAR:KEY=GHCFGPIDYH&amp;VAR:QUERY=RkZfRU5UUlBSX1ZBTF9EQUlMWSgwNC8xNi8yMDEwLCwsLCwnRElMJykvRUNBX01FQU5fRUJJVCgyMDEwLDA0L","zE2LzIwMTAp&amp;WINDOW=FIRST_POPUP&amp;HEIGHT=450&amp;WIDTH=450&amp;START_MAXIMIZED=FALSE&amp;VAR:CALENDAR=FIVEDAY&amp;VAR:SYMBOL=MOG.A&amp;VAR:INDEX=0"}</definedName>
    <definedName name="_267__FDSAUDITLINK__" hidden="1">{"fdsup://directions/FAT Viewer?action=UPDATE&amp;creator=factset&amp;DYN_ARGS=TRUE&amp;DOC_NAME=FAT:FQL_AUDITING_CLIENT_TEMPLATE.FAT&amp;display_string=Audit&amp;VAR:KEY=WHUBGRMBGH&amp;VAR:QUERY=RkZfRU5UUlBSX1ZBTF9EQUlMWSgwNC8xNi8yMDEwLCwsLCwnRElMJykvRUNBX01FQU5fRUJJVERBKDIwMTIsM","DQvMTYvMjAxMCk=&amp;WINDOW=FIRST_POPUP&amp;HEIGHT=450&amp;WIDTH=450&amp;START_MAXIMIZED=FALSE&amp;VAR:CALENDAR=FIVEDAY&amp;VAR:SYMBOL=MOG.A&amp;VAR:INDEX=0"}</definedName>
    <definedName name="_268__FDSAUDITLINK__" hidden="1">{"fdsup://directions/FAT Viewer?action=UPDATE&amp;creator=factset&amp;DYN_ARGS=TRUE&amp;DOC_NAME=FAT:FQL_AUDITING_CLIENT_TEMPLATE.FAT&amp;display_string=Audit&amp;VAR:KEY=ABCVQDMVUZ&amp;VAR:QUERY=RkZfRU5UUlBSX1ZBTF9EQUlMWSgwNC8xNi8yMDEwLCwsLCwnRElMJykvRUNBX01FQU5fRUJJVERBKDIwMTEsM","DQvMTYvMjAxMCk=&amp;WINDOW=FIRST_POPUP&amp;HEIGHT=450&amp;WIDTH=450&amp;START_MAXIMIZED=FALSE&amp;VAR:CALENDAR=FIVEDAY&amp;VAR:SYMBOL=MOG.A&amp;VAR:INDEX=0"}</definedName>
    <definedName name="_269__FDSAUDITLINK__" hidden="1">{"fdsup://directions/FAT Viewer?action=UPDATE&amp;creator=factset&amp;DYN_ARGS=TRUE&amp;DOC_NAME=FAT:FQL_AUDITING_CLIENT_TEMPLATE.FAT&amp;display_string=Audit&amp;VAR:KEY=UNGLGXAFWZ&amp;VAR:QUERY=RkZfRU5UUlBSX1ZBTF9EQUlMWSgwNC8xNi8yMDEwLCwsLCwnRElMJykvRUNBX01FQU5fRUJJVERBKDIwMTAsM","DQvMTYvMjAxMCk=&amp;WINDOW=FIRST_POPUP&amp;HEIGHT=450&amp;WIDTH=450&amp;START_MAXIMIZED=FALSE&amp;VAR:CALENDAR=FIVEDAY&amp;VAR:SYMBOL=MOG.A&amp;VAR:INDEX=0"}</definedName>
    <definedName name="_27__FDSAUDITLINK__" hidden="1">{"fdsup://directions/FAT Viewer?action=UPDATE&amp;creator=factset&amp;DYN_ARGS=TRUE&amp;DOC_NAME=FAT:FQL_AUDITING_CLIENT_TEMPLATE.FAT&amp;display_string=Audit&amp;VAR:KEY=LUNURKBUZI&amp;VAR:QUERY=RkZfRU5UUlBSX1ZBTF9EQUlMWSgwNC8xOS8yMDEwLCwsLCwnRElMJykvRUNBX01FQU5fRUJJVERBKDIwMTAsM","DQvMTkvMjAxMCk=&amp;WINDOW=FIRST_POPUP&amp;HEIGHT=450&amp;WIDTH=450&amp;START_MAXIMIZED=FALSE&amp;VAR:CALENDAR=US&amp;VAR:SYMBOL=MOG.A&amp;VAR:INDEX=0"}</definedName>
    <definedName name="_270__FDSAUDITLINK__" hidden="1">{"fdsup://directions/FAT Viewer?action=UPDATE&amp;creator=factset&amp;DYN_ARGS=TRUE&amp;DOC_NAME=FAT:FQL_AUDITING_CLIENT_TEMPLATE.FAT&amp;display_string=Audit&amp;VAR:KEY=UZYJCPGLIR&amp;VAR:QUERY=RkZfRU5UUlBSX1ZBTF9EQUlMWSgwNC8xNi8yMDEwLCwsLCwnRElMJykvRUNBX01FQU5fU0FMRVMoMjAxMiwwN","C8xNi8yMDEwKQ==&amp;WINDOW=FIRST_POPUP&amp;HEIGHT=450&amp;WIDTH=450&amp;START_MAXIMIZED=FALSE&amp;VAR:CALENDAR=FIVEDAY&amp;VAR:SYMBOL=COL&amp;VAR:INDEX=0"}</definedName>
    <definedName name="_271__FDSAUDITLINK__" hidden="1">{"fdsup://directions/FAT Viewer?action=UPDATE&amp;creator=factset&amp;DYN_ARGS=TRUE&amp;DOC_NAME=FAT:FQL_AUDITING_CLIENT_TEMPLATE.FAT&amp;display_string=Audit&amp;VAR:KEY=YHYDYDIBMZ&amp;VAR:QUERY=RkZfRU5UUlBSX1ZBTF9EQUlMWSgwNC8xNi8yMDEwLCwsLCwnRElMJykvRUNBX01FQU5fU0FMRVMoMjAxMSwwN","C8xNi8yMDEwKQ==&amp;WINDOW=FIRST_POPUP&amp;HEIGHT=450&amp;WIDTH=450&amp;START_MAXIMIZED=FALSE&amp;VAR:CALENDAR=FIVEDAY&amp;VAR:SYMBOL=COL&amp;VAR:INDEX=0"}</definedName>
    <definedName name="_272__FDSAUDITLINK__" hidden="1">{"fdsup://directions/FAT Viewer?action=UPDATE&amp;creator=factset&amp;DYN_ARGS=TRUE&amp;DOC_NAME=FAT:FQL_AUDITING_CLIENT_TEMPLATE.FAT&amp;display_string=Audit&amp;VAR:KEY=ERGJYPONUZ&amp;VAR:QUERY=RkZfRU5UUlBSX1ZBTF9EQUlMWSgwNC8xNi8yMDEwLCwsLCwnRElMJykvRUNBX01FQU5fU0FMRVMoMjAxMCwwN","C8xNi8yMDEwKQ==&amp;WINDOW=FIRST_POPUP&amp;HEIGHT=450&amp;WIDTH=450&amp;START_MAXIMIZED=FALSE&amp;VAR:CALENDAR=FIVEDAY&amp;VAR:SYMBOL=COL&amp;VAR:INDEX=0"}</definedName>
    <definedName name="_273__FDSAUDITLINK__" hidden="1">{"fdsup://directions/FAT Viewer?action=UPDATE&amp;creator=factset&amp;DYN_ARGS=TRUE&amp;DOC_NAME=FAT:FQL_AUDITING_CLIENT_TEMPLATE.FAT&amp;display_string=Audit&amp;VAR:KEY=ETKZQTQXUZ&amp;VAR:QUERY=RkZfRU5UUlBSX1ZBTF9EQUlMWSgwNC8xNi8yMDEwLCwsLCwnRElMJykvRUNBX01FQU5fRUJJVCgyMDEyLDA0L","zE2LzIwMTAp&amp;WINDOW=FIRST_POPUP&amp;HEIGHT=450&amp;WIDTH=450&amp;START_MAXIMIZED=FALSE&amp;VAR:CALENDAR=FIVEDAY&amp;VAR:SYMBOL=COL&amp;VAR:INDEX=0"}</definedName>
    <definedName name="_274__FDSAUDITLINK__" hidden="1">{"fdsup://directions/FAT Viewer?action=UPDATE&amp;creator=factset&amp;DYN_ARGS=TRUE&amp;DOC_NAME=FAT:FQL_AUDITING_CLIENT_TEMPLATE.FAT&amp;display_string=Audit&amp;VAR:KEY=MTGZEJSVOP&amp;VAR:QUERY=RkZfRU5UUlBSX1ZBTF9EQUlMWSgwNC8xNi8yMDEwLCwsLCwnRElMJykvRUNBX01FQU5fRUJJVCgyMDExLDA0L","zE2LzIwMTAp&amp;WINDOW=FIRST_POPUP&amp;HEIGHT=450&amp;WIDTH=450&amp;START_MAXIMIZED=FALSE&amp;VAR:CALENDAR=FIVEDAY&amp;VAR:SYMBOL=COL&amp;VAR:INDEX=0"}</definedName>
    <definedName name="_275__FDSAUDITLINK__" hidden="1">{"fdsup://directions/FAT Viewer?action=UPDATE&amp;creator=factset&amp;DYN_ARGS=TRUE&amp;DOC_NAME=FAT:FQL_AUDITING_CLIENT_TEMPLATE.FAT&amp;display_string=Audit&amp;VAR:KEY=YJSTSZANIB&amp;VAR:QUERY=RkZfRU5UUlBSX1ZBTF9EQUlMWSgwNC8xNi8yMDEwLCwsLCwnRElMJykvRUNBX01FQU5fRUJJVCgyMDEwLDA0L","zE2LzIwMTAp&amp;WINDOW=FIRST_POPUP&amp;HEIGHT=450&amp;WIDTH=450&amp;START_MAXIMIZED=FALSE&amp;VAR:CALENDAR=FIVEDAY&amp;VAR:SYMBOL=COL&amp;VAR:INDEX=0"}</definedName>
    <definedName name="_276__FDSAUDITLINK__" hidden="1">{"fdsup://directions/FAT Viewer?action=UPDATE&amp;creator=factset&amp;DYN_ARGS=TRUE&amp;DOC_NAME=FAT:FQL_AUDITING_CLIENT_TEMPLATE.FAT&amp;display_string=Audit&amp;VAR:KEY=QDKNMBUFOH&amp;VAR:QUERY=RkZfRU5UUlBSX1ZBTF9EQUlMWSgwNC8xNi8yMDEwLCwsLCwnRElMJykvRUNBX01FQU5fRUJJVERBKDIwMTIsM","DQvMTYvMjAxMCk=&amp;WINDOW=FIRST_POPUP&amp;HEIGHT=450&amp;WIDTH=450&amp;START_MAXIMIZED=FALSE&amp;VAR:CALENDAR=FIVEDAY&amp;VAR:SYMBOL=COL&amp;VAR:INDEX=0"}</definedName>
    <definedName name="_277__FDSAUDITLINK__" hidden="1">{"fdsup://directions/FAT Viewer?action=UPDATE&amp;creator=factset&amp;DYN_ARGS=TRUE&amp;DOC_NAME=FAT:FQL_AUDITING_CLIENT_TEMPLATE.FAT&amp;display_string=Audit&amp;VAR:KEY=CZYXMJYRWP&amp;VAR:QUERY=RkZfRU5UUlBSX1ZBTF9EQUlMWSgwNC8xNi8yMDEwLCwsLCwnRElMJykvRUNBX01FQU5fRUJJVERBKDIwMTEsM","DQvMTYvMjAxMCk=&amp;WINDOW=FIRST_POPUP&amp;HEIGHT=450&amp;WIDTH=450&amp;START_MAXIMIZED=FALSE&amp;VAR:CALENDAR=FIVEDAY&amp;VAR:SYMBOL=COL&amp;VAR:INDEX=0"}</definedName>
    <definedName name="_278__FDSAUDITLINK__" hidden="1">{"fdsup://directions/FAT Viewer?action=UPDATE&amp;creator=factset&amp;DYN_ARGS=TRUE&amp;DOC_NAME=FAT:FQL_AUDITING_CLIENT_TEMPLATE.FAT&amp;display_string=Audit&amp;VAR:KEY=URKHURWNKD&amp;VAR:QUERY=RkZfRU5UUlBSX1ZBTF9EQUlMWSgwNC8xNi8yMDEwLCwsLCwnRElMJykvRUNBX01FQU5fRUJJVERBKDIwMTAsM","DQvMTYvMjAxMCk=&amp;WINDOW=FIRST_POPUP&amp;HEIGHT=450&amp;WIDTH=450&amp;START_MAXIMIZED=FALSE&amp;VAR:CALENDAR=FIVEDAY&amp;VAR:SYMBOL=COL&amp;VAR:INDEX=0"}</definedName>
    <definedName name="_279__FDSAUDITLINK__" hidden="1">{"fdsup://directions/FAT Viewer?action=UPDATE&amp;creator=factset&amp;DYN_ARGS=TRUE&amp;DOC_NAME=FAT:FQL_AUDITING_CLIENT_TEMPLATE.FAT&amp;display_string=Audit&amp;VAR:KEY=QRGJULUPKT&amp;VAR:QUERY=RkZfRU5UUlBSX1ZBTF9EQUlMWSgwNC8xNi8yMDEwLCwsLCwnRElMJykvRUNBX01FQU5fU0FMRVMoMjAxMiwwN","C8xNi8yMDEwKQ==&amp;WINDOW=FIRST_POPUP&amp;HEIGHT=450&amp;WIDTH=450&amp;START_MAXIMIZED=FALSE&amp;VAR:CALENDAR=FIVEDAY&amp;VAR:SYMBOL=BEAV&amp;VAR:INDEX=0"}</definedName>
    <definedName name="_28__FDSAUDITLINK__" hidden="1">{"fdsup://directions/FAT Viewer?action=UPDATE&amp;creator=factset&amp;DYN_ARGS=TRUE&amp;DOC_NAME=FAT:FQL_AUDITING_CLIENT_TEMPLATE.FAT&amp;display_string=Audit&amp;VAR:KEY=VKFGNWRYRO&amp;VAR:QUERY=RkZfRU5UUlBSX1ZBTF9EQUlMWSgwNC8xOS8yMDEwLCwsLCwnRElMJykvRUNBX01FQU5fU0FMRVMoMjAxMiwwN","C8xOS8yMDEwKQ==&amp;WINDOW=FIRST_POPUP&amp;HEIGHT=450&amp;WIDTH=450&amp;START_MAXIMIZED=FALSE&amp;VAR:CALENDAR=US&amp;VAR:SYMBOL=COL&amp;VAR:INDEX=0"}</definedName>
    <definedName name="_280__FDSAUDITLINK__" hidden="1">{"fdsup://directions/FAT Viewer?action=UPDATE&amp;creator=factset&amp;DYN_ARGS=TRUE&amp;DOC_NAME=FAT:FQL_AUDITING_CLIENT_TEMPLATE.FAT&amp;display_string=Audit&amp;VAR:KEY=IJQXQRORYX&amp;VAR:QUERY=RkZfRU5UUlBSX1ZBTF9EQUlMWSgwNC8xNi8yMDEwLCwsLCwnRElMJykvRUNBX01FQU5fU0FMRVMoMjAxMSwwN","C8xNi8yMDEwKQ==&amp;WINDOW=FIRST_POPUP&amp;HEIGHT=450&amp;WIDTH=450&amp;START_MAXIMIZED=FALSE&amp;VAR:CALENDAR=FIVEDAY&amp;VAR:SYMBOL=BEAV&amp;VAR:INDEX=0"}</definedName>
    <definedName name="_281__FDSAUDITLINK__" hidden="1">{"fdsup://directions/FAT Viewer?action=UPDATE&amp;creator=factset&amp;DYN_ARGS=TRUE&amp;DOC_NAME=FAT:FQL_AUDITING_CLIENT_TEMPLATE.FAT&amp;display_string=Audit&amp;VAR:KEY=ILYDCZMDMF&amp;VAR:QUERY=RkZfRU5UUlBSX1ZBTF9EQUlMWSgwNC8xNi8yMDEwLCwsLCwnRElMJykvRUNBX01FQU5fU0FMRVMoMjAxMCwwN","C8xNi8yMDEwKQ==&amp;WINDOW=FIRST_POPUP&amp;HEIGHT=450&amp;WIDTH=450&amp;START_MAXIMIZED=FALSE&amp;VAR:CALENDAR=FIVEDAY&amp;VAR:SYMBOL=BEAV&amp;VAR:INDEX=0"}</definedName>
    <definedName name="_282__FDSAUDITLINK__" hidden="1">{"fdsup://directions/FAT Viewer?action=UPDATE&amp;creator=factset&amp;DYN_ARGS=TRUE&amp;DOC_NAME=FAT:FQL_AUDITING_CLIENT_TEMPLATE.FAT&amp;display_string=Audit&amp;VAR:KEY=WZOJUPYDCP&amp;VAR:QUERY=RkZfRU5UUlBSX1ZBTF9EQUlMWSgwNC8xNi8yMDEwLCwsLCwnRElMJykvRUNBX01FQU5fRUJJVCgyMDEyLDA0L","zE2LzIwMTAp&amp;WINDOW=FIRST_POPUP&amp;HEIGHT=450&amp;WIDTH=450&amp;START_MAXIMIZED=FALSE&amp;VAR:CALENDAR=FIVEDAY&amp;VAR:SYMBOL=BEAV&amp;VAR:INDEX=0"}</definedName>
    <definedName name="_283__FDSAUDITLINK__" hidden="1">{"fdsup://directions/FAT Viewer?action=UPDATE&amp;creator=factset&amp;DYN_ARGS=TRUE&amp;DOC_NAME=FAT:FQL_AUDITING_CLIENT_TEMPLATE.FAT&amp;display_string=Audit&amp;VAR:KEY=QLYHYBERCR&amp;VAR:QUERY=RkZfRU5UUlBSX1ZBTF9EQUlMWSgwNC8xNi8yMDEwLCwsLCwnRElMJykvRUNBX01FQU5fRUJJVCgyMDExLDA0L","zE2LzIwMTAp&amp;WINDOW=FIRST_POPUP&amp;HEIGHT=450&amp;WIDTH=450&amp;START_MAXIMIZED=FALSE&amp;VAR:CALENDAR=FIVEDAY&amp;VAR:SYMBOL=BEAV&amp;VAR:INDEX=0"}</definedName>
    <definedName name="_284__FDSAUDITLINK__" hidden="1">{"fdsup://directions/FAT Viewer?action=UPDATE&amp;creator=factset&amp;DYN_ARGS=TRUE&amp;DOC_NAME=FAT:FQL_AUDITING_CLIENT_TEMPLATE.FAT&amp;display_string=Audit&amp;VAR:KEY=ANMXQJKNYR&amp;VAR:QUERY=RkZfRU5UUlBSX1ZBTF9EQUlMWSgwNC8xNi8yMDEwLCwsLCwnRElMJykvRUNBX01FQU5fRUJJVCgyMDEwLDA0L","zE2LzIwMTAp&amp;WINDOW=FIRST_POPUP&amp;HEIGHT=450&amp;WIDTH=450&amp;START_MAXIMIZED=FALSE&amp;VAR:CALENDAR=FIVEDAY&amp;VAR:SYMBOL=BEAV&amp;VAR:INDEX=0"}</definedName>
    <definedName name="_285__FDSAUDITLINK__" hidden="1">{"fdsup://directions/FAT Viewer?action=UPDATE&amp;creator=factset&amp;DYN_ARGS=TRUE&amp;DOC_NAME=FAT:FQL_AUDITING_CLIENT_TEMPLATE.FAT&amp;display_string=Audit&amp;VAR:KEY=KPKXSTWXMV&amp;VAR:QUERY=RkZfRU5UUlBSX1ZBTF9EQUlMWSgwNC8xNi8yMDEwLCwsLCwnRElMJykvRUNBX01FQU5fRUJJVERBKDIwMTIsM","DQvMTYvMjAxMCk=&amp;WINDOW=FIRST_POPUP&amp;HEIGHT=450&amp;WIDTH=450&amp;START_MAXIMIZED=FALSE&amp;VAR:CALENDAR=FIVEDAY&amp;VAR:SYMBOL=BEAV&amp;VAR:INDEX=0"}</definedName>
    <definedName name="_286__FDSAUDITLINK__" hidden="1">{"fdsup://directions/FAT Viewer?action=UPDATE&amp;creator=factset&amp;DYN_ARGS=TRUE&amp;DOC_NAME=FAT:FQL_AUDITING_CLIENT_TEMPLATE.FAT&amp;display_string=Audit&amp;VAR:KEY=ARQBSBUHQJ&amp;VAR:QUERY=RkZfRU5UUlBSX1ZBTF9EQUlMWSgwNC8xNi8yMDEwLCwsLCwnRElMJykvRUNBX01FQU5fRUJJVERBKDIwMTEsM","DQvMTYvMjAxMCk=&amp;WINDOW=FIRST_POPUP&amp;HEIGHT=450&amp;WIDTH=450&amp;START_MAXIMIZED=FALSE&amp;VAR:CALENDAR=FIVEDAY&amp;VAR:SYMBOL=BEAV&amp;VAR:INDEX=0"}</definedName>
    <definedName name="_287__FDSAUDITLINK__" hidden="1">{"fdsup://directions/FAT Viewer?action=UPDATE&amp;creator=factset&amp;DYN_ARGS=TRUE&amp;DOC_NAME=FAT:FQL_AUDITING_CLIENT_TEMPLATE.FAT&amp;display_string=Audit&amp;VAR:KEY=WXSHGBAZGH&amp;VAR:QUERY=RkZfRU5UUlBSX1ZBTF9EQUlMWSgwNC8xNi8yMDEwLCwsLCwnRElMJykvRUNBX01FQU5fRUJJVERBKDIwMTAsM","DQvMTYvMjAxMCk=&amp;WINDOW=FIRST_POPUP&amp;HEIGHT=450&amp;WIDTH=450&amp;START_MAXIMIZED=FALSE&amp;VAR:CALENDAR=FIVEDAY&amp;VAR:SYMBOL=BEAV&amp;VAR:INDEX=0"}</definedName>
    <definedName name="_288__FDSAUDITLINK__" hidden="1">{"fdsup://directions/FAT Viewer?action=UPDATE&amp;creator=factset&amp;DYN_ARGS=TRUE&amp;DOC_NAME=FAT:FQL_AUDITING_CLIENT_TEMPLATE.FAT&amp;display_string=Audit&amp;VAR:KEY=MNCLYBQLKH&amp;VAR:QUERY=RkZfRU5UUlBSX1ZBTF9EQUlMWSgwNC8xOS8yMDEwLCwsLCwnRElMJykvRUNBX01FQU5fU0FMRVMoMjAxMiwwN","C8xOS8yMDEwKQ==&amp;WINDOW=FIRST_POPUP&amp;HEIGHT=450&amp;WIDTH=450&amp;START_MAXIMIZED=FALSE&amp;VAR:CALENDAR=US&amp;VAR:SYMBOL=057580&amp;VAR:INDEX=0"}</definedName>
    <definedName name="_289__FDSAUDITLINK__" hidden="1">{"fdsup://directions/FAT Viewer?action=UPDATE&amp;creator=factset&amp;DYN_ARGS=TRUE&amp;DOC_NAME=FAT:FQL_AUDITING_CLIENT_TEMPLATE.FAT&amp;display_string=Audit&amp;VAR:KEY=ITSTWHUPWF&amp;VAR:QUERY=RkZfRU5UUlBSX1ZBTF9EQUlMWSgwNC8xOS8yMDEwLCwsLCwnRElMJykvRUNBX01FQU5fU0FMRVMoMjAxMSwwN","C8xOS8yMDEwKQ==&amp;WINDOW=FIRST_POPUP&amp;HEIGHT=450&amp;WIDTH=450&amp;START_MAXIMIZED=FALSE&amp;VAR:CALENDAR=US&amp;VAR:SYMBOL=057580&amp;VAR:INDEX=0"}</definedName>
    <definedName name="_29__123Graph_XLIQUIDS" hidden="1">[3]P!$R$29:$AK$29</definedName>
    <definedName name="_29__FDSAUDITLINK__" hidden="1">{"fdsup://directions/FAT Viewer?action=UPDATE&amp;creator=factset&amp;DYN_ARGS=TRUE&amp;DOC_NAME=FAT:FQL_AUDITING_CLIENT_TEMPLATE.FAT&amp;display_string=Audit&amp;VAR:KEY=NQPYLAPOLE&amp;VAR:QUERY=RkZfRU5UUlBSX1ZBTF9EQUlMWSgwNC8xOS8yMDEwLCwsLCwnRElMJykvRUNBX01FQU5fU0FMRVMoMjAxMSwwN","C8xOS8yMDEwKQ==&amp;WINDOW=FIRST_POPUP&amp;HEIGHT=450&amp;WIDTH=450&amp;START_MAXIMIZED=FALSE&amp;VAR:CALENDAR=US&amp;VAR:SYMBOL=COL&amp;VAR:INDEX=0"}</definedName>
    <definedName name="_290__FDSAUDITLINK__" hidden="1">{"fdsup://directions/FAT Viewer?action=UPDATE&amp;creator=factset&amp;DYN_ARGS=TRUE&amp;DOC_NAME=FAT:FQL_AUDITING_CLIENT_TEMPLATE.FAT&amp;display_string=Audit&amp;VAR:KEY=SXMLALCXAT&amp;VAR:QUERY=RkZfRU5UUlBSX1ZBTF9EQUlMWSgwNC8xOS8yMDEwLCwsLCwnRElMJykvRUNBX01FQU5fU0FMRVMoMjAxMCwwN","C8xOS8yMDEwKQ==&amp;WINDOW=FIRST_POPUP&amp;HEIGHT=450&amp;WIDTH=450&amp;START_MAXIMIZED=FALSE&amp;VAR:CALENDAR=US&amp;VAR:SYMBOL=057580&amp;VAR:INDEX=0"}</definedName>
    <definedName name="_291__FDSAUDITLINK__" hidden="1">{"fdsup://directions/FAT Viewer?action=UPDATE&amp;creator=factset&amp;DYN_ARGS=TRUE&amp;DOC_NAME=FAT:FQL_AUDITING_CLIENT_TEMPLATE.FAT&amp;display_string=Audit&amp;VAR:KEY=MPCHCLEJQJ&amp;VAR:QUERY=RkZfRU5UUlBSX1ZBTF9EQUlMWSgwNC8xOS8yMDEwLCwsLCwnRElMJykvRUNBX01FQU5fRUJJVCgyMDEyLDA0L","zE5LzIwMTAp&amp;WINDOW=FIRST_POPUP&amp;HEIGHT=450&amp;WIDTH=450&amp;START_MAXIMIZED=FALSE&amp;VAR:CALENDAR=US&amp;VAR:SYMBOL=057580&amp;VAR:INDEX=0"}</definedName>
    <definedName name="_292__FDSAUDITLINK__" hidden="1">{"fdsup://directions/FAT Viewer?action=UPDATE&amp;creator=factset&amp;DYN_ARGS=TRUE&amp;DOC_NAME=FAT:FQL_AUDITING_CLIENT_TEMPLATE.FAT&amp;display_string=Audit&amp;VAR:KEY=GREZMJADIR&amp;VAR:QUERY=RkZfRU5UUlBSX1ZBTF9EQUlMWSgwNC8xOS8yMDEwLCwsLCwnRElMJykvRUNBX01FQU5fRUJJVCgyMDExLDA0L","zE5LzIwMTAp&amp;WINDOW=FIRST_POPUP&amp;HEIGHT=450&amp;WIDTH=450&amp;START_MAXIMIZED=FALSE&amp;VAR:CALENDAR=US&amp;VAR:SYMBOL=057580&amp;VAR:INDEX=0"}</definedName>
    <definedName name="_293__FDSAUDITLINK__" hidden="1">{"fdsup://directions/FAT Viewer?action=UPDATE&amp;creator=factset&amp;DYN_ARGS=TRUE&amp;DOC_NAME=FAT:FQL_AUDITING_CLIENT_TEMPLATE.FAT&amp;display_string=Audit&amp;VAR:KEY=WLAHYVADYD&amp;VAR:QUERY=RkZfRU5UUlBSX1ZBTF9EQUlMWSgwNC8xOS8yMDEwLCwsLCwnRElMJykvRUNBX01FQU5fRUJJVCgyMDEwLDA0L","zE5LzIwMTAp&amp;WINDOW=FIRST_POPUP&amp;HEIGHT=450&amp;WIDTH=450&amp;START_MAXIMIZED=FALSE&amp;VAR:CALENDAR=US&amp;VAR:SYMBOL=057580&amp;VAR:INDEX=0"}</definedName>
    <definedName name="_294__FDSAUDITLINK__" hidden="1">{"fdsup://directions/FAT Viewer?action=UPDATE&amp;creator=factset&amp;DYN_ARGS=TRUE&amp;DOC_NAME=FAT:FQL_AUDITING_CLIENT_TEMPLATE.FAT&amp;display_string=Audit&amp;VAR:KEY=SZKPGNMJGD&amp;VAR:QUERY=RkZfRU5UUlBSX1ZBTF9EQUlMWSgwNC8xOS8yMDEwLCwsLCwnRElMJykvRUNBX01FQU5fRUJJVERBKDIwMTIsM","DQvMTkvMjAxMCk=&amp;WINDOW=FIRST_POPUP&amp;HEIGHT=450&amp;WIDTH=450&amp;START_MAXIMIZED=FALSE&amp;VAR:CALENDAR=US&amp;VAR:SYMBOL=057580&amp;VAR:INDEX=0"}</definedName>
    <definedName name="_295__FDSAUDITLINK__" hidden="1">{"fdsup://directions/FAT Viewer?action=UPDATE&amp;creator=factset&amp;DYN_ARGS=TRUE&amp;DOC_NAME=FAT:FQL_AUDITING_CLIENT_TEMPLATE.FAT&amp;display_string=Audit&amp;VAR:KEY=YFIXINSNET&amp;VAR:QUERY=RkZfRU5UUlBSX1ZBTF9EQUlMWSgwNC8xOS8yMDEwLCwsLCwnRElMJykvRUNBX01FQU5fRUJJVERBKDIwMTEsM","DQvMTkvMjAxMCk=&amp;WINDOW=FIRST_POPUP&amp;HEIGHT=450&amp;WIDTH=450&amp;START_MAXIMIZED=FALSE&amp;VAR:CALENDAR=US&amp;VAR:SYMBOL=057580&amp;VAR:INDEX=0"}</definedName>
    <definedName name="_296__FDSAUDITLINK__" hidden="1">{"fdsup://directions/FAT Viewer?action=UPDATE&amp;creator=factset&amp;DYN_ARGS=TRUE&amp;DOC_NAME=FAT:FQL_AUDITING_CLIENT_TEMPLATE.FAT&amp;display_string=Audit&amp;VAR:KEY=AJQLEBCXUR&amp;VAR:QUERY=RkZfRU5UUlBSX1ZBTF9EQUlMWSgwNC8xOS8yMDEwLCwsLCwnRElMJykvRUNBX01FQU5fRUJJVERBKDIwMTAsM","DQvMTkvMjAxMCk=&amp;WINDOW=FIRST_POPUP&amp;HEIGHT=450&amp;WIDTH=450&amp;START_MAXIMIZED=FALSE&amp;VAR:CALENDAR=US&amp;VAR:SYMBOL=057580&amp;VAR:INDEX=0"}</definedName>
    <definedName name="_297__FDSAUDITLINK__" hidden="1">{"fdsup://directions/FAT Viewer?action=UPDATE&amp;creator=factset&amp;DYN_ARGS=TRUE&amp;DOC_NAME=FAT:FQL_AUDITING_CLIENT_TEMPLATE.FAT&amp;display_string=Audit&amp;VAR:KEY=MTKNMNWHAR&amp;VAR:QUERY=RkZfRU5UUlBSX1ZBTF9EQUlMWSgwNC8xOS8yMDEwLCwsLCwnRElMJykvRUNBX01FQU5fU0FMRVMoMjAxMiwwN","C8xOS8yMDEwKQ==&amp;WINDOW=FIRST_POPUP&amp;HEIGHT=450&amp;WIDTH=450&amp;START_MAXIMIZED=FALSE&amp;VAR:CALENDAR=US&amp;VAR:SYMBOL=PCP&amp;VAR:INDEX=0"}</definedName>
    <definedName name="_298__FDSAUDITLINK__" hidden="1">{"fdsup://directions/FAT Viewer?action=UPDATE&amp;creator=factset&amp;DYN_ARGS=TRUE&amp;DOC_NAME=FAT:FQL_AUDITING_CLIENT_TEMPLATE.FAT&amp;display_string=Audit&amp;VAR:KEY=UTIHIZKTWN&amp;VAR:QUERY=RkZfRU5UUlBSX1ZBTF9EQUlMWSgwNC8xOS8yMDEwLCwsLCwnRElMJykvRUNBX01FQU5fU0FMRVMoMjAxMSwwN","C8xOS8yMDEwKQ==&amp;WINDOW=FIRST_POPUP&amp;HEIGHT=450&amp;WIDTH=450&amp;START_MAXIMIZED=FALSE&amp;VAR:CALENDAR=US&amp;VAR:SYMBOL=PCP&amp;VAR:INDEX=0"}</definedName>
    <definedName name="_299__FDSAUDITLINK__" hidden="1">{"fdsup://directions/FAT Viewer?action=UPDATE&amp;creator=factset&amp;DYN_ARGS=TRUE&amp;DOC_NAME=FAT:FQL_AUDITING_CLIENT_TEMPLATE.FAT&amp;display_string=Audit&amp;VAR:KEY=YZGROZGZOJ&amp;VAR:QUERY=RkZfRU5UUlBSX1ZBTF9EQUlMWSgwNC8xOS8yMDEwLCwsLCwnRElMJykvRUNBX01FQU5fU0FMRVMoMjAxMCwwN","C8xOS8yMDEwKQ==&amp;WINDOW=FIRST_POPUP&amp;HEIGHT=450&amp;WIDTH=450&amp;START_MAXIMIZED=FALSE&amp;VAR:CALENDAR=US&amp;VAR:SYMBOL=PCP&amp;VAR:INDEX=0"}</definedName>
    <definedName name="_3__123Graph_ACHART_3I" hidden="1">[1]Acquisitions!$AO$4:$AU$4</definedName>
    <definedName name="_3__123Graph_Aｸﾞﾗﾌ_2" hidden="1">[2]単独!$AR$14:$AR$18</definedName>
    <definedName name="_3__FDSAUDITLINK__" hidden="1">{"fdsup://directions/FAT Viewer?action=UPDATE&amp;creator=factset&amp;DYN_ARGS=TRUE&amp;DOC_NAME=FAT:FQL_AUDITING_CLIENT_TEMPLATE.FAT&amp;display_string=Audit&amp;VAR:KEY=NMPEJCRKXA&amp;VAR:QUERY=RkZfRU5UUlBSX1ZBTF9EQUlMWSgwNC8xOS8yMDEwLCwsLCwnRElMJykvRUNBX01FQU5fU0FMRVMoMjAxMCwwN","C8xOS8yMDEwKQ==&amp;WINDOW=FIRST_POPUP&amp;HEIGHT=450&amp;WIDTH=450&amp;START_MAXIMIZED=FALSE&amp;VAR:CALENDAR=US&amp;VAR:SYMBOL=057580&amp;VAR:INDEX=0"}</definedName>
    <definedName name="_30__FDSAUDITLINK__" hidden="1">{"fdsup://directions/FAT Viewer?action=UPDATE&amp;creator=factset&amp;DYN_ARGS=TRUE&amp;DOC_NAME=FAT:FQL_AUDITING_CLIENT_TEMPLATE.FAT&amp;display_string=Audit&amp;VAR:KEY=DITWLSJADG&amp;VAR:QUERY=RkZfRU5UUlBSX1ZBTF9EQUlMWSgwNC8xOS8yMDEwLCwsLCwnRElMJykvRUNBX01FQU5fU0FMRVMoMjAxMCwwN","C8xOS8yMDEwKQ==&amp;WINDOW=FIRST_POPUP&amp;HEIGHT=450&amp;WIDTH=450&amp;START_MAXIMIZED=FALSE&amp;VAR:CALENDAR=US&amp;VAR:SYMBOL=COL&amp;VAR:INDEX=0"}</definedName>
    <definedName name="_300__FDSAUDITLINK__" hidden="1">{"fdsup://directions/FAT Viewer?action=UPDATE&amp;creator=factset&amp;DYN_ARGS=TRUE&amp;DOC_NAME=FAT:FQL_AUDITING_CLIENT_TEMPLATE.FAT&amp;display_string=Audit&amp;VAR:KEY=AFQBYBOPWT&amp;VAR:QUERY=RkZfRU5UUlBSX1ZBTF9EQUlMWSgwNC8xOS8yMDEwLCwsLCwnRElMJykvRUNBX01FQU5fRUJJVCgyMDEyLDA0L","zE5LzIwMTAp&amp;WINDOW=FIRST_POPUP&amp;HEIGHT=450&amp;WIDTH=450&amp;START_MAXIMIZED=FALSE&amp;VAR:CALENDAR=US&amp;VAR:SYMBOL=PCP&amp;VAR:INDEX=0"}</definedName>
    <definedName name="_301__FDSAUDITLINK__" hidden="1">{"fdsup://directions/FAT Viewer?action=UPDATE&amp;creator=factset&amp;DYN_ARGS=TRUE&amp;DOC_NAME=FAT:FQL_AUDITING_CLIENT_TEMPLATE.FAT&amp;display_string=Audit&amp;VAR:KEY=UHOTYRKJUN&amp;VAR:QUERY=RkZfRU5UUlBSX1ZBTF9EQUlMWSgwNC8xOS8yMDEwLCwsLCwnRElMJykvRUNBX01FQU5fRUJJVCgyMDExLDA0L","zE5LzIwMTAp&amp;WINDOW=FIRST_POPUP&amp;HEIGHT=450&amp;WIDTH=450&amp;START_MAXIMIZED=FALSE&amp;VAR:CALENDAR=US&amp;VAR:SYMBOL=PCP&amp;VAR:INDEX=0"}</definedName>
    <definedName name="_302__FDSAUDITLINK__" hidden="1">{"fdsup://directions/FAT Viewer?action=UPDATE&amp;creator=factset&amp;DYN_ARGS=TRUE&amp;DOC_NAME=FAT:FQL_AUDITING_CLIENT_TEMPLATE.FAT&amp;display_string=Audit&amp;VAR:KEY=KLUPKDEFEX&amp;VAR:QUERY=RkZfRU5UUlBSX1ZBTF9EQUlMWSgwNC8xOS8yMDEwLCwsLCwnRElMJykvRUNBX01FQU5fRUJJVCgyMDEwLDA0L","zE5LzIwMTAp&amp;WINDOW=FIRST_POPUP&amp;HEIGHT=450&amp;WIDTH=450&amp;START_MAXIMIZED=FALSE&amp;VAR:CALENDAR=US&amp;VAR:SYMBOL=PCP&amp;VAR:INDEX=0"}</definedName>
    <definedName name="_303__FDSAUDITLINK__" hidden="1">{"fdsup://directions/FAT Viewer?action=UPDATE&amp;creator=factset&amp;DYN_ARGS=TRUE&amp;DOC_NAME=FAT:FQL_AUDITING_CLIENT_TEMPLATE.FAT&amp;display_string=Audit&amp;VAR:KEY=MRYDCXGVKV&amp;VAR:QUERY=RkZfRU5UUlBSX1ZBTF9EQUlMWSgwNC8xOS8yMDEwLCwsLCwnRElMJykvRUNBX01FQU5fRUJJVERBKDIwMTIsM","DQvMTkvMjAxMCk=&amp;WINDOW=FIRST_POPUP&amp;HEIGHT=450&amp;WIDTH=450&amp;START_MAXIMIZED=FALSE&amp;VAR:CALENDAR=US&amp;VAR:SYMBOL=PCP&amp;VAR:INDEX=0"}</definedName>
    <definedName name="_304__FDSAUDITLINK__" hidden="1">{"fdsup://directions/FAT Viewer?action=UPDATE&amp;creator=factset&amp;DYN_ARGS=TRUE&amp;DOC_NAME=FAT:FQL_AUDITING_CLIENT_TEMPLATE.FAT&amp;display_string=Audit&amp;VAR:KEY=GBCHKNGPIT&amp;VAR:QUERY=RkZfRU5UUlBSX1ZBTF9EQUlMWSgwNC8xOS8yMDEwLCwsLCwnRElMJykvRUNBX01FQU5fRUJJVERBKDIwMTEsM","DQvMTkvMjAxMCk=&amp;WINDOW=FIRST_POPUP&amp;HEIGHT=450&amp;WIDTH=450&amp;START_MAXIMIZED=FALSE&amp;VAR:CALENDAR=US&amp;VAR:SYMBOL=PCP&amp;VAR:INDEX=0"}</definedName>
    <definedName name="_305__FDSAUDITLINK__" hidden="1">{"fdsup://directions/FAT Viewer?action=UPDATE&amp;creator=factset&amp;DYN_ARGS=TRUE&amp;DOC_NAME=FAT:FQL_AUDITING_CLIENT_TEMPLATE.FAT&amp;display_string=Audit&amp;VAR:KEY=OXGPSPAFSJ&amp;VAR:QUERY=RkZfRU5UUlBSX1ZBTF9EQUlMWSgwNC8xOS8yMDEwLCwsLCwnRElMJykvRUNBX01FQU5fRUJJVERBKDIwMTAsM","DQvMTkvMjAxMCk=&amp;WINDOW=FIRST_POPUP&amp;HEIGHT=450&amp;WIDTH=450&amp;START_MAXIMIZED=FALSE&amp;VAR:CALENDAR=US&amp;VAR:SYMBOL=PCP&amp;VAR:INDEX=0"}</definedName>
    <definedName name="_306__FDSAUDITLINK__" hidden="1">{"fdsup://directions/FAT Viewer?action=UPDATE&amp;creator=factset&amp;DYN_ARGS=TRUE&amp;DOC_NAME=FAT:FQL_AUDITING_CLIENT_TEMPLATE.FAT&amp;display_string=Audit&amp;VAR:KEY=IFEVIZWXAB&amp;VAR:QUERY=RkZfRU5UUlBSX1ZBTF9EQUlMWSgwNC8xOS8yMDEwLCwsLCwnRElMJykvRUNBX01FQU5fU0FMRVMoMjAxMiwwN","C8xOS8yMDEwKQ==&amp;WINDOW=FIRST_POPUP&amp;HEIGHT=450&amp;WIDTH=450&amp;START_MAXIMIZED=FALSE&amp;VAR:CALENDAR=US&amp;VAR:SYMBOL=MOG.A&amp;VAR:INDEX=0"}</definedName>
    <definedName name="_307__FDSAUDITLINK__" hidden="1">{"fdsup://directions/FAT Viewer?action=UPDATE&amp;creator=factset&amp;DYN_ARGS=TRUE&amp;DOC_NAME=FAT:FQL_AUDITING_CLIENT_TEMPLATE.FAT&amp;display_string=Audit&amp;VAR:KEY=MFQNINMJGH&amp;VAR:QUERY=RkZfRU5UUlBSX1ZBTF9EQUlMWSgwNC8xOS8yMDEwLCwsLCwnRElMJykvRUNBX01FQU5fU0FMRVMoMjAxMSwwN","C8xOS8yMDEwKQ==&amp;WINDOW=FIRST_POPUP&amp;HEIGHT=450&amp;WIDTH=450&amp;START_MAXIMIZED=FALSE&amp;VAR:CALENDAR=US&amp;VAR:SYMBOL=MOG.A&amp;VAR:INDEX=0"}</definedName>
    <definedName name="_308__FDSAUDITLINK__" hidden="1">{"fdsup://directions/FAT Viewer?action=UPDATE&amp;creator=factset&amp;DYN_ARGS=TRUE&amp;DOC_NAME=FAT:FQL_AUDITING_CLIENT_TEMPLATE.FAT&amp;display_string=Audit&amp;VAR:KEY=IVALEPEBKL&amp;VAR:QUERY=RkZfRU5UUlBSX1ZBTF9EQUlMWSgwNC8xOS8yMDEwLCwsLCwnRElMJykvRUNBX01FQU5fU0FMRVMoMjAxMCwwN","C8xOS8yMDEwKQ==&amp;WINDOW=FIRST_POPUP&amp;HEIGHT=450&amp;WIDTH=450&amp;START_MAXIMIZED=FALSE&amp;VAR:CALENDAR=US&amp;VAR:SYMBOL=MOG.A&amp;VAR:INDEX=0"}</definedName>
    <definedName name="_309__FDSAUDITLINK__" hidden="1">{"fdsup://directions/FAT Viewer?action=UPDATE&amp;creator=factset&amp;DYN_ARGS=TRUE&amp;DOC_NAME=FAT:FQL_AUDITING_CLIENT_TEMPLATE.FAT&amp;display_string=Audit&amp;VAR:KEY=ULCFQPKFUP&amp;VAR:QUERY=RkZfRU5UUlBSX1ZBTF9EQUlMWSgwNC8xOS8yMDEwLCwsLCwnRElMJykvRUNBX01FQU5fRUJJVCgyMDEyLDA0L","zE5LzIwMTAp&amp;WINDOW=FIRST_POPUP&amp;HEIGHT=450&amp;WIDTH=450&amp;START_MAXIMIZED=FALSE&amp;VAR:CALENDAR=US&amp;VAR:SYMBOL=MOG.A&amp;VAR:INDEX=0"}</definedName>
    <definedName name="_31__123Graph_XR_M_MARG" hidden="1">[3]P!$R$29:$AK$29</definedName>
    <definedName name="_31__FDSAUDITLINK__" hidden="1">{"fdsup://directions/FAT Viewer?action=UPDATE&amp;creator=factset&amp;DYN_ARGS=TRUE&amp;DOC_NAME=FAT:FQL_AUDITING_CLIENT_TEMPLATE.FAT&amp;display_string=Audit&amp;VAR:KEY=BONSJMTIHW&amp;VAR:QUERY=RkZfRU5UUlBSX1ZBTF9EQUlMWSgwNC8xOS8yMDEwLCwsLCwnRElMJykvRUNBX01FQU5fRUJJVCgyMDEyLDA0L","zE5LzIwMTAp&amp;WINDOW=FIRST_POPUP&amp;HEIGHT=450&amp;WIDTH=450&amp;START_MAXIMIZED=FALSE&amp;VAR:CALENDAR=US&amp;VAR:SYMBOL=COL&amp;VAR:INDEX=0"}</definedName>
    <definedName name="_310__FDSAUDITLINK__" hidden="1">{"fdsup://directions/FAT Viewer?action=UPDATE&amp;creator=factset&amp;DYN_ARGS=TRUE&amp;DOC_NAME=FAT:FQL_AUDITING_CLIENT_TEMPLATE.FAT&amp;display_string=Audit&amp;VAR:KEY=WHSTIXAPEF&amp;VAR:QUERY=RkZfRU5UUlBSX1ZBTF9EQUlMWSgwNC8xOS8yMDEwLCwsLCwnRElMJykvRUNBX01FQU5fRUJJVCgyMDExLDA0L","zE5LzIwMTAp&amp;WINDOW=FIRST_POPUP&amp;HEIGHT=450&amp;WIDTH=450&amp;START_MAXIMIZED=FALSE&amp;VAR:CALENDAR=US&amp;VAR:SYMBOL=MOG.A&amp;VAR:INDEX=0"}</definedName>
    <definedName name="_311__FDSAUDITLINK__" hidden="1">{"fdsup://directions/FAT Viewer?action=UPDATE&amp;creator=factset&amp;DYN_ARGS=TRUE&amp;DOC_NAME=FAT:FQL_AUDITING_CLIENT_TEMPLATE.FAT&amp;display_string=Audit&amp;VAR:KEY=YNYHMVALMF&amp;VAR:QUERY=RkZfRU5UUlBSX1ZBTF9EQUlMWSgwNC8xOS8yMDEwLCwsLCwnRElMJykvRUNBX01FQU5fRUJJVCgyMDEwLDA0L","zE5LzIwMTAp&amp;WINDOW=FIRST_POPUP&amp;HEIGHT=450&amp;WIDTH=450&amp;START_MAXIMIZED=FALSE&amp;VAR:CALENDAR=US&amp;VAR:SYMBOL=MOG.A&amp;VAR:INDEX=0"}</definedName>
    <definedName name="_312__FDSAUDITLINK__" hidden="1">{"fdsup://directions/FAT Viewer?action=UPDATE&amp;creator=factset&amp;DYN_ARGS=TRUE&amp;DOC_NAME=FAT:FQL_AUDITING_CLIENT_TEMPLATE.FAT&amp;display_string=Audit&amp;VAR:KEY=GDWHORATIV&amp;VAR:QUERY=RkZfRU5UUlBSX1ZBTF9EQUlMWSgwNC8xOS8yMDEwLCwsLCwnRElMJykvRUNBX01FQU5fRUJJVERBKDIwMTIsM","DQvMTkvMjAxMCk=&amp;WINDOW=FIRST_POPUP&amp;HEIGHT=450&amp;WIDTH=450&amp;START_MAXIMIZED=FALSE&amp;VAR:CALENDAR=US&amp;VAR:SYMBOL=MOG.A&amp;VAR:INDEX=0"}</definedName>
    <definedName name="_313__FDSAUDITLINK__" hidden="1">{"fdsup://directions/FAT Viewer?action=UPDATE&amp;creator=factset&amp;DYN_ARGS=TRUE&amp;DOC_NAME=FAT:FQL_AUDITING_CLIENT_TEMPLATE.FAT&amp;display_string=Audit&amp;VAR:KEY=SDITKHYJOH&amp;VAR:QUERY=RkZfRU5UUlBSX1ZBTF9EQUlMWSgwNC8xOS8yMDEwLCwsLCwnRElMJykvRUNBX01FQU5fRUJJVERBKDIwMTEsM","DQvMTkvMjAxMCk=&amp;WINDOW=FIRST_POPUP&amp;HEIGHT=450&amp;WIDTH=450&amp;START_MAXIMIZED=FALSE&amp;VAR:CALENDAR=US&amp;VAR:SYMBOL=MOG.A&amp;VAR:INDEX=0"}</definedName>
    <definedName name="_314__FDSAUDITLINK__" hidden="1">{"fdsup://directions/FAT Viewer?action=UPDATE&amp;creator=factset&amp;DYN_ARGS=TRUE&amp;DOC_NAME=FAT:FQL_AUDITING_CLIENT_TEMPLATE.FAT&amp;display_string=Audit&amp;VAR:KEY=QXKRUTQBIL&amp;VAR:QUERY=RkZfRU5UUlBSX1ZBTF9EQUlMWSgwNC8xOS8yMDEwLCwsLCwnRElMJykvRUNBX01FQU5fRUJJVERBKDIwMTAsM","DQvMTkvMjAxMCk=&amp;WINDOW=FIRST_POPUP&amp;HEIGHT=450&amp;WIDTH=450&amp;START_MAXIMIZED=FALSE&amp;VAR:CALENDAR=US&amp;VAR:SYMBOL=MOG.A&amp;VAR:INDEX=0"}</definedName>
    <definedName name="_315__FDSAUDITLINK__" hidden="1">{"fdsup://directions/FAT Viewer?action=UPDATE&amp;creator=factset&amp;DYN_ARGS=TRUE&amp;DOC_NAME=FAT:FQL_AUDITING_CLIENT_TEMPLATE.FAT&amp;display_string=Audit&amp;VAR:KEY=MHITQZQTAX&amp;VAR:QUERY=RkZfRU5UUlBSX1ZBTF9EQUlMWSgwNC8xOS8yMDEwLCwsLCwnRElMJykvRUNBX01FQU5fU0FMRVMoMjAxMiwwN","C8xOS8yMDEwKQ==&amp;WINDOW=FIRST_POPUP&amp;HEIGHT=450&amp;WIDTH=450&amp;START_MAXIMIZED=FALSE&amp;VAR:CALENDAR=US&amp;VAR:SYMBOL=COL&amp;VAR:INDEX=0"}</definedName>
    <definedName name="_316__FDSAUDITLINK__" hidden="1">{"fdsup://directions/FAT Viewer?action=UPDATE&amp;creator=factset&amp;DYN_ARGS=TRUE&amp;DOC_NAME=FAT:FQL_AUDITING_CLIENT_TEMPLATE.FAT&amp;display_string=Audit&amp;VAR:KEY=ETCXITQVGD&amp;VAR:QUERY=RkZfRU5UUlBSX1ZBTF9EQUlMWSgwNC8xOS8yMDEwLCwsLCwnRElMJykvRUNBX01FQU5fU0FMRVMoMjAxMSwwN","C8xOS8yMDEwKQ==&amp;WINDOW=FIRST_POPUP&amp;HEIGHT=450&amp;WIDTH=450&amp;START_MAXIMIZED=FALSE&amp;VAR:CALENDAR=US&amp;VAR:SYMBOL=COL&amp;VAR:INDEX=0"}</definedName>
    <definedName name="_317__FDSAUDITLINK__" hidden="1">{"fdsup://directions/FAT Viewer?action=UPDATE&amp;creator=factset&amp;DYN_ARGS=TRUE&amp;DOC_NAME=FAT:FQL_AUDITING_CLIENT_TEMPLATE.FAT&amp;display_string=Audit&amp;VAR:KEY=SXSPWDUJUV&amp;VAR:QUERY=RkZfRU5UUlBSX1ZBTF9EQUlMWSgwNC8xOS8yMDEwLCwsLCwnRElMJykvRUNBX01FQU5fU0FMRVMoMjAxMCwwN","C8xOS8yMDEwKQ==&amp;WINDOW=FIRST_POPUP&amp;HEIGHT=450&amp;WIDTH=450&amp;START_MAXIMIZED=FALSE&amp;VAR:CALENDAR=US&amp;VAR:SYMBOL=COL&amp;VAR:INDEX=0"}</definedName>
    <definedName name="_318__FDSAUDITLINK__" hidden="1">{"fdsup://directions/FAT Viewer?action=UPDATE&amp;creator=factset&amp;DYN_ARGS=TRUE&amp;DOC_NAME=FAT:FQL_AUDITING_CLIENT_TEMPLATE.FAT&amp;display_string=Audit&amp;VAR:KEY=YVUHWFUDQH&amp;VAR:QUERY=RkZfRU5UUlBSX1ZBTF9EQUlMWSgwNC8xOS8yMDEwLCwsLCwnRElMJykvRUNBX01FQU5fRUJJVCgyMDEyLDA0L","zE5LzIwMTAp&amp;WINDOW=FIRST_POPUP&amp;HEIGHT=450&amp;WIDTH=450&amp;START_MAXIMIZED=FALSE&amp;VAR:CALENDAR=US&amp;VAR:SYMBOL=COL&amp;VAR:INDEX=0"}</definedName>
    <definedName name="_319__FDSAUDITLINK__" hidden="1">{"fdsup://directions/FAT Viewer?action=UPDATE&amp;creator=factset&amp;DYN_ARGS=TRUE&amp;DOC_NAME=FAT:FQL_AUDITING_CLIENT_TEMPLATE.FAT&amp;display_string=Audit&amp;VAR:KEY=YZULIBUZGV&amp;VAR:QUERY=RkZfRU5UUlBSX1ZBTF9EQUlMWSgwNC8xOS8yMDEwLCwsLCwnRElMJykvRUNBX01FQU5fRUJJVCgyMDExLDA0L","zE5LzIwMTAp&amp;WINDOW=FIRST_POPUP&amp;HEIGHT=450&amp;WIDTH=450&amp;START_MAXIMIZED=FALSE&amp;VAR:CALENDAR=US&amp;VAR:SYMBOL=COL&amp;VAR:INDEX=0"}</definedName>
    <definedName name="_32__FDSAUDITLINK__" hidden="1">{"fdsup://directions/FAT Viewer?action=UPDATE&amp;creator=factset&amp;DYN_ARGS=TRUE&amp;DOC_NAME=FAT:FQL_AUDITING_CLIENT_TEMPLATE.FAT&amp;display_string=Audit&amp;VAR:KEY=VGJOLALUZI&amp;VAR:QUERY=RkZfRU5UUlBSX1ZBTF9EQUlMWSgwNC8xOS8yMDEwLCwsLCwnRElMJykvRUNBX01FQU5fRUJJVCgyMDExLDA0L","zE5LzIwMTAp&amp;WINDOW=FIRST_POPUP&amp;HEIGHT=450&amp;WIDTH=450&amp;START_MAXIMIZED=FALSE&amp;VAR:CALENDAR=US&amp;VAR:SYMBOL=COL&amp;VAR:INDEX=0"}</definedName>
    <definedName name="_320__FDSAUDITLINK__" hidden="1">{"fdsup://directions/FAT Viewer?action=UPDATE&amp;creator=factset&amp;DYN_ARGS=TRUE&amp;DOC_NAME=FAT:FQL_AUDITING_CLIENT_TEMPLATE.FAT&amp;display_string=Audit&amp;VAR:KEY=GJKJCLYPMN&amp;VAR:QUERY=RkZfRU5UUlBSX1ZBTF9EQUlMWSgwNC8xOS8yMDEwLCwsLCwnRElMJykvRUNBX01FQU5fRUJJVCgyMDEwLDA0L","zE5LzIwMTAp&amp;WINDOW=FIRST_POPUP&amp;HEIGHT=450&amp;WIDTH=450&amp;START_MAXIMIZED=FALSE&amp;VAR:CALENDAR=US&amp;VAR:SYMBOL=COL&amp;VAR:INDEX=0"}</definedName>
    <definedName name="_321__FDSAUDITLINK__" hidden="1">{"fdsup://directions/FAT Viewer?action=UPDATE&amp;creator=factset&amp;DYN_ARGS=TRUE&amp;DOC_NAME=FAT:FQL_AUDITING_CLIENT_TEMPLATE.FAT&amp;display_string=Audit&amp;VAR:KEY=UHALGDYHED&amp;VAR:QUERY=RkZfRU5UUlBSX1ZBTF9EQUlMWSgwNC8xOS8yMDEwLCwsLCwnRElMJykvRUNBX01FQU5fRUJJVERBKDIwMTIsM","DQvMTkvMjAxMCk=&amp;WINDOW=FIRST_POPUP&amp;HEIGHT=450&amp;WIDTH=450&amp;START_MAXIMIZED=FALSE&amp;VAR:CALENDAR=US&amp;VAR:SYMBOL=COL&amp;VAR:INDEX=0"}</definedName>
    <definedName name="_322__FDSAUDITLINK__" hidden="1">{"fdsup://directions/FAT Viewer?action=UPDATE&amp;creator=factset&amp;DYN_ARGS=TRUE&amp;DOC_NAME=FAT:FQL_AUDITING_CLIENT_TEMPLATE.FAT&amp;display_string=Audit&amp;VAR:KEY=SLQTCHIVCH&amp;VAR:QUERY=RkZfRU5UUlBSX1ZBTF9EQUlMWSgwNC8xOS8yMDEwLCwsLCwnRElMJykvRUNBX01FQU5fRUJJVERBKDIwMTEsM","DQvMTkvMjAxMCk=&amp;WINDOW=FIRST_POPUP&amp;HEIGHT=450&amp;WIDTH=450&amp;START_MAXIMIZED=FALSE&amp;VAR:CALENDAR=US&amp;VAR:SYMBOL=COL&amp;VAR:INDEX=0"}</definedName>
    <definedName name="_323__FDSAUDITLINK__" hidden="1">{"fdsup://directions/FAT Viewer?action=UPDATE&amp;creator=factset&amp;DYN_ARGS=TRUE&amp;DOC_NAME=FAT:FQL_AUDITING_CLIENT_TEMPLATE.FAT&amp;display_string=Audit&amp;VAR:KEY=WTMJGPKXCL&amp;VAR:QUERY=RkZfRU5UUlBSX1ZBTF9EQUlMWSgwNC8xOS8yMDEwLCwsLCwnRElMJykvRUNBX01FQU5fRUJJVERBKDIwMTAsM","DQvMTkvMjAxMCk=&amp;WINDOW=FIRST_POPUP&amp;HEIGHT=450&amp;WIDTH=450&amp;START_MAXIMIZED=FALSE&amp;VAR:CALENDAR=US&amp;VAR:SYMBOL=COL&amp;VAR:INDEX=0"}</definedName>
    <definedName name="_324__FDSAUDITLINK__" hidden="1">{"fdsup://directions/FAT Viewer?action=UPDATE&amp;creator=factset&amp;DYN_ARGS=TRUE&amp;DOC_NAME=FAT:FQL_AUDITING_CLIENT_TEMPLATE.FAT&amp;display_string=Audit&amp;VAR:KEY=WLOLUBCBYV&amp;VAR:QUERY=RkZfRU5UUlBSX1ZBTF9EQUlMWSgwNC8xOS8yMDEwLCwsLCwnRElMJykvRUNBX01FQU5fU0FMRVMoMjAxMiwwN","C8xOS8yMDEwKQ==&amp;WINDOW=FIRST_POPUP&amp;HEIGHT=450&amp;WIDTH=450&amp;START_MAXIMIZED=FALSE&amp;VAR:CALENDAR=US&amp;VAR:SYMBOL=BEAV&amp;VAR:INDEX=0"}</definedName>
    <definedName name="_325__FDSAUDITLINK__" hidden="1">{"fdsup://directions/FAT Viewer?action=UPDATE&amp;creator=factset&amp;DYN_ARGS=TRUE&amp;DOC_NAME=FAT:FQL_AUDITING_CLIENT_TEMPLATE.FAT&amp;display_string=Audit&amp;VAR:KEY=MDCPENYLMT&amp;VAR:QUERY=RkZfRU5UUlBSX1ZBTF9EQUlMWSgwNC8xOS8yMDEwLCwsLCwnRElMJykvRUNBX01FQU5fU0FMRVMoMjAxMSwwN","C8xOS8yMDEwKQ==&amp;WINDOW=FIRST_POPUP&amp;HEIGHT=450&amp;WIDTH=450&amp;START_MAXIMIZED=FALSE&amp;VAR:CALENDAR=US&amp;VAR:SYMBOL=BEAV&amp;VAR:INDEX=0"}</definedName>
    <definedName name="_326__FDSAUDITLINK__" hidden="1">{"fdsup://directions/FAT Viewer?action=UPDATE&amp;creator=factset&amp;DYN_ARGS=TRUE&amp;DOC_NAME=FAT:FQL_AUDITING_CLIENT_TEMPLATE.FAT&amp;display_string=Audit&amp;VAR:KEY=SRIDOXYFWL&amp;VAR:QUERY=RkZfRU5UUlBSX1ZBTF9EQUlMWSgwNC8xOS8yMDEwLCwsLCwnRElMJykvRUNBX01FQU5fU0FMRVMoMjAxMCwwN","C8xOS8yMDEwKQ==&amp;WINDOW=FIRST_POPUP&amp;HEIGHT=450&amp;WIDTH=450&amp;START_MAXIMIZED=FALSE&amp;VAR:CALENDAR=US&amp;VAR:SYMBOL=BEAV&amp;VAR:INDEX=0"}</definedName>
    <definedName name="_327__FDSAUDITLINK__" hidden="1">{"fdsup://directions/FAT Viewer?action=UPDATE&amp;creator=factset&amp;DYN_ARGS=TRUE&amp;DOC_NAME=FAT:FQL_AUDITING_CLIENT_TEMPLATE.FAT&amp;display_string=Audit&amp;VAR:KEY=EFWPQZYVAF&amp;VAR:QUERY=RkZfRU5UUlBSX1ZBTF9EQUlMWSgwNC8xOS8yMDEwLCwsLCwnRElMJykvRUNBX01FQU5fRUJJVCgyMDEyLDA0L","zE5LzIwMTAp&amp;WINDOW=FIRST_POPUP&amp;HEIGHT=450&amp;WIDTH=450&amp;START_MAXIMIZED=FALSE&amp;VAR:CALENDAR=US&amp;VAR:SYMBOL=BEAV&amp;VAR:INDEX=0"}</definedName>
    <definedName name="_328__FDSAUDITLINK__" hidden="1">{"fdsup://directions/FAT Viewer?action=UPDATE&amp;creator=factset&amp;DYN_ARGS=TRUE&amp;DOC_NAME=FAT:FQL_AUDITING_CLIENT_TEMPLATE.FAT&amp;display_string=Audit&amp;VAR:KEY=AXORENKBQD&amp;VAR:QUERY=RkZfRU5UUlBSX1ZBTF9EQUlMWSgwNC8xOS8yMDEwLCwsLCwnRElMJykvRUNBX01FQU5fRUJJVCgyMDExLDA0L","zE5LzIwMTAp&amp;WINDOW=FIRST_POPUP&amp;HEIGHT=450&amp;WIDTH=450&amp;START_MAXIMIZED=FALSE&amp;VAR:CALENDAR=US&amp;VAR:SYMBOL=BEAV&amp;VAR:INDEX=0"}</definedName>
    <definedName name="_329__FDSAUDITLINK__" hidden="1">{"fdsup://directions/FAT Viewer?action=UPDATE&amp;creator=factset&amp;DYN_ARGS=TRUE&amp;DOC_NAME=FAT:FQL_AUDITING_CLIENT_TEMPLATE.FAT&amp;display_string=Audit&amp;VAR:KEY=APWLIHWREN&amp;VAR:QUERY=RkZfRU5UUlBSX1ZBTF9EQUlMWSgwNC8xOS8yMDEwLCwsLCwnRElMJykvRUNBX01FQU5fRUJJVCgyMDEwLDA0L","zE5LzIwMTAp&amp;WINDOW=FIRST_POPUP&amp;HEIGHT=450&amp;WIDTH=450&amp;START_MAXIMIZED=FALSE&amp;VAR:CALENDAR=US&amp;VAR:SYMBOL=BEAV&amp;VAR:INDEX=0"}</definedName>
    <definedName name="_33__FDSAUDITLINK__" hidden="1">{"fdsup://directions/FAT Viewer?action=UPDATE&amp;creator=factset&amp;DYN_ARGS=TRUE&amp;DOC_NAME=FAT:FQL_AUDITING_CLIENT_TEMPLATE.FAT&amp;display_string=Audit&amp;VAR:KEY=DEZQFMXAZS&amp;VAR:QUERY=RkZfRU5UUlBSX1ZBTF9EQUlMWSgwNC8xOS8yMDEwLCwsLCwnRElMJykvRUNBX01FQU5fRUJJVCgyMDEwLDA0L","zE5LzIwMTAp&amp;WINDOW=FIRST_POPUP&amp;HEIGHT=450&amp;WIDTH=450&amp;START_MAXIMIZED=FALSE&amp;VAR:CALENDAR=US&amp;VAR:SYMBOL=COL&amp;VAR:INDEX=0"}</definedName>
    <definedName name="_330__FDSAUDITLINK__" hidden="1">{"fdsup://directions/FAT Viewer?action=UPDATE&amp;creator=factset&amp;DYN_ARGS=TRUE&amp;DOC_NAME=FAT:FQL_AUDITING_CLIENT_TEMPLATE.FAT&amp;display_string=Audit&amp;VAR:KEY=AVQLMVKDGN&amp;VAR:QUERY=RkZfRU5UUlBSX1ZBTF9EQUlMWSgwNC8xOS8yMDEwLCwsLCwnRElMJykvRUNBX01FQU5fRUJJVERBKDIwMTIsM","DQvMTkvMjAxMCk=&amp;WINDOW=FIRST_POPUP&amp;HEIGHT=450&amp;WIDTH=450&amp;START_MAXIMIZED=FALSE&amp;VAR:CALENDAR=US&amp;VAR:SYMBOL=BEAV&amp;VAR:INDEX=0"}</definedName>
    <definedName name="_331__FDSAUDITLINK__" hidden="1">{"fdsup://directions/FAT Viewer?action=UPDATE&amp;creator=factset&amp;DYN_ARGS=TRUE&amp;DOC_NAME=FAT:FQL_AUDITING_CLIENT_TEMPLATE.FAT&amp;display_string=Audit&amp;VAR:KEY=WZEXMTYHSP&amp;VAR:QUERY=RkZfRU5UUlBSX1ZBTF9EQUlMWSgwNC8xOS8yMDEwLCwsLCwnRElMJykvRUNBX01FQU5fRUJJVERBKDIwMTEsM","DQvMTkvMjAxMCk=&amp;WINDOW=FIRST_POPUP&amp;HEIGHT=450&amp;WIDTH=450&amp;START_MAXIMIZED=FALSE&amp;VAR:CALENDAR=US&amp;VAR:SYMBOL=BEAV&amp;VAR:INDEX=0"}</definedName>
    <definedName name="_332__FDSAUDITLINK__" hidden="1">{"fdsup://directions/FAT Viewer?action=UPDATE&amp;creator=factset&amp;DYN_ARGS=TRUE&amp;DOC_NAME=FAT:FQL_AUDITING_CLIENT_TEMPLATE.FAT&amp;display_string=Audit&amp;VAR:KEY=WZOZUBWHIJ&amp;VAR:QUERY=RkZfRU5UUlBSX1ZBTF9EQUlMWSgwNC8xOS8yMDEwLCwsLCwnRElMJykvRUNBX01FQU5fRUJJVERBKDIwMTAsM","DQvMTkvMjAxMCk=&amp;WINDOW=FIRST_POPUP&amp;HEIGHT=450&amp;WIDTH=450&amp;START_MAXIMIZED=FALSE&amp;VAR:CALENDAR=US&amp;VAR:SYMBOL=BEAV&amp;VAR:INDEX=0"}</definedName>
    <definedName name="_333__FDSAUDITLINK__" hidden="1">{"fdsup://directions/FAT Viewer?action=UPDATE&amp;creator=factset&amp;DYN_ARGS=TRUE&amp;DOC_NAME=FAT:FQL_AUDITING_CLIENT_TEMPLATE.FAT&amp;display_string=Audit&amp;VAR:KEY=IFAVSBQJGR&amp;VAR:QUERY=RkZfRU5UUlBSX1ZBTF9EQUlMWSgwNC8xOS8yMDEwLCwsLCwnRElMJykvRUNBX01FQU5fU0FMRVMoMjAxMiwwN","C8xOS8yMDEwKQ==&amp;WINDOW=FIRST_POPUP&amp;HEIGHT=450&amp;WIDTH=450&amp;START_MAXIMIZED=FALSE&amp;VAR:CALENDAR=US&amp;VAR:INDEX=0"}</definedName>
    <definedName name="_334__FDSAUDITLINK__" hidden="1">{"fdsup://directions/FAT Viewer?action=UPDATE&amp;creator=factset&amp;DYN_ARGS=TRUE&amp;DOC_NAME=FAT:FQL_AUDITING_CLIENT_TEMPLATE.FAT&amp;display_string=Audit&amp;VAR:KEY=MPITWPAVIZ&amp;VAR:QUERY=RkZfRU5UUlBSX1ZBTF9EQUlMWSgwNC8xOS8yMDEwLCwsLCwnRElMJykvRUNBX01FQU5fU0FMRVMoMjAxMSwwN","C8xOS8yMDEwKQ==&amp;WINDOW=FIRST_POPUP&amp;HEIGHT=450&amp;WIDTH=450&amp;START_MAXIMIZED=FALSE&amp;VAR:CALENDAR=US&amp;VAR:INDEX=0"}</definedName>
    <definedName name="_335__FDSAUDITLINK__" hidden="1">{"fdsup://directions/FAT Viewer?action=UPDATE&amp;creator=factset&amp;DYN_ARGS=TRUE&amp;DOC_NAME=FAT:FQL_AUDITING_CLIENT_TEMPLATE.FAT&amp;display_string=Audit&amp;VAR:KEY=ETCBCZQJGL&amp;VAR:QUERY=RkZfRU5UUlBSX1ZBTF9EQUlMWSgwNC8xOS8yMDEwLCwsLCwnRElMJykvRUNBX01FQU5fU0FMRVMoMjAxMCwwN","C8xOS8yMDEwKQ==&amp;WINDOW=FIRST_POPUP&amp;HEIGHT=450&amp;WIDTH=450&amp;START_MAXIMIZED=FALSE&amp;VAR:CALENDAR=US&amp;VAR:INDEX=0"}</definedName>
    <definedName name="_336__FDSAUDITLINK__" hidden="1">{"fdsup://directions/FAT Viewer?action=UPDATE&amp;creator=factset&amp;DYN_ARGS=TRUE&amp;DOC_NAME=FAT:FQL_AUDITING_CLIENT_TEMPLATE.FAT&amp;display_string=Audit&amp;VAR:KEY=KJQDOJGRWL&amp;VAR:QUERY=RkZfRU5UUlBSX1ZBTF9EQUlMWSgwNC8xOS8yMDEwLCwsLCwnRElMJykvRUNBX01FQU5fRUJJVCgyMDEyLDA0L","zE5LzIwMTAp&amp;WINDOW=FIRST_POPUP&amp;HEIGHT=450&amp;WIDTH=450&amp;START_MAXIMIZED=FALSE&amp;VAR:CALENDAR=US&amp;VAR:INDEX=0"}</definedName>
    <definedName name="_337__FDSAUDITLINK__" hidden="1">{"fdsup://directions/FAT Viewer?action=UPDATE&amp;creator=factset&amp;DYN_ARGS=TRUE&amp;DOC_NAME=FAT:FQL_AUDITING_CLIENT_TEMPLATE.FAT&amp;display_string=Audit&amp;VAR:KEY=SBIDQVEZGF&amp;VAR:QUERY=RkZfRU5UUlBSX1ZBTF9EQUlMWSgwNC8xOS8yMDEwLCwsLCwnRElMJykvRUNBX01FQU5fRUJJVCgyMDExLDA0L","zE5LzIwMTAp&amp;WINDOW=FIRST_POPUP&amp;HEIGHT=450&amp;WIDTH=450&amp;START_MAXIMIZED=FALSE&amp;VAR:CALENDAR=US&amp;VAR:INDEX=0"}</definedName>
    <definedName name="_338__FDSAUDITLINK__" hidden="1">{"fdsup://directions/FAT Viewer?action=UPDATE&amp;creator=factset&amp;DYN_ARGS=TRUE&amp;DOC_NAME=FAT:FQL_AUDITING_CLIENT_TEMPLATE.FAT&amp;display_string=Audit&amp;VAR:KEY=YJGVSJYJUD&amp;VAR:QUERY=RkZfRU5UUlBSX1ZBTF9EQUlMWSgwNC8xOS8yMDEwLCwsLCwnRElMJykvRUNBX01FQU5fRUJJVCgyMDEwLDA0L","zE5LzIwMTAp&amp;WINDOW=FIRST_POPUP&amp;HEIGHT=450&amp;WIDTH=450&amp;START_MAXIMIZED=FALSE&amp;VAR:CALENDAR=US&amp;VAR:INDEX=0"}</definedName>
    <definedName name="_339__FDSAUDITLINK__" hidden="1">{"fdsup://directions/FAT Viewer?action=UPDATE&amp;creator=factset&amp;DYN_ARGS=TRUE&amp;DOC_NAME=FAT:FQL_AUDITING_CLIENT_TEMPLATE.FAT&amp;display_string=Audit&amp;VAR:KEY=KNYFIDKBAF&amp;VAR:QUERY=RkZfRU5UUlBSX1ZBTF9EQUlMWSgwNC8xOS8yMDEwLCwsLCwnRElMJykvRUNBX01FQU5fRUJJVERBKDIwMTIsM","DQvMTkvMjAxMCk=&amp;WINDOW=FIRST_POPUP&amp;HEIGHT=450&amp;WIDTH=450&amp;START_MAXIMIZED=FALSE&amp;VAR:CALENDAR=US&amp;VAR:INDEX=0"}</definedName>
    <definedName name="_34__FDSAUDITLINK__" hidden="1">{"fdsup://directions/FAT Viewer?action=UPDATE&amp;creator=factset&amp;DYN_ARGS=TRUE&amp;DOC_NAME=FAT:FQL_AUDITING_CLIENT_TEMPLATE.FAT&amp;display_string=Audit&amp;VAR:KEY=VWREJSNUJY&amp;VAR:QUERY=RkZfRU5UUlBSX1ZBTF9EQUlMWSgwNC8xOS8yMDEwLCwsLCwnRElMJykvRUNBX01FQU5fRUJJVERBKDIwMTIsM","DQvMTkvMjAxMCk=&amp;WINDOW=FIRST_POPUP&amp;HEIGHT=450&amp;WIDTH=450&amp;START_MAXIMIZED=FALSE&amp;VAR:CALENDAR=US&amp;VAR:SYMBOL=COL&amp;VAR:INDEX=0"}</definedName>
    <definedName name="_340__FDSAUDITLINK__" hidden="1">{"fdsup://directions/FAT Viewer?action=UPDATE&amp;creator=factset&amp;DYN_ARGS=TRUE&amp;DOC_NAME=FAT:FQL_AUDITING_CLIENT_TEMPLATE.FAT&amp;display_string=Audit&amp;VAR:KEY=UBINOJYPKX&amp;VAR:QUERY=RkZfRU5UUlBSX1ZBTF9EQUlMWSgwNC8xOS8yMDEwLCwsLCwnRElMJykvRUNBX01FQU5fRUJJVERBKDIwMTEsM","DQvMTkvMjAxMCk=&amp;WINDOW=FIRST_POPUP&amp;HEIGHT=450&amp;WIDTH=450&amp;START_MAXIMIZED=FALSE&amp;VAR:CALENDAR=US&amp;VAR:INDEX=0"}</definedName>
    <definedName name="_341__FDSAUDITLINK__" hidden="1">{"fdsup://directions/FAT Viewer?action=UPDATE&amp;creator=factset&amp;DYN_ARGS=TRUE&amp;DOC_NAME=FAT:FQL_AUDITING_CLIENT_TEMPLATE.FAT&amp;display_string=Audit&amp;VAR:KEY=EVCZEBIHSR&amp;VAR:QUERY=RkZfRU5UUlBSX1ZBTF9EQUlMWSgwNC8xOS8yMDEwLCwsLCwnRElMJykvRUNBX01FQU5fRUJJVERBKDIwMTAsM","DQvMTkvMjAxMCk=&amp;WINDOW=FIRST_POPUP&amp;HEIGHT=450&amp;WIDTH=450&amp;START_MAXIMIZED=FALSE&amp;VAR:CALENDAR=US&amp;VAR:INDEX=0"}</definedName>
    <definedName name="_342__FDSAUDITLINK__" hidden="1">{"fdsup://directions/FAT Viewer?action=UPDATE&amp;creator=factset&amp;DYN_ARGS=TRUE&amp;DOC_NAME=FAT:FQL_AUDITING_CLIENT_TEMPLATE.FAT&amp;display_string=Audit&amp;VAR:KEY=IFAVSBQJGR&amp;VAR:QUERY=RkZfRU5UUlBSX1ZBTF9EQUlMWSgwNC8xOS8yMDEwLCwsLCwnRElMJykvRUNBX01FQU5fU0FMRVMoMjAxMiwwN","C8xOS8yMDEwKQ==&amp;WINDOW=FIRST_POPUP&amp;HEIGHT=450&amp;WIDTH=450&amp;START_MAXIMIZED=FALSE&amp;VAR:CALENDAR=US&amp;VAR:INDEX=0"}</definedName>
    <definedName name="_343__FDSAUDITLINK__" hidden="1">{"fdsup://directions/FAT Viewer?action=UPDATE&amp;creator=factset&amp;DYN_ARGS=TRUE&amp;DOC_NAME=FAT:FQL_AUDITING_CLIENT_TEMPLATE.FAT&amp;display_string=Audit&amp;VAR:KEY=MPITWPAVIZ&amp;VAR:QUERY=RkZfRU5UUlBSX1ZBTF9EQUlMWSgwNC8xOS8yMDEwLCwsLCwnRElMJykvRUNBX01FQU5fU0FMRVMoMjAxMSwwN","C8xOS8yMDEwKQ==&amp;WINDOW=FIRST_POPUP&amp;HEIGHT=450&amp;WIDTH=450&amp;START_MAXIMIZED=FALSE&amp;VAR:CALENDAR=US&amp;VAR:INDEX=0"}</definedName>
    <definedName name="_344__FDSAUDITLINK__" hidden="1">{"fdsup://directions/FAT Viewer?action=UPDATE&amp;creator=factset&amp;DYN_ARGS=TRUE&amp;DOC_NAME=FAT:FQL_AUDITING_CLIENT_TEMPLATE.FAT&amp;display_string=Audit&amp;VAR:KEY=ETCBCZQJGL&amp;VAR:QUERY=RkZfRU5UUlBSX1ZBTF9EQUlMWSgwNC8xOS8yMDEwLCwsLCwnRElMJykvRUNBX01FQU5fU0FMRVMoMjAxMCwwN","C8xOS8yMDEwKQ==&amp;WINDOW=FIRST_POPUP&amp;HEIGHT=450&amp;WIDTH=450&amp;START_MAXIMIZED=FALSE&amp;VAR:CALENDAR=US&amp;VAR:INDEX=0"}</definedName>
    <definedName name="_345__FDSAUDITLINK__" hidden="1">{"fdsup://directions/FAT Viewer?action=UPDATE&amp;creator=factset&amp;DYN_ARGS=TRUE&amp;DOC_NAME=FAT:FQL_AUDITING_CLIENT_TEMPLATE.FAT&amp;display_string=Audit&amp;VAR:KEY=KJQDOJGRWL&amp;VAR:QUERY=RkZfRU5UUlBSX1ZBTF9EQUlMWSgwNC8xOS8yMDEwLCwsLCwnRElMJykvRUNBX01FQU5fRUJJVCgyMDEyLDA0L","zE5LzIwMTAp&amp;WINDOW=FIRST_POPUP&amp;HEIGHT=450&amp;WIDTH=450&amp;START_MAXIMIZED=FALSE&amp;VAR:CALENDAR=US&amp;VAR:INDEX=0"}</definedName>
    <definedName name="_346__FDSAUDITLINK__" hidden="1">{"fdsup://directions/FAT Viewer?action=UPDATE&amp;creator=factset&amp;DYN_ARGS=TRUE&amp;DOC_NAME=FAT:FQL_AUDITING_CLIENT_TEMPLATE.FAT&amp;display_string=Audit&amp;VAR:KEY=SBIDQVEZGF&amp;VAR:QUERY=RkZfRU5UUlBSX1ZBTF9EQUlMWSgwNC8xOS8yMDEwLCwsLCwnRElMJykvRUNBX01FQU5fRUJJVCgyMDExLDA0L","zE5LzIwMTAp&amp;WINDOW=FIRST_POPUP&amp;HEIGHT=450&amp;WIDTH=450&amp;START_MAXIMIZED=FALSE&amp;VAR:CALENDAR=US&amp;VAR:INDEX=0"}</definedName>
    <definedName name="_347__FDSAUDITLINK__" hidden="1">{"fdsup://directions/FAT Viewer?action=UPDATE&amp;creator=factset&amp;DYN_ARGS=TRUE&amp;DOC_NAME=FAT:FQL_AUDITING_CLIENT_TEMPLATE.FAT&amp;display_string=Audit&amp;VAR:KEY=YJGVSJYJUD&amp;VAR:QUERY=RkZfRU5UUlBSX1ZBTF9EQUlMWSgwNC8xOS8yMDEwLCwsLCwnRElMJykvRUNBX01FQU5fRUJJVCgyMDEwLDA0L","zE5LzIwMTAp&amp;WINDOW=FIRST_POPUP&amp;HEIGHT=450&amp;WIDTH=450&amp;START_MAXIMIZED=FALSE&amp;VAR:CALENDAR=US&amp;VAR:INDEX=0"}</definedName>
    <definedName name="_348__FDSAUDITLINK__" hidden="1">{"fdsup://directions/FAT Viewer?action=UPDATE&amp;creator=factset&amp;DYN_ARGS=TRUE&amp;DOC_NAME=FAT:FQL_AUDITING_CLIENT_TEMPLATE.FAT&amp;display_string=Audit&amp;VAR:KEY=KNYFIDKBAF&amp;VAR:QUERY=RkZfRU5UUlBSX1ZBTF9EQUlMWSgwNC8xOS8yMDEwLCwsLCwnRElMJykvRUNBX01FQU5fRUJJVERBKDIwMTIsM","DQvMTkvMjAxMCk=&amp;WINDOW=FIRST_POPUP&amp;HEIGHT=450&amp;WIDTH=450&amp;START_MAXIMIZED=FALSE&amp;VAR:CALENDAR=US&amp;VAR:INDEX=0"}</definedName>
    <definedName name="_349__FDSAUDITLINK__" hidden="1">{"fdsup://directions/FAT Viewer?action=UPDATE&amp;creator=factset&amp;DYN_ARGS=TRUE&amp;DOC_NAME=FAT:FQL_AUDITING_CLIENT_TEMPLATE.FAT&amp;display_string=Audit&amp;VAR:KEY=UBINOJYPKX&amp;VAR:QUERY=RkZfRU5UUlBSX1ZBTF9EQUlMWSgwNC8xOS8yMDEwLCwsLCwnRElMJykvRUNBX01FQU5fRUJJVERBKDIwMTEsM","DQvMTkvMjAxMCk=&amp;WINDOW=FIRST_POPUP&amp;HEIGHT=450&amp;WIDTH=450&amp;START_MAXIMIZED=FALSE&amp;VAR:CALENDAR=US&amp;VAR:INDEX=0"}</definedName>
    <definedName name="_35__FDSAUDITLINK__" hidden="1">{"fdsup://directions/FAT Viewer?action=UPDATE&amp;creator=factset&amp;DYN_ARGS=TRUE&amp;DOC_NAME=FAT:FQL_AUDITING_CLIENT_TEMPLATE.FAT&amp;display_string=Audit&amp;VAR:KEY=BMBOFMRCTM&amp;VAR:QUERY=RkZfRU5UUlBSX1ZBTF9EQUlMWSgwNC8xOS8yMDEwLCwsLCwnRElMJykvRUNBX01FQU5fRUJJVERBKDIwMTEsM","DQvMTkvMjAxMCk=&amp;WINDOW=FIRST_POPUP&amp;HEIGHT=450&amp;WIDTH=450&amp;START_MAXIMIZED=FALSE&amp;VAR:CALENDAR=US&amp;VAR:SYMBOL=COL&amp;VAR:INDEX=0"}</definedName>
    <definedName name="_350__FDSAUDITLINK__" hidden="1">{"fdsup://directions/FAT Viewer?action=UPDATE&amp;creator=factset&amp;DYN_ARGS=TRUE&amp;DOC_NAME=FAT:FQL_AUDITING_CLIENT_TEMPLATE.FAT&amp;display_string=Audit&amp;VAR:KEY=EVCZEBIHSR&amp;VAR:QUERY=RkZfRU5UUlBSX1ZBTF9EQUlMWSgwNC8xOS8yMDEwLCwsLCwnRElMJykvRUNBX01FQU5fRUJJVERBKDIwMTAsM","DQvMTkvMjAxMCk=&amp;WINDOW=FIRST_POPUP&amp;HEIGHT=450&amp;WIDTH=450&amp;START_MAXIMIZED=FALSE&amp;VAR:CALENDAR=US&amp;VAR:INDEX=0"}</definedName>
    <definedName name="_351__FDSAUDITLINK__" hidden="1">{"fdsup://directions/FAT Viewer?action=UPDATE&amp;creator=factset&amp;DYN_ARGS=TRUE&amp;DOC_NAME=FAT:FQL_AUDITING_CLIENT_TEMPLATE.FAT&amp;display_string=Audit&amp;VAR:KEY=IFAVSBQJGR&amp;VAR:QUERY=RkZfRU5UUlBSX1ZBTF9EQUlMWSgwNC8xOS8yMDEwLCwsLCwnRElMJykvRUNBX01FQU5fU0FMRVMoMjAxMiwwN","C8xOS8yMDEwKQ==&amp;WINDOW=FIRST_POPUP&amp;HEIGHT=450&amp;WIDTH=450&amp;START_MAXIMIZED=FALSE&amp;VAR:CALENDAR=US&amp;VAR:INDEX=0"}</definedName>
    <definedName name="_352__FDSAUDITLINK__" hidden="1">{"fdsup://directions/FAT Viewer?action=UPDATE&amp;creator=factset&amp;DYN_ARGS=TRUE&amp;DOC_NAME=FAT:FQL_AUDITING_CLIENT_TEMPLATE.FAT&amp;display_string=Audit&amp;VAR:KEY=MPITWPAVIZ&amp;VAR:QUERY=RkZfRU5UUlBSX1ZBTF9EQUlMWSgwNC8xOS8yMDEwLCwsLCwnRElMJykvRUNBX01FQU5fU0FMRVMoMjAxMSwwN","C8xOS8yMDEwKQ==&amp;WINDOW=FIRST_POPUP&amp;HEIGHT=450&amp;WIDTH=450&amp;START_MAXIMIZED=FALSE&amp;VAR:CALENDAR=US&amp;VAR:INDEX=0"}</definedName>
    <definedName name="_353__FDSAUDITLINK__" hidden="1">{"fdsup://directions/FAT Viewer?action=UPDATE&amp;creator=factset&amp;DYN_ARGS=TRUE&amp;DOC_NAME=FAT:FQL_AUDITING_CLIENT_TEMPLATE.FAT&amp;display_string=Audit&amp;VAR:KEY=ETCBCZQJGL&amp;VAR:QUERY=RkZfRU5UUlBSX1ZBTF9EQUlMWSgwNC8xOS8yMDEwLCwsLCwnRElMJykvRUNBX01FQU5fU0FMRVMoMjAxMCwwN","C8xOS8yMDEwKQ==&amp;WINDOW=FIRST_POPUP&amp;HEIGHT=450&amp;WIDTH=450&amp;START_MAXIMIZED=FALSE&amp;VAR:CALENDAR=US&amp;VAR:INDEX=0"}</definedName>
    <definedName name="_354__FDSAUDITLINK__" hidden="1">{"fdsup://directions/FAT Viewer?action=UPDATE&amp;creator=factset&amp;DYN_ARGS=TRUE&amp;DOC_NAME=FAT:FQL_AUDITING_CLIENT_TEMPLATE.FAT&amp;display_string=Audit&amp;VAR:KEY=KJQDOJGRWL&amp;VAR:QUERY=RkZfRU5UUlBSX1ZBTF9EQUlMWSgwNC8xOS8yMDEwLCwsLCwnRElMJykvRUNBX01FQU5fRUJJVCgyMDEyLDA0L","zE5LzIwMTAp&amp;WINDOW=FIRST_POPUP&amp;HEIGHT=450&amp;WIDTH=450&amp;START_MAXIMIZED=FALSE&amp;VAR:CALENDAR=US&amp;VAR:INDEX=0"}</definedName>
    <definedName name="_355__FDSAUDITLINK__" hidden="1">{"fdsup://directions/FAT Viewer?action=UPDATE&amp;creator=factset&amp;DYN_ARGS=TRUE&amp;DOC_NAME=FAT:FQL_AUDITING_CLIENT_TEMPLATE.FAT&amp;display_string=Audit&amp;VAR:KEY=SBIDQVEZGF&amp;VAR:QUERY=RkZfRU5UUlBSX1ZBTF9EQUlMWSgwNC8xOS8yMDEwLCwsLCwnRElMJykvRUNBX01FQU5fRUJJVCgyMDExLDA0L","zE5LzIwMTAp&amp;WINDOW=FIRST_POPUP&amp;HEIGHT=450&amp;WIDTH=450&amp;START_MAXIMIZED=FALSE&amp;VAR:CALENDAR=US&amp;VAR:INDEX=0"}</definedName>
    <definedName name="_356__FDSAUDITLINK__" hidden="1">{"fdsup://directions/FAT Viewer?action=UPDATE&amp;creator=factset&amp;DYN_ARGS=TRUE&amp;DOC_NAME=FAT:FQL_AUDITING_CLIENT_TEMPLATE.FAT&amp;display_string=Audit&amp;VAR:KEY=YJGVSJYJUD&amp;VAR:QUERY=RkZfRU5UUlBSX1ZBTF9EQUlMWSgwNC8xOS8yMDEwLCwsLCwnRElMJykvRUNBX01FQU5fRUJJVCgyMDEwLDA0L","zE5LzIwMTAp&amp;WINDOW=FIRST_POPUP&amp;HEIGHT=450&amp;WIDTH=450&amp;START_MAXIMIZED=FALSE&amp;VAR:CALENDAR=US&amp;VAR:INDEX=0"}</definedName>
    <definedName name="_357__FDSAUDITLINK__" hidden="1">{"fdsup://directions/FAT Viewer?action=UPDATE&amp;creator=factset&amp;DYN_ARGS=TRUE&amp;DOC_NAME=FAT:FQL_AUDITING_CLIENT_TEMPLATE.FAT&amp;display_string=Audit&amp;VAR:KEY=KNYFIDKBAF&amp;VAR:QUERY=RkZfRU5UUlBSX1ZBTF9EQUlMWSgwNC8xOS8yMDEwLCwsLCwnRElMJykvRUNBX01FQU5fRUJJVERBKDIwMTIsM","DQvMTkvMjAxMCk=&amp;WINDOW=FIRST_POPUP&amp;HEIGHT=450&amp;WIDTH=450&amp;START_MAXIMIZED=FALSE&amp;VAR:CALENDAR=US&amp;VAR:INDEX=0"}</definedName>
    <definedName name="_358__FDSAUDITLINK__" hidden="1">{"fdsup://directions/FAT Viewer?action=UPDATE&amp;creator=factset&amp;DYN_ARGS=TRUE&amp;DOC_NAME=FAT:FQL_AUDITING_CLIENT_TEMPLATE.FAT&amp;display_string=Audit&amp;VAR:KEY=UBINOJYPKX&amp;VAR:QUERY=RkZfRU5UUlBSX1ZBTF9EQUlMWSgwNC8xOS8yMDEwLCwsLCwnRElMJykvRUNBX01FQU5fRUJJVERBKDIwMTEsM","DQvMTkvMjAxMCk=&amp;WINDOW=FIRST_POPUP&amp;HEIGHT=450&amp;WIDTH=450&amp;START_MAXIMIZED=FALSE&amp;VAR:CALENDAR=US&amp;VAR:INDEX=0"}</definedName>
    <definedName name="_359__FDSAUDITLINK__" hidden="1">{"fdsup://directions/FAT Viewer?action=UPDATE&amp;creator=factset&amp;DYN_ARGS=TRUE&amp;DOC_NAME=FAT:FQL_AUDITING_CLIENT_TEMPLATE.FAT&amp;display_string=Audit&amp;VAR:KEY=EVCZEBIHSR&amp;VAR:QUERY=RkZfRU5UUlBSX1ZBTF9EQUlMWSgwNC8xOS8yMDEwLCwsLCwnRElMJykvRUNBX01FQU5fRUJJVERBKDIwMTAsM","DQvMTkvMjAxMCk=&amp;WINDOW=FIRST_POPUP&amp;HEIGHT=450&amp;WIDTH=450&amp;START_MAXIMIZED=FALSE&amp;VAR:CALENDAR=US&amp;VAR:INDEX=0"}</definedName>
    <definedName name="_36__FDSAUDITLINK__" hidden="1">{"fdsup://directions/FAT Viewer?action=UPDATE&amp;creator=factset&amp;DYN_ARGS=TRUE&amp;DOC_NAME=FAT:FQL_AUDITING_CLIENT_TEMPLATE.FAT&amp;display_string=Audit&amp;VAR:KEY=FUNCPARMFG&amp;VAR:QUERY=RkZfRU5UUlBSX1ZBTF9EQUlMWSgwNC8xOS8yMDEwLCwsLCwnRElMJykvRUNBX01FQU5fRUJJVERBKDIwMTAsM","DQvMTkvMjAxMCk=&amp;WINDOW=FIRST_POPUP&amp;HEIGHT=450&amp;WIDTH=450&amp;START_MAXIMIZED=FALSE&amp;VAR:CALENDAR=US&amp;VAR:SYMBOL=COL&amp;VAR:INDEX=0"}</definedName>
    <definedName name="_360__FDSAUDITLINK__" hidden="1">{"fdsup://directions/FAT Viewer?action=UPDATE&amp;creator=factset&amp;DYN_ARGS=TRUE&amp;DOC_NAME=FAT:FQL_AUDITING_CLIENT_TEMPLATE.FAT&amp;display_string=Audit&amp;VAR:KEY=WTQTENOXAB&amp;VAR:QUERY=RkZfRU5UUlBSX1ZBTF9EQUlMWSgwNC8xOS8yMDEwLCwsLCwnRElMJykvRUNBX01FQU5fU0FMRVMoMjAxMiwwN","C8xOS8yMDEwKQ==&amp;WINDOW=FIRST_POPUP&amp;HEIGHT=450&amp;WIDTH=450&amp;START_MAXIMIZED=FALSE&amp;VAR:CALENDAR=US&amp;VAR:SYMBOL=GD&amp;VAR:INDEX=0"}</definedName>
    <definedName name="_361__FDSAUDITLINK__" hidden="1">{"fdsup://directions/FAT Viewer?action=UPDATE&amp;creator=factset&amp;DYN_ARGS=TRUE&amp;DOC_NAME=FAT:FQL_AUDITING_CLIENT_TEMPLATE.FAT&amp;display_string=Audit&amp;VAR:KEY=UBMDEPOXGH&amp;VAR:QUERY=RkZfRU5UUlBSX1ZBTF9EQUlMWSgwNC8xOS8yMDEwLCwsLCwnRElMJykvRUNBX01FQU5fU0FMRVMoMjAxMSwwN","C8xOS8yMDEwKQ==&amp;WINDOW=FIRST_POPUP&amp;HEIGHT=450&amp;WIDTH=450&amp;START_MAXIMIZED=FALSE&amp;VAR:CALENDAR=US&amp;VAR:SYMBOL=GD&amp;VAR:INDEX=0"}</definedName>
    <definedName name="_362__FDSAUDITLINK__" hidden="1">{"fdsup://directions/FAT Viewer?action=UPDATE&amp;creator=factset&amp;DYN_ARGS=TRUE&amp;DOC_NAME=FAT:FQL_AUDITING_CLIENT_TEMPLATE.FAT&amp;display_string=Audit&amp;VAR:KEY=YTWRGLUXSF&amp;VAR:QUERY=RkZfRU5UUlBSX1ZBTF9EQUlMWSgwNC8xOS8yMDEwLCwsLCwnRElMJykvRUNBX01FQU5fU0FMRVMoMjAxMCwwN","C8xOS8yMDEwKQ==&amp;WINDOW=FIRST_POPUP&amp;HEIGHT=450&amp;WIDTH=450&amp;START_MAXIMIZED=FALSE&amp;VAR:CALENDAR=US&amp;VAR:SYMBOL=GD&amp;VAR:INDEX=0"}</definedName>
    <definedName name="_363__FDSAUDITLINK__" hidden="1">{"fdsup://directions/FAT Viewer?action=UPDATE&amp;creator=factset&amp;DYN_ARGS=TRUE&amp;DOC_NAME=FAT:FQL_AUDITING_CLIENT_TEMPLATE.FAT&amp;display_string=Audit&amp;VAR:KEY=YTABKHYBWR&amp;VAR:QUERY=RkZfRU5UUlBSX1ZBTF9EQUlMWSgwNC8xOS8yMDEwLCwsLCwnRElMJykvRUNBX01FQU5fRUJJVCgyMDEyLDA0L","zE5LzIwMTAp&amp;WINDOW=FIRST_POPUP&amp;HEIGHT=450&amp;WIDTH=450&amp;START_MAXIMIZED=FALSE&amp;VAR:CALENDAR=US&amp;VAR:SYMBOL=GD&amp;VAR:INDEX=0"}</definedName>
    <definedName name="_364__FDSAUDITLINK__" hidden="1">{"fdsup://directions/FAT Viewer?action=UPDATE&amp;creator=factset&amp;DYN_ARGS=TRUE&amp;DOC_NAME=FAT:FQL_AUDITING_CLIENT_TEMPLATE.FAT&amp;display_string=Audit&amp;VAR:KEY=WNKJMHSBEZ&amp;VAR:QUERY=RkZfRU5UUlBSX1ZBTF9EQUlMWSgwNC8xOS8yMDEwLCwsLCwnRElMJykvRUNBX01FQU5fRUJJVCgyMDExLDA0L","zE5LzIwMTAp&amp;WINDOW=FIRST_POPUP&amp;HEIGHT=450&amp;WIDTH=450&amp;START_MAXIMIZED=FALSE&amp;VAR:CALENDAR=US&amp;VAR:SYMBOL=GD&amp;VAR:INDEX=0"}</definedName>
    <definedName name="_365__FDSAUDITLINK__" hidden="1">{"fdsup://directions/FAT Viewer?action=UPDATE&amp;creator=factset&amp;DYN_ARGS=TRUE&amp;DOC_NAME=FAT:FQL_AUDITING_CLIENT_TEMPLATE.FAT&amp;display_string=Audit&amp;VAR:KEY=MHCVSLWFMX&amp;VAR:QUERY=RkZfRU5UUlBSX1ZBTF9EQUlMWSgwNC8xOS8yMDEwLCwsLCwnRElMJykvRUNBX01FQU5fRUJJVCgyMDEwLDA0L","zE5LzIwMTAp&amp;WINDOW=FIRST_POPUP&amp;HEIGHT=450&amp;WIDTH=450&amp;START_MAXIMIZED=FALSE&amp;VAR:CALENDAR=US&amp;VAR:SYMBOL=GD&amp;VAR:INDEX=0"}</definedName>
    <definedName name="_366__FDSAUDITLINK__" hidden="1">{"fdsup://directions/FAT Viewer?action=UPDATE&amp;creator=factset&amp;DYN_ARGS=TRUE&amp;DOC_NAME=FAT:FQL_AUDITING_CLIENT_TEMPLATE.FAT&amp;display_string=Audit&amp;VAR:KEY=OLUFETUFAN&amp;VAR:QUERY=RkZfRU5UUlBSX1ZBTF9EQUlMWSgwNC8xOS8yMDEwLCwsLCwnRElMJykvRUNBX01FQU5fRUJJVERBKDIwMTIsM","DQvMTkvMjAxMCk=&amp;WINDOW=FIRST_POPUP&amp;HEIGHT=450&amp;WIDTH=450&amp;START_MAXIMIZED=FALSE&amp;VAR:CALENDAR=US&amp;VAR:SYMBOL=GD&amp;VAR:INDEX=0"}</definedName>
    <definedName name="_367__FDSAUDITLINK__" hidden="1">{"fdsup://directions/FAT Viewer?action=UPDATE&amp;creator=factset&amp;DYN_ARGS=TRUE&amp;DOC_NAME=FAT:FQL_AUDITING_CLIENT_TEMPLATE.FAT&amp;display_string=Audit&amp;VAR:KEY=QJMZCLUNOB&amp;VAR:QUERY=RkZfRU5UUlBSX1ZBTF9EQUlMWSgwNC8xOS8yMDEwLCwsLCwnRElMJykvRUNBX01FQU5fRUJJVERBKDIwMTEsM","DQvMTkvMjAxMCk=&amp;WINDOW=FIRST_POPUP&amp;HEIGHT=450&amp;WIDTH=450&amp;START_MAXIMIZED=FALSE&amp;VAR:CALENDAR=US&amp;VAR:SYMBOL=GD&amp;VAR:INDEX=0"}</definedName>
    <definedName name="_368__FDSAUDITLINK__" hidden="1">{"fdsup://directions/FAT Viewer?action=UPDATE&amp;creator=factset&amp;DYN_ARGS=TRUE&amp;DOC_NAME=FAT:FQL_AUDITING_CLIENT_TEMPLATE.FAT&amp;display_string=Audit&amp;VAR:KEY=APKPUHMHIZ&amp;VAR:QUERY=RkZfRU5UUlBSX1ZBTF9EQUlMWSgwNC8xOS8yMDEwLCwsLCwnRElMJykvRUNBX01FQU5fRUJJVERBKDIwMTAsM","DQvMTkvMjAxMCk=&amp;WINDOW=FIRST_POPUP&amp;HEIGHT=450&amp;WIDTH=450&amp;START_MAXIMIZED=FALSE&amp;VAR:CALENDAR=US&amp;VAR:SYMBOL=GD&amp;VAR:INDEX=0"}</definedName>
    <definedName name="_369__FDSAUDITLINK__" hidden="1">{"fdsup://directions/FAT Viewer?action=UPDATE&amp;creator=factset&amp;DYN_ARGS=TRUE&amp;DOC_NAME=FAT:FQL_AUDITING_CLIENT_TEMPLATE.FAT&amp;display_string=Audit&amp;VAR:KEY=EREHSROVSH&amp;VAR:QUERY=RkZfRU5UUlBSX1ZBTF9EQUlMWSgwNC8xOS8yMDEwLCwsLCwnRElMJykvRUNBX01FQU5fU0FMRVMoMjAxMiwwN","C8xOS8yMDEwKQ==&amp;WINDOW=FIRST_POPUP&amp;HEIGHT=450&amp;WIDTH=450&amp;START_MAXIMIZED=FALSE&amp;VAR:CALENDAR=US&amp;VAR:SYMBOL=UTX&amp;VAR:INDEX=0"}</definedName>
    <definedName name="_37__FDSAUDITLINK__" hidden="1">{"fdsup://directions/FAT Viewer?action=UPDATE&amp;creator=factset&amp;DYN_ARGS=TRUE&amp;DOC_NAME=FAT:FQL_AUDITING_CLIENT_TEMPLATE.FAT&amp;display_string=Audit&amp;VAR:KEY=JYVOPKZKZS&amp;VAR:QUERY=RkZfRU5UUlBSX1ZBTF9EQUlMWSgwNC8xOS8yMDEwLCwsLCwnRElMJykvRUNBX01FQU5fU0FMRVMoMjAxMiwwN","C8xOS8yMDEwKQ==&amp;WINDOW=FIRST_POPUP&amp;HEIGHT=450&amp;WIDTH=450&amp;START_MAXIMIZED=FALSE&amp;VAR:CALENDAR=US&amp;VAR:SYMBOL=BEAV&amp;VAR:INDEX=0"}</definedName>
    <definedName name="_370__FDSAUDITLINK__" hidden="1">{"fdsup://directions/FAT Viewer?action=UPDATE&amp;creator=factset&amp;DYN_ARGS=TRUE&amp;DOC_NAME=FAT:FQL_AUDITING_CLIENT_TEMPLATE.FAT&amp;display_string=Audit&amp;VAR:KEY=ITWHSJCLKH&amp;VAR:QUERY=RkZfRU5UUlBSX1ZBTF9EQUlMWSgwNC8xOS8yMDEwLCwsLCwnRElMJykvRUNBX01FQU5fU0FMRVMoMjAxMSwwN","C8xOS8yMDEwKQ==&amp;WINDOW=FIRST_POPUP&amp;HEIGHT=450&amp;WIDTH=450&amp;START_MAXIMIZED=FALSE&amp;VAR:CALENDAR=US&amp;VAR:SYMBOL=UTX&amp;VAR:INDEX=0"}</definedName>
    <definedName name="_371__FDSAUDITLINK__" hidden="1">{"fdsup://directions/FAT Viewer?action=UPDATE&amp;creator=factset&amp;DYN_ARGS=TRUE&amp;DOC_NAME=FAT:FQL_AUDITING_CLIENT_TEMPLATE.FAT&amp;display_string=Audit&amp;VAR:KEY=QNWBGTUNWF&amp;VAR:QUERY=RkZfRU5UUlBSX1ZBTF9EQUlMWSgwNC8xOS8yMDEwLCwsLCwnRElMJykvRUNBX01FQU5fU0FMRVMoMjAxMCwwN","C8xOS8yMDEwKQ==&amp;WINDOW=FIRST_POPUP&amp;HEIGHT=450&amp;WIDTH=450&amp;START_MAXIMIZED=FALSE&amp;VAR:CALENDAR=US&amp;VAR:SYMBOL=UTX&amp;VAR:INDEX=0"}</definedName>
    <definedName name="_372__FDSAUDITLINK__" hidden="1">{"fdsup://directions/FAT Viewer?action=UPDATE&amp;creator=factset&amp;DYN_ARGS=TRUE&amp;DOC_NAME=FAT:FQL_AUDITING_CLIENT_TEMPLATE.FAT&amp;display_string=Audit&amp;VAR:KEY=QTYNWTGBMF&amp;VAR:QUERY=RkZfRU5UUlBSX1ZBTF9EQUlMWSgwNC8xOS8yMDEwLCwsLCwnRElMJykvRUNBX01FQU5fRUJJVCgyMDEyLDA0L","zE5LzIwMTAp&amp;WINDOW=FIRST_POPUP&amp;HEIGHT=450&amp;WIDTH=450&amp;START_MAXIMIZED=FALSE&amp;VAR:CALENDAR=US&amp;VAR:SYMBOL=UTX&amp;VAR:INDEX=0"}</definedName>
    <definedName name="_373__FDSAUDITLINK__" hidden="1">{"fdsup://directions/FAT Viewer?action=UPDATE&amp;creator=factset&amp;DYN_ARGS=TRUE&amp;DOC_NAME=FAT:FQL_AUDITING_CLIENT_TEMPLATE.FAT&amp;display_string=Audit&amp;VAR:KEY=OBMHKPQFOB&amp;VAR:QUERY=RkZfRU5UUlBSX1ZBTF9EQUlMWSgwNC8xOS8yMDEwLCwsLCwnRElMJykvRUNBX01FQU5fRUJJVCgyMDExLDA0L","zE5LzIwMTAp&amp;WINDOW=FIRST_POPUP&amp;HEIGHT=450&amp;WIDTH=450&amp;START_MAXIMIZED=FALSE&amp;VAR:CALENDAR=US&amp;VAR:SYMBOL=UTX&amp;VAR:INDEX=0"}</definedName>
    <definedName name="_374__FDSAUDITLINK__" hidden="1">{"fdsup://directions/FAT Viewer?action=UPDATE&amp;creator=factset&amp;DYN_ARGS=TRUE&amp;DOC_NAME=FAT:FQL_AUDITING_CLIENT_TEMPLATE.FAT&amp;display_string=Audit&amp;VAR:KEY=SHWLSDAHEB&amp;VAR:QUERY=RkZfRU5UUlBSX1ZBTF9EQUlMWSgwNC8xOS8yMDEwLCwsLCwnRElMJykvRUNBX01FQU5fRUJJVCgyMDEwLDA0L","zE5LzIwMTAp&amp;WINDOW=FIRST_POPUP&amp;HEIGHT=450&amp;WIDTH=450&amp;START_MAXIMIZED=FALSE&amp;VAR:CALENDAR=US&amp;VAR:SYMBOL=UTX&amp;VAR:INDEX=0"}</definedName>
    <definedName name="_375__FDSAUDITLINK__" hidden="1">{"fdsup://directions/FAT Viewer?action=UPDATE&amp;creator=factset&amp;DYN_ARGS=TRUE&amp;DOC_NAME=FAT:FQL_AUDITING_CLIENT_TEMPLATE.FAT&amp;display_string=Audit&amp;VAR:KEY=GBQTEVGHUZ&amp;VAR:QUERY=RkZfRU5UUlBSX1ZBTF9EQUlMWSgwNC8xOS8yMDEwLCwsLCwnRElMJykvRUNBX01FQU5fRUJJVERBKDIwMTIsM","DQvMTkvMjAxMCk=&amp;WINDOW=FIRST_POPUP&amp;HEIGHT=450&amp;WIDTH=450&amp;START_MAXIMIZED=FALSE&amp;VAR:CALENDAR=US&amp;VAR:SYMBOL=UTX&amp;VAR:INDEX=0"}</definedName>
    <definedName name="_376__FDSAUDITLINK__" hidden="1">{"fdsup://directions/FAT Viewer?action=UPDATE&amp;creator=factset&amp;DYN_ARGS=TRUE&amp;DOC_NAME=FAT:FQL_AUDITING_CLIENT_TEMPLATE.FAT&amp;display_string=Audit&amp;VAR:KEY=YJWJYBEHIX&amp;VAR:QUERY=RkZfRU5UUlBSX1ZBTF9EQUlMWSgwNC8xOS8yMDEwLCwsLCwnRElMJykvRUNBX01FQU5fRUJJVERBKDIwMTEsM","DQvMTkvMjAxMCk=&amp;WINDOW=FIRST_POPUP&amp;HEIGHT=450&amp;WIDTH=450&amp;START_MAXIMIZED=FALSE&amp;VAR:CALENDAR=US&amp;VAR:SYMBOL=UTX&amp;VAR:INDEX=0"}</definedName>
    <definedName name="_377__FDSAUDITLINK__" hidden="1">{"fdsup://directions/FAT Viewer?action=UPDATE&amp;creator=factset&amp;DYN_ARGS=TRUE&amp;DOC_NAME=FAT:FQL_AUDITING_CLIENT_TEMPLATE.FAT&amp;display_string=Audit&amp;VAR:KEY=OVATKNSZMR&amp;VAR:QUERY=RkZfRU5UUlBSX1ZBTF9EQUlMWSgwNC8xOS8yMDEwLCwsLCwnRElMJykvRUNBX01FQU5fRUJJVERBKDIwMTAsM","DQvMTkvMjAxMCk=&amp;WINDOW=FIRST_POPUP&amp;HEIGHT=450&amp;WIDTH=450&amp;START_MAXIMIZED=FALSE&amp;VAR:CALENDAR=US&amp;VAR:SYMBOL=UTX&amp;VAR:INDEX=0"}</definedName>
    <definedName name="_378__FDSAUDITLINK__" hidden="1">{"fdsup://directions/FAT Viewer?action=UPDATE&amp;creator=factset&amp;DYN_ARGS=TRUE&amp;DOC_NAME=FAT:FQL_AUDITING_CLIENT_TEMPLATE.FAT&amp;display_string=Audit&amp;VAR:KEY=AZIJCLMXGJ&amp;VAR:QUERY=RkZfRU5UUlBSX1ZBTF9EQUlMWSgwNC8xOS8yMDEwLCwsLCwnRElMJykvRUNBX01FQU5fU0FMRVMoMjAxMiwwN","C8xOS8yMDEwKQ==&amp;WINDOW=FIRST_POPUP&amp;HEIGHT=450&amp;WIDTH=450&amp;START_MAXIMIZED=FALSE&amp;VAR:CALENDAR=US&amp;VAR:SYMBOL=GD&amp;VAR:INDEX=0"}</definedName>
    <definedName name="_379__FDSAUDITLINK__" hidden="1">{"fdsup://directions/FAT Viewer?action=UPDATE&amp;creator=factset&amp;DYN_ARGS=TRUE&amp;DOC_NAME=FAT:FQL_AUDITING_CLIENT_TEMPLATE.FAT&amp;display_string=Audit&amp;VAR:KEY=YHGZGBWPWB&amp;VAR:QUERY=RkZfRU5UUlBSX1ZBTF9EQUlMWSgwNC8xOS8yMDEwLCwsLCwnRElMJykvRUNBX01FQU5fU0FMRVMoMjAxMSwwN","C8xOS8yMDEwKQ==&amp;WINDOW=FIRST_POPUP&amp;HEIGHT=450&amp;WIDTH=450&amp;START_MAXIMIZED=FALSE&amp;VAR:CALENDAR=US&amp;VAR:SYMBOL=GD&amp;VAR:INDEX=0"}</definedName>
    <definedName name="_38__FDSAUDITLINK__" hidden="1">{"fdsup://directions/FAT Viewer?action=UPDATE&amp;creator=factset&amp;DYN_ARGS=TRUE&amp;DOC_NAME=FAT:FQL_AUDITING_CLIENT_TEMPLATE.FAT&amp;display_string=Audit&amp;VAR:KEY=TWTUHMVSRK&amp;VAR:QUERY=RkZfRU5UUlBSX1ZBTF9EQUlMWSgwNC8xOS8yMDEwLCwsLCwnRElMJykvRUNBX01FQU5fU0FMRVMoMjAxMSwwN","C8xOS8yMDEwKQ==&amp;WINDOW=FIRST_POPUP&amp;HEIGHT=450&amp;WIDTH=450&amp;START_MAXIMIZED=FALSE&amp;VAR:CALENDAR=US&amp;VAR:SYMBOL=BEAV&amp;VAR:INDEX=0"}</definedName>
    <definedName name="_380__FDSAUDITLINK__" hidden="1">{"fdsup://directions/FAT Viewer?action=UPDATE&amp;creator=factset&amp;DYN_ARGS=TRUE&amp;DOC_NAME=FAT:FQL_AUDITING_CLIENT_TEMPLATE.FAT&amp;display_string=Audit&amp;VAR:KEY=YNSLUDWLOV&amp;VAR:QUERY=RkZfRU5UUlBSX1ZBTF9EQUlMWSgwNC8xOS8yMDEwLCwsLCwnRElMJykvRUNBX01FQU5fU0FMRVMoMjAxMCwwN","C8xOS8yMDEwKQ==&amp;WINDOW=FIRST_POPUP&amp;HEIGHT=450&amp;WIDTH=450&amp;START_MAXIMIZED=FALSE&amp;VAR:CALENDAR=US&amp;VAR:SYMBOL=GD&amp;VAR:INDEX=0"}</definedName>
    <definedName name="_381__FDSAUDITLINK__" hidden="1">{"fdsup://directions/FAT Viewer?action=UPDATE&amp;creator=factset&amp;DYN_ARGS=TRUE&amp;DOC_NAME=FAT:FQL_AUDITING_CLIENT_TEMPLATE.FAT&amp;display_string=Audit&amp;VAR:KEY=MNADGPCXAR&amp;VAR:QUERY=RkZfRU5UUlBSX1ZBTF9EQUlMWSgwNC8xOS8yMDEwLCwsLCwnRElMJykvRUNBX01FQU5fRUJJVCgyMDEyLDA0L","zE5LzIwMTAp&amp;WINDOW=FIRST_POPUP&amp;HEIGHT=450&amp;WIDTH=450&amp;START_MAXIMIZED=FALSE&amp;VAR:CALENDAR=US&amp;VAR:SYMBOL=GD&amp;VAR:INDEX=0"}</definedName>
    <definedName name="_382__FDSAUDITLINK__" hidden="1">{"fdsup://directions/FAT Viewer?action=UPDATE&amp;creator=factset&amp;DYN_ARGS=TRUE&amp;DOC_NAME=FAT:FQL_AUDITING_CLIENT_TEMPLATE.FAT&amp;display_string=Audit&amp;VAR:KEY=UZQVAJWRIZ&amp;VAR:QUERY=RkZfRU5UUlBSX1ZBTF9EQUlMWSgwNC8xOS8yMDEwLCwsLCwnRElMJykvRUNBX01FQU5fRUJJVCgyMDExLDA0L","zE5LzIwMTAp&amp;WINDOW=FIRST_POPUP&amp;HEIGHT=450&amp;WIDTH=450&amp;START_MAXIMIZED=FALSE&amp;VAR:CALENDAR=US&amp;VAR:SYMBOL=GD&amp;VAR:INDEX=0"}</definedName>
    <definedName name="_383__FDSAUDITLINK__" hidden="1">{"fdsup://directions/FAT Viewer?action=UPDATE&amp;creator=factset&amp;DYN_ARGS=TRUE&amp;DOC_NAME=FAT:FQL_AUDITING_CLIENT_TEMPLATE.FAT&amp;display_string=Audit&amp;VAR:KEY=SBWJUJAVAL&amp;VAR:QUERY=RkZfRU5UUlBSX1ZBTF9EQUlMWSgwNC8xOS8yMDEwLCwsLCwnRElMJykvRUNBX01FQU5fRUJJVCgyMDEwLDA0L","zE5LzIwMTAp&amp;WINDOW=FIRST_POPUP&amp;HEIGHT=450&amp;WIDTH=450&amp;START_MAXIMIZED=FALSE&amp;VAR:CALENDAR=US&amp;VAR:SYMBOL=GD&amp;VAR:INDEX=0"}</definedName>
    <definedName name="_384__FDSAUDITLINK__" hidden="1">{"fdsup://directions/FAT Viewer?action=UPDATE&amp;creator=factset&amp;DYN_ARGS=TRUE&amp;DOC_NAME=FAT:FQL_AUDITING_CLIENT_TEMPLATE.FAT&amp;display_string=Audit&amp;VAR:KEY=EREVGPMLKN&amp;VAR:QUERY=RkZfRU5UUlBSX1ZBTF9EQUlMWSgwNC8xOS8yMDEwLCwsLCwnRElMJykvRUNBX01FQU5fRUJJVERBKDIwMTIsM","DQvMTkvMjAxMCk=&amp;WINDOW=FIRST_POPUP&amp;HEIGHT=450&amp;WIDTH=450&amp;START_MAXIMIZED=FALSE&amp;VAR:CALENDAR=US&amp;VAR:SYMBOL=GD&amp;VAR:INDEX=0"}</definedName>
    <definedName name="_385__FDSAUDITLINK__" hidden="1">{"fdsup://directions/FAT Viewer?action=UPDATE&amp;creator=factset&amp;DYN_ARGS=TRUE&amp;DOC_NAME=FAT:FQL_AUDITING_CLIENT_TEMPLATE.FAT&amp;display_string=Audit&amp;VAR:KEY=IRUPYZENSN&amp;VAR:QUERY=RkZfRU5UUlBSX1ZBTF9EQUlMWSgwNC8xOS8yMDEwLCwsLCwnRElMJykvRUNBX01FQU5fRUJJVERBKDIwMTEsM","DQvMTkvMjAxMCk=&amp;WINDOW=FIRST_POPUP&amp;HEIGHT=450&amp;WIDTH=450&amp;START_MAXIMIZED=FALSE&amp;VAR:CALENDAR=US&amp;VAR:SYMBOL=GD&amp;VAR:INDEX=0"}</definedName>
    <definedName name="_386__FDSAUDITLINK__" hidden="1">{"fdsup://directions/FAT Viewer?action=UPDATE&amp;creator=factset&amp;DYN_ARGS=TRUE&amp;DOC_NAME=FAT:FQL_AUDITING_CLIENT_TEMPLATE.FAT&amp;display_string=Audit&amp;VAR:KEY=AJQZKVAJEB&amp;VAR:QUERY=RkZfRU5UUlBSX1ZBTF9EQUlMWSgwNC8xOS8yMDEwLCwsLCwnRElMJykvRUNBX01FQU5fRUJJVERBKDIwMTAsM","DQvMTkvMjAxMCk=&amp;WINDOW=FIRST_POPUP&amp;HEIGHT=450&amp;WIDTH=450&amp;START_MAXIMIZED=FALSE&amp;VAR:CALENDAR=US&amp;VAR:SYMBOL=GD&amp;VAR:INDEX=0"}</definedName>
    <definedName name="_387__FDSAUDITLINK__" hidden="1">{"fdsup://directions/FAT Viewer?action=UPDATE&amp;creator=factset&amp;DYN_ARGS=TRUE&amp;DOC_NAME=FAT:FQL_AUDITING_CLIENT_TEMPLATE.FAT&amp;display_string=Audit&amp;VAR:KEY=AHSLAROPAV&amp;VAR:QUERY=RkZfRU5UUlBSX1ZBTF9EQUlMWSgwNC8xOS8yMDEwLCwsLCwnRElMJykvRUNBX01FQU5fU0FMRVMoMjAxMiwwN","C8xOS8yMDEwKQ==&amp;WINDOW=FIRST_POPUP&amp;HEIGHT=450&amp;WIDTH=450&amp;START_MAXIMIZED=FALSE&amp;VAR:CALENDAR=US&amp;VAR:SYMBOL=UTX&amp;VAR:INDEX=0"}</definedName>
    <definedName name="_388__FDSAUDITLINK__" hidden="1">{"fdsup://directions/FAT Viewer?action=UPDATE&amp;creator=factset&amp;DYN_ARGS=TRUE&amp;DOC_NAME=FAT:FQL_AUDITING_CLIENT_TEMPLATE.FAT&amp;display_string=Audit&amp;VAR:KEY=OVSZIVSHSP&amp;VAR:QUERY=RkZfRU5UUlBSX1ZBTF9EQUlMWSgwNC8xOS8yMDEwLCwsLCwnRElMJykvRUNBX01FQU5fU0FMRVMoMjAxMSwwN","C8xOS8yMDEwKQ==&amp;WINDOW=FIRST_POPUP&amp;HEIGHT=450&amp;WIDTH=450&amp;START_MAXIMIZED=FALSE&amp;VAR:CALENDAR=US&amp;VAR:SYMBOL=UTX&amp;VAR:INDEX=0"}</definedName>
    <definedName name="_389__FDSAUDITLINK__" hidden="1">{"fdsup://directions/FAT Viewer?action=UPDATE&amp;creator=factset&amp;DYN_ARGS=TRUE&amp;DOC_NAME=FAT:FQL_AUDITING_CLIENT_TEMPLATE.FAT&amp;display_string=Audit&amp;VAR:KEY=EDOPYRSHGB&amp;VAR:QUERY=RkZfRU5UUlBSX1ZBTF9EQUlMWSgwNC8xOS8yMDEwLCwsLCwnRElMJykvRUNBX01FQU5fU0FMRVMoMjAxMCwwN","C8xOS8yMDEwKQ==&amp;WINDOW=FIRST_POPUP&amp;HEIGHT=450&amp;WIDTH=450&amp;START_MAXIMIZED=FALSE&amp;VAR:CALENDAR=US&amp;VAR:SYMBOL=UTX&amp;VAR:INDEX=0"}</definedName>
    <definedName name="_39__FDSAUDITLINK__" hidden="1">{"fdsup://directions/FAT Viewer?action=UPDATE&amp;creator=factset&amp;DYN_ARGS=TRUE&amp;DOC_NAME=FAT:FQL_AUDITING_CLIENT_TEMPLATE.FAT&amp;display_string=Audit&amp;VAR:KEY=DQHGZITELC&amp;VAR:QUERY=RkZfRU5UUlBSX1ZBTF9EQUlMWSgwNC8xOS8yMDEwLCwsLCwnRElMJykvRUNBX01FQU5fU0FMRVMoMjAxMCwwN","C8xOS8yMDEwKQ==&amp;WINDOW=FIRST_POPUP&amp;HEIGHT=450&amp;WIDTH=450&amp;START_MAXIMIZED=FALSE&amp;VAR:CALENDAR=US&amp;VAR:SYMBOL=BEAV&amp;VAR:INDEX=0"}</definedName>
    <definedName name="_390__FDSAUDITLINK__" hidden="1">{"fdsup://directions/FAT Viewer?action=UPDATE&amp;creator=factset&amp;DYN_ARGS=TRUE&amp;DOC_NAME=FAT:FQL_AUDITING_CLIENT_TEMPLATE.FAT&amp;display_string=Audit&amp;VAR:KEY=MZWXMLUFCV&amp;VAR:QUERY=RkZfRU5UUlBSX1ZBTF9EQUlMWSgwNC8xOS8yMDEwLCwsLCwnRElMJykvRUNBX01FQU5fRUJJVCgyMDEyLDA0L","zE5LzIwMTAp&amp;WINDOW=FIRST_POPUP&amp;HEIGHT=450&amp;WIDTH=450&amp;START_MAXIMIZED=FALSE&amp;VAR:CALENDAR=US&amp;VAR:SYMBOL=UTX&amp;VAR:INDEX=0"}</definedName>
    <definedName name="_391__FDSAUDITLINK__" hidden="1">{"fdsup://directions/FAT Viewer?action=UPDATE&amp;creator=factset&amp;DYN_ARGS=TRUE&amp;DOC_NAME=FAT:FQL_AUDITING_CLIENT_TEMPLATE.FAT&amp;display_string=Audit&amp;VAR:KEY=YVWHODERMN&amp;VAR:QUERY=RkZfRU5UUlBSX1ZBTF9EQUlMWSgwNC8xOS8yMDEwLCwsLCwnRElMJykvRUNBX01FQU5fRUJJVCgyMDExLDA0L","zE5LzIwMTAp&amp;WINDOW=FIRST_POPUP&amp;HEIGHT=450&amp;WIDTH=450&amp;START_MAXIMIZED=FALSE&amp;VAR:CALENDAR=US&amp;VAR:SYMBOL=UTX&amp;VAR:INDEX=0"}</definedName>
    <definedName name="_392__FDSAUDITLINK__" hidden="1">{"fdsup://directions/FAT Viewer?action=UPDATE&amp;creator=factset&amp;DYN_ARGS=TRUE&amp;DOC_NAME=FAT:FQL_AUDITING_CLIENT_TEMPLATE.FAT&amp;display_string=Audit&amp;VAR:KEY=MJSXSBOXYJ&amp;VAR:QUERY=RkZfRU5UUlBSX1ZBTF9EQUlMWSgwNC8xOS8yMDEwLCwsLCwnRElMJykvRUNBX01FQU5fRUJJVCgyMDEwLDA0L","zE5LzIwMTAp&amp;WINDOW=FIRST_POPUP&amp;HEIGHT=450&amp;WIDTH=450&amp;START_MAXIMIZED=FALSE&amp;VAR:CALENDAR=US&amp;VAR:SYMBOL=UTX&amp;VAR:INDEX=0"}</definedName>
    <definedName name="_393__FDSAUDITLINK__" hidden="1">{"fdsup://directions/FAT Viewer?action=UPDATE&amp;creator=factset&amp;DYN_ARGS=TRUE&amp;DOC_NAME=FAT:FQL_AUDITING_CLIENT_TEMPLATE.FAT&amp;display_string=Audit&amp;VAR:KEY=KFANOJKXGP&amp;VAR:QUERY=RkZfRU5UUlBSX1ZBTF9EQUlMWSgwNC8xOS8yMDEwLCwsLCwnRElMJykvRUNBX01FQU5fRUJJVERBKDIwMTIsM","DQvMTkvMjAxMCk=&amp;WINDOW=FIRST_POPUP&amp;HEIGHT=450&amp;WIDTH=450&amp;START_MAXIMIZED=FALSE&amp;VAR:CALENDAR=US&amp;VAR:SYMBOL=UTX&amp;VAR:INDEX=0"}</definedName>
    <definedName name="_394__FDSAUDITLINK__" hidden="1">{"fdsup://directions/FAT Viewer?action=UPDATE&amp;creator=factset&amp;DYN_ARGS=TRUE&amp;DOC_NAME=FAT:FQL_AUDITING_CLIENT_TEMPLATE.FAT&amp;display_string=Audit&amp;VAR:KEY=UXYFKJKRIB&amp;VAR:QUERY=RkZfRU5UUlBSX1ZBTF9EQUlMWSgwNC8xOS8yMDEwLCwsLCwnRElMJykvRUNBX01FQU5fRUJJVERBKDIwMTEsM","DQvMTkvMjAxMCk=&amp;WINDOW=FIRST_POPUP&amp;HEIGHT=450&amp;WIDTH=450&amp;START_MAXIMIZED=FALSE&amp;VAR:CALENDAR=US&amp;VAR:SYMBOL=UTX&amp;VAR:INDEX=0"}</definedName>
    <definedName name="_395__FDSAUDITLINK__" hidden="1">{"fdsup://directions/FAT Viewer?action=UPDATE&amp;creator=factset&amp;DYN_ARGS=TRUE&amp;DOC_NAME=FAT:FQL_AUDITING_CLIENT_TEMPLATE.FAT&amp;display_string=Audit&amp;VAR:KEY=IPGDKJABQL&amp;VAR:QUERY=RkZfRU5UUlBSX1ZBTF9EQUlMWSgwNC8xOS8yMDEwLCwsLCwnRElMJykvRUNBX01FQU5fRUJJVERBKDIwMTAsM","DQvMTkvMjAxMCk=&amp;WINDOW=FIRST_POPUP&amp;HEIGHT=450&amp;WIDTH=450&amp;START_MAXIMIZED=FALSE&amp;VAR:CALENDAR=US&amp;VAR:SYMBOL=UTX&amp;VAR:INDEX=0"}</definedName>
    <definedName name="_396__FDSAUDITLINK__" hidden="1">{"fdsup://directions/FAT Viewer?action=UPDATE&amp;creator=factset&amp;DYN_ARGS=TRUE&amp;DOC_NAME=FAT:FQL_AUDITING_CLIENT_TEMPLATE.FAT&amp;display_string=Audit&amp;VAR:KEY=AHIPOFWVMR&amp;VAR:QUERY=RkZfRU5UUlBSX1ZBTF9EQUlMWSgwNC8xOS8yMDEwLCwsLCwnRElMJykvRUNBX01FQU5fU0FMRVMoMjAxMiwwN","C8xOS8yMDEwKQ==&amp;WINDOW=FIRST_POPUP&amp;HEIGHT=450&amp;WIDTH=450&amp;START_MAXIMIZED=FALSE&amp;VAR:CALENDAR=US&amp;VAR:SYMBOL=GD&amp;VAR:INDEX=0"}</definedName>
    <definedName name="_397__FDSAUDITLINK__" hidden="1">{"fdsup://directions/FAT Viewer?action=UPDATE&amp;creator=factset&amp;DYN_ARGS=TRUE&amp;DOC_NAME=FAT:FQL_AUDITING_CLIENT_TEMPLATE.FAT&amp;display_string=Audit&amp;VAR:KEY=ITUDKPSVYJ&amp;VAR:QUERY=RkZfRU5UUlBSX1ZBTF9EQUlMWSgwNC8xOS8yMDEwLCwsLCwnRElMJykvRUNBX01FQU5fU0FMRVMoMjAxMSwwN","C8xOS8yMDEwKQ==&amp;WINDOW=FIRST_POPUP&amp;HEIGHT=450&amp;WIDTH=450&amp;START_MAXIMIZED=FALSE&amp;VAR:CALENDAR=US&amp;VAR:SYMBOL=GD&amp;VAR:INDEX=0"}</definedName>
    <definedName name="_398__FDSAUDITLINK__" hidden="1">{"fdsup://directions/FAT Viewer?action=UPDATE&amp;creator=factset&amp;DYN_ARGS=TRUE&amp;DOC_NAME=FAT:FQL_AUDITING_CLIENT_TEMPLATE.FAT&amp;display_string=Audit&amp;VAR:KEY=QDKDOLMNQJ&amp;VAR:QUERY=RkZfRU5UUlBSX1ZBTF9EQUlMWSgwNC8xOS8yMDEwLCwsLCwnRElMJykvRUNBX01FQU5fU0FMRVMoMjAxMCwwN","C8xOS8yMDEwKQ==&amp;WINDOW=FIRST_POPUP&amp;HEIGHT=450&amp;WIDTH=450&amp;START_MAXIMIZED=FALSE&amp;VAR:CALENDAR=US&amp;VAR:SYMBOL=GD&amp;VAR:INDEX=0"}</definedName>
    <definedName name="_399__FDSAUDITLINK__" hidden="1">{"fdsup://directions/FAT Viewer?action=UPDATE&amp;creator=factset&amp;DYN_ARGS=TRUE&amp;DOC_NAME=FAT:FQL_AUDITING_CLIENT_TEMPLATE.FAT&amp;display_string=Audit&amp;VAR:KEY=URMJILCXMV&amp;VAR:QUERY=RkZfRU5UUlBSX1ZBTF9EQUlMWSgwNC8xOS8yMDEwLCwsLCwnRElMJykvRUNBX01FQU5fRUJJVCgyMDEyLDA0L","zE5LzIwMTAp&amp;WINDOW=FIRST_POPUP&amp;HEIGHT=450&amp;WIDTH=450&amp;START_MAXIMIZED=FALSE&amp;VAR:CALENDAR=US&amp;VAR:SYMBOL=GD&amp;VAR:INDEX=0"}</definedName>
    <definedName name="_4__123Graph_Bｸﾞﾗﾌ_1" hidden="1">[2]ｾｸﾞﾒﾝﾄ!$E$165:$I$165</definedName>
    <definedName name="_4__FDSAUDITLINK__" hidden="1">{"fdsup://directions/FAT Viewer?action=UPDATE&amp;creator=factset&amp;DYN_ARGS=TRUE&amp;DOC_NAME=FAT:FQL_AUDITING_CLIENT_TEMPLATE.FAT&amp;display_string=Audit&amp;VAR:KEY=HOHWDSTGBG&amp;VAR:QUERY=RkZfRU5UUlBSX1ZBTF9EQUlMWSgwNC8xOS8yMDEwLCwsLCwnRElMJykvRUNBX01FQU5fRUJJVCgyMDEyLDA0L","zE5LzIwMTAp&amp;WINDOW=FIRST_POPUP&amp;HEIGHT=450&amp;WIDTH=450&amp;START_MAXIMIZED=FALSE&amp;VAR:CALENDAR=US&amp;VAR:SYMBOL=057580&amp;VAR:INDEX=0"}</definedName>
    <definedName name="_40__FDSAUDITLINK__" hidden="1">{"fdsup://directions/FAT Viewer?action=UPDATE&amp;creator=factset&amp;DYN_ARGS=TRUE&amp;DOC_NAME=FAT:FQL_AUDITING_CLIENT_TEMPLATE.FAT&amp;display_string=Audit&amp;VAR:KEY=VUJOBSDUNI&amp;VAR:QUERY=RkZfRU5UUlBSX1ZBTF9EQUlMWSgwNC8xOS8yMDEwLCwsLCwnRElMJykvRUNBX01FQU5fRUJJVCgyMDEyLDA0L","zE5LzIwMTAp&amp;WINDOW=FIRST_POPUP&amp;HEIGHT=450&amp;WIDTH=450&amp;START_MAXIMIZED=FALSE&amp;VAR:CALENDAR=US&amp;VAR:SYMBOL=BEAV&amp;VAR:INDEX=0"}</definedName>
    <definedName name="_400__FDSAUDITLINK__" hidden="1">{"fdsup://directions/FAT Viewer?action=UPDATE&amp;creator=factset&amp;DYN_ARGS=TRUE&amp;DOC_NAME=FAT:FQL_AUDITING_CLIENT_TEMPLATE.FAT&amp;display_string=Audit&amp;VAR:KEY=KJYDQFQLCP&amp;VAR:QUERY=RkZfRU5UUlBSX1ZBTF9EQUlMWSgwNC8xOS8yMDEwLCwsLCwnRElMJykvRUNBX01FQU5fRUJJVCgyMDExLDA0L","zE5LzIwMTAp&amp;WINDOW=FIRST_POPUP&amp;HEIGHT=450&amp;WIDTH=450&amp;START_MAXIMIZED=FALSE&amp;VAR:CALENDAR=US&amp;VAR:SYMBOL=GD&amp;VAR:INDEX=0"}</definedName>
    <definedName name="_401__FDSAUDITLINK__" hidden="1">{"fdsup://directions/FAT Viewer?action=UPDATE&amp;creator=factset&amp;DYN_ARGS=TRUE&amp;DOC_NAME=FAT:FQL_AUDITING_CLIENT_TEMPLATE.FAT&amp;display_string=Audit&amp;VAR:KEY=QLYDIRWJSD&amp;VAR:QUERY=RkZfRU5UUlBSX1ZBTF9EQUlMWSgwNC8xOS8yMDEwLCwsLCwnRElMJykvRUNBX01FQU5fRUJJVCgyMDEwLDA0L","zE5LzIwMTAp&amp;WINDOW=FIRST_POPUP&amp;HEIGHT=450&amp;WIDTH=450&amp;START_MAXIMIZED=FALSE&amp;VAR:CALENDAR=US&amp;VAR:SYMBOL=GD&amp;VAR:INDEX=0"}</definedName>
    <definedName name="_402__FDSAUDITLINK__" hidden="1">{"fdsup://directions/FAT Viewer?action=UPDATE&amp;creator=factset&amp;DYN_ARGS=TRUE&amp;DOC_NAME=FAT:FQL_AUDITING_CLIENT_TEMPLATE.FAT&amp;display_string=Audit&amp;VAR:KEY=ORQVEBIXMR&amp;VAR:QUERY=RkZfRU5UUlBSX1ZBTF9EQUlMWSgwNC8xOS8yMDEwLCwsLCwnRElMJykvRUNBX01FQU5fRUJJVERBKDIwMTIsM","DQvMTkvMjAxMCk=&amp;WINDOW=FIRST_POPUP&amp;HEIGHT=450&amp;WIDTH=450&amp;START_MAXIMIZED=FALSE&amp;VAR:CALENDAR=US&amp;VAR:SYMBOL=GD&amp;VAR:INDEX=0"}</definedName>
    <definedName name="_403__FDSAUDITLINK__" hidden="1">{"fdsup://directions/FAT Viewer?action=UPDATE&amp;creator=factset&amp;DYN_ARGS=TRUE&amp;DOC_NAME=FAT:FQL_AUDITING_CLIENT_TEMPLATE.FAT&amp;display_string=Audit&amp;VAR:KEY=YBCHMRAZON&amp;VAR:QUERY=RkZfRU5UUlBSX1ZBTF9EQUlMWSgwNC8xOS8yMDEwLCwsLCwnRElMJykvRUNBX01FQU5fRUJJVERBKDIwMTEsM","DQvMTkvMjAxMCk=&amp;WINDOW=FIRST_POPUP&amp;HEIGHT=450&amp;WIDTH=450&amp;START_MAXIMIZED=FALSE&amp;VAR:CALENDAR=US&amp;VAR:SYMBOL=GD&amp;VAR:INDEX=0"}</definedName>
    <definedName name="_404__FDSAUDITLINK__" hidden="1">{"fdsup://directions/FAT Viewer?action=UPDATE&amp;creator=factset&amp;DYN_ARGS=TRUE&amp;DOC_NAME=FAT:FQL_AUDITING_CLIENT_TEMPLATE.FAT&amp;display_string=Audit&amp;VAR:KEY=UJIBQTALEL&amp;VAR:QUERY=RkZfRU5UUlBSX1ZBTF9EQUlMWSgwNC8xOS8yMDEwLCwsLCwnRElMJykvRUNBX01FQU5fRUJJVERBKDIwMTAsM","DQvMTkvMjAxMCk=&amp;WINDOW=FIRST_POPUP&amp;HEIGHT=450&amp;WIDTH=450&amp;START_MAXIMIZED=FALSE&amp;VAR:CALENDAR=US&amp;VAR:SYMBOL=GD&amp;VAR:INDEX=0"}</definedName>
    <definedName name="_405__FDSAUDITLINK__" hidden="1">{"fdsup://directions/FAT Viewer?action=UPDATE&amp;creator=factset&amp;DYN_ARGS=TRUE&amp;DOC_NAME=FAT:FQL_AUDITING_CLIENT_TEMPLATE.FAT&amp;display_string=Audit&amp;VAR:KEY=EJQZMPQFGD&amp;VAR:QUERY=RkZfRU5UUlBSX1ZBTF9EQUlMWSgwNC8xOS8yMDEwLCwsLCwnRElMJykvRUNBX01FQU5fU0FMRVMoMjAxMiwwN","C8xOS8yMDEwKQ==&amp;WINDOW=FIRST_POPUP&amp;HEIGHT=450&amp;WIDTH=450&amp;START_MAXIMIZED=FALSE&amp;VAR:CALENDAR=US&amp;VAR:SYMBOL=UTX&amp;VAR:INDEX=0"}</definedName>
    <definedName name="_406__FDSAUDITLINK__" hidden="1">{"fdsup://directions/FAT Viewer?action=UPDATE&amp;creator=factset&amp;DYN_ARGS=TRUE&amp;DOC_NAME=FAT:FQL_AUDITING_CLIENT_TEMPLATE.FAT&amp;display_string=Audit&amp;VAR:KEY=AXUHMXSLGX&amp;VAR:QUERY=RkZfRU5UUlBSX1ZBTF9EQUlMWSgwNC8xOS8yMDEwLCwsLCwnRElMJykvRUNBX01FQU5fU0FMRVMoMjAxMSwwN","C8xOS8yMDEwKQ==&amp;WINDOW=FIRST_POPUP&amp;HEIGHT=450&amp;WIDTH=450&amp;START_MAXIMIZED=FALSE&amp;VAR:CALENDAR=US&amp;VAR:SYMBOL=UTX&amp;VAR:INDEX=0"}</definedName>
    <definedName name="_407__FDSAUDITLINK__" hidden="1">{"fdsup://directions/FAT Viewer?action=UPDATE&amp;creator=factset&amp;DYN_ARGS=TRUE&amp;DOC_NAME=FAT:FQL_AUDITING_CLIENT_TEMPLATE.FAT&amp;display_string=Audit&amp;VAR:KEY=KBIRKJEZEN&amp;VAR:QUERY=RkZfRU5UUlBSX1ZBTF9EQUlMWSgwNC8xOS8yMDEwLCwsLCwnRElMJykvRUNBX01FQU5fU0FMRVMoMjAxMCwwN","C8xOS8yMDEwKQ==&amp;WINDOW=FIRST_POPUP&amp;HEIGHT=450&amp;WIDTH=450&amp;START_MAXIMIZED=FALSE&amp;VAR:CALENDAR=US&amp;VAR:SYMBOL=UTX&amp;VAR:INDEX=0"}</definedName>
    <definedName name="_408__FDSAUDITLINK__" hidden="1">{"fdsup://directions/FAT Viewer?action=UPDATE&amp;creator=factset&amp;DYN_ARGS=TRUE&amp;DOC_NAME=FAT:FQL_AUDITING_CLIENT_TEMPLATE.FAT&amp;display_string=Audit&amp;VAR:KEY=CRQPCJWXIH&amp;VAR:QUERY=RkZfRU5UUlBSX1ZBTF9EQUlMWSgwNC8xOS8yMDEwLCwsLCwnRElMJykvRUNBX01FQU5fRUJJVCgyMDEyLDA0L","zE5LzIwMTAp&amp;WINDOW=FIRST_POPUP&amp;HEIGHT=450&amp;WIDTH=450&amp;START_MAXIMIZED=FALSE&amp;VAR:CALENDAR=US&amp;VAR:SYMBOL=UTX&amp;VAR:INDEX=0"}</definedName>
    <definedName name="_409__FDSAUDITLINK__" hidden="1">{"fdsup://directions/FAT Viewer?action=UPDATE&amp;creator=factset&amp;DYN_ARGS=TRUE&amp;DOC_NAME=FAT:FQL_AUDITING_CLIENT_TEMPLATE.FAT&amp;display_string=Audit&amp;VAR:KEY=MDGLIBYBSF&amp;VAR:QUERY=RkZfRU5UUlBSX1ZBTF9EQUlMWSgwNC8xOS8yMDEwLCwsLCwnRElMJykvRUNBX01FQU5fRUJJVCgyMDExLDA0L","zE5LzIwMTAp&amp;WINDOW=FIRST_POPUP&amp;HEIGHT=450&amp;WIDTH=450&amp;START_MAXIMIZED=FALSE&amp;VAR:CALENDAR=US&amp;VAR:SYMBOL=UTX&amp;VAR:INDEX=0"}</definedName>
    <definedName name="_41__FDSAUDITLINK__" hidden="1">{"fdsup://directions/FAT Viewer?action=UPDATE&amp;creator=factset&amp;DYN_ARGS=TRUE&amp;DOC_NAME=FAT:FQL_AUDITING_CLIENT_TEMPLATE.FAT&amp;display_string=Audit&amp;VAR:KEY=TEPSBCLKBW&amp;VAR:QUERY=RkZfRU5UUlBSX1ZBTF9EQUlMWSgwNC8xOS8yMDEwLCwsLCwnRElMJykvRUNBX01FQU5fRUJJVCgyMDExLDA0L","zE5LzIwMTAp&amp;WINDOW=FIRST_POPUP&amp;HEIGHT=450&amp;WIDTH=450&amp;START_MAXIMIZED=FALSE&amp;VAR:CALENDAR=US&amp;VAR:SYMBOL=BEAV&amp;VAR:INDEX=0"}</definedName>
    <definedName name="_410__FDSAUDITLINK__" hidden="1">{"fdsup://directions/FAT Viewer?action=UPDATE&amp;creator=factset&amp;DYN_ARGS=TRUE&amp;DOC_NAME=FAT:FQL_AUDITING_CLIENT_TEMPLATE.FAT&amp;display_string=Audit&amp;VAR:KEY=KVSVKZQVOX&amp;VAR:QUERY=RkZfRU5UUlBSX1ZBTF9EQUlMWSgwNC8xOS8yMDEwLCwsLCwnRElMJykvRUNBX01FQU5fRUJJVCgyMDEwLDA0L","zE5LzIwMTAp&amp;WINDOW=FIRST_POPUP&amp;HEIGHT=450&amp;WIDTH=450&amp;START_MAXIMIZED=FALSE&amp;VAR:CALENDAR=US&amp;VAR:SYMBOL=UTX&amp;VAR:INDEX=0"}</definedName>
    <definedName name="_411__FDSAUDITLINK__" hidden="1">{"fdsup://directions/FAT Viewer?action=UPDATE&amp;creator=factset&amp;DYN_ARGS=TRUE&amp;DOC_NAME=FAT:FQL_AUDITING_CLIENT_TEMPLATE.FAT&amp;display_string=Audit&amp;VAR:KEY=MFEJIZMRQF&amp;VAR:QUERY=RkZfRU5UUlBSX1ZBTF9EQUlMWSgwNC8xOS8yMDEwLCwsLCwnRElMJykvRUNBX01FQU5fRUJJVERBKDIwMTIsM","DQvMTkvMjAxMCk=&amp;WINDOW=FIRST_POPUP&amp;HEIGHT=450&amp;WIDTH=450&amp;START_MAXIMIZED=FALSE&amp;VAR:CALENDAR=US&amp;VAR:SYMBOL=UTX&amp;VAR:INDEX=0"}</definedName>
    <definedName name="_412__FDSAUDITLINK__" hidden="1">{"fdsup://directions/FAT Viewer?action=UPDATE&amp;creator=factset&amp;DYN_ARGS=TRUE&amp;DOC_NAME=FAT:FQL_AUDITING_CLIENT_TEMPLATE.FAT&amp;display_string=Audit&amp;VAR:KEY=GHKHIRUJKL&amp;VAR:QUERY=RkZfRU5UUlBSX1ZBTF9EQUlMWSgwNC8xOS8yMDEwLCwsLCwnRElMJykvRUNBX01FQU5fRUJJVERBKDIwMTEsM","DQvMTkvMjAxMCk=&amp;WINDOW=FIRST_POPUP&amp;HEIGHT=450&amp;WIDTH=450&amp;START_MAXIMIZED=FALSE&amp;VAR:CALENDAR=US&amp;VAR:SYMBOL=UTX&amp;VAR:INDEX=0"}</definedName>
    <definedName name="_413__FDSAUDITLINK__" hidden="1">{"fdsup://directions/FAT Viewer?action=UPDATE&amp;creator=factset&amp;DYN_ARGS=TRUE&amp;DOC_NAME=FAT:FQL_AUDITING_CLIENT_TEMPLATE.FAT&amp;display_string=Audit&amp;VAR:KEY=GDIDKPGRGZ&amp;VAR:QUERY=RkZfRU5UUlBSX1ZBTF9EQUlMWSgwNC8xOS8yMDEwLCwsLCwnRElMJykvRUNBX01FQU5fRUJJVERBKDIwMTAsM","DQvMTkvMjAxMCk=&amp;WINDOW=FIRST_POPUP&amp;HEIGHT=450&amp;WIDTH=450&amp;START_MAXIMIZED=FALSE&amp;VAR:CALENDAR=US&amp;VAR:SYMBOL=UTX&amp;VAR:INDEX=0"}</definedName>
    <definedName name="_414__FDSAUDITLINK__" hidden="1">{"fdsup://directions/FAT Viewer?action=UPDATE&amp;creator=factset&amp;DYN_ARGS=TRUE&amp;DOC_NAME=FAT:FQL_AUDITING_CLIENT_TEMPLATE.FAT&amp;display_string=Audit&amp;VAR:KEY=AZUDGHQVGH&amp;VAR:QUERY=RkZfRU5UUlBSX1ZBTF9EQUlMWSgwNS8wNi8yMDEwLCwsLCwnRElMJykvRUNBX01FQU5fU0FMRVMoMjAxMiwwN","S8wNi8yMDEwKQ==&amp;WINDOW=FIRST_POPUP&amp;HEIGHT=450&amp;WIDTH=450&amp;START_MAXIMIZED=FALSE&amp;VAR:CALENDAR=US&amp;VAR:SYMBOL=GD&amp;VAR:INDEX=0"}</definedName>
    <definedName name="_415__FDSAUDITLINK__" hidden="1">{"fdsup://directions/FAT Viewer?action=UPDATE&amp;creator=factset&amp;DYN_ARGS=TRUE&amp;DOC_NAME=FAT:FQL_AUDITING_CLIENT_TEMPLATE.FAT&amp;display_string=Audit&amp;VAR:KEY=ELUZUZQXYJ&amp;VAR:QUERY=RkZfRU5UUlBSX1ZBTF9EQUlMWSgwNS8wNi8yMDEwLCwsLCwnRElMJykvRUNBX01FQU5fU0FMRVMoMjAxMSwwN","S8wNi8yMDEwKQ==&amp;WINDOW=FIRST_POPUP&amp;HEIGHT=450&amp;WIDTH=450&amp;START_MAXIMIZED=FALSE&amp;VAR:CALENDAR=US&amp;VAR:SYMBOL=GD&amp;VAR:INDEX=0"}</definedName>
    <definedName name="_416__FDSAUDITLINK__" hidden="1">{"fdsup://directions/FAT Viewer?action=UPDATE&amp;creator=factset&amp;DYN_ARGS=TRUE&amp;DOC_NAME=FAT:FQL_AUDITING_CLIENT_TEMPLATE.FAT&amp;display_string=Audit&amp;VAR:KEY=CXKPCNAHYZ&amp;VAR:QUERY=RkZfRU5UUlBSX1ZBTF9EQUlMWSgwNS8wNi8yMDEwLCwsLCwnRElMJykvRUNBX01FQU5fU0FMRVMoMjAxMCwwN","S8wNi8yMDEwKQ==&amp;WINDOW=FIRST_POPUP&amp;HEIGHT=450&amp;WIDTH=450&amp;START_MAXIMIZED=FALSE&amp;VAR:CALENDAR=US&amp;VAR:SYMBOL=GD&amp;VAR:INDEX=0"}</definedName>
    <definedName name="_417__FDSAUDITLINK__" hidden="1">{"fdsup://directions/FAT Viewer?action=UPDATE&amp;creator=factset&amp;DYN_ARGS=TRUE&amp;DOC_NAME=FAT:FQL_AUDITING_CLIENT_TEMPLATE.FAT&amp;display_string=Audit&amp;VAR:KEY=WDGREHGBKR&amp;VAR:QUERY=RkZfRU5UUlBSX1ZBTF9EQUlMWSgwNS8wNi8yMDEwLCwsLCwnRElMJykvRUNBX01FQU5fRUJJVCgyMDEyLDA1L","zA2LzIwMTAp&amp;WINDOW=FIRST_POPUP&amp;HEIGHT=450&amp;WIDTH=450&amp;START_MAXIMIZED=FALSE&amp;VAR:CALENDAR=US&amp;VAR:SYMBOL=GD&amp;VAR:INDEX=0"}</definedName>
    <definedName name="_418__FDSAUDITLINK__" hidden="1">{"fdsup://directions/FAT Viewer?action=UPDATE&amp;creator=factset&amp;DYN_ARGS=TRUE&amp;DOC_NAME=FAT:FQL_AUDITING_CLIENT_TEMPLATE.FAT&amp;display_string=Audit&amp;VAR:KEY=KNSBGRKJKD&amp;VAR:QUERY=RkZfRU5UUlBSX1ZBTF9EQUlMWSgwNS8wNi8yMDEwLCwsLCwnRElMJykvRUNBX01FQU5fRUJJVCgyMDExLDA1L","zA2LzIwMTAp&amp;WINDOW=FIRST_POPUP&amp;HEIGHT=450&amp;WIDTH=450&amp;START_MAXIMIZED=FALSE&amp;VAR:CALENDAR=US&amp;VAR:SYMBOL=GD&amp;VAR:INDEX=0"}</definedName>
    <definedName name="_419__FDSAUDITLINK__" hidden="1">{"fdsup://directions/FAT Viewer?action=UPDATE&amp;creator=factset&amp;DYN_ARGS=TRUE&amp;DOC_NAME=FAT:FQL_AUDITING_CLIENT_TEMPLATE.FAT&amp;display_string=Audit&amp;VAR:KEY=QRAFEXYRET&amp;VAR:QUERY=RkZfRU5UUlBSX1ZBTF9EQUlMWSgwNS8wNi8yMDEwLCwsLCwnRElMJykvRUNBX01FQU5fRUJJVCgyMDEwLDA1L","zA2LzIwMTAp&amp;WINDOW=FIRST_POPUP&amp;HEIGHT=450&amp;WIDTH=450&amp;START_MAXIMIZED=FALSE&amp;VAR:CALENDAR=US&amp;VAR:SYMBOL=GD&amp;VAR:INDEX=0"}</definedName>
    <definedName name="_42__FDSAUDITLINK__" hidden="1">{"fdsup://directions/FAT Viewer?action=UPDATE&amp;creator=factset&amp;DYN_ARGS=TRUE&amp;DOC_NAME=FAT:FQL_AUDITING_CLIENT_TEMPLATE.FAT&amp;display_string=Audit&amp;VAR:KEY=TIHKJQZAPI&amp;VAR:QUERY=RkZfRU5UUlBSX1ZBTF9EQUlMWSgwNC8xOS8yMDEwLCwsLCwnRElMJykvRUNBX01FQU5fRUJJVCgyMDEwLDA0L","zE5LzIwMTAp&amp;WINDOW=FIRST_POPUP&amp;HEIGHT=450&amp;WIDTH=450&amp;START_MAXIMIZED=FALSE&amp;VAR:CALENDAR=US&amp;VAR:SYMBOL=BEAV&amp;VAR:INDEX=0"}</definedName>
    <definedName name="_420__FDSAUDITLINK__" hidden="1">{"fdsup://directions/FAT Viewer?action=UPDATE&amp;creator=factset&amp;DYN_ARGS=TRUE&amp;DOC_NAME=FAT:FQL_AUDITING_CLIENT_TEMPLATE.FAT&amp;display_string=Audit&amp;VAR:KEY=GRQJSFSHWT&amp;VAR:QUERY=RkZfRU5UUlBSX1ZBTF9EQUlMWSgwNS8wNi8yMDEwLCwsLCwnRElMJykvRUNBX01FQU5fRUJJVERBKDIwMTIsM","DUvMDYvMjAxMCk=&amp;WINDOW=FIRST_POPUP&amp;HEIGHT=450&amp;WIDTH=450&amp;START_MAXIMIZED=FALSE&amp;VAR:CALENDAR=US&amp;VAR:SYMBOL=GD&amp;VAR:INDEX=0"}</definedName>
    <definedName name="_421__FDSAUDITLINK__" hidden="1">{"fdsup://directions/FAT Viewer?action=UPDATE&amp;creator=factset&amp;DYN_ARGS=TRUE&amp;DOC_NAME=FAT:FQL_AUDITING_CLIENT_TEMPLATE.FAT&amp;display_string=Audit&amp;VAR:KEY=QPQJGHOVIR&amp;VAR:QUERY=RkZfRU5UUlBSX1ZBTF9EQUlMWSgwNS8wNi8yMDEwLCwsLCwnRElMJykvRUNBX01FQU5fRUJJVERBKDIwMTEsM","DUvMDYvMjAxMCk=&amp;WINDOW=FIRST_POPUP&amp;HEIGHT=450&amp;WIDTH=450&amp;START_MAXIMIZED=FALSE&amp;VAR:CALENDAR=US&amp;VAR:SYMBOL=GD&amp;VAR:INDEX=0"}</definedName>
    <definedName name="_422__FDSAUDITLINK__" hidden="1">{"fdsup://directions/FAT Viewer?action=UPDATE&amp;creator=factset&amp;DYN_ARGS=TRUE&amp;DOC_NAME=FAT:FQL_AUDITING_CLIENT_TEMPLATE.FAT&amp;display_string=Audit&amp;VAR:KEY=KDWRCBCRSF&amp;VAR:QUERY=RkZfRU5UUlBSX1ZBTF9EQUlMWSgwNS8wNi8yMDEwLCwsLCwnRElMJykvRUNBX01FQU5fRUJJVERBKDIwMTAsM","DUvMDYvMjAxMCk=&amp;WINDOW=FIRST_POPUP&amp;HEIGHT=450&amp;WIDTH=450&amp;START_MAXIMIZED=FALSE&amp;VAR:CALENDAR=US&amp;VAR:SYMBOL=GD&amp;VAR:INDEX=0"}</definedName>
    <definedName name="_423__FDSAUDITLINK__" hidden="1">{"fdsup://directions/FAT Viewer?action=UPDATE&amp;creator=factset&amp;DYN_ARGS=TRUE&amp;DOC_NAME=FAT:FQL_AUDITING_CLIENT_TEMPLATE.FAT&amp;display_string=Audit&amp;VAR:KEY=AFIFMRYNGL&amp;VAR:QUERY=RkZfRU5UUlBSX1ZBTF9EQUlMWSgwNS8wNi8yMDEwLCwsLCwnRElMJykvRUNBX01FQU5fU0FMRVMoMjAxMiwwN","S8wNi8yMDEwKQ==&amp;WINDOW=FIRST_POPUP&amp;HEIGHT=450&amp;WIDTH=450&amp;START_MAXIMIZED=FALSE&amp;VAR:CALENDAR=US&amp;VAR:SYMBOL=UTX&amp;VAR:INDEX=0"}</definedName>
    <definedName name="_424__FDSAUDITLINK__" hidden="1">{"fdsup://directions/FAT Viewer?action=UPDATE&amp;creator=factset&amp;DYN_ARGS=TRUE&amp;DOC_NAME=FAT:FQL_AUDITING_CLIENT_TEMPLATE.FAT&amp;display_string=Audit&amp;VAR:KEY=AXGLUZIVKP&amp;VAR:QUERY=RkZfRU5UUlBSX1ZBTF9EQUlMWSgwNS8wNi8yMDEwLCwsLCwnRElMJykvRUNBX01FQU5fU0FMRVMoMjAxMSwwN","S8wNi8yMDEwKQ==&amp;WINDOW=FIRST_POPUP&amp;HEIGHT=450&amp;WIDTH=450&amp;START_MAXIMIZED=FALSE&amp;VAR:CALENDAR=US&amp;VAR:SYMBOL=UTX&amp;VAR:INDEX=0"}</definedName>
    <definedName name="_425__FDSAUDITLINK__" hidden="1">{"fdsup://directions/FAT Viewer?action=UPDATE&amp;creator=factset&amp;DYN_ARGS=TRUE&amp;DOC_NAME=FAT:FQL_AUDITING_CLIENT_TEMPLATE.FAT&amp;display_string=Audit&amp;VAR:KEY=AJWPQVERWT&amp;VAR:QUERY=RkZfRU5UUlBSX1ZBTF9EQUlMWSgwNS8wNi8yMDEwLCwsLCwnRElMJykvRUNBX01FQU5fU0FMRVMoMjAxMCwwN","S8wNi8yMDEwKQ==&amp;WINDOW=FIRST_POPUP&amp;HEIGHT=450&amp;WIDTH=450&amp;START_MAXIMIZED=FALSE&amp;VAR:CALENDAR=US&amp;VAR:SYMBOL=UTX&amp;VAR:INDEX=0"}</definedName>
    <definedName name="_426__FDSAUDITLINK__" hidden="1">{"fdsup://directions/FAT Viewer?action=UPDATE&amp;creator=factset&amp;DYN_ARGS=TRUE&amp;DOC_NAME=FAT:FQL_AUDITING_CLIENT_TEMPLATE.FAT&amp;display_string=Audit&amp;VAR:KEY=ILANEVQTQV&amp;VAR:QUERY=RkZfRU5UUlBSX1ZBTF9EQUlMWSgwNS8wNi8yMDEwLCwsLCwnRElMJykvRUNBX01FQU5fRUJJVCgyMDEyLDA1L","zA2LzIwMTAp&amp;WINDOW=FIRST_POPUP&amp;HEIGHT=450&amp;WIDTH=450&amp;START_MAXIMIZED=FALSE&amp;VAR:CALENDAR=US&amp;VAR:SYMBOL=UTX&amp;VAR:INDEX=0"}</definedName>
    <definedName name="_427__FDSAUDITLINK__" hidden="1">{"fdsup://directions/FAT Viewer?action=UPDATE&amp;creator=factset&amp;DYN_ARGS=TRUE&amp;DOC_NAME=FAT:FQL_AUDITING_CLIENT_TEMPLATE.FAT&amp;display_string=Audit&amp;VAR:KEY=YBURSTERWD&amp;VAR:QUERY=RkZfRU5UUlBSX1ZBTF9EQUlMWSgwNS8wNi8yMDEwLCwsLCwnRElMJykvRUNBX01FQU5fRUJJVCgyMDExLDA1L","zA2LzIwMTAp&amp;WINDOW=FIRST_POPUP&amp;HEIGHT=450&amp;WIDTH=450&amp;START_MAXIMIZED=FALSE&amp;VAR:CALENDAR=US&amp;VAR:SYMBOL=UTX&amp;VAR:INDEX=0"}</definedName>
    <definedName name="_428__FDSAUDITLINK__" hidden="1">{"fdsup://directions/FAT Viewer?action=UPDATE&amp;creator=factset&amp;DYN_ARGS=TRUE&amp;DOC_NAME=FAT:FQL_AUDITING_CLIENT_TEMPLATE.FAT&amp;display_string=Audit&amp;VAR:KEY=STQJYJKLOB&amp;VAR:QUERY=RkZfRU5UUlBSX1ZBTF9EQUlMWSgwNS8wNi8yMDEwLCwsLCwnRElMJykvRUNBX01FQU5fRUJJVCgyMDEwLDA1L","zA2LzIwMTAp&amp;WINDOW=FIRST_POPUP&amp;HEIGHT=450&amp;WIDTH=450&amp;START_MAXIMIZED=FALSE&amp;VAR:CALENDAR=US&amp;VAR:SYMBOL=UTX&amp;VAR:INDEX=0"}</definedName>
    <definedName name="_429__FDSAUDITLINK__" hidden="1">{"fdsup://directions/FAT Viewer?action=UPDATE&amp;creator=factset&amp;DYN_ARGS=TRUE&amp;DOC_NAME=FAT:FQL_AUDITING_CLIENT_TEMPLATE.FAT&amp;display_string=Audit&amp;VAR:KEY=GTIDYXINOL&amp;VAR:QUERY=RkZfRU5UUlBSX1ZBTF9EQUlMWSgwNS8wNi8yMDEwLCwsLCwnRElMJykvRUNBX01FQU5fRUJJVERBKDIwMTIsM","DUvMDYvMjAxMCk=&amp;WINDOW=FIRST_POPUP&amp;HEIGHT=450&amp;WIDTH=450&amp;START_MAXIMIZED=FALSE&amp;VAR:CALENDAR=US&amp;VAR:SYMBOL=UTX&amp;VAR:INDEX=0"}</definedName>
    <definedName name="_43__FDSAUDITLINK__" hidden="1">{"fdsup://directions/FAT Viewer?action=UPDATE&amp;creator=factset&amp;DYN_ARGS=TRUE&amp;DOC_NAME=FAT:FQL_AUDITING_CLIENT_TEMPLATE.FAT&amp;display_string=Audit&amp;VAR:KEY=HKFYDWXAZC&amp;VAR:QUERY=RkZfRU5UUlBSX1ZBTF9EQUlMWSgwNC8xOS8yMDEwLCwsLCwnRElMJykvRUNBX01FQU5fRUJJVERBKDIwMTIsM","DQvMTkvMjAxMCk=&amp;WINDOW=FIRST_POPUP&amp;HEIGHT=450&amp;WIDTH=450&amp;START_MAXIMIZED=FALSE&amp;VAR:CALENDAR=US&amp;VAR:SYMBOL=BEAV&amp;VAR:INDEX=0"}</definedName>
    <definedName name="_430__FDSAUDITLINK__" hidden="1">{"fdsup://directions/FAT Viewer?action=UPDATE&amp;creator=factset&amp;DYN_ARGS=TRUE&amp;DOC_NAME=FAT:FQL_AUDITING_CLIENT_TEMPLATE.FAT&amp;display_string=Audit&amp;VAR:KEY=MNSVOVWZKV&amp;VAR:QUERY=RkZfRU5UUlBSX1ZBTF9EQUlMWSgwNS8wNi8yMDEwLCwsLCwnRElMJykvRUNBX01FQU5fRUJJVERBKDIwMTEsM","DUvMDYvMjAxMCk=&amp;WINDOW=FIRST_POPUP&amp;HEIGHT=450&amp;WIDTH=450&amp;START_MAXIMIZED=FALSE&amp;VAR:CALENDAR=US&amp;VAR:SYMBOL=UTX&amp;VAR:INDEX=0"}</definedName>
    <definedName name="_431__FDSAUDITLINK__" hidden="1">{"fdsup://directions/FAT Viewer?action=UPDATE&amp;creator=factset&amp;DYN_ARGS=TRUE&amp;DOC_NAME=FAT:FQL_AUDITING_CLIENT_TEMPLATE.FAT&amp;display_string=Audit&amp;VAR:KEY=AZQNCTWBIP&amp;VAR:QUERY=RkZfRU5UUlBSX1ZBTF9EQUlMWSgwNS8wNi8yMDEwLCwsLCwnRElMJykvRUNBX01FQU5fRUJJVERBKDIwMTAsM","DUvMDYvMjAxMCk=&amp;WINDOW=FIRST_POPUP&amp;HEIGHT=450&amp;WIDTH=450&amp;START_MAXIMIZED=FALSE&amp;VAR:CALENDAR=US&amp;VAR:SYMBOL=UTX&amp;VAR:INDEX=0"}</definedName>
    <definedName name="_432__FDSAUDITLINK__" hidden="1">{"fdsup://directions/FAT Viewer?action=UPDATE&amp;creator=factset&amp;DYN_ARGS=TRUE&amp;DOC_NAME=FAT:FQL_AUDITING_CLIENT_TEMPLATE.FAT&amp;display_string=Audit&amp;VAR:KEY=UDEHKRKVGR&amp;VAR:QUERY=RkZfRU5UUlBSX1ZBTF9EQUlMWSgwNS8wNi8yMDEwLCwsLCwnRElMJykvRUNBX01FQU5fU0FMRVMoMjAxMiwwN","S8wNi8yMDEwKQ==&amp;WINDOW=FIRST_POPUP&amp;HEIGHT=450&amp;WIDTH=450&amp;START_MAXIMIZED=FALSE&amp;VAR:CALENDAR=US&amp;VAR:SYMBOL=BA&amp;VAR:INDEX=0"}</definedName>
    <definedName name="_433__FDSAUDITLINK__" hidden="1">{"fdsup://directions/FAT Viewer?action=UPDATE&amp;creator=factset&amp;DYN_ARGS=TRUE&amp;DOC_NAME=FAT:FQL_AUDITING_CLIENT_TEMPLATE.FAT&amp;display_string=Audit&amp;VAR:KEY=SVWJCVUNOB&amp;VAR:QUERY=RkZfRU5UUlBSX1ZBTF9EQUlMWSgwNS8wNi8yMDEwLCwsLCwnRElMJykvRUNBX01FQU5fU0FMRVMoMjAxMSwwN","S8wNi8yMDEwKQ==&amp;WINDOW=FIRST_POPUP&amp;HEIGHT=450&amp;WIDTH=450&amp;START_MAXIMIZED=FALSE&amp;VAR:CALENDAR=US&amp;VAR:SYMBOL=BA&amp;VAR:INDEX=0"}</definedName>
    <definedName name="_434__FDSAUDITLINK__" hidden="1">{"fdsup://directions/FAT Viewer?action=UPDATE&amp;creator=factset&amp;DYN_ARGS=TRUE&amp;DOC_NAME=FAT:FQL_AUDITING_CLIENT_TEMPLATE.FAT&amp;display_string=Audit&amp;VAR:KEY=SLSDABKROP&amp;VAR:QUERY=RkZfRU5UUlBSX1ZBTF9EQUlMWSgwNS8wNi8yMDEwLCwsLCwnRElMJykvRUNBX01FQU5fU0FMRVMoMjAxMCwwN","S8wNi8yMDEwKQ==&amp;WINDOW=FIRST_POPUP&amp;HEIGHT=450&amp;WIDTH=450&amp;START_MAXIMIZED=FALSE&amp;VAR:CALENDAR=US&amp;VAR:SYMBOL=BA&amp;VAR:INDEX=0"}</definedName>
    <definedName name="_435__FDSAUDITLINK__" hidden="1">{"fdsup://directions/FAT Viewer?action=UPDATE&amp;creator=factset&amp;DYN_ARGS=TRUE&amp;DOC_NAME=FAT:FQL_AUDITING_CLIENT_TEMPLATE.FAT&amp;display_string=Audit&amp;VAR:KEY=UPCDCTKHID&amp;VAR:QUERY=RkZfRU5UUlBSX1ZBTF9EQUlMWSgwNS8wNi8yMDEwLCwsLCwnRElMJykvRUNBX01FQU5fRUJJVCgyMDEyLDA1L","zA2LzIwMTAp&amp;WINDOW=FIRST_POPUP&amp;HEIGHT=450&amp;WIDTH=450&amp;START_MAXIMIZED=FALSE&amp;VAR:CALENDAR=US&amp;VAR:SYMBOL=BA&amp;VAR:INDEX=0"}</definedName>
    <definedName name="_436__FDSAUDITLINK__" hidden="1">{"fdsup://directions/FAT Viewer?action=UPDATE&amp;creator=factset&amp;DYN_ARGS=TRUE&amp;DOC_NAME=FAT:FQL_AUDITING_CLIENT_TEMPLATE.FAT&amp;display_string=Audit&amp;VAR:KEY=GDMVGDONYN&amp;VAR:QUERY=RkZfRU5UUlBSX1ZBTF9EQUlMWSgwNS8wNi8yMDEwLCwsLCwnRElMJykvRUNBX01FQU5fRUJJVCgyMDExLDA1L","zA2LzIwMTAp&amp;WINDOW=FIRST_POPUP&amp;HEIGHT=450&amp;WIDTH=450&amp;START_MAXIMIZED=FALSE&amp;VAR:CALENDAR=US&amp;VAR:SYMBOL=BA&amp;VAR:INDEX=0"}</definedName>
    <definedName name="_437__FDSAUDITLINK__" hidden="1">{"fdsup://directions/FAT Viewer?action=UPDATE&amp;creator=factset&amp;DYN_ARGS=TRUE&amp;DOC_NAME=FAT:FQL_AUDITING_CLIENT_TEMPLATE.FAT&amp;display_string=Audit&amp;VAR:KEY=AZWVCBKRMB&amp;VAR:QUERY=RkZfRU5UUlBSX1ZBTF9EQUlMWSgwNS8wNi8yMDEwLCwsLCwnRElMJykvRUNBX01FQU5fRUJJVCgyMDEwLDA1L","zA2LzIwMTAp&amp;WINDOW=FIRST_POPUP&amp;HEIGHT=450&amp;WIDTH=450&amp;START_MAXIMIZED=FALSE&amp;VAR:CALENDAR=US&amp;VAR:SYMBOL=BA&amp;VAR:INDEX=0"}</definedName>
    <definedName name="_438__FDSAUDITLINK__" hidden="1">{"fdsup://directions/FAT Viewer?action=UPDATE&amp;creator=factset&amp;DYN_ARGS=TRUE&amp;DOC_NAME=FAT:FQL_AUDITING_CLIENT_TEMPLATE.FAT&amp;display_string=Audit&amp;VAR:KEY=UDAVCPYFEN&amp;VAR:QUERY=RkZfRU5UUlBSX1ZBTF9EQUlMWSgwNS8wNi8yMDEwLCwsLCwnRElMJykvRUNBX01FQU5fRUJJVERBKDIwMTIsM","DUvMDYvMjAxMCk=&amp;WINDOW=FIRST_POPUP&amp;HEIGHT=450&amp;WIDTH=450&amp;START_MAXIMIZED=FALSE&amp;VAR:CALENDAR=US&amp;VAR:SYMBOL=BA&amp;VAR:INDEX=0"}</definedName>
    <definedName name="_439__FDSAUDITLINK__" hidden="1">{"fdsup://directions/FAT Viewer?action=UPDATE&amp;creator=factset&amp;DYN_ARGS=TRUE&amp;DOC_NAME=FAT:FQL_AUDITING_CLIENT_TEMPLATE.FAT&amp;display_string=Audit&amp;VAR:KEY=UREBSFMXKV&amp;VAR:QUERY=RkZfRU5UUlBSX1ZBTF9EQUlMWSgwNS8wNi8yMDEwLCwsLCwnRElMJykvRUNBX01FQU5fRUJJVERBKDIwMTEsM","DUvMDYvMjAxMCk=&amp;WINDOW=FIRST_POPUP&amp;HEIGHT=450&amp;WIDTH=450&amp;START_MAXIMIZED=FALSE&amp;VAR:CALENDAR=US&amp;VAR:SYMBOL=BA&amp;VAR:INDEX=0"}</definedName>
    <definedName name="_44__FDSAUDITLINK__" hidden="1">{"fdsup://directions/FAT Viewer?action=UPDATE&amp;creator=factset&amp;DYN_ARGS=TRUE&amp;DOC_NAME=FAT:FQL_AUDITING_CLIENT_TEMPLATE.FAT&amp;display_string=Audit&amp;VAR:KEY=RIFCJYXMBO&amp;VAR:QUERY=RkZfRU5UUlBSX1ZBTF9EQUlMWSgwNC8xOS8yMDEwLCwsLCwnRElMJykvRUNBX01FQU5fRUJJVERBKDIwMTEsM","DQvMTkvMjAxMCk=&amp;WINDOW=FIRST_POPUP&amp;HEIGHT=450&amp;WIDTH=450&amp;START_MAXIMIZED=FALSE&amp;VAR:CALENDAR=US&amp;VAR:SYMBOL=BEAV&amp;VAR:INDEX=0"}</definedName>
    <definedName name="_440__FDSAUDITLINK__" hidden="1">{"fdsup://directions/FAT Viewer?action=UPDATE&amp;creator=factset&amp;DYN_ARGS=TRUE&amp;DOC_NAME=FAT:FQL_AUDITING_CLIENT_TEMPLATE.FAT&amp;display_string=Audit&amp;VAR:KEY=SLIZSTEXOF&amp;VAR:QUERY=RkZfRU5UUlBSX1ZBTF9EQUlMWSgwNS8wNi8yMDEwLCwsLCwnRElMJykvRUNBX01FQU5fRUJJVERBKDIwMTAsM","DUvMDYvMjAxMCk=&amp;WINDOW=FIRST_POPUP&amp;HEIGHT=450&amp;WIDTH=450&amp;START_MAXIMIZED=FALSE&amp;VAR:CALENDAR=US&amp;VAR:SYMBOL=BA&amp;VAR:INDEX=0"}</definedName>
    <definedName name="_441__FDSAUDITLINK__" hidden="1">{"fdsup://directions/FAT Viewer?action=UPDATE&amp;creator=factset&amp;DYN_ARGS=TRUE&amp;DOC_NAME=FAT:FQL_AUDITING_CLIENT_TEMPLATE.FAT&amp;display_string=Audit&amp;VAR:KEY=HOFOZCFYJU&amp;VAR:QUERY=RkZfRU5UUlBSX1ZBTF9EQUlMWSgwNS8wNy8yMDEwLCwsLCwnRElMJykvRUNBX01FQU5fU0FMRVMoMjAxMiwwN","S8wNy8yMDEwKQ==&amp;WINDOW=FIRST_POPUP&amp;HEIGHT=450&amp;WIDTH=450&amp;START_MAXIMIZED=FALSE&amp;VAR:CALENDAR=FIVEDAY&amp;VAR:SYMBOL=BA&amp;VAR:INDEX=0"}</definedName>
    <definedName name="_442__FDSAUDITLINK__" hidden="1">{"fdsup://directions/FAT Viewer?action=UPDATE&amp;creator=factset&amp;DYN_ARGS=TRUE&amp;DOC_NAME=FAT:FQL_AUDITING_CLIENT_TEMPLATE.FAT&amp;display_string=Audit&amp;VAR:KEY=PYFCFAHGBE&amp;VAR:QUERY=RkZfRU5UUlBSX1ZBTF9EQUlMWSgwNS8wNy8yMDEwLCwsLCwnRElMJykvRUNBX01FQU5fU0FMRVMoMjAxMSwwN","S8wNy8yMDEwKQ==&amp;WINDOW=FIRST_POPUP&amp;HEIGHT=450&amp;WIDTH=450&amp;START_MAXIMIZED=FALSE&amp;VAR:CALENDAR=FIVEDAY&amp;VAR:SYMBOL=BA&amp;VAR:INDEX=0"}</definedName>
    <definedName name="_443__FDSAUDITLINK__" hidden="1">{"fdsup://directions/FAT Viewer?action=UPDATE&amp;creator=factset&amp;DYN_ARGS=TRUE&amp;DOC_NAME=FAT:FQL_AUDITING_CLIENT_TEMPLATE.FAT&amp;display_string=Audit&amp;VAR:KEY=VWFWNGROBU&amp;VAR:QUERY=RkZfRU5UUlBSX1ZBTF9EQUlMWSgwNS8wNy8yMDEwLCwsLCwnRElMJykvRUNBX01FQU5fU0FMRVMoMjAxMCwwN","S8wNy8yMDEwKQ==&amp;WINDOW=FIRST_POPUP&amp;HEIGHT=450&amp;WIDTH=450&amp;START_MAXIMIZED=FALSE&amp;VAR:CALENDAR=FIVEDAY&amp;VAR:SYMBOL=BA&amp;VAR:INDEX=0"}</definedName>
    <definedName name="_444__FDSAUDITLINK__" hidden="1">{"fdsup://directions/FAT Viewer?action=UPDATE&amp;creator=factset&amp;DYN_ARGS=TRUE&amp;DOC_NAME=FAT:FQL_AUDITING_CLIENT_TEMPLATE.FAT&amp;display_string=Audit&amp;VAR:KEY=VUZGFYFCJM&amp;VAR:QUERY=RkZfRU5UUlBSX1ZBTF9EQUlMWSgwNS8wNy8yMDEwLCwsLCwnRElMJykvRUNBX01FQU5fRUJJVCgyMDEyLDA1L","zA3LzIwMTAp&amp;WINDOW=FIRST_POPUP&amp;HEIGHT=450&amp;WIDTH=450&amp;START_MAXIMIZED=FALSE&amp;VAR:CALENDAR=FIVEDAY&amp;VAR:SYMBOL=BA&amp;VAR:INDEX=0"}</definedName>
    <definedName name="_445__FDSAUDITLINK__" hidden="1">{"fdsup://directions/FAT Viewer?action=UPDATE&amp;creator=factset&amp;DYN_ARGS=TRUE&amp;DOC_NAME=FAT:FQL_AUDITING_CLIENT_TEMPLATE.FAT&amp;display_string=Audit&amp;VAR:KEY=DKPKNQXWPA&amp;VAR:QUERY=RkZfRU5UUlBSX1ZBTF9EQUlMWSgwNS8wNy8yMDEwLCwsLCwnRElMJykvRUNBX01FQU5fRUJJVCgyMDExLDA1L","zA3LzIwMTAp&amp;WINDOW=FIRST_POPUP&amp;HEIGHT=450&amp;WIDTH=450&amp;START_MAXIMIZED=FALSE&amp;VAR:CALENDAR=FIVEDAY&amp;VAR:SYMBOL=BA&amp;VAR:INDEX=0"}</definedName>
    <definedName name="_446__FDSAUDITLINK__" hidden="1">{"fdsup://directions/FAT Viewer?action=UPDATE&amp;creator=factset&amp;DYN_ARGS=TRUE&amp;DOC_NAME=FAT:FQL_AUDITING_CLIENT_TEMPLATE.FAT&amp;display_string=Audit&amp;VAR:KEY=FKFIXKBGJW&amp;VAR:QUERY=RkZfRU5UUlBSX1ZBTF9EQUlMWSgwNS8wNy8yMDEwLCwsLCwnRElMJykvRUNBX01FQU5fRUJJVCgyMDEwLDA1L","zA3LzIwMTAp&amp;WINDOW=FIRST_POPUP&amp;HEIGHT=450&amp;WIDTH=450&amp;START_MAXIMIZED=FALSE&amp;VAR:CALENDAR=FIVEDAY&amp;VAR:SYMBOL=BA&amp;VAR:INDEX=0"}</definedName>
    <definedName name="_447__FDSAUDITLINK__" hidden="1">{"fdsup://directions/FAT Viewer?action=UPDATE&amp;creator=factset&amp;DYN_ARGS=TRUE&amp;DOC_NAME=FAT:FQL_AUDITING_CLIENT_TEMPLATE.FAT&amp;display_string=Audit&amp;VAR:KEY=JEZKZSVYLM&amp;VAR:QUERY=RkZfRU5UUlBSX1ZBTF9EQUlMWSgwNS8wNy8yMDEwLCwsLCwnRElMJykvRUNBX01FQU5fRUJJVERBKDIwMTIsM","DUvMDcvMjAxMCk=&amp;WINDOW=FIRST_POPUP&amp;HEIGHT=450&amp;WIDTH=450&amp;START_MAXIMIZED=FALSE&amp;VAR:CALENDAR=FIVEDAY&amp;VAR:SYMBOL=BA&amp;VAR:INDEX=0"}</definedName>
    <definedName name="_448__FDSAUDITLINK__" hidden="1">{"fdsup://directions/FAT Viewer?action=UPDATE&amp;creator=factset&amp;DYN_ARGS=TRUE&amp;DOC_NAME=FAT:FQL_AUDITING_CLIENT_TEMPLATE.FAT&amp;display_string=Audit&amp;VAR:KEY=VGFSTIZKNW&amp;VAR:QUERY=RkZfRU5UUlBSX1ZBTF9EQUlMWSgwNS8wNy8yMDEwLCwsLCwnRElMJykvRUNBX01FQU5fRUJJVERBKDIwMTEsM","DUvMDcvMjAxMCk=&amp;WINDOW=FIRST_POPUP&amp;HEIGHT=450&amp;WIDTH=450&amp;START_MAXIMIZED=FALSE&amp;VAR:CALENDAR=FIVEDAY&amp;VAR:SYMBOL=BA&amp;VAR:INDEX=0"}</definedName>
    <definedName name="_449__FDSAUDITLINK__" hidden="1">{"fdsup://directions/FAT Viewer?action=UPDATE&amp;creator=factset&amp;DYN_ARGS=TRUE&amp;DOC_NAME=FAT:FQL_AUDITING_CLIENT_TEMPLATE.FAT&amp;display_string=Audit&amp;VAR:KEY=XGNEVIBCNU&amp;VAR:QUERY=RkZfRU5UUlBSX1ZBTF9EQUlMWSgwNS8wNy8yMDEwLCwsLCwnRElMJykvRUNBX01FQU5fRUJJVERBKDIwMTAsM","DUvMDcvMjAxMCk=&amp;WINDOW=FIRST_POPUP&amp;HEIGHT=450&amp;WIDTH=450&amp;START_MAXIMIZED=FALSE&amp;VAR:CALENDAR=FIVEDAY&amp;VAR:SYMBOL=BA&amp;VAR:INDEX=0"}</definedName>
    <definedName name="_45__FDSAUDITLINK__" hidden="1">{"fdsup://directions/FAT Viewer?action=UPDATE&amp;creator=factset&amp;DYN_ARGS=TRUE&amp;DOC_NAME=FAT:FQL_AUDITING_CLIENT_TEMPLATE.FAT&amp;display_string=Audit&amp;VAR:KEY=XMPWHYNIVK&amp;VAR:QUERY=RkZfRU5UUlBSX1ZBTF9EQUlMWSgwNC8xOS8yMDEwLCwsLCwnRElMJykvRUNBX01FQU5fRUJJVERBKDIwMTAsM","DQvMTkvMjAxMCk=&amp;WINDOW=FIRST_POPUP&amp;HEIGHT=450&amp;WIDTH=450&amp;START_MAXIMIZED=FALSE&amp;VAR:CALENDAR=US&amp;VAR:SYMBOL=BEAV&amp;VAR:INDEX=0"}</definedName>
    <definedName name="_450__FDSAUDITLINK__" hidden="1">{"fdsup://directions/FAT Viewer?action=UPDATE&amp;creator=factset&amp;DYN_ARGS=TRUE&amp;DOC_NAME=FAT:FQL_AUDITING_CLIENT_TEMPLATE.FAT&amp;display_string=Audit&amp;VAR:KEY=XEPYFAXUZY&amp;VAR:QUERY=RkZfRU5UUlBSX1ZBTF9EQUlMWSgwNS8wNy8yMDEwLCwsLCwnRElMJykvRUNBX01FQU5fU0FMRVMoMjAxMiwwN","S8wNy8yMDEwKQ==&amp;WINDOW=FIRST_POPUP&amp;HEIGHT=450&amp;WIDTH=450&amp;START_MAXIMIZED=FALSE&amp;VAR:CALENDAR=FIVEDAY&amp;VAR:SYMBOL=GD&amp;VAR:INDEX=0"}</definedName>
    <definedName name="_451__FDSAUDITLINK__" hidden="1">{"fdsup://directions/FAT Viewer?action=UPDATE&amp;creator=factset&amp;DYN_ARGS=TRUE&amp;DOC_NAME=FAT:FQL_AUDITING_CLIENT_TEMPLATE.FAT&amp;display_string=Audit&amp;VAR:KEY=BITIHQHOZY&amp;VAR:QUERY=RkZfRU5UUlBSX1ZBTF9EQUlMWSgwNS8wNy8yMDEwLCwsLCwnRElMJykvRUNBX01FQU5fU0FMRVMoMjAxMSwwN","S8wNy8yMDEwKQ==&amp;WINDOW=FIRST_POPUP&amp;HEIGHT=450&amp;WIDTH=450&amp;START_MAXIMIZED=FALSE&amp;VAR:CALENDAR=FIVEDAY&amp;VAR:SYMBOL=GD&amp;VAR:INDEX=0"}</definedName>
    <definedName name="_452__FDSAUDITLINK__" hidden="1">{"fdsup://directions/FAT Viewer?action=UPDATE&amp;creator=factset&amp;DYN_ARGS=TRUE&amp;DOC_NAME=FAT:FQL_AUDITING_CLIENT_TEMPLATE.FAT&amp;display_string=Audit&amp;VAR:KEY=HKNQDOXCPM&amp;VAR:QUERY=RkZfRU5UUlBSX1ZBTF9EQUlMWSgwNS8wNy8yMDEwLCwsLCwnRElMJykvRUNBX01FQU5fU0FMRVMoMjAxMCwwN","S8wNy8yMDEwKQ==&amp;WINDOW=FIRST_POPUP&amp;HEIGHT=450&amp;WIDTH=450&amp;START_MAXIMIZED=FALSE&amp;VAR:CALENDAR=FIVEDAY&amp;VAR:SYMBOL=GD&amp;VAR:INDEX=0"}</definedName>
    <definedName name="_453__FDSAUDITLINK__" hidden="1">{"fdsup://directions/FAT Viewer?action=UPDATE&amp;creator=factset&amp;DYN_ARGS=TRUE&amp;DOC_NAME=FAT:FQL_AUDITING_CLIENT_TEMPLATE.FAT&amp;display_string=Audit&amp;VAR:KEY=DYPQHMXUZG&amp;VAR:QUERY=RkZfRU5UUlBSX1ZBTF9EQUlMWSgwNS8wNy8yMDEwLCwsLCwnRElMJykvRUNBX01FQU5fRUJJVCgyMDEyLDA1L","zA3LzIwMTAp&amp;WINDOW=FIRST_POPUP&amp;HEIGHT=450&amp;WIDTH=450&amp;START_MAXIMIZED=FALSE&amp;VAR:CALENDAR=FIVEDAY&amp;VAR:SYMBOL=GD&amp;VAR:INDEX=0"}</definedName>
    <definedName name="_454__FDSAUDITLINK__" hidden="1">{"fdsup://directions/FAT Viewer?action=UPDATE&amp;creator=factset&amp;DYN_ARGS=TRUE&amp;DOC_NAME=FAT:FQL_AUDITING_CLIENT_TEMPLATE.FAT&amp;display_string=Audit&amp;VAR:KEY=XSNCVSPGZG&amp;VAR:QUERY=RkZfRU5UUlBSX1ZBTF9EQUlMWSgwNS8wNy8yMDEwLCwsLCwnRElMJykvRUNBX01FQU5fRUJJVCgyMDExLDA1L","zA3LzIwMTAp&amp;WINDOW=FIRST_POPUP&amp;HEIGHT=450&amp;WIDTH=450&amp;START_MAXIMIZED=FALSE&amp;VAR:CALENDAR=FIVEDAY&amp;VAR:SYMBOL=GD&amp;VAR:INDEX=0"}</definedName>
    <definedName name="_455__FDSAUDITLINK__" hidden="1">{"fdsup://directions/FAT Viewer?action=UPDATE&amp;creator=factset&amp;DYN_ARGS=TRUE&amp;DOC_NAME=FAT:FQL_AUDITING_CLIENT_TEMPLATE.FAT&amp;display_string=Audit&amp;VAR:KEY=BELGZORAFS&amp;VAR:QUERY=RkZfRU5UUlBSX1ZBTF9EQUlMWSgwNS8wNy8yMDEwLCwsLCwnRElMJykvRUNBX01FQU5fRUJJVCgyMDEwLDA1L","zA3LzIwMTAp&amp;WINDOW=FIRST_POPUP&amp;HEIGHT=450&amp;WIDTH=450&amp;START_MAXIMIZED=FALSE&amp;VAR:CALENDAR=FIVEDAY&amp;VAR:SYMBOL=GD&amp;VAR:INDEX=0"}</definedName>
    <definedName name="_456__FDSAUDITLINK__" hidden="1">{"fdsup://directions/FAT Viewer?action=UPDATE&amp;creator=factset&amp;DYN_ARGS=TRUE&amp;DOC_NAME=FAT:FQL_AUDITING_CLIENT_TEMPLATE.FAT&amp;display_string=Audit&amp;VAR:KEY=PQFYRQHMXW&amp;VAR:QUERY=RkZfRU5UUlBSX1ZBTF9EQUlMWSgwNS8wNy8yMDEwLCwsLCwnRElMJykvRUNBX01FQU5fRUJJVERBKDIwMTIsM","DUvMDcvMjAxMCk=&amp;WINDOW=FIRST_POPUP&amp;HEIGHT=450&amp;WIDTH=450&amp;START_MAXIMIZED=FALSE&amp;VAR:CALENDAR=FIVEDAY&amp;VAR:SYMBOL=GD&amp;VAR:INDEX=0"}</definedName>
    <definedName name="_457__FDSAUDITLINK__" hidden="1">{"fdsup://directions/FAT Viewer?action=UPDATE&amp;creator=factset&amp;DYN_ARGS=TRUE&amp;DOC_NAME=FAT:FQL_AUDITING_CLIENT_TEMPLATE.FAT&amp;display_string=Audit&amp;VAR:KEY=DQZKTKJEDM&amp;VAR:QUERY=RkZfRU5UUlBSX1ZBTF9EQUlMWSgwNS8wNy8yMDEwLCwsLCwnRElMJykvRUNBX01FQU5fRUJJVERBKDIwMTEsM","DUvMDcvMjAxMCk=&amp;WINDOW=FIRST_POPUP&amp;HEIGHT=450&amp;WIDTH=450&amp;START_MAXIMIZED=FALSE&amp;VAR:CALENDAR=FIVEDAY&amp;VAR:SYMBOL=GD&amp;VAR:INDEX=0"}</definedName>
    <definedName name="_458__FDSAUDITLINK__" hidden="1">{"fdsup://directions/FAT Viewer?action=UPDATE&amp;creator=factset&amp;DYN_ARGS=TRUE&amp;DOC_NAME=FAT:FQL_AUDITING_CLIENT_TEMPLATE.FAT&amp;display_string=Audit&amp;VAR:KEY=VAVUNSLMFS&amp;VAR:QUERY=RkZfRU5UUlBSX1ZBTF9EQUlMWSgwNS8wNy8yMDEwLCwsLCwnRElMJykvRUNBX01FQU5fRUJJVERBKDIwMTAsM","DUvMDcvMjAxMCk=&amp;WINDOW=FIRST_POPUP&amp;HEIGHT=450&amp;WIDTH=450&amp;START_MAXIMIZED=FALSE&amp;VAR:CALENDAR=FIVEDAY&amp;VAR:SYMBOL=GD&amp;VAR:INDEX=0"}</definedName>
    <definedName name="_459__FDSAUDITLINK__" hidden="1">{"fdsup://directions/FAT Viewer?action=UPDATE&amp;creator=factset&amp;DYN_ARGS=TRUE&amp;DOC_NAME=FAT:FQL_AUDITING_CLIENT_TEMPLATE.FAT&amp;display_string=Audit&amp;VAR:KEY=ZKZIVCJEHS&amp;VAR:QUERY=RkZfRU5UUlBSX1ZBTF9EQUlMWSgwNS8wNy8yMDEwLCwsLCwnRElMJykvRUNBX01FQU5fU0FMRVMoMjAxMiwwN","S8wNy8yMDEwKQ==&amp;WINDOW=FIRST_POPUP&amp;HEIGHT=450&amp;WIDTH=450&amp;START_MAXIMIZED=FALSE&amp;VAR:CALENDAR=FIVEDAY&amp;VAR:SYMBOL=UTX&amp;VAR:INDEX=0"}</definedName>
    <definedName name="_46__FDSAUDITLINK__" hidden="1">{"fdsup://directions/FAT Viewer?action=UPDATE&amp;creator=factset&amp;DYN_ARGS=TRUE&amp;DOC_NAME=FAT:FQL_AUDITING_CLIENT_TEMPLATE.FAT&amp;display_string=Audit&amp;VAR:KEY=LIBMHGRSZU&amp;VAR:QUERY=RkZfRU5UUlBSX1ZBTF9EQUlMWSgwNC8yMC8yMDEwLCwsLCwnRElMJykvRUNBX01FQU5fU0FMRVMoMjAxMiwwN","C8yMC8yMDEwKQ==&amp;WINDOW=FIRST_POPUP&amp;HEIGHT=450&amp;WIDTH=450&amp;START_MAXIMIZED=FALSE&amp;VAR:CALENDAR=US&amp;VAR:SYMBOL=057580&amp;VAR:INDEX=0"}</definedName>
    <definedName name="_460__FDSAUDITLINK__" hidden="1">{"fdsup://directions/FAT Viewer?action=UPDATE&amp;creator=factset&amp;DYN_ARGS=TRUE&amp;DOC_NAME=FAT:FQL_AUDITING_CLIENT_TEMPLATE.FAT&amp;display_string=Audit&amp;VAR:KEY=DWFMNSDYJM&amp;VAR:QUERY=RkZfRU5UUlBSX1ZBTF9EQUlMWSgwNS8wNy8yMDEwLCwsLCwnRElMJykvRUNBX01FQU5fU0FMRVMoMjAxMSwwN","S8wNy8yMDEwKQ==&amp;WINDOW=FIRST_POPUP&amp;HEIGHT=450&amp;WIDTH=450&amp;START_MAXIMIZED=FALSE&amp;VAR:CALENDAR=FIVEDAY&amp;VAR:SYMBOL=UTX&amp;VAR:INDEX=0"}</definedName>
    <definedName name="_461__FDSAUDITLINK__" hidden="1">{"fdsup://directions/FAT Viewer?action=UPDATE&amp;creator=factset&amp;DYN_ARGS=TRUE&amp;DOC_NAME=FAT:FQL_AUDITING_CLIENT_TEMPLATE.FAT&amp;display_string=Audit&amp;VAR:KEY=ZSXKNSJUJO&amp;VAR:QUERY=RkZfRU5UUlBSX1ZBTF9EQUlMWSgwNS8wNy8yMDEwLCwsLCwnRElMJykvRUNBX01FQU5fU0FMRVMoMjAxMCwwN","S8wNy8yMDEwKQ==&amp;WINDOW=FIRST_POPUP&amp;HEIGHT=450&amp;WIDTH=450&amp;START_MAXIMIZED=FALSE&amp;VAR:CALENDAR=FIVEDAY&amp;VAR:SYMBOL=UTX&amp;VAR:INDEX=0"}</definedName>
    <definedName name="_462__FDSAUDITLINK__" hidden="1">{"fdsup://directions/FAT Viewer?action=UPDATE&amp;creator=factset&amp;DYN_ARGS=TRUE&amp;DOC_NAME=FAT:FQL_AUDITING_CLIENT_TEMPLATE.FAT&amp;display_string=Audit&amp;VAR:KEY=TUZCLAXUPA&amp;VAR:QUERY=RkZfRU5UUlBSX1ZBTF9EQUlMWSgwNS8wNy8yMDEwLCwsLCwnRElMJykvRUNBX01FQU5fRUJJVCgyMDEyLDA1L","zA3LzIwMTAp&amp;WINDOW=FIRST_POPUP&amp;HEIGHT=450&amp;WIDTH=450&amp;START_MAXIMIZED=FALSE&amp;VAR:CALENDAR=FIVEDAY&amp;VAR:SYMBOL=UTX&amp;VAR:INDEX=0"}</definedName>
    <definedName name="_463__FDSAUDITLINK__" hidden="1">{"fdsup://directions/FAT Viewer?action=UPDATE&amp;creator=factset&amp;DYN_ARGS=TRUE&amp;DOC_NAME=FAT:FQL_AUDITING_CLIENT_TEMPLATE.FAT&amp;display_string=Audit&amp;VAR:KEY=HMVEPSJWTA&amp;VAR:QUERY=RkZfRU5UUlBSX1ZBTF9EQUlMWSgwNS8wNy8yMDEwLCwsLCwnRElMJykvRUNBX01FQU5fRUJJVCgyMDExLDA1L","zA3LzIwMTAp&amp;WINDOW=FIRST_POPUP&amp;HEIGHT=450&amp;WIDTH=450&amp;START_MAXIMIZED=FALSE&amp;VAR:CALENDAR=FIVEDAY&amp;VAR:SYMBOL=UTX&amp;VAR:INDEX=0"}</definedName>
    <definedName name="_464__FDSAUDITLINK__" hidden="1">{"fdsup://directions/FAT Viewer?action=UPDATE&amp;creator=factset&amp;DYN_ARGS=TRUE&amp;DOC_NAME=FAT:FQL_AUDITING_CLIENT_TEMPLATE.FAT&amp;display_string=Audit&amp;VAR:KEY=ZAXGXAFCDW&amp;VAR:QUERY=RkZfRU5UUlBSX1ZBTF9EQUlMWSgwNS8wNy8yMDEwLCwsLCwnRElMJykvRUNBX01FQU5fRUJJVCgyMDEwLDA1L","zA3LzIwMTAp&amp;WINDOW=FIRST_POPUP&amp;HEIGHT=450&amp;WIDTH=450&amp;START_MAXIMIZED=FALSE&amp;VAR:CALENDAR=FIVEDAY&amp;VAR:SYMBOL=UTX&amp;VAR:INDEX=0"}</definedName>
    <definedName name="_465__FDSAUDITLINK__" hidden="1">{"fdsup://directions/FAT Viewer?action=UPDATE&amp;creator=factset&amp;DYN_ARGS=TRUE&amp;DOC_NAME=FAT:FQL_AUDITING_CLIENT_TEMPLATE.FAT&amp;display_string=Audit&amp;VAR:KEY=HETWNORMXO&amp;VAR:QUERY=RkZfRU5UUlBSX1ZBTF9EQUlMWSgwNS8wNy8yMDEwLCwsLCwnRElMJykvRUNBX01FQU5fRUJJVERBKDIwMTIsM","DUvMDcvMjAxMCk=&amp;WINDOW=FIRST_POPUP&amp;HEIGHT=450&amp;WIDTH=450&amp;START_MAXIMIZED=FALSE&amp;VAR:CALENDAR=FIVEDAY&amp;VAR:SYMBOL=UTX&amp;VAR:INDEX=0"}</definedName>
    <definedName name="_466__FDSAUDITLINK__" hidden="1">{"fdsup://directions/FAT Viewer?action=UPDATE&amp;creator=factset&amp;DYN_ARGS=TRUE&amp;DOC_NAME=FAT:FQL_AUDITING_CLIENT_TEMPLATE.FAT&amp;display_string=Audit&amp;VAR:KEY=TWTKBMLCLK&amp;VAR:QUERY=RkZfRU5UUlBSX1ZBTF9EQUlMWSgwNS8wNy8yMDEwLCwsLCwnRElMJykvRUNBX01FQU5fRUJJVERBKDIwMTEsM","DUvMDcvMjAxMCk=&amp;WINDOW=FIRST_POPUP&amp;HEIGHT=450&amp;WIDTH=450&amp;START_MAXIMIZED=FALSE&amp;VAR:CALENDAR=FIVEDAY&amp;VAR:SYMBOL=UTX&amp;VAR:INDEX=0"}</definedName>
    <definedName name="_467__FDSAUDITLINK__" hidden="1">{"fdsup://directions/FAT Viewer?action=UPDATE&amp;creator=factset&amp;DYN_ARGS=TRUE&amp;DOC_NAME=FAT:FQL_AUDITING_CLIENT_TEMPLATE.FAT&amp;display_string=Audit&amp;VAR:KEY=ZWRCFYXGFK&amp;VAR:QUERY=RkZfRU5UUlBSX1ZBTF9EQUlMWSgwNS8wNy8yMDEwLCwsLCwnRElMJykvRUNBX01FQU5fRUJJVERBKDIwMTAsM","DUvMDcvMjAxMCk=&amp;WINDOW=FIRST_POPUP&amp;HEIGHT=450&amp;WIDTH=450&amp;START_MAXIMIZED=FALSE&amp;VAR:CALENDAR=FIVEDAY&amp;VAR:SYMBOL=UTX&amp;VAR:INDEX=0"}</definedName>
    <definedName name="_468__FDSAUDITLINK__" hidden="1">{"fdsup://directions/FAT Viewer?action=UPDATE&amp;creator=factset&amp;DYN_ARGS=TRUE&amp;DOC_NAME=FAT:FQL_AUDITING_CLIENT_TEMPLATE.FAT&amp;display_string=Audit&amp;VAR:KEY=JQRWVCFKRU&amp;VAR:QUERY=RkZfRU5UUlBSX1ZBTF9EQUlMWSgwNS8yNC8yMDEwLCwsLCwnRElMJykvRUNBX01FQU5fU0FMRVMoMjAxMiwwN","S8yNC8yMDEwKQ==&amp;WINDOW=FIRST_POPUP&amp;HEIGHT=450&amp;WIDTH=450&amp;START_MAXIMIZED=FALSE&amp;VAR:CALENDAR=FIVEDAY&amp;VAR:SYMBOL=BA&amp;VAR:INDEX=0"}</definedName>
    <definedName name="_469__FDSAUDITLINK__" hidden="1">{"fdsup://directions/FAT Viewer?action=UPDATE&amp;creator=factset&amp;DYN_ARGS=TRUE&amp;DOC_NAME=FAT:FQL_AUDITING_CLIENT_TEMPLATE.FAT&amp;display_string=Audit&amp;VAR:KEY=FCJCZMLYDW&amp;VAR:QUERY=RkZfRU5UUlBSX1ZBTF9EQUlMWSgwNS8yNC8yMDEwLCwsLCwnRElMJykvRUNBX01FQU5fU0FMRVMoMjAxMSwwN","S8yNC8yMDEwKQ==&amp;WINDOW=FIRST_POPUP&amp;HEIGHT=450&amp;WIDTH=450&amp;START_MAXIMIZED=FALSE&amp;VAR:CALENDAR=FIVEDAY&amp;VAR:SYMBOL=BA&amp;VAR:INDEX=0"}</definedName>
    <definedName name="_47__FDSAUDITLINK__" hidden="1">{"fdsup://directions/FAT Viewer?action=UPDATE&amp;creator=factset&amp;DYN_ARGS=TRUE&amp;DOC_NAME=FAT:FQL_AUDITING_CLIENT_TEMPLATE.FAT&amp;display_string=Audit&amp;VAR:KEY=PCLCVWDMFI&amp;VAR:QUERY=RkZfRU5UUlBSX1ZBTF9EQUlMWSgwNC8yMC8yMDEwLCwsLCwnRElMJykvRUNBX01FQU5fU0FMRVMoMjAxMSwwN","C8yMC8yMDEwKQ==&amp;WINDOW=FIRST_POPUP&amp;HEIGHT=450&amp;WIDTH=450&amp;START_MAXIMIZED=FALSE&amp;VAR:CALENDAR=US&amp;VAR:SYMBOL=057580&amp;VAR:INDEX=0"}</definedName>
    <definedName name="_470__FDSAUDITLINK__" hidden="1">{"fdsup://directions/FAT Viewer?action=UPDATE&amp;creator=factset&amp;DYN_ARGS=TRUE&amp;DOC_NAME=FAT:FQL_AUDITING_CLIENT_TEMPLATE.FAT&amp;display_string=Audit&amp;VAR:KEY=JARADSZALA&amp;VAR:QUERY=RkZfRU5UUlBSX1ZBTF9EQUlMWSgwNS8yNC8yMDEwLCwsLCwnRElMJykvRUNBX01FQU5fU0FMRVMoMjAxMCwwN","S8yNC8yMDEwKQ==&amp;WINDOW=FIRST_POPUP&amp;HEIGHT=450&amp;WIDTH=450&amp;START_MAXIMIZED=FALSE&amp;VAR:CALENDAR=FIVEDAY&amp;VAR:SYMBOL=BA&amp;VAR:INDEX=0"}</definedName>
    <definedName name="_471__FDSAUDITLINK__" hidden="1">{"fdsup://directions/FAT Viewer?action=UPDATE&amp;creator=factset&amp;DYN_ARGS=TRUE&amp;DOC_NAME=FAT:FQL_AUDITING_CLIENT_TEMPLATE.FAT&amp;display_string=Audit&amp;VAR:KEY=XKVCJYJABC&amp;VAR:QUERY=RkZfRU5UUlBSX1ZBTF9EQUlMWSgwNS8yNC8yMDEwLCwsLCwnRElMJykvRUNBX01FQU5fRUJJVCgyMDEyLDA1L","zI0LzIwMTAp&amp;WINDOW=FIRST_POPUP&amp;HEIGHT=450&amp;WIDTH=450&amp;START_MAXIMIZED=FALSE&amp;VAR:CALENDAR=FIVEDAY&amp;VAR:SYMBOL=BA&amp;VAR:INDEX=0"}</definedName>
    <definedName name="_472__FDSAUDITLINK__" hidden="1">{"fdsup://directions/FAT Viewer?action=UPDATE&amp;creator=factset&amp;DYN_ARGS=TRUE&amp;DOC_NAME=FAT:FQL_AUDITING_CLIENT_TEMPLATE.FAT&amp;display_string=Audit&amp;VAR:KEY=XWDWZGXQXS&amp;VAR:QUERY=RkZfRU5UUlBSX1ZBTF9EQUlMWSgwNS8yNC8yMDEwLCwsLCwnRElMJykvRUNBX01FQU5fRUJJVCgyMDExLDA1L","zI0LzIwMTAp&amp;WINDOW=FIRST_POPUP&amp;HEIGHT=450&amp;WIDTH=450&amp;START_MAXIMIZED=FALSE&amp;VAR:CALENDAR=FIVEDAY&amp;VAR:SYMBOL=BA&amp;VAR:INDEX=0"}</definedName>
    <definedName name="_473__FDSAUDITLINK__" hidden="1">{"fdsup://directions/FAT Viewer?action=UPDATE&amp;creator=factset&amp;DYN_ARGS=TRUE&amp;DOC_NAME=FAT:FQL_AUDITING_CLIENT_TEMPLATE.FAT&amp;display_string=Audit&amp;VAR:KEY=DIVEFIDORQ&amp;VAR:QUERY=RkZfRU5UUlBSX1ZBTF9EQUlMWSgwNS8yNC8yMDEwLCwsLCwnRElMJykvRUNBX01FQU5fRUJJVCgyMDEwLDA1L","zI0LzIwMTAp&amp;WINDOW=FIRST_POPUP&amp;HEIGHT=450&amp;WIDTH=450&amp;START_MAXIMIZED=FALSE&amp;VAR:CALENDAR=FIVEDAY&amp;VAR:SYMBOL=BA&amp;VAR:INDEX=0"}</definedName>
    <definedName name="_474__FDSAUDITLINK__" hidden="1">{"fdsup://directions/FAT Viewer?action=UPDATE&amp;creator=factset&amp;DYN_ARGS=TRUE&amp;DOC_NAME=FAT:FQL_AUDITING_CLIENT_TEMPLATE.FAT&amp;display_string=Audit&amp;VAR:KEY=FIFALQFUVE&amp;VAR:QUERY=RkZfRU5UUlBSX1ZBTF9EQUlMWSgwNS8yNC8yMDEwLCwsLCwnRElMJykvRUNBX01FQU5fRUJJVERBKDIwMTIsM","DUvMjQvMjAxMCk=&amp;WINDOW=FIRST_POPUP&amp;HEIGHT=450&amp;WIDTH=450&amp;START_MAXIMIZED=FALSE&amp;VAR:CALENDAR=FIVEDAY&amp;VAR:SYMBOL=BA&amp;VAR:INDEX=0"}</definedName>
    <definedName name="_475__FDSAUDITLINK__" hidden="1">{"fdsup://directions/FAT Viewer?action=UPDATE&amp;creator=factset&amp;DYN_ARGS=TRUE&amp;DOC_NAME=FAT:FQL_AUDITING_CLIENT_TEMPLATE.FAT&amp;display_string=Audit&amp;VAR:KEY=JGLONGZIVO&amp;VAR:QUERY=RkZfRU5UUlBSX1ZBTF9EQUlMWSgwNS8yNC8yMDEwLCwsLCwnRElMJykvRUNBX01FQU5fRUJJVERBKDIwMTEsM","DUvMjQvMjAxMCk=&amp;WINDOW=FIRST_POPUP&amp;HEIGHT=450&amp;WIDTH=450&amp;START_MAXIMIZED=FALSE&amp;VAR:CALENDAR=FIVEDAY&amp;VAR:SYMBOL=BA&amp;VAR:INDEX=0"}</definedName>
    <definedName name="_476__FDSAUDITLINK__" hidden="1">{"fdsup://directions/FAT Viewer?action=UPDATE&amp;creator=factset&amp;DYN_ARGS=TRUE&amp;DOC_NAME=FAT:FQL_AUDITING_CLIENT_TEMPLATE.FAT&amp;display_string=Audit&amp;VAR:KEY=JEHIFGLYDA&amp;VAR:QUERY=RkZfRU5UUlBSX1ZBTF9EQUlMWSgwNS8yNC8yMDEwLCwsLCwnRElMJykvRUNBX01FQU5fRUJJVERBKDIwMTAsM","DUvMjQvMjAxMCk=&amp;WINDOW=FIRST_POPUP&amp;HEIGHT=450&amp;WIDTH=450&amp;START_MAXIMIZED=FALSE&amp;VAR:CALENDAR=FIVEDAY&amp;VAR:SYMBOL=BA&amp;VAR:INDEX=0"}</definedName>
    <definedName name="_477__FDSAUDITLINK__" hidden="1">{"fdsup://directions/FAT Viewer?action=UPDATE&amp;creator=factset&amp;DYN_ARGS=TRUE&amp;DOC_NAME=FAT:FQL_AUDITING_CLIENT_TEMPLATE.FAT&amp;display_string=Audit&amp;VAR:KEY=FSHCTKHERS&amp;VAR:QUERY=RkZfRU5UUlBSX1ZBTF9EQUlMWSgwNS8yNC8yMDEwLCwsLCwnRElMJykvRUNBX01FQU5fU0FMRVMoMjAxMiwwN","S8yNC8yMDEwKQ==&amp;WINDOW=FIRST_POPUP&amp;HEIGHT=450&amp;WIDTH=450&amp;START_MAXIMIZED=FALSE&amp;VAR:CALENDAR=FIVEDAY&amp;VAR:SYMBOL=GD&amp;VAR:INDEX=0"}</definedName>
    <definedName name="_478__FDSAUDITLINK__" hidden="1">{"fdsup://directions/FAT Viewer?action=UPDATE&amp;creator=factset&amp;DYN_ARGS=TRUE&amp;DOC_NAME=FAT:FQL_AUDITING_CLIENT_TEMPLATE.FAT&amp;display_string=Audit&amp;VAR:KEY=XUBCXAZIVW&amp;VAR:QUERY=RkZfRU5UUlBSX1ZBTF9EQUlMWSgwNS8yNC8yMDEwLCwsLCwnRElMJykvRUNBX01FQU5fU0FMRVMoMjAxMSwwN","S8yNC8yMDEwKQ==&amp;WINDOW=FIRST_POPUP&amp;HEIGHT=450&amp;WIDTH=450&amp;START_MAXIMIZED=FALSE&amp;VAR:CALENDAR=FIVEDAY&amp;VAR:SYMBOL=GD&amp;VAR:INDEX=0"}</definedName>
    <definedName name="_479__FDSAUDITLINK__" hidden="1">{"fdsup://directions/FAT Viewer?action=UPDATE&amp;creator=factset&amp;DYN_ARGS=TRUE&amp;DOC_NAME=FAT:FQL_AUDITING_CLIENT_TEMPLATE.FAT&amp;display_string=Audit&amp;VAR:KEY=LUPSRUHYLK&amp;VAR:QUERY=RkZfRU5UUlBSX1ZBTF9EQUlMWSgwNS8yNC8yMDEwLCwsLCwnRElMJykvRUNBX01FQU5fU0FMRVMoMjAxMCwwN","S8yNC8yMDEwKQ==&amp;WINDOW=FIRST_POPUP&amp;HEIGHT=450&amp;WIDTH=450&amp;START_MAXIMIZED=FALSE&amp;VAR:CALENDAR=FIVEDAY&amp;VAR:SYMBOL=GD&amp;VAR:INDEX=0"}</definedName>
    <definedName name="_48__FDSAUDITLINK__" hidden="1">{"fdsup://directions/FAT Viewer?action=UPDATE&amp;creator=factset&amp;DYN_ARGS=TRUE&amp;DOC_NAME=FAT:FQL_AUDITING_CLIENT_TEMPLATE.FAT&amp;display_string=Audit&amp;VAR:KEY=HKDQJYHUVM&amp;VAR:QUERY=RkZfRU5UUlBSX1ZBTF9EQUlMWSgwNC8yMC8yMDEwLCwsLCwnRElMJykvRUNBX01FQU5fU0FMRVMoMjAxMCwwN","C8yMC8yMDEwKQ==&amp;WINDOW=FIRST_POPUP&amp;HEIGHT=450&amp;WIDTH=450&amp;START_MAXIMIZED=FALSE&amp;VAR:CALENDAR=US&amp;VAR:SYMBOL=057580&amp;VAR:INDEX=0"}</definedName>
    <definedName name="_480__FDSAUDITLINK__" hidden="1">{"fdsup://directions/FAT Viewer?action=UPDATE&amp;creator=factset&amp;DYN_ARGS=TRUE&amp;DOC_NAME=FAT:FQL_AUDITING_CLIENT_TEMPLATE.FAT&amp;display_string=Audit&amp;VAR:KEY=HYJUVSVCHA&amp;VAR:QUERY=RkZfRU5UUlBSX1ZBTF9EQUlMWSgwNS8yNC8yMDEwLCwsLCwnRElMJykvRUNBX01FQU5fRUJJVCgyMDEyLDA1L","zI0LzIwMTAp&amp;WINDOW=FIRST_POPUP&amp;HEIGHT=450&amp;WIDTH=450&amp;START_MAXIMIZED=FALSE&amp;VAR:CALENDAR=FIVEDAY&amp;VAR:SYMBOL=GD&amp;VAR:INDEX=0"}</definedName>
    <definedName name="_481__FDSAUDITLINK__" hidden="1">{"fdsup://directions/FAT Viewer?action=UPDATE&amp;creator=factset&amp;DYN_ARGS=TRUE&amp;DOC_NAME=FAT:FQL_AUDITING_CLIENT_TEMPLATE.FAT&amp;display_string=Audit&amp;VAR:KEY=RORYHYVSDM&amp;VAR:QUERY=RkZfRU5UUlBSX1ZBTF9EQUlMWSgwNS8yNC8yMDEwLCwsLCwnRElMJykvRUNBX01FQU5fRUJJVCgyMDExLDA1L","zI0LzIwMTAp&amp;WINDOW=FIRST_POPUP&amp;HEIGHT=450&amp;WIDTH=450&amp;START_MAXIMIZED=FALSE&amp;VAR:CALENDAR=FIVEDAY&amp;VAR:SYMBOL=GD&amp;VAR:INDEX=0"}</definedName>
    <definedName name="_482__FDSAUDITLINK__" hidden="1">{"fdsup://directions/FAT Viewer?action=UPDATE&amp;creator=factset&amp;DYN_ARGS=TRUE&amp;DOC_NAME=FAT:FQL_AUDITING_CLIENT_TEMPLATE.FAT&amp;display_string=Audit&amp;VAR:KEY=XKVURUPIXC&amp;VAR:QUERY=RkZfRU5UUlBSX1ZBTF9EQUlMWSgwNS8yNC8yMDEwLCwsLCwnRElMJykvRUNBX01FQU5fRUJJVCgyMDEwLDA1L","zI0LzIwMTAp&amp;WINDOW=FIRST_POPUP&amp;HEIGHT=450&amp;WIDTH=450&amp;START_MAXIMIZED=FALSE&amp;VAR:CALENDAR=FIVEDAY&amp;VAR:SYMBOL=GD&amp;VAR:INDEX=0"}</definedName>
    <definedName name="_483__FDSAUDITLINK__" hidden="1">{"fdsup://directions/FAT Viewer?action=UPDATE&amp;creator=factset&amp;DYN_ARGS=TRUE&amp;DOC_NAME=FAT:FQL_AUDITING_CLIENT_TEMPLATE.FAT&amp;display_string=Audit&amp;VAR:KEY=BYLGZMFORU&amp;VAR:QUERY=RkZfRU5UUlBSX1ZBTF9EQUlMWSgwNS8yNC8yMDEwLCwsLCwnRElMJykvRUNBX01FQU5fRUJJVERBKDIwMTIsM","DUvMjQvMjAxMCk=&amp;WINDOW=FIRST_POPUP&amp;HEIGHT=450&amp;WIDTH=450&amp;START_MAXIMIZED=FALSE&amp;VAR:CALENDAR=FIVEDAY&amp;VAR:SYMBOL=GD&amp;VAR:INDEX=0"}</definedName>
    <definedName name="_484__FDSAUDITLINK__" hidden="1">{"fdsup://directions/FAT Viewer?action=UPDATE&amp;creator=factset&amp;DYN_ARGS=TRUE&amp;DOC_NAME=FAT:FQL_AUDITING_CLIENT_TEMPLATE.FAT&amp;display_string=Audit&amp;VAR:KEY=HQXKDININU&amp;VAR:QUERY=RkZfRU5UUlBSX1ZBTF9EQUlMWSgwNS8yNC8yMDEwLCwsLCwnRElMJykvRUNBX01FQU5fRUJJVERBKDIwMTEsM","DUvMjQvMjAxMCk=&amp;WINDOW=FIRST_POPUP&amp;HEIGHT=450&amp;WIDTH=450&amp;START_MAXIMIZED=FALSE&amp;VAR:CALENDAR=FIVEDAY&amp;VAR:SYMBOL=GD&amp;VAR:INDEX=0"}</definedName>
    <definedName name="_485__FDSAUDITLINK__" hidden="1">{"fdsup://directions/FAT Viewer?action=UPDATE&amp;creator=factset&amp;DYN_ARGS=TRUE&amp;DOC_NAME=FAT:FQL_AUDITING_CLIENT_TEMPLATE.FAT&amp;display_string=Audit&amp;VAR:KEY=JAVEVMJIVC&amp;VAR:QUERY=RkZfRU5UUlBSX1ZBTF9EQUlMWSgwNS8yNC8yMDEwLCwsLCwnRElMJykvRUNBX01FQU5fRUJJVERBKDIwMTAsM","DUvMjQvMjAxMCk=&amp;WINDOW=FIRST_POPUP&amp;HEIGHT=450&amp;WIDTH=450&amp;START_MAXIMIZED=FALSE&amp;VAR:CALENDAR=FIVEDAY&amp;VAR:SYMBOL=GD&amp;VAR:INDEX=0"}</definedName>
    <definedName name="_486__FDSAUDITLINK__" hidden="1">{"fdsup://directions/FAT Viewer?action=UPDATE&amp;creator=factset&amp;DYN_ARGS=TRUE&amp;DOC_NAME=FAT:FQL_AUDITING_CLIENT_TEMPLATE.FAT&amp;display_string=Audit&amp;VAR:KEY=HULUTOPEPC&amp;VAR:QUERY=RkZfRU5UUlBSX1ZBTF9EQUlMWSgwNS8yNC8yMDEwLCwsLCwnRElMJykvRUNBX01FQU5fU0FMRVMoMjAxMiwwN","S8yNC8yMDEwKQ==&amp;WINDOW=FIRST_POPUP&amp;HEIGHT=450&amp;WIDTH=450&amp;START_MAXIMIZED=FALSE&amp;VAR:CALENDAR=FIVEDAY&amp;VAR:SYMBOL=UTX&amp;VAR:INDEX=0"}</definedName>
    <definedName name="_487__FDSAUDITLINK__" hidden="1">{"fdsup://directions/FAT Viewer?action=UPDATE&amp;creator=factset&amp;DYN_ARGS=TRUE&amp;DOC_NAME=FAT:FQL_AUDITING_CLIENT_TEMPLATE.FAT&amp;display_string=Audit&amp;VAR:KEY=TIXQHADAPA&amp;VAR:QUERY=RkZfRU5UUlBSX1ZBTF9EQUlMWSgwNS8yNC8yMDEwLCwsLCwnRElMJykvRUNBX01FQU5fU0FMRVMoMjAxMSwwN","S8yNC8yMDEwKQ==&amp;WINDOW=FIRST_POPUP&amp;HEIGHT=450&amp;WIDTH=450&amp;START_MAXIMIZED=FALSE&amp;VAR:CALENDAR=FIVEDAY&amp;VAR:SYMBOL=UTX&amp;VAR:INDEX=0"}</definedName>
    <definedName name="_488__FDSAUDITLINK__" hidden="1">{"fdsup://directions/FAT Viewer?action=UPDATE&amp;creator=factset&amp;DYN_ARGS=TRUE&amp;DOC_NAME=FAT:FQL_AUDITING_CLIENT_TEMPLATE.FAT&amp;display_string=Audit&amp;VAR:KEY=HEBCZWZOBK&amp;VAR:QUERY=RkZfRU5UUlBSX1ZBTF9EQUlMWSgwNS8yNC8yMDEwLCwsLCwnRElMJykvRUNBX01FQU5fU0FMRVMoMjAxMCwwN","S8yNC8yMDEwKQ==&amp;WINDOW=FIRST_POPUP&amp;HEIGHT=450&amp;WIDTH=450&amp;START_MAXIMIZED=FALSE&amp;VAR:CALENDAR=FIVEDAY&amp;VAR:SYMBOL=UTX&amp;VAR:INDEX=0"}</definedName>
    <definedName name="_489__FDSAUDITLINK__" hidden="1">{"fdsup://directions/FAT Viewer?action=UPDATE&amp;creator=factset&amp;DYN_ARGS=TRUE&amp;DOC_NAME=FAT:FQL_AUDITING_CLIENT_TEMPLATE.FAT&amp;display_string=Audit&amp;VAR:KEY=HGDUVIHYTU&amp;VAR:QUERY=RkZfRU5UUlBSX1ZBTF9EQUlMWSgwNS8yNC8yMDEwLCwsLCwnRElMJykvRUNBX01FQU5fRUJJVCgyMDEyLDA1L","zI0LzIwMTAp&amp;WINDOW=FIRST_POPUP&amp;HEIGHT=450&amp;WIDTH=450&amp;START_MAXIMIZED=FALSE&amp;VAR:CALENDAR=FIVEDAY&amp;VAR:SYMBOL=UTX&amp;VAR:INDEX=0"}</definedName>
    <definedName name="_49__FDSAUDITLINK__" hidden="1">{"fdsup://directions/FAT Viewer?action=UPDATE&amp;creator=factset&amp;DYN_ARGS=TRUE&amp;DOC_NAME=FAT:FQL_AUDITING_CLIENT_TEMPLATE.FAT&amp;display_string=Audit&amp;VAR:KEY=VOLOBOJEDI&amp;VAR:QUERY=RkZfRU5UUlBSX1ZBTF9EQUlMWSgwNC8yMC8yMDEwLCwsLCwnRElMJykvRUNBX01FQU5fRUJJVCgyMDEyLDA0L","zIwLzIwMTAp&amp;WINDOW=FIRST_POPUP&amp;HEIGHT=450&amp;WIDTH=450&amp;START_MAXIMIZED=FALSE&amp;VAR:CALENDAR=US&amp;VAR:SYMBOL=057580&amp;VAR:INDEX=0"}</definedName>
    <definedName name="_490__FDSAUDITLINK__" hidden="1">{"fdsup://directions/FAT Viewer?action=UPDATE&amp;creator=factset&amp;DYN_ARGS=TRUE&amp;DOC_NAME=FAT:FQL_AUDITING_CLIENT_TEMPLATE.FAT&amp;display_string=Audit&amp;VAR:KEY=PSFUFQVAXS&amp;VAR:QUERY=RkZfRU5UUlBSX1ZBTF9EQUlMWSgwNS8yNC8yMDEwLCwsLCwnRElMJykvRUNBX01FQU5fRUJJVCgyMDExLDA1L","zI0LzIwMTAp&amp;WINDOW=FIRST_POPUP&amp;HEIGHT=450&amp;WIDTH=450&amp;START_MAXIMIZED=FALSE&amp;VAR:CALENDAR=FIVEDAY&amp;VAR:SYMBOL=UTX&amp;VAR:INDEX=0"}</definedName>
    <definedName name="_491__FDSAUDITLINK__" hidden="1">{"fdsup://directions/FAT Viewer?action=UPDATE&amp;creator=factset&amp;DYN_ARGS=TRUE&amp;DOC_NAME=FAT:FQL_AUDITING_CLIENT_TEMPLATE.FAT&amp;display_string=Audit&amp;VAR:KEY=NGPYZKJQPI&amp;VAR:QUERY=RkZfRU5UUlBSX1ZBTF9EQUlMWSgwNS8yNC8yMDEwLCwsLCwnRElMJykvRUNBX01FQU5fRUJJVCgyMDEwLDA1L","zI0LzIwMTAp&amp;WINDOW=FIRST_POPUP&amp;HEIGHT=450&amp;WIDTH=450&amp;START_MAXIMIZED=FALSE&amp;VAR:CALENDAR=FIVEDAY&amp;VAR:SYMBOL=UTX&amp;VAR:INDEX=0"}</definedName>
    <definedName name="_492__FDSAUDITLINK__" hidden="1">{"fdsup://directions/FAT Viewer?action=UPDATE&amp;creator=factset&amp;DYN_ARGS=TRUE&amp;DOC_NAME=FAT:FQL_AUDITING_CLIENT_TEMPLATE.FAT&amp;display_string=Audit&amp;VAR:KEY=TYHOVSNGLW&amp;VAR:QUERY=RkZfRU5UUlBSX1ZBTF9EQUlMWSgwNS8yNC8yMDEwLCwsLCwnRElMJykvRUNBX01FQU5fRUJJVERBKDIwMTIsM","DUvMjQvMjAxMCk=&amp;WINDOW=FIRST_POPUP&amp;HEIGHT=450&amp;WIDTH=450&amp;START_MAXIMIZED=FALSE&amp;VAR:CALENDAR=FIVEDAY&amp;VAR:SYMBOL=UTX&amp;VAR:INDEX=0"}</definedName>
    <definedName name="_493__FDSAUDITLINK__" hidden="1">{"fdsup://directions/FAT Viewer?action=UPDATE&amp;creator=factset&amp;DYN_ARGS=TRUE&amp;DOC_NAME=FAT:FQL_AUDITING_CLIENT_TEMPLATE.FAT&amp;display_string=Audit&amp;VAR:KEY=TMPOHCBYFM&amp;VAR:QUERY=RkZfRU5UUlBSX1ZBTF9EQUlMWSgwNS8yNC8yMDEwLCwsLCwnRElMJykvRUNBX01FQU5fRUJJVERBKDIwMTEsM","DUvMjQvMjAxMCk=&amp;WINDOW=FIRST_POPUP&amp;HEIGHT=450&amp;WIDTH=450&amp;START_MAXIMIZED=FALSE&amp;VAR:CALENDAR=FIVEDAY&amp;VAR:SYMBOL=UTX&amp;VAR:INDEX=0"}</definedName>
    <definedName name="_494__FDSAUDITLINK__" hidden="1">{"fdsup://directions/FAT Viewer?action=UPDATE&amp;creator=factset&amp;DYN_ARGS=TRUE&amp;DOC_NAME=FAT:FQL_AUDITING_CLIENT_TEMPLATE.FAT&amp;display_string=Audit&amp;VAR:KEY=BUFSJEXQBK&amp;VAR:QUERY=RkZfRU5UUlBSX1ZBTF9EQUlMWSgwNS8yNC8yMDEwLCwsLCwnRElMJykvRUNBX01FQU5fRUJJVERBKDIwMTAsM","DUvMjQvMjAxMCk=&amp;WINDOW=FIRST_POPUP&amp;HEIGHT=450&amp;WIDTH=450&amp;START_MAXIMIZED=FALSE&amp;VAR:CALENDAR=FIVEDAY&amp;VAR:SYMBOL=UTX&amp;VAR:INDEX=0"}</definedName>
    <definedName name="_495__FDSAUDITLINK__" hidden="1">{"fdsup://directions/FAT Viewer?action=UPDATE&amp;creator=factset&amp;DYN_ARGS=TRUE&amp;DOC_NAME=FAT:FQL_AUDITING_CLIENT_TEMPLATE.FAT&amp;display_string=Audit&amp;VAR:KEY=SJKVGZKVML&amp;VAR:QUERY=RkZfRU5UUlBSX1ZBTF9EQUlMWSgwNy8yMS8yMDEwLCwsLCwnRElMJykvRUNBX01FQU5fU0FMRVMoMjAxMiwwN","y8yMS8yMDEwKQ==&amp;WINDOW=FIRST_POPUP&amp;HEIGHT=450&amp;WIDTH=450&amp;START_MAXIMIZED=FALSE&amp;VAR:CALENDAR=US&amp;VAR:SYMBOL=BA&amp;VAR:INDEX=0"}</definedName>
    <definedName name="_496__FDSAUDITLINK__" hidden="1">{"fdsup://directions/FAT Viewer?action=UPDATE&amp;creator=factset&amp;DYN_ARGS=TRUE&amp;DOC_NAME=FAT:FQL_AUDITING_CLIENT_TEMPLATE.FAT&amp;display_string=Audit&amp;VAR:KEY=QZMHQRIDCR&amp;VAR:QUERY=RkZfRU5UUlBSX1ZBTF9EQUlMWSgwNy8yMS8yMDEwLCwsLCwnRElMJykvRUNBX01FQU5fU0FMRVMoMjAxMSwwN","y8yMS8yMDEwKQ==&amp;WINDOW=FIRST_POPUP&amp;HEIGHT=450&amp;WIDTH=450&amp;START_MAXIMIZED=FALSE&amp;VAR:CALENDAR=US&amp;VAR:SYMBOL=BA&amp;VAR:INDEX=0"}</definedName>
    <definedName name="_497__FDSAUDITLINK__" hidden="1">{"fdsup://directions/FAT Viewer?action=UPDATE&amp;creator=factset&amp;DYN_ARGS=TRUE&amp;DOC_NAME=FAT:FQL_AUDITING_CLIENT_TEMPLATE.FAT&amp;display_string=Audit&amp;VAR:KEY=GLQNKLQDIV&amp;VAR:QUERY=RkZfRU5UUlBSX1ZBTF9EQUlMWSgwNy8yMS8yMDEwLCwsLCwnRElMJykvRUNBX01FQU5fU0FMRVMoMjAxMCwwN","y8yMS8yMDEwKQ==&amp;WINDOW=FIRST_POPUP&amp;HEIGHT=450&amp;WIDTH=450&amp;START_MAXIMIZED=FALSE&amp;VAR:CALENDAR=US&amp;VAR:SYMBOL=BA&amp;VAR:INDEX=0"}</definedName>
    <definedName name="_498__FDSAUDITLINK__" hidden="1">{"fdsup://directions/FAT Viewer?action=UPDATE&amp;creator=factset&amp;DYN_ARGS=TRUE&amp;DOC_NAME=FAT:FQL_AUDITING_CLIENT_TEMPLATE.FAT&amp;display_string=Audit&amp;VAR:KEY=QFKJARWDMT&amp;VAR:QUERY=RkZfRU5UUlBSX1ZBTF9EQUlMWSgwNy8yMS8yMDEwLCwsLCwnRElMJykvRUNBX01FQU5fRUJJVCgyMDEyLDA3L","zIxLzIwMTAp&amp;WINDOW=FIRST_POPUP&amp;HEIGHT=450&amp;WIDTH=450&amp;START_MAXIMIZED=FALSE&amp;VAR:CALENDAR=US&amp;VAR:SYMBOL=BA&amp;VAR:INDEX=0"}</definedName>
    <definedName name="_499__FDSAUDITLINK__" hidden="1">{"fdsup://directions/FAT Viewer?action=UPDATE&amp;creator=factset&amp;DYN_ARGS=TRUE&amp;DOC_NAME=FAT:FQL_AUDITING_CLIENT_TEMPLATE.FAT&amp;display_string=Audit&amp;VAR:KEY=QZYLUDKVMH&amp;VAR:QUERY=RkZfRU5UUlBSX1ZBTF9EQUlMWSgwNy8yMS8yMDEwLCwsLCwnRElMJykvRUNBX01FQU5fRUJJVCgyMDExLDA3L","zIxLzIwMTAp&amp;WINDOW=FIRST_POPUP&amp;HEIGHT=450&amp;WIDTH=450&amp;START_MAXIMIZED=FALSE&amp;VAR:CALENDAR=US&amp;VAR:SYMBOL=BA&amp;VAR:INDEX=0"}</definedName>
    <definedName name="_5__123Graph_Aｸﾞﾗﾌ_1" hidden="1">[2]ｾｸﾞﾒﾝﾄ!$E$164:$I$164</definedName>
    <definedName name="_5__123Graph_Dｸﾞﾗﾌ_1" hidden="1">[2]ｾｸﾞﾒﾝﾄ!$E$167:$I$167</definedName>
    <definedName name="_5__FDSAUDITLINK__" hidden="1">{"fdsup://directions/FAT Viewer?action=UPDATE&amp;creator=factset&amp;DYN_ARGS=TRUE&amp;DOC_NAME=FAT:FQL_AUDITING_CLIENT_TEMPLATE.FAT&amp;display_string=Audit&amp;VAR:KEY=PETQDQRODS&amp;VAR:QUERY=RkZfRU5UUlBSX1ZBTF9EQUlMWSgwNC8xOS8yMDEwLCwsLCwnRElMJykvRUNBX01FQU5fRUJJVCgyMDExLDA0L","zE5LzIwMTAp&amp;WINDOW=FIRST_POPUP&amp;HEIGHT=450&amp;WIDTH=450&amp;START_MAXIMIZED=FALSE&amp;VAR:CALENDAR=US&amp;VAR:SYMBOL=057580&amp;VAR:INDEX=0"}</definedName>
    <definedName name="_50__FDSAUDITLINK__" hidden="1">{"fdsup://directions/FAT Viewer?action=UPDATE&amp;creator=factset&amp;DYN_ARGS=TRUE&amp;DOC_NAME=FAT:FQL_AUDITING_CLIENT_TEMPLATE.FAT&amp;display_string=Audit&amp;VAR:KEY=ZQVSLKXIJE&amp;VAR:QUERY=RkZfRU5UUlBSX1ZBTF9EQUlMWSgwNC8yMC8yMDEwLCwsLCwnRElMJykvRUNBX01FQU5fRUJJVCgyMDExLDA0L","zIwLzIwMTAp&amp;WINDOW=FIRST_POPUP&amp;HEIGHT=450&amp;WIDTH=450&amp;START_MAXIMIZED=FALSE&amp;VAR:CALENDAR=US&amp;VAR:SYMBOL=057580&amp;VAR:INDEX=0"}</definedName>
    <definedName name="_500__FDSAUDITLINK__" hidden="1">{"fdsup://directions/FAT Viewer?action=UPDATE&amp;creator=factset&amp;DYN_ARGS=TRUE&amp;DOC_NAME=FAT:FQL_AUDITING_CLIENT_TEMPLATE.FAT&amp;display_string=Audit&amp;VAR:KEY=KRGFEJQBGZ&amp;VAR:QUERY=RkZfRU5UUlBSX1ZBTF9EQUlMWSgwNy8yMS8yMDEwLCwsLCwnRElMJykvRUNBX01FQU5fRUJJVCgyMDEwLDA3L","zIxLzIwMTAp&amp;WINDOW=FIRST_POPUP&amp;HEIGHT=450&amp;WIDTH=450&amp;START_MAXIMIZED=FALSE&amp;VAR:CALENDAR=US&amp;VAR:SYMBOL=BA&amp;VAR:INDEX=0"}</definedName>
    <definedName name="_501__FDSAUDITLINK__" hidden="1">{"fdsup://directions/FAT Viewer?action=UPDATE&amp;creator=factset&amp;DYN_ARGS=TRUE&amp;DOC_NAME=FAT:FQL_AUDITING_CLIENT_TEMPLATE.FAT&amp;display_string=Audit&amp;VAR:KEY=ALWZKVKNKH&amp;VAR:QUERY=RkZfRU5UUlBSX1ZBTF9EQUlMWSgwNy8yMS8yMDEwLCwsLCwnRElMJykvRUNBX01FQU5fRUJJVERBKDIwMTIsM","DcvMjEvMjAxMCk=&amp;WINDOW=FIRST_POPUP&amp;HEIGHT=450&amp;WIDTH=450&amp;START_MAXIMIZED=FALSE&amp;VAR:CALENDAR=US&amp;VAR:SYMBOL=BA&amp;VAR:INDEX=0"}</definedName>
    <definedName name="_502__FDSAUDITLINK__" hidden="1">{"fdsup://directions/FAT Viewer?action=UPDATE&amp;creator=factset&amp;DYN_ARGS=TRUE&amp;DOC_NAME=FAT:FQL_AUDITING_CLIENT_TEMPLATE.FAT&amp;display_string=Audit&amp;VAR:KEY=EVQTSHYLCZ&amp;VAR:QUERY=RkZfRU5UUlBSX1ZBTF9EQUlMWSgwNy8yMS8yMDEwLCwsLCwnRElMJykvRUNBX01FQU5fRUJJVERBKDIwMTEsM","DcvMjEvMjAxMCk=&amp;WINDOW=FIRST_POPUP&amp;HEIGHT=450&amp;WIDTH=450&amp;START_MAXIMIZED=FALSE&amp;VAR:CALENDAR=US&amp;VAR:SYMBOL=BA&amp;VAR:INDEX=0"}</definedName>
    <definedName name="_503__FDSAUDITLINK__" hidden="1">{"fdsup://directions/FAT Viewer?action=UPDATE&amp;creator=factset&amp;DYN_ARGS=TRUE&amp;DOC_NAME=FAT:FQL_AUDITING_CLIENT_TEMPLATE.FAT&amp;display_string=Audit&amp;VAR:KEY=IDOHSVELUR&amp;VAR:QUERY=RkZfRU5UUlBSX1ZBTF9EQUlMWSgwNy8yMS8yMDEwLCwsLCwnRElMJykvRUNBX01FQU5fRUJJVERBKDIwMTAsM","DcvMjEvMjAxMCk=&amp;WINDOW=FIRST_POPUP&amp;HEIGHT=450&amp;WIDTH=450&amp;START_MAXIMIZED=FALSE&amp;VAR:CALENDAR=US&amp;VAR:SYMBOL=BA&amp;VAR:INDEX=0"}</definedName>
    <definedName name="_504__FDSAUDITLINK__" hidden="1">{"fdsup://directions/FAT Viewer?action=UPDATE&amp;creator=factset&amp;DYN_ARGS=TRUE&amp;DOC_NAME=FAT:FQL_AUDITING_CLIENT_TEMPLATE.FAT&amp;display_string=Audit&amp;VAR:KEY=OLUTOLKFID&amp;VAR:QUERY=RkZfRU5UUlBSX1ZBTF9EQUlMWSgwNy8yMS8yMDEwLCwsLCwnRElMJykvRUNBX01FQU5fU0FMRVMoMjAxMiwwN","y8yMS8yMDEwKQ==&amp;WINDOW=FIRST_POPUP&amp;HEIGHT=450&amp;WIDTH=450&amp;START_MAXIMIZED=FALSE&amp;VAR:CALENDAR=US&amp;VAR:SYMBOL=GD&amp;VAR:INDEX=0"}</definedName>
    <definedName name="_505__FDSAUDITLINK__" hidden="1">{"fdsup://directions/FAT Viewer?action=UPDATE&amp;creator=factset&amp;DYN_ARGS=TRUE&amp;DOC_NAME=FAT:FQL_AUDITING_CLIENT_TEMPLATE.FAT&amp;display_string=Audit&amp;VAR:KEY=YZEBODCDIT&amp;VAR:QUERY=RkZfRU5UUlBSX1ZBTF9EQUlMWSgwNy8yMS8yMDEwLCwsLCwnRElMJykvRUNBX01FQU5fU0FMRVMoMjAxMSwwN","y8yMS8yMDEwKQ==&amp;WINDOW=FIRST_POPUP&amp;HEIGHT=450&amp;WIDTH=450&amp;START_MAXIMIZED=FALSE&amp;VAR:CALENDAR=US&amp;VAR:SYMBOL=GD&amp;VAR:INDEX=0"}</definedName>
    <definedName name="_506__FDSAUDITLINK__" hidden="1">{"fdsup://directions/FAT Viewer?action=UPDATE&amp;creator=factset&amp;DYN_ARGS=TRUE&amp;DOC_NAME=FAT:FQL_AUDITING_CLIENT_TEMPLATE.FAT&amp;display_string=Audit&amp;VAR:KEY=QVEBAXMZID&amp;VAR:QUERY=RkZfRU5UUlBSX1ZBTF9EQUlMWSgwNy8yMS8yMDEwLCwsLCwnRElMJykvRUNBX01FQU5fU0FMRVMoMjAxMCwwN","y8yMS8yMDEwKQ==&amp;WINDOW=FIRST_POPUP&amp;HEIGHT=450&amp;WIDTH=450&amp;START_MAXIMIZED=FALSE&amp;VAR:CALENDAR=US&amp;VAR:SYMBOL=GD&amp;VAR:INDEX=0"}</definedName>
    <definedName name="_507__FDSAUDITLINK__" hidden="1">{"fdsup://directions/FAT Viewer?action=UPDATE&amp;creator=factset&amp;DYN_ARGS=TRUE&amp;DOC_NAME=FAT:FQL_AUDITING_CLIENT_TEMPLATE.FAT&amp;display_string=Audit&amp;VAR:KEY=MVKNMZMXGZ&amp;VAR:QUERY=RkZfRU5UUlBSX1ZBTF9EQUlMWSgwNy8yMS8yMDEwLCwsLCwnRElMJykvRUNBX01FQU5fRUJJVCgyMDEyLDA3L","zIxLzIwMTAp&amp;WINDOW=FIRST_POPUP&amp;HEIGHT=450&amp;WIDTH=450&amp;START_MAXIMIZED=FALSE&amp;VAR:CALENDAR=US&amp;VAR:SYMBOL=GD&amp;VAR:INDEX=0"}</definedName>
    <definedName name="_508__FDSAUDITLINK__" hidden="1">{"fdsup://directions/FAT Viewer?action=UPDATE&amp;creator=factset&amp;DYN_ARGS=TRUE&amp;DOC_NAME=FAT:FQL_AUDITING_CLIENT_TEMPLATE.FAT&amp;display_string=Audit&amp;VAR:KEY=WZQHKPGRAV&amp;VAR:QUERY=RkZfRU5UUlBSX1ZBTF9EQUlMWSgwNy8yMS8yMDEwLCwsLCwnRElMJykvRUNBX01FQU5fRUJJVCgyMDExLDA3L","zIxLzIwMTAp&amp;WINDOW=FIRST_POPUP&amp;HEIGHT=450&amp;WIDTH=450&amp;START_MAXIMIZED=FALSE&amp;VAR:CALENDAR=US&amp;VAR:SYMBOL=GD&amp;VAR:INDEX=0"}</definedName>
    <definedName name="_509__FDSAUDITLINK__" hidden="1">{"fdsup://directions/FAT Viewer?action=UPDATE&amp;creator=factset&amp;DYN_ARGS=TRUE&amp;DOC_NAME=FAT:FQL_AUDITING_CLIENT_TEMPLATE.FAT&amp;display_string=Audit&amp;VAR:KEY=CXCZQVOPSV&amp;VAR:QUERY=RkZfRU5UUlBSX1ZBTF9EQUlMWSgwNy8yMS8yMDEwLCwsLCwnRElMJykvRUNBX01FQU5fRUJJVCgyMDEwLDA3L","zIxLzIwMTAp&amp;WINDOW=FIRST_POPUP&amp;HEIGHT=450&amp;WIDTH=450&amp;START_MAXIMIZED=FALSE&amp;VAR:CALENDAR=US&amp;VAR:SYMBOL=GD&amp;VAR:INDEX=0"}</definedName>
    <definedName name="_51__FDSAUDITLINK__" hidden="1">{"fdsup://directions/FAT Viewer?action=UPDATE&amp;creator=factset&amp;DYN_ARGS=TRUE&amp;DOC_NAME=FAT:FQL_AUDITING_CLIENT_TEMPLATE.FAT&amp;display_string=Audit&amp;VAR:KEY=VGJUXGJCHO&amp;VAR:QUERY=RkZfRU5UUlBSX1ZBTF9EQUlMWSgwNC8yMC8yMDEwLCwsLCwnRElMJykvRUNBX01FQU5fRUJJVCgyMDEwLDA0L","zIwLzIwMTAp&amp;WINDOW=FIRST_POPUP&amp;HEIGHT=450&amp;WIDTH=450&amp;START_MAXIMIZED=FALSE&amp;VAR:CALENDAR=US&amp;VAR:SYMBOL=057580&amp;VAR:INDEX=0"}</definedName>
    <definedName name="_510__FDSAUDITLINK__" hidden="1">{"fdsup://directions/FAT Viewer?action=UPDATE&amp;creator=factset&amp;DYN_ARGS=TRUE&amp;DOC_NAME=FAT:FQL_AUDITING_CLIENT_TEMPLATE.FAT&amp;display_string=Audit&amp;VAR:KEY=EDOZWNITQL&amp;VAR:QUERY=RkZfRU5UUlBSX1ZBTF9EQUlMWSgwNy8yMS8yMDEwLCwsLCwnRElMJykvRUNBX01FQU5fRUJJVERBKDIwMTIsM","DcvMjEvMjAxMCk=&amp;WINDOW=FIRST_POPUP&amp;HEIGHT=450&amp;WIDTH=450&amp;START_MAXIMIZED=FALSE&amp;VAR:CALENDAR=US&amp;VAR:SYMBOL=GD&amp;VAR:INDEX=0"}</definedName>
    <definedName name="_511__FDSAUDITLINK__" hidden="1">{"fdsup://directions/FAT Viewer?action=UPDATE&amp;creator=factset&amp;DYN_ARGS=TRUE&amp;DOC_NAME=FAT:FQL_AUDITING_CLIENT_TEMPLATE.FAT&amp;display_string=Audit&amp;VAR:KEY=QLMRWBKFIH&amp;VAR:QUERY=RkZfRU5UUlBSX1ZBTF9EQUlMWSgwNy8yMS8yMDEwLCwsLCwnRElMJykvRUNBX01FQU5fRUJJVERBKDIwMTEsM","DcvMjEvMjAxMCk=&amp;WINDOW=FIRST_POPUP&amp;HEIGHT=450&amp;WIDTH=450&amp;START_MAXIMIZED=FALSE&amp;VAR:CALENDAR=US&amp;VAR:SYMBOL=GD&amp;VAR:INDEX=0"}</definedName>
    <definedName name="_512__FDSAUDITLINK__" hidden="1">{"fdsup://directions/FAT Viewer?action=UPDATE&amp;creator=factset&amp;DYN_ARGS=TRUE&amp;DOC_NAME=FAT:FQL_AUDITING_CLIENT_TEMPLATE.FAT&amp;display_string=Audit&amp;VAR:KEY=GNYNIPURWJ&amp;VAR:QUERY=RkZfRU5UUlBSX1ZBTF9EQUlMWSgwNy8yMS8yMDEwLCwsLCwnRElMJykvRUNBX01FQU5fRUJJVERBKDIwMTAsM","DcvMjEvMjAxMCk=&amp;WINDOW=FIRST_POPUP&amp;HEIGHT=450&amp;WIDTH=450&amp;START_MAXIMIZED=FALSE&amp;VAR:CALENDAR=US&amp;VAR:SYMBOL=GD&amp;VAR:INDEX=0"}</definedName>
    <definedName name="_513__FDSAUDITLINK__" hidden="1">{"fdsup://directions/FAT Viewer?action=UPDATE&amp;creator=factset&amp;DYN_ARGS=TRUE&amp;DOC_NAME=FAT:FQL_AUDITING_CLIENT_TEMPLATE.FAT&amp;display_string=Audit&amp;VAR:KEY=INQNSFMHEJ&amp;VAR:QUERY=RkZfRU5UUlBSX1ZBTF9EQUlMWSgwNy8yMS8yMDEwLCwsLCwnRElMJykvRUNBX01FQU5fU0FMRVMoMjAxMiwwN","y8yMS8yMDEwKQ==&amp;WINDOW=FIRST_POPUP&amp;HEIGHT=450&amp;WIDTH=450&amp;START_MAXIMIZED=FALSE&amp;VAR:CALENDAR=US&amp;VAR:SYMBOL=UTX&amp;VAR:INDEX=0"}</definedName>
    <definedName name="_514__FDSAUDITLINK__" hidden="1">{"fdsup://directions/FAT Viewer?action=UPDATE&amp;creator=factset&amp;DYN_ARGS=TRUE&amp;DOC_NAME=FAT:FQL_AUDITING_CLIENT_TEMPLATE.FAT&amp;display_string=Audit&amp;VAR:KEY=IZSFCHGHSX&amp;VAR:QUERY=RkZfRU5UUlBSX1ZBTF9EQUlMWSgwNy8yMS8yMDEwLCwsLCwnRElMJykvRUNBX01FQU5fU0FMRVMoMjAxMSwwN","y8yMS8yMDEwKQ==&amp;WINDOW=FIRST_POPUP&amp;HEIGHT=450&amp;WIDTH=450&amp;START_MAXIMIZED=FALSE&amp;VAR:CALENDAR=US&amp;VAR:SYMBOL=UTX&amp;VAR:INDEX=0"}</definedName>
    <definedName name="_515__FDSAUDITLINK__" hidden="1">{"fdsup://directions/FAT Viewer?action=UPDATE&amp;creator=factset&amp;DYN_ARGS=TRUE&amp;DOC_NAME=FAT:FQL_AUDITING_CLIENT_TEMPLATE.FAT&amp;display_string=Audit&amp;VAR:KEY=IFSFWROTGV&amp;VAR:QUERY=RkZfRU5UUlBSX1ZBTF9EQUlMWSgwNy8yMS8yMDEwLCwsLCwnRElMJykvRUNBX01FQU5fU0FMRVMoMjAxMCwwN","y8yMS8yMDEwKQ==&amp;WINDOW=FIRST_POPUP&amp;HEIGHT=450&amp;WIDTH=450&amp;START_MAXIMIZED=FALSE&amp;VAR:CALENDAR=US&amp;VAR:SYMBOL=UTX&amp;VAR:INDEX=0"}</definedName>
    <definedName name="_516__FDSAUDITLINK__" hidden="1">{"fdsup://directions/FAT Viewer?action=UPDATE&amp;creator=factset&amp;DYN_ARGS=TRUE&amp;DOC_NAME=FAT:FQL_AUDITING_CLIENT_TEMPLATE.FAT&amp;display_string=Audit&amp;VAR:KEY=OVQXSVIBEH&amp;VAR:QUERY=RkZfRU5UUlBSX1ZBTF9EQUlMWSgwNy8yMS8yMDEwLCwsLCwnRElMJykvRUNBX01FQU5fRUJJVCgyMDEyLDA3L","zIxLzIwMTAp&amp;WINDOW=FIRST_POPUP&amp;HEIGHT=450&amp;WIDTH=450&amp;START_MAXIMIZED=FALSE&amp;VAR:CALENDAR=US&amp;VAR:SYMBOL=UTX&amp;VAR:INDEX=0"}</definedName>
    <definedName name="_517__FDSAUDITLINK__" hidden="1">{"fdsup://directions/FAT Viewer?action=UPDATE&amp;creator=factset&amp;DYN_ARGS=TRUE&amp;DOC_NAME=FAT:FQL_AUDITING_CLIENT_TEMPLATE.FAT&amp;display_string=Audit&amp;VAR:KEY=WXYBOZYRCH&amp;VAR:QUERY=RkZfRU5UUlBSX1ZBTF9EQUlMWSgwNy8yMS8yMDEwLCwsLCwnRElMJykvRUNBX01FQU5fRUJJVCgyMDExLDA3L","zIxLzIwMTAp&amp;WINDOW=FIRST_POPUP&amp;HEIGHT=450&amp;WIDTH=450&amp;START_MAXIMIZED=FALSE&amp;VAR:CALENDAR=US&amp;VAR:SYMBOL=UTX&amp;VAR:INDEX=0"}</definedName>
    <definedName name="_518__FDSAUDITLINK__" hidden="1">{"fdsup://directions/FAT Viewer?action=UPDATE&amp;creator=factset&amp;DYN_ARGS=TRUE&amp;DOC_NAME=FAT:FQL_AUDITING_CLIENT_TEMPLATE.FAT&amp;display_string=Audit&amp;VAR:KEY=UPOLKBSJEF&amp;VAR:QUERY=RkZfRU5UUlBSX1ZBTF9EQUlMWSgwNy8yMS8yMDEwLCwsLCwnRElMJykvRUNBX01FQU5fRUJJVCgyMDEwLDA3L","zIxLzIwMTAp&amp;WINDOW=FIRST_POPUP&amp;HEIGHT=450&amp;WIDTH=450&amp;START_MAXIMIZED=FALSE&amp;VAR:CALENDAR=US&amp;VAR:SYMBOL=UTX&amp;VAR:INDEX=0"}</definedName>
    <definedName name="_519__FDSAUDITLINK__" hidden="1">{"fdsup://directions/FAT Viewer?action=UPDATE&amp;creator=factset&amp;DYN_ARGS=TRUE&amp;DOC_NAME=FAT:FQL_AUDITING_CLIENT_TEMPLATE.FAT&amp;display_string=Audit&amp;VAR:KEY=OZIFUDINSR&amp;VAR:QUERY=RkZfRU5UUlBSX1ZBTF9EQUlMWSgwNy8yMS8yMDEwLCwsLCwnRElMJykvRUNBX01FQU5fRUJJVERBKDIwMTIsM","DcvMjEvMjAxMCk=&amp;WINDOW=FIRST_POPUP&amp;HEIGHT=450&amp;WIDTH=450&amp;START_MAXIMIZED=FALSE&amp;VAR:CALENDAR=US&amp;VAR:SYMBOL=UTX&amp;VAR:INDEX=0"}</definedName>
    <definedName name="_52__FDSAUDITLINK__" hidden="1">{"fdsup://directions/FAT Viewer?action=UPDATE&amp;creator=factset&amp;DYN_ARGS=TRUE&amp;DOC_NAME=FAT:FQL_AUDITING_CLIENT_TEMPLATE.FAT&amp;display_string=Audit&amp;VAR:KEY=RGJERMZKJU&amp;VAR:QUERY=RkZfRU5UUlBSX1ZBTF9EQUlMWSgwNC8yMC8yMDEwLCwsLCwnRElMJykvRUNBX01FQU5fRUJJVERBKDIwMTIsM","DQvMjAvMjAxMCk=&amp;WINDOW=FIRST_POPUP&amp;HEIGHT=450&amp;WIDTH=450&amp;START_MAXIMIZED=FALSE&amp;VAR:CALENDAR=US&amp;VAR:SYMBOL=057580&amp;VAR:INDEX=0"}</definedName>
    <definedName name="_520__FDSAUDITLINK__" hidden="1">{"fdsup://directions/FAT Viewer?action=UPDATE&amp;creator=factset&amp;DYN_ARGS=TRUE&amp;DOC_NAME=FAT:FQL_AUDITING_CLIENT_TEMPLATE.FAT&amp;display_string=Audit&amp;VAR:KEY=OPWZOJWNSV&amp;VAR:QUERY=RkZfRU5UUlBSX1ZBTF9EQUlMWSgwNy8yMS8yMDEwLCwsLCwnRElMJykvRUNBX01FQU5fRUJJVERBKDIwMTEsM","DcvMjEvMjAxMCk=&amp;WINDOW=FIRST_POPUP&amp;HEIGHT=450&amp;WIDTH=450&amp;START_MAXIMIZED=FALSE&amp;VAR:CALENDAR=US&amp;VAR:SYMBOL=UTX&amp;VAR:INDEX=0"}</definedName>
    <definedName name="_521__FDSAUDITLINK__" hidden="1">{"fdsup://directions/FAT Viewer?action=UPDATE&amp;creator=factset&amp;DYN_ARGS=TRUE&amp;DOC_NAME=FAT:FQL_AUDITING_CLIENT_TEMPLATE.FAT&amp;display_string=Audit&amp;VAR:KEY=KNOBARIPOJ&amp;VAR:QUERY=RkZfRU5UUlBSX1ZBTF9EQUlMWSgwNy8yMS8yMDEwLCwsLCwnRElMJykvRUNBX01FQU5fRUJJVERBKDIwMTAsM","DcvMjEvMjAxMCk=&amp;WINDOW=FIRST_POPUP&amp;HEIGHT=450&amp;WIDTH=450&amp;START_MAXIMIZED=FALSE&amp;VAR:CALENDAR=US&amp;VAR:SYMBOL=UTX&amp;VAR:INDEX=0"}</definedName>
    <definedName name="_522__FDSAUDITLINK__" hidden="1">{"fdsup://directions/FAT Viewer?action=UPDATE&amp;creator=factset&amp;DYN_ARGS=TRUE&amp;DOC_NAME=FAT:FQL_AUDITING_CLIENT_TEMPLATE.FAT&amp;display_string=Audit&amp;VAR:KEY=BAHGHCHADY&amp;VAR:QUERY=RkZfRU5UUlBSX1ZBTF9EQUlMWSgwNy8yMS8yMDEwLCwsLCwnRElMJykvRUNBX01FQU5fU0FMRVMoMjAxMiwwN","y8yMS8yMDEwKQ==&amp;WINDOW=FIRST_POPUP&amp;HEIGHT=450&amp;WIDTH=450&amp;START_MAXIMIZED=FALSE&amp;VAR:CALENDAR=US&amp;VAR:SYMBOL=BA&amp;VAR:INDEX=0"}</definedName>
    <definedName name="_523__FDSAUDITLINK__" hidden="1">{"fdsup://directions/FAT Viewer?action=UPDATE&amp;creator=factset&amp;DYN_ARGS=TRUE&amp;DOC_NAME=FAT:FQL_AUDITING_CLIENT_TEMPLATE.FAT&amp;display_string=Audit&amp;VAR:KEY=LGNEBSLOFK&amp;VAR:QUERY=RkZfRU5UUlBSX1ZBTF9EQUlMWSgwNy8yMS8yMDEwLCwsLCwnRElMJykvRUNBX01FQU5fU0FMRVMoMjAxMSwwN","y8yMS8yMDEwKQ==&amp;WINDOW=FIRST_POPUP&amp;HEIGHT=450&amp;WIDTH=450&amp;START_MAXIMIZED=FALSE&amp;VAR:CALENDAR=US&amp;VAR:SYMBOL=BA&amp;VAR:INDEX=0"}</definedName>
    <definedName name="_524__FDSAUDITLINK__" hidden="1">{"fdsup://directions/FAT Viewer?action=UPDATE&amp;creator=factset&amp;DYN_ARGS=TRUE&amp;DOC_NAME=FAT:FQL_AUDITING_CLIENT_TEMPLATE.FAT&amp;display_string=Audit&amp;VAR:KEY=ZUVSZANGTC&amp;VAR:QUERY=RkZfRU5UUlBSX1ZBTF9EQUlMWSgwNy8yMS8yMDEwLCwsLCwnRElMJykvRUNBX01FQU5fU0FMRVMoMjAxMCwwN","y8yMS8yMDEwKQ==&amp;WINDOW=FIRST_POPUP&amp;HEIGHT=450&amp;WIDTH=450&amp;START_MAXIMIZED=FALSE&amp;VAR:CALENDAR=US&amp;VAR:SYMBOL=BA&amp;VAR:INDEX=0"}</definedName>
    <definedName name="_525__FDSAUDITLINK__" hidden="1">{"fdsup://directions/FAT Viewer?action=UPDATE&amp;creator=factset&amp;DYN_ARGS=TRUE&amp;DOC_NAME=FAT:FQL_AUDITING_CLIENT_TEMPLATE.FAT&amp;display_string=Audit&amp;VAR:KEY=ZQHEPCTOTY&amp;VAR:QUERY=RkZfRU5UUlBSX1ZBTF9EQUlMWSgwNy8yMS8yMDEwLCwsLCwnRElMJykvRUNBX01FQU5fRUJJVCgyMDEyLDA3L","zIxLzIwMTAp&amp;WINDOW=FIRST_POPUP&amp;HEIGHT=450&amp;WIDTH=450&amp;START_MAXIMIZED=FALSE&amp;VAR:CALENDAR=US&amp;VAR:SYMBOL=BA&amp;VAR:INDEX=0"}</definedName>
    <definedName name="_526__FDSAUDITLINK__" hidden="1">{"fdsup://directions/FAT Viewer?action=UPDATE&amp;creator=factset&amp;DYN_ARGS=TRUE&amp;DOC_NAME=FAT:FQL_AUDITING_CLIENT_TEMPLATE.FAT&amp;display_string=Audit&amp;VAR:KEY=LUHYHQHMRC&amp;VAR:QUERY=RkZfRU5UUlBSX1ZBTF9EQUlMWSgwNy8yMS8yMDEwLCwsLCwnRElMJykvRUNBX01FQU5fRUJJVCgyMDExLDA3L","zIxLzIwMTAp&amp;WINDOW=FIRST_POPUP&amp;HEIGHT=450&amp;WIDTH=450&amp;START_MAXIMIZED=FALSE&amp;VAR:CALENDAR=US&amp;VAR:SYMBOL=BA&amp;VAR:INDEX=0"}</definedName>
    <definedName name="_527__FDSAUDITLINK__" hidden="1">{"fdsup://directions/FAT Viewer?action=UPDATE&amp;creator=factset&amp;DYN_ARGS=TRUE&amp;DOC_NAME=FAT:FQL_AUDITING_CLIENT_TEMPLATE.FAT&amp;display_string=Audit&amp;VAR:KEY=RYRYTANIVO&amp;VAR:QUERY=RkZfRU5UUlBSX1ZBTF9EQUlMWSgwNy8yMS8yMDEwLCwsLCwnRElMJykvRUNBX01FQU5fRUJJVCgyMDEwLDA3L","zIxLzIwMTAp&amp;WINDOW=FIRST_POPUP&amp;HEIGHT=450&amp;WIDTH=450&amp;START_MAXIMIZED=FALSE&amp;VAR:CALENDAR=US&amp;VAR:SYMBOL=BA&amp;VAR:INDEX=0"}</definedName>
    <definedName name="_528__FDSAUDITLINK__" hidden="1">{"fdsup://directions/FAT Viewer?action=UPDATE&amp;creator=factset&amp;DYN_ARGS=TRUE&amp;DOC_NAME=FAT:FQL_AUDITING_CLIENT_TEMPLATE.FAT&amp;display_string=Audit&amp;VAR:KEY=HSFEVMJERY&amp;VAR:QUERY=RkZfRU5UUlBSX1ZBTF9EQUlMWSgwNy8yMS8yMDEwLCwsLCwnRElMJykvRUNBX01FQU5fRUJJVERBKDIwMTIsM","DcvMjEvMjAxMCk=&amp;WINDOW=FIRST_POPUP&amp;HEIGHT=450&amp;WIDTH=450&amp;START_MAXIMIZED=FALSE&amp;VAR:CALENDAR=US&amp;VAR:SYMBOL=BA&amp;VAR:INDEX=0"}</definedName>
    <definedName name="_529__FDSAUDITLINK__" hidden="1">{"fdsup://directions/FAT Viewer?action=UPDATE&amp;creator=factset&amp;DYN_ARGS=TRUE&amp;DOC_NAME=FAT:FQL_AUDITING_CLIENT_TEMPLATE.FAT&amp;display_string=Audit&amp;VAR:KEY=RQZGHSFSZQ&amp;VAR:QUERY=RkZfRU5UUlBSX1ZBTF9EQUlMWSgwNy8yMS8yMDEwLCwsLCwnRElMJykvRUNBX01FQU5fRUJJVERBKDIwMTEsM","DcvMjEvMjAxMCk=&amp;WINDOW=FIRST_POPUP&amp;HEIGHT=450&amp;WIDTH=450&amp;START_MAXIMIZED=FALSE&amp;VAR:CALENDAR=US&amp;VAR:SYMBOL=BA&amp;VAR:INDEX=0"}</definedName>
    <definedName name="_53__FDSAUDITLINK__" hidden="1">{"fdsup://directions/FAT Viewer?action=UPDATE&amp;creator=factset&amp;DYN_ARGS=TRUE&amp;DOC_NAME=FAT:FQL_AUDITING_CLIENT_TEMPLATE.FAT&amp;display_string=Audit&amp;VAR:KEY=RGZSHCRCFI&amp;VAR:QUERY=RkZfRU5UUlBSX1ZBTF9EQUlMWSgwNC8yMC8yMDEwLCwsLCwnRElMJykvRUNBX01FQU5fRUJJVERBKDIwMTEsM","DQvMjAvMjAxMCk=&amp;WINDOW=FIRST_POPUP&amp;HEIGHT=450&amp;WIDTH=450&amp;START_MAXIMIZED=FALSE&amp;VAR:CALENDAR=US&amp;VAR:SYMBOL=057580&amp;VAR:INDEX=0"}</definedName>
    <definedName name="_530__FDSAUDITLINK__" hidden="1">{"fdsup://directions/FAT Viewer?action=UPDATE&amp;creator=factset&amp;DYN_ARGS=TRUE&amp;DOC_NAME=FAT:FQL_AUDITING_CLIENT_TEMPLATE.FAT&amp;display_string=Audit&amp;VAR:KEY=BEREVWTQFG&amp;VAR:QUERY=RkZfRU5UUlBSX1ZBTF9EQUlMWSgwNy8yMS8yMDEwLCwsLCwnRElMJykvRUNBX01FQU5fRUJJVERBKDIwMTAsM","DcvMjEvMjAxMCk=&amp;WINDOW=FIRST_POPUP&amp;HEIGHT=450&amp;WIDTH=450&amp;START_MAXIMIZED=FALSE&amp;VAR:CALENDAR=US&amp;VAR:SYMBOL=BA&amp;VAR:INDEX=0"}</definedName>
    <definedName name="_531__FDSAUDITLINK__" hidden="1">{"fdsup://directions/FAT Viewer?action=UPDATE&amp;creator=factset&amp;DYN_ARGS=TRUE&amp;DOC_NAME=FAT:FQL_AUDITING_CLIENT_TEMPLATE.FAT&amp;display_string=Audit&amp;VAR:KEY=HYHEXQVGHC&amp;VAR:QUERY=RkZfRU5UUlBSX1ZBTF9EQUlMWSgwNy8yMS8yMDEwLCwsLCwnRElMJykvRUNBX01FQU5fU0FMRVMoMjAxMiwwN","y8yMS8yMDEwKQ==&amp;WINDOW=FIRST_POPUP&amp;HEIGHT=450&amp;WIDTH=450&amp;START_MAXIMIZED=FALSE&amp;VAR:CALENDAR=US&amp;VAR:SYMBOL=GD&amp;VAR:INDEX=0"}</definedName>
    <definedName name="_532__FDSAUDITLINK__" hidden="1">{"fdsup://directions/FAT Viewer?action=UPDATE&amp;creator=factset&amp;DYN_ARGS=TRUE&amp;DOC_NAME=FAT:FQL_AUDITING_CLIENT_TEMPLATE.FAT&amp;display_string=Audit&amp;VAR:KEY=PSROFSLOTO&amp;VAR:QUERY=RkZfRU5UUlBSX1ZBTF9EQUlMWSgwNy8yMS8yMDEwLCwsLCwnRElMJykvRUNBX01FQU5fU0FMRVMoMjAxMSwwN","y8yMS8yMDEwKQ==&amp;WINDOW=FIRST_POPUP&amp;HEIGHT=450&amp;WIDTH=450&amp;START_MAXIMIZED=FALSE&amp;VAR:CALENDAR=US&amp;VAR:SYMBOL=GD&amp;VAR:INDEX=0"}</definedName>
    <definedName name="_533__FDSAUDITLINK__" hidden="1">{"fdsup://directions/FAT Viewer?action=UPDATE&amp;creator=factset&amp;DYN_ARGS=TRUE&amp;DOC_NAME=FAT:FQL_AUDITING_CLIENT_TEMPLATE.FAT&amp;display_string=Audit&amp;VAR:KEY=DEZQRKFSVE&amp;VAR:QUERY=RkZfRU5UUlBSX1ZBTF9EQUlMWSgwNy8yMS8yMDEwLCwsLCwnRElMJykvRUNBX01FQU5fU0FMRVMoMjAxMCwwN","y8yMS8yMDEwKQ==&amp;WINDOW=FIRST_POPUP&amp;HEIGHT=450&amp;WIDTH=450&amp;START_MAXIMIZED=FALSE&amp;VAR:CALENDAR=US&amp;VAR:SYMBOL=GD&amp;VAR:INDEX=0"}</definedName>
    <definedName name="_534__FDSAUDITLINK__" hidden="1">{"fdsup://directions/FAT Viewer?action=UPDATE&amp;creator=factset&amp;DYN_ARGS=TRUE&amp;DOC_NAME=FAT:FQL_AUDITING_CLIENT_TEMPLATE.FAT&amp;display_string=Audit&amp;VAR:KEY=FOBADKRWZQ&amp;VAR:QUERY=RkZfRU5UUlBSX1ZBTF9EQUlMWSgwNy8yMS8yMDEwLCwsLCwnRElMJykvRUNBX01FQU5fRUJJVCgyMDEyLDA3L","zIxLzIwMTAp&amp;WINDOW=FIRST_POPUP&amp;HEIGHT=450&amp;WIDTH=450&amp;START_MAXIMIZED=FALSE&amp;VAR:CALENDAR=US&amp;VAR:SYMBOL=GD&amp;VAR:INDEX=0"}</definedName>
    <definedName name="_535__FDSAUDITLINK__" hidden="1">{"fdsup://directions/FAT Viewer?action=UPDATE&amp;creator=factset&amp;DYN_ARGS=TRUE&amp;DOC_NAME=FAT:FQL_AUDITING_CLIENT_TEMPLATE.FAT&amp;display_string=Audit&amp;VAR:KEY=TEDWDQJCBW&amp;VAR:QUERY=RkZfRU5UUlBSX1ZBTF9EQUlMWSgwNy8yMS8yMDEwLCwsLCwnRElMJykvRUNBX01FQU5fRUJJVCgyMDExLDA3L","zIxLzIwMTAp&amp;WINDOW=FIRST_POPUP&amp;HEIGHT=450&amp;WIDTH=450&amp;START_MAXIMIZED=FALSE&amp;VAR:CALENDAR=US&amp;VAR:SYMBOL=GD&amp;VAR:INDEX=0"}</definedName>
    <definedName name="_536__FDSAUDITLINK__" hidden="1">{"fdsup://directions/FAT Viewer?action=UPDATE&amp;creator=factset&amp;DYN_ARGS=TRUE&amp;DOC_NAME=FAT:FQL_AUDITING_CLIENT_TEMPLATE.FAT&amp;display_string=Audit&amp;VAR:KEY=RETUVMZEDA&amp;VAR:QUERY=RkZfRU5UUlBSX1ZBTF9EQUlMWSgwNy8yMS8yMDEwLCwsLCwnRElMJykvRUNBX01FQU5fRUJJVCgyMDEwLDA3L","zIxLzIwMTAp&amp;WINDOW=FIRST_POPUP&amp;HEIGHT=450&amp;WIDTH=450&amp;START_MAXIMIZED=FALSE&amp;VAR:CALENDAR=US&amp;VAR:SYMBOL=GD&amp;VAR:INDEX=0"}</definedName>
    <definedName name="_537__FDSAUDITLINK__" hidden="1">{"fdsup://directions/FAT Viewer?action=UPDATE&amp;creator=factset&amp;DYN_ARGS=TRUE&amp;DOC_NAME=FAT:FQL_AUDITING_CLIENT_TEMPLATE.FAT&amp;display_string=Audit&amp;VAR:KEY=RUFYJKRYFY&amp;VAR:QUERY=RkZfRU5UUlBSX1ZBTF9EQUlMWSgwNy8yMS8yMDEwLCwsLCwnRElMJykvRUNBX01FQU5fRUJJVERBKDIwMTIsM","DcvMjEvMjAxMCk=&amp;WINDOW=FIRST_POPUP&amp;HEIGHT=450&amp;WIDTH=450&amp;START_MAXIMIZED=FALSE&amp;VAR:CALENDAR=US&amp;VAR:SYMBOL=GD&amp;VAR:INDEX=0"}</definedName>
    <definedName name="_538__FDSAUDITLINK__" hidden="1">{"fdsup://directions/FAT Viewer?action=UPDATE&amp;creator=factset&amp;DYN_ARGS=TRUE&amp;DOC_NAME=FAT:FQL_AUDITING_CLIENT_TEMPLATE.FAT&amp;display_string=Audit&amp;VAR:KEY=BIBMLEDIJG&amp;VAR:QUERY=RkZfRU5UUlBSX1ZBTF9EQUlMWSgwNy8yMS8yMDEwLCwsLCwnRElMJykvRUNBX01FQU5fRUJJVERBKDIwMTEsM","DcvMjEvMjAxMCk=&amp;WINDOW=FIRST_POPUP&amp;HEIGHT=450&amp;WIDTH=450&amp;START_MAXIMIZED=FALSE&amp;VAR:CALENDAR=US&amp;VAR:SYMBOL=GD&amp;VAR:INDEX=0"}</definedName>
    <definedName name="_539__FDSAUDITLINK__" hidden="1">{"fdsup://directions/FAT Viewer?action=UPDATE&amp;creator=factset&amp;DYN_ARGS=TRUE&amp;DOC_NAME=FAT:FQL_AUDITING_CLIENT_TEMPLATE.FAT&amp;display_string=Audit&amp;VAR:KEY=FYBETKJIJO&amp;VAR:QUERY=RkZfRU5UUlBSX1ZBTF9EQUlMWSgwNy8yMS8yMDEwLCwsLCwnRElMJykvRUNBX01FQU5fRUJJVERBKDIwMTAsM","DcvMjEvMjAxMCk=&amp;WINDOW=FIRST_POPUP&amp;HEIGHT=450&amp;WIDTH=450&amp;START_MAXIMIZED=FALSE&amp;VAR:CALENDAR=US&amp;VAR:SYMBOL=GD&amp;VAR:INDEX=0"}</definedName>
    <definedName name="_54__FDSAUDITLINK__" hidden="1">{"fdsup://directions/FAT Viewer?action=UPDATE&amp;creator=factset&amp;DYN_ARGS=TRUE&amp;DOC_NAME=FAT:FQL_AUDITING_CLIENT_TEMPLATE.FAT&amp;display_string=Audit&amp;VAR:KEY=NCPOLKTMNU&amp;VAR:QUERY=RkZfRU5UUlBSX1ZBTF9EQUlMWSgwNC8yMC8yMDEwLCwsLCwnRElMJykvRUNBX01FQU5fRUJJVERBKDIwMTAsM","DQvMjAvMjAxMCk=&amp;WINDOW=FIRST_POPUP&amp;HEIGHT=450&amp;WIDTH=450&amp;START_MAXIMIZED=FALSE&amp;VAR:CALENDAR=US&amp;VAR:SYMBOL=057580&amp;VAR:INDEX=0"}</definedName>
    <definedName name="_540__FDSAUDITLINK__" hidden="1">{"fdsup://directions/FAT Viewer?action=UPDATE&amp;creator=factset&amp;DYN_ARGS=TRUE&amp;DOC_NAME=FAT:FQL_AUDITING_CLIENT_TEMPLATE.FAT&amp;display_string=Audit&amp;VAR:KEY=BOZEHGFQLM&amp;VAR:QUERY=RkZfRU5UUlBSX1ZBTF9EQUlMWSgwNy8yMS8yMDEwLCwsLCwnRElMJykvRUNBX01FQU5fU0FMRVMoMjAxMiwwN","y8yMS8yMDEwKQ==&amp;WINDOW=FIRST_POPUP&amp;HEIGHT=450&amp;WIDTH=450&amp;START_MAXIMIZED=FALSE&amp;VAR:CALENDAR=US&amp;VAR:SYMBOL=UTX&amp;VAR:INDEX=0"}</definedName>
    <definedName name="_541__FDSAUDITLINK__" hidden="1">{"fdsup://directions/FAT Viewer?action=UPDATE&amp;creator=factset&amp;DYN_ARGS=TRUE&amp;DOC_NAME=FAT:FQL_AUDITING_CLIENT_TEMPLATE.FAT&amp;display_string=Audit&amp;VAR:KEY=RWNQLMTWJO&amp;VAR:QUERY=RkZfRU5UUlBSX1ZBTF9EQUlMWSgwNy8yMS8yMDEwLCwsLCwnRElMJykvRUNBX01FQU5fU0FMRVMoMjAxMSwwN","y8yMS8yMDEwKQ==&amp;WINDOW=FIRST_POPUP&amp;HEIGHT=450&amp;WIDTH=450&amp;START_MAXIMIZED=FALSE&amp;VAR:CALENDAR=US&amp;VAR:SYMBOL=UTX&amp;VAR:INDEX=0"}</definedName>
    <definedName name="_542__FDSAUDITLINK__" hidden="1">{"fdsup://directions/FAT Viewer?action=UPDATE&amp;creator=factset&amp;DYN_ARGS=TRUE&amp;DOC_NAME=FAT:FQL_AUDITING_CLIENT_TEMPLATE.FAT&amp;display_string=Audit&amp;VAR:KEY=DADCFKVUTS&amp;VAR:QUERY=RkZfRU5UUlBSX1ZBTF9EQUlMWSgwNy8yMS8yMDEwLCwsLCwnRElMJykvRUNBX01FQU5fU0FMRVMoMjAxMCwwN","y8yMS8yMDEwKQ==&amp;WINDOW=FIRST_POPUP&amp;HEIGHT=450&amp;WIDTH=450&amp;START_MAXIMIZED=FALSE&amp;VAR:CALENDAR=US&amp;VAR:SYMBOL=UTX&amp;VAR:INDEX=0"}</definedName>
    <definedName name="_543__FDSAUDITLINK__" hidden="1">{"fdsup://directions/FAT Viewer?action=UPDATE&amp;creator=factset&amp;DYN_ARGS=TRUE&amp;DOC_NAME=FAT:FQL_AUDITING_CLIENT_TEMPLATE.FAT&amp;display_string=Audit&amp;VAR:KEY=NURGVAJMZI&amp;VAR:QUERY=RkZfRU5UUlBSX1ZBTF9EQUlMWSgwNy8yMS8yMDEwLCwsLCwnRElMJykvRUNBX01FQU5fRUJJVCgyMDEyLDA3L","zIxLzIwMTAp&amp;WINDOW=FIRST_POPUP&amp;HEIGHT=450&amp;WIDTH=450&amp;START_MAXIMIZED=FALSE&amp;VAR:CALENDAR=US&amp;VAR:SYMBOL=UTX&amp;VAR:INDEX=0"}</definedName>
    <definedName name="_544__FDSAUDITLINK__" hidden="1">{"fdsup://directions/FAT Viewer?action=UPDATE&amp;creator=factset&amp;DYN_ARGS=TRUE&amp;DOC_NAME=FAT:FQL_AUDITING_CLIENT_TEMPLATE.FAT&amp;display_string=Audit&amp;VAR:KEY=XUHOVKDEVU&amp;VAR:QUERY=RkZfRU5UUlBSX1ZBTF9EQUlMWSgwNy8yMS8yMDEwLCwsLCwnRElMJykvRUNBX01FQU5fRUJJVCgyMDExLDA3L","zIxLzIwMTAp&amp;WINDOW=FIRST_POPUP&amp;HEIGHT=450&amp;WIDTH=450&amp;START_MAXIMIZED=FALSE&amp;VAR:CALENDAR=US&amp;VAR:SYMBOL=UTX&amp;VAR:INDEX=0"}</definedName>
    <definedName name="_545__FDSAUDITLINK__" hidden="1">{"fdsup://directions/FAT Viewer?action=UPDATE&amp;creator=factset&amp;DYN_ARGS=TRUE&amp;DOC_NAME=FAT:FQL_AUDITING_CLIENT_TEMPLATE.FAT&amp;display_string=Audit&amp;VAR:KEY=RKNALSTGBM&amp;VAR:QUERY=RkZfRU5UUlBSX1ZBTF9EQUlMWSgwNy8yMS8yMDEwLCwsLCwnRElMJykvRUNBX01FQU5fRUJJVCgyMDEwLDA3L","zIxLzIwMTAp&amp;WINDOW=FIRST_POPUP&amp;HEIGHT=450&amp;WIDTH=450&amp;START_MAXIMIZED=FALSE&amp;VAR:CALENDAR=US&amp;VAR:SYMBOL=UTX&amp;VAR:INDEX=0"}</definedName>
    <definedName name="_546__FDSAUDITLINK__" hidden="1">{"fdsup://directions/FAT Viewer?action=UPDATE&amp;creator=factset&amp;DYN_ARGS=TRUE&amp;DOC_NAME=FAT:FQL_AUDITING_CLIENT_TEMPLATE.FAT&amp;display_string=Audit&amp;VAR:KEY=HQLARYFAJY&amp;VAR:QUERY=RkZfRU5UUlBSX1ZBTF9EQUlMWSgwNy8yMS8yMDEwLCwsLCwnRElMJykvRUNBX01FQU5fRUJJVERBKDIwMTIsM","DcvMjEvMjAxMCk=&amp;WINDOW=FIRST_POPUP&amp;HEIGHT=450&amp;WIDTH=450&amp;START_MAXIMIZED=FALSE&amp;VAR:CALENDAR=US&amp;VAR:SYMBOL=UTX&amp;VAR:INDEX=0"}</definedName>
    <definedName name="_547__FDSAUDITLINK__" hidden="1">{"fdsup://directions/FAT Viewer?action=UPDATE&amp;creator=factset&amp;DYN_ARGS=TRUE&amp;DOC_NAME=FAT:FQL_AUDITING_CLIENT_TEMPLATE.FAT&amp;display_string=Audit&amp;VAR:KEY=TMTYDOJSXM&amp;VAR:QUERY=RkZfRU5UUlBSX1ZBTF9EQUlMWSgwNy8yMS8yMDEwLCwsLCwnRElMJykvRUNBX01FQU5fRUJJVERBKDIwMTEsM","DcvMjEvMjAxMCk=&amp;WINDOW=FIRST_POPUP&amp;HEIGHT=450&amp;WIDTH=450&amp;START_MAXIMIZED=FALSE&amp;VAR:CALENDAR=US&amp;VAR:SYMBOL=UTX&amp;VAR:INDEX=0"}</definedName>
    <definedName name="_548__FDSAUDITLINK__" hidden="1">{"fdsup://directions/FAT Viewer?action=UPDATE&amp;creator=factset&amp;DYN_ARGS=TRUE&amp;DOC_NAME=FAT:FQL_AUDITING_CLIENT_TEMPLATE.FAT&amp;display_string=Audit&amp;VAR:KEY=HONKDIBIRM&amp;VAR:QUERY=RkZfRU5UUlBSX1ZBTF9EQUlMWSgwNy8yMS8yMDEwLCwsLCwnRElMJykvRUNBX01FQU5fRUJJVERBKDIwMTAsM","DcvMjEvMjAxMCk=&amp;WINDOW=FIRST_POPUP&amp;HEIGHT=450&amp;WIDTH=450&amp;START_MAXIMIZED=FALSE&amp;VAR:CALENDAR=US&amp;VAR:SYMBOL=UTX&amp;VAR:INDEX=0"}</definedName>
    <definedName name="_549__FDSAUDITLINK__" hidden="1">{"fdsup://directions/FAT Viewer?action=UPDATE&amp;creator=factset&amp;DYN_ARGS=TRUE&amp;DOC_NAME=FAT:FQL_AUDITING_CLIENT_TEMPLATE.FAT&amp;display_string=Audit&amp;VAR:KEY=BIZIRGFGXM&amp;VAR:QUERY=RkZfRU5UUlBSX1ZBTF9EQUlMWSgwNy8zMC8yMDEwLCwsLCwnRElMJykvRUNBX01FQU5fU0FMRVMoMjAxMiwwN","y8zMC8yMDEwKQ==&amp;WINDOW=FIRST_POPUP&amp;HEIGHT=450&amp;WIDTH=450&amp;START_MAXIMIZED=FALSE&amp;VAR:CALENDAR=US&amp;VAR:SYMBOL=BA&amp;VAR:INDEX=0"}</definedName>
    <definedName name="_55__FDSAUDITLINK__" hidden="1">{"fdsup://directions/FAT Viewer?action=UPDATE&amp;creator=factset&amp;DYN_ARGS=TRUE&amp;DOC_NAME=FAT:FQL_AUDITING_CLIENT_TEMPLATE.FAT&amp;display_string=Audit&amp;VAR:KEY=VMJIFELONQ&amp;VAR:QUERY=RkZfRU5UUlBSX1ZBTF9EQUlMWSgwNC8yMC8yMDEwLCwsLCwnRElMJykvRUNBX01FQU5fU0FMRVMoMjAxMiwwN","C8yMC8yMDEwKQ==&amp;WINDOW=FIRST_POPUP&amp;HEIGHT=450&amp;WIDTH=450&amp;START_MAXIMIZED=FALSE&amp;VAR:CALENDAR=US&amp;VAR:SYMBOL=PCP&amp;VAR:INDEX=0"}</definedName>
    <definedName name="_550__FDSAUDITLINK__" hidden="1">{"fdsup://directions/FAT Viewer?action=UPDATE&amp;creator=factset&amp;DYN_ARGS=TRUE&amp;DOC_NAME=FAT:FQL_AUDITING_CLIENT_TEMPLATE.FAT&amp;display_string=Audit&amp;VAR:KEY=DWNYHUZOPU&amp;VAR:QUERY=RkZfRU5UUlBSX1ZBTF9EQUlMWSgwNy8zMC8yMDEwLCwsLCwnRElMJykvRUNBX01FQU5fU0FMRVMoMjAxMSwwN","y8zMC8yMDEwKQ==&amp;WINDOW=FIRST_POPUP&amp;HEIGHT=450&amp;WIDTH=450&amp;START_MAXIMIZED=FALSE&amp;VAR:CALENDAR=US&amp;VAR:SYMBOL=BA&amp;VAR:INDEX=0"}</definedName>
    <definedName name="_551__FDSAUDITLINK__" hidden="1">{"fdsup://directions/FAT Viewer?action=UPDATE&amp;creator=factset&amp;DYN_ARGS=TRUE&amp;DOC_NAME=FAT:FQL_AUDITING_CLIENT_TEMPLATE.FAT&amp;display_string=Audit&amp;VAR:KEY=XMJYRKXSRY&amp;VAR:QUERY=RkZfRU5UUlBSX1ZBTF9EQUlMWSgwNy8zMC8yMDEwLCwsLCwnRElMJykvRUNBX01FQU5fU0FMRVMoMjAxMCwwN","y8zMC8yMDEwKQ==&amp;WINDOW=FIRST_POPUP&amp;HEIGHT=450&amp;WIDTH=450&amp;START_MAXIMIZED=FALSE&amp;VAR:CALENDAR=US&amp;VAR:SYMBOL=BA&amp;VAR:INDEX=0"}</definedName>
    <definedName name="_552__FDSAUDITLINK__" hidden="1">{"fdsup://directions/FAT Viewer?action=UPDATE&amp;creator=factset&amp;DYN_ARGS=TRUE&amp;DOC_NAME=FAT:FQL_AUDITING_CLIENT_TEMPLATE.FAT&amp;display_string=Audit&amp;VAR:KEY=NSVAXADCXC&amp;VAR:QUERY=RkZfRU5UUlBSX1ZBTF9EQUlMWSgwNy8zMC8yMDEwLCwsLCwnRElMJykvRUNBX01FQU5fRUJJVCgyMDEyLDA3L","zMwLzIwMTAp&amp;WINDOW=FIRST_POPUP&amp;HEIGHT=450&amp;WIDTH=450&amp;START_MAXIMIZED=FALSE&amp;VAR:CALENDAR=US&amp;VAR:SYMBOL=BA&amp;VAR:INDEX=0"}</definedName>
    <definedName name="_553__FDSAUDITLINK__" hidden="1">{"fdsup://directions/FAT Viewer?action=UPDATE&amp;creator=factset&amp;DYN_ARGS=TRUE&amp;DOC_NAME=FAT:FQL_AUDITING_CLIENT_TEMPLATE.FAT&amp;display_string=Audit&amp;VAR:KEY=TQLWZIPURW&amp;VAR:QUERY=RkZfRU5UUlBSX1ZBTF9EQUlMWSgwNy8zMC8yMDEwLCwsLCwnRElMJykvRUNBX01FQU5fRUJJVCgyMDExLDA3L","zMwLzIwMTAp&amp;WINDOW=FIRST_POPUP&amp;HEIGHT=450&amp;WIDTH=450&amp;START_MAXIMIZED=FALSE&amp;VAR:CALENDAR=US&amp;VAR:SYMBOL=BA&amp;VAR:INDEX=0"}</definedName>
    <definedName name="_554__FDSAUDITLINK__" hidden="1">{"fdsup://directions/FAT Viewer?action=UPDATE&amp;creator=factset&amp;DYN_ARGS=TRUE&amp;DOC_NAME=FAT:FQL_AUDITING_CLIENT_TEMPLATE.FAT&amp;display_string=Audit&amp;VAR:KEY=TSDMZMTWNG&amp;VAR:QUERY=RkZfRU5UUlBSX1ZBTF9EQUlMWSgwNy8zMC8yMDEwLCwsLCwnRElMJykvRUNBX01FQU5fRUJJVCgyMDEwLDA3L","zMwLzIwMTAp&amp;WINDOW=FIRST_POPUP&amp;HEIGHT=450&amp;WIDTH=450&amp;START_MAXIMIZED=FALSE&amp;VAR:CALENDAR=US&amp;VAR:SYMBOL=BA&amp;VAR:INDEX=0"}</definedName>
    <definedName name="_555__FDSAUDITLINK__" hidden="1">{"fdsup://directions/FAT Viewer?action=UPDATE&amp;creator=factset&amp;DYN_ARGS=TRUE&amp;DOC_NAME=FAT:FQL_AUDITING_CLIENT_TEMPLATE.FAT&amp;display_string=Audit&amp;VAR:KEY=FGTKHQRQPW&amp;VAR:QUERY=RkZfRU5UUlBSX1ZBTF9EQUlMWSgwNy8zMC8yMDEwLCwsLCwnRElMJykvRUNBX01FQU5fRUJJVERBKDIwMTIsM","DcvMzAvMjAxMCk=&amp;WINDOW=FIRST_POPUP&amp;HEIGHT=450&amp;WIDTH=450&amp;START_MAXIMIZED=FALSE&amp;VAR:CALENDAR=US&amp;VAR:SYMBOL=BA&amp;VAR:INDEX=0"}</definedName>
    <definedName name="_556__FDSAUDITLINK__" hidden="1">{"fdsup://directions/FAT Viewer?action=UPDATE&amp;creator=factset&amp;DYN_ARGS=TRUE&amp;DOC_NAME=FAT:FQL_AUDITING_CLIENT_TEMPLATE.FAT&amp;display_string=Audit&amp;VAR:KEY=DSVMBUFKDU&amp;VAR:QUERY=RkZfRU5UUlBSX1ZBTF9EQUlMWSgwNy8zMC8yMDEwLCwsLCwnRElMJykvRUNBX01FQU5fRUJJVERBKDIwMTEsM","DcvMzAvMjAxMCk=&amp;WINDOW=FIRST_POPUP&amp;HEIGHT=450&amp;WIDTH=450&amp;START_MAXIMIZED=FALSE&amp;VAR:CALENDAR=US&amp;VAR:SYMBOL=BA&amp;VAR:INDEX=0"}</definedName>
    <definedName name="_557__FDSAUDITLINK__" hidden="1">{"fdsup://directions/FAT Viewer?action=UPDATE&amp;creator=factset&amp;DYN_ARGS=TRUE&amp;DOC_NAME=FAT:FQL_AUDITING_CLIENT_TEMPLATE.FAT&amp;display_string=Audit&amp;VAR:KEY=LCJETUNWTM&amp;VAR:QUERY=RkZfRU5UUlBSX1ZBTF9EQUlMWSgwNy8zMC8yMDEwLCwsLCwnRElMJykvRUNBX01FQU5fRUJJVERBKDIwMTAsM","DcvMzAvMjAxMCk=&amp;WINDOW=FIRST_POPUP&amp;HEIGHT=450&amp;WIDTH=450&amp;START_MAXIMIZED=FALSE&amp;VAR:CALENDAR=US&amp;VAR:SYMBOL=BA&amp;VAR:INDEX=0"}</definedName>
    <definedName name="_558__FDSAUDITLINK__" hidden="1">{"fdsup://directions/FAT Viewer?action=UPDATE&amp;creator=factset&amp;DYN_ARGS=TRUE&amp;DOC_NAME=FAT:FQL_AUDITING_CLIENT_TEMPLATE.FAT&amp;display_string=Audit&amp;VAR:KEY=JGLKJSLWNM&amp;VAR:QUERY=RkZfRU5UUlBSX1ZBTF9EQUlMWSgwNy8zMC8yMDEwLCwsLCwnRElMJykvRUNBX01FQU5fU0FMRVMoMjAxMiwwN","y8zMC8yMDEwKQ==&amp;WINDOW=FIRST_POPUP&amp;HEIGHT=450&amp;WIDTH=450&amp;START_MAXIMIZED=FALSE&amp;VAR:CALENDAR=US&amp;VAR:SYMBOL=GD&amp;VAR:INDEX=0"}</definedName>
    <definedName name="_559__FDSAUDITLINK__" hidden="1">{"fdsup://directions/FAT Viewer?action=UPDATE&amp;creator=factset&amp;DYN_ARGS=TRUE&amp;DOC_NAME=FAT:FQL_AUDITING_CLIENT_TEMPLATE.FAT&amp;display_string=Audit&amp;VAR:KEY=DMPUNMPING&amp;VAR:QUERY=RkZfRU5UUlBSX1ZBTF9EQUlMWSgwNy8zMC8yMDEwLCwsLCwnRElMJykvRUNBX01FQU5fU0FMRVMoMjAxMSwwN","y8zMC8yMDEwKQ==&amp;WINDOW=FIRST_POPUP&amp;HEIGHT=450&amp;WIDTH=450&amp;START_MAXIMIZED=FALSE&amp;VAR:CALENDAR=US&amp;VAR:SYMBOL=GD&amp;VAR:INDEX=0"}</definedName>
    <definedName name="_56__FDSAUDITLINK__" hidden="1">{"fdsup://directions/FAT Viewer?action=UPDATE&amp;creator=factset&amp;DYN_ARGS=TRUE&amp;DOC_NAME=FAT:FQL_AUDITING_CLIENT_TEMPLATE.FAT&amp;display_string=Audit&amp;VAR:KEY=PEFKXSHOTI&amp;VAR:QUERY=RkZfRU5UUlBSX1ZBTF9EQUlMWSgwNC8yMC8yMDEwLCwsLCwnRElMJykvRUNBX01FQU5fU0FMRVMoMjAxMSwwN","C8yMC8yMDEwKQ==&amp;WINDOW=FIRST_POPUP&amp;HEIGHT=450&amp;WIDTH=450&amp;START_MAXIMIZED=FALSE&amp;VAR:CALENDAR=US&amp;VAR:SYMBOL=PCP&amp;VAR:INDEX=0"}</definedName>
    <definedName name="_560__FDSAUDITLINK__" hidden="1">{"fdsup://directions/FAT Viewer?action=UPDATE&amp;creator=factset&amp;DYN_ARGS=TRUE&amp;DOC_NAME=FAT:FQL_AUDITING_CLIENT_TEMPLATE.FAT&amp;display_string=Audit&amp;VAR:KEY=XQLGJENONM&amp;VAR:QUERY=RkZfRU5UUlBSX1ZBTF9EQUlMWSgwNy8zMC8yMDEwLCwsLCwnRElMJykvRUNBX01FQU5fU0FMRVMoMjAxMCwwN","y8zMC8yMDEwKQ==&amp;WINDOW=FIRST_POPUP&amp;HEIGHT=450&amp;WIDTH=450&amp;START_MAXIMIZED=FALSE&amp;VAR:CALENDAR=US&amp;VAR:SYMBOL=GD&amp;VAR:INDEX=0"}</definedName>
    <definedName name="_561__FDSAUDITLINK__" hidden="1">{"fdsup://directions/FAT Viewer?action=UPDATE&amp;creator=factset&amp;DYN_ARGS=TRUE&amp;DOC_NAME=FAT:FQL_AUDITING_CLIENT_TEMPLATE.FAT&amp;display_string=Audit&amp;VAR:KEY=DQNYHKPYXM&amp;VAR:QUERY=RkZfRU5UUlBSX1ZBTF9EQUlMWSgwNy8zMC8yMDEwLCwsLCwnRElMJykvRUNBX01FQU5fRUJJVCgyMDEyLDA3L","zMwLzIwMTAp&amp;WINDOW=FIRST_POPUP&amp;HEIGHT=450&amp;WIDTH=450&amp;START_MAXIMIZED=FALSE&amp;VAR:CALENDAR=US&amp;VAR:SYMBOL=GD&amp;VAR:INDEX=0"}</definedName>
    <definedName name="_562__FDSAUDITLINK__" hidden="1">{"fdsup://directions/FAT Viewer?action=UPDATE&amp;creator=factset&amp;DYN_ARGS=TRUE&amp;DOC_NAME=FAT:FQL_AUDITING_CLIENT_TEMPLATE.FAT&amp;display_string=Audit&amp;VAR:KEY=XQLCVWFGTI&amp;VAR:QUERY=RkZfRU5UUlBSX1ZBTF9EQUlMWSgwNy8zMC8yMDEwLCwsLCwnRElMJykvRUNBX01FQU5fRUJJVCgyMDExLDA3L","zMwLzIwMTAp&amp;WINDOW=FIRST_POPUP&amp;HEIGHT=450&amp;WIDTH=450&amp;START_MAXIMIZED=FALSE&amp;VAR:CALENDAR=US&amp;VAR:SYMBOL=GD&amp;VAR:INDEX=0"}</definedName>
    <definedName name="_563__FDSAUDITLINK__" hidden="1">{"fdsup://directions/FAT Viewer?action=UPDATE&amp;creator=factset&amp;DYN_ARGS=TRUE&amp;DOC_NAME=FAT:FQL_AUDITING_CLIENT_TEMPLATE.FAT&amp;display_string=Audit&amp;VAR:KEY=RQXOXSROXE&amp;VAR:QUERY=RkZfRU5UUlBSX1ZBTF9EQUlMWSgwNy8zMC8yMDEwLCwsLCwnRElMJykvRUNBX01FQU5fRUJJVCgyMDEwLDA3L","zMwLzIwMTAp&amp;WINDOW=FIRST_POPUP&amp;HEIGHT=450&amp;WIDTH=450&amp;START_MAXIMIZED=FALSE&amp;VAR:CALENDAR=US&amp;VAR:SYMBOL=GD&amp;VAR:INDEX=0"}</definedName>
    <definedName name="_564__FDSAUDITLINK__" hidden="1">{"fdsup://directions/FAT Viewer?action=UPDATE&amp;creator=factset&amp;DYN_ARGS=TRUE&amp;DOC_NAME=FAT:FQL_AUDITING_CLIENT_TEMPLATE.FAT&amp;display_string=Audit&amp;VAR:KEY=XUTUNUFINU&amp;VAR:QUERY=RkZfRU5UUlBSX1ZBTF9EQUlMWSgwNy8zMC8yMDEwLCwsLCwnRElMJykvRUNBX01FQU5fRUJJVERBKDIwMTIsM","DcvMzAvMjAxMCk=&amp;WINDOW=FIRST_POPUP&amp;HEIGHT=450&amp;WIDTH=450&amp;START_MAXIMIZED=FALSE&amp;VAR:CALENDAR=US&amp;VAR:SYMBOL=GD&amp;VAR:INDEX=0"}</definedName>
    <definedName name="_565__FDSAUDITLINK__" hidden="1">{"fdsup://directions/FAT Viewer?action=UPDATE&amp;creator=factset&amp;DYN_ARGS=TRUE&amp;DOC_NAME=FAT:FQL_AUDITING_CLIENT_TEMPLATE.FAT&amp;display_string=Audit&amp;VAR:KEY=PQBQNKTMVM&amp;VAR:QUERY=RkZfRU5UUlBSX1ZBTF9EQUlMWSgwNy8zMC8yMDEwLCwsLCwnRElMJykvRUNBX01FQU5fRUJJVERBKDIwMTEsM","DcvMzAvMjAxMCk=&amp;WINDOW=FIRST_POPUP&amp;HEIGHT=450&amp;WIDTH=450&amp;START_MAXIMIZED=FALSE&amp;VAR:CALENDAR=US&amp;VAR:SYMBOL=GD&amp;VAR:INDEX=0"}</definedName>
    <definedName name="_566__FDSAUDITLINK__" hidden="1">{"fdsup://directions/FAT Viewer?action=UPDATE&amp;creator=factset&amp;DYN_ARGS=TRUE&amp;DOC_NAME=FAT:FQL_AUDITING_CLIENT_TEMPLATE.FAT&amp;display_string=Audit&amp;VAR:KEY=LUJMPKLWJS&amp;VAR:QUERY=RkZfRU5UUlBSX1ZBTF9EQUlMWSgwNy8zMC8yMDEwLCwsLCwnRElMJykvRUNBX01FQU5fRUJJVERBKDIwMTAsM","DcvMzAvMjAxMCk=&amp;WINDOW=FIRST_POPUP&amp;HEIGHT=450&amp;WIDTH=450&amp;START_MAXIMIZED=FALSE&amp;VAR:CALENDAR=US&amp;VAR:SYMBOL=GD&amp;VAR:INDEX=0"}</definedName>
    <definedName name="_567__FDSAUDITLINK__" hidden="1">{"fdsup://directions/FAT Viewer?action=UPDATE&amp;creator=factset&amp;DYN_ARGS=TRUE&amp;DOC_NAME=FAT:FQL_AUDITING_CLIENT_TEMPLATE.FAT&amp;display_string=Audit&amp;VAR:KEY=ZQNQTWTEPC&amp;VAR:QUERY=RkZfRU5UUlBSX1ZBTF9EQUlMWSgwNy8zMC8yMDEwLCwsLCwnRElMJykvRUNBX01FQU5fU0FMRVMoMjAxMiwwN","y8zMC8yMDEwKQ==&amp;WINDOW=FIRST_POPUP&amp;HEIGHT=450&amp;WIDTH=450&amp;START_MAXIMIZED=FALSE&amp;VAR:CALENDAR=US&amp;VAR:SYMBOL=UTX&amp;VAR:INDEX=0"}</definedName>
    <definedName name="_568__FDSAUDITLINK__" hidden="1">{"fdsup://directions/FAT Viewer?action=UPDATE&amp;creator=factset&amp;DYN_ARGS=TRUE&amp;DOC_NAME=FAT:FQL_AUDITING_CLIENT_TEMPLATE.FAT&amp;display_string=Audit&amp;VAR:KEY=RUZKNGHURC&amp;VAR:QUERY=RkZfRU5UUlBSX1ZBTF9EQUlMWSgwNy8zMC8yMDEwLCwsLCwnRElMJykvRUNBX01FQU5fU0FMRVMoMjAxMSwwN","y8zMC8yMDEwKQ==&amp;WINDOW=FIRST_POPUP&amp;HEIGHT=450&amp;WIDTH=450&amp;START_MAXIMIZED=FALSE&amp;VAR:CALENDAR=US&amp;VAR:SYMBOL=UTX&amp;VAR:INDEX=0"}</definedName>
    <definedName name="_569__FDSAUDITLINK__" hidden="1">{"fdsup://directions/FAT Viewer?action=UPDATE&amp;creator=factset&amp;DYN_ARGS=TRUE&amp;DOC_NAME=FAT:FQL_AUDITING_CLIENT_TEMPLATE.FAT&amp;display_string=Audit&amp;VAR:KEY=NYZQZOVYZU&amp;VAR:QUERY=RkZfRU5UUlBSX1ZBTF9EQUlMWSgwNy8zMC8yMDEwLCwsLCwnRElMJykvRUNBX01FQU5fU0FMRVMoMjAxMCwwN","y8zMC8yMDEwKQ==&amp;WINDOW=FIRST_POPUP&amp;HEIGHT=450&amp;WIDTH=450&amp;START_MAXIMIZED=FALSE&amp;VAR:CALENDAR=US&amp;VAR:SYMBOL=UTX&amp;VAR:INDEX=0"}</definedName>
    <definedName name="_57__FDSAUDITLINK__" hidden="1">{"fdsup://directions/FAT Viewer?action=UPDATE&amp;creator=factset&amp;DYN_ARGS=TRUE&amp;DOC_NAME=FAT:FQL_AUDITING_CLIENT_TEMPLATE.FAT&amp;display_string=Audit&amp;VAR:KEY=PGNUJYZQZI&amp;VAR:QUERY=RkZfRU5UUlBSX1ZBTF9EQUlMWSgwNC8yMC8yMDEwLCwsLCwnRElMJykvRUNBX01FQU5fU0FMRVMoMjAxMCwwN","C8yMC8yMDEwKQ==&amp;WINDOW=FIRST_POPUP&amp;HEIGHT=450&amp;WIDTH=450&amp;START_MAXIMIZED=FALSE&amp;VAR:CALENDAR=US&amp;VAR:SYMBOL=PCP&amp;VAR:INDEX=0"}</definedName>
    <definedName name="_570__FDSAUDITLINK__" hidden="1">{"fdsup://directions/FAT Viewer?action=UPDATE&amp;creator=factset&amp;DYN_ARGS=TRUE&amp;DOC_NAME=FAT:FQL_AUDITING_CLIENT_TEMPLATE.FAT&amp;display_string=Audit&amp;VAR:KEY=RAFSJSDYLU&amp;VAR:QUERY=RkZfRU5UUlBSX1ZBTF9EQUlMWSgwNy8zMC8yMDEwLCwsLCwnRElMJykvRUNBX01FQU5fRUJJVCgyMDEyLDA3L","zMwLzIwMTAp&amp;WINDOW=FIRST_POPUP&amp;HEIGHT=450&amp;WIDTH=450&amp;START_MAXIMIZED=FALSE&amp;VAR:CALENDAR=US&amp;VAR:SYMBOL=UTX&amp;VAR:INDEX=0"}</definedName>
    <definedName name="_571__FDSAUDITLINK__" hidden="1">{"fdsup://directions/FAT Viewer?action=UPDATE&amp;creator=factset&amp;DYN_ARGS=TRUE&amp;DOC_NAME=FAT:FQL_AUDITING_CLIENT_TEMPLATE.FAT&amp;display_string=Audit&amp;VAR:KEY=JQBMXMNOFW&amp;VAR:QUERY=RkZfRU5UUlBSX1ZBTF9EQUlMWSgwNy8zMC8yMDEwLCwsLCwnRElMJykvRUNBX01FQU5fRUJJVCgyMDExLDA3L","zMwLzIwMTAp&amp;WINDOW=FIRST_POPUP&amp;HEIGHT=450&amp;WIDTH=450&amp;START_MAXIMIZED=FALSE&amp;VAR:CALENDAR=US&amp;VAR:SYMBOL=UTX&amp;VAR:INDEX=0"}</definedName>
    <definedName name="_572__FDSAUDITLINK__" hidden="1">{"fdsup://directions/FAT Viewer?action=UPDATE&amp;creator=factset&amp;DYN_ARGS=TRUE&amp;DOC_NAME=FAT:FQL_AUDITING_CLIENT_TEMPLATE.FAT&amp;display_string=Audit&amp;VAR:KEY=ZADSLMBMRW&amp;VAR:QUERY=RkZfRU5UUlBSX1ZBTF9EQUlMWSgwNy8zMC8yMDEwLCwsLCwnRElMJykvRUNBX01FQU5fRUJJVCgyMDEwLDA3L","zMwLzIwMTAp&amp;WINDOW=FIRST_POPUP&amp;HEIGHT=450&amp;WIDTH=450&amp;START_MAXIMIZED=FALSE&amp;VAR:CALENDAR=US&amp;VAR:SYMBOL=UTX&amp;VAR:INDEX=0"}</definedName>
    <definedName name="_573__FDSAUDITLINK__" hidden="1">{"fdsup://directions/FAT Viewer?action=UPDATE&amp;creator=factset&amp;DYN_ARGS=TRUE&amp;DOC_NAME=FAT:FQL_AUDITING_CLIENT_TEMPLATE.FAT&amp;display_string=Audit&amp;VAR:KEY=VIHETOZQTO&amp;VAR:QUERY=RkZfRU5UUlBSX1ZBTF9EQUlMWSgwNy8zMC8yMDEwLCwsLCwnRElMJykvRUNBX01FQU5fRUJJVERBKDIwMTIsM","DcvMzAvMjAxMCk=&amp;WINDOW=FIRST_POPUP&amp;HEIGHT=450&amp;WIDTH=450&amp;START_MAXIMIZED=FALSE&amp;VAR:CALENDAR=US&amp;VAR:SYMBOL=UTX&amp;VAR:INDEX=0"}</definedName>
    <definedName name="_574__FDSAUDITLINK__" hidden="1">{"fdsup://directions/FAT Viewer?action=UPDATE&amp;creator=factset&amp;DYN_ARGS=TRUE&amp;DOC_NAME=FAT:FQL_AUDITING_CLIENT_TEMPLATE.FAT&amp;display_string=Audit&amp;VAR:KEY=FODYTWVCXI&amp;VAR:QUERY=RkZfRU5UUlBSX1ZBTF9EQUlMWSgwNy8zMC8yMDEwLCwsLCwnRElMJykvRUNBX01FQU5fRUJJVERBKDIwMTEsM","DcvMzAvMjAxMCk=&amp;WINDOW=FIRST_POPUP&amp;HEIGHT=450&amp;WIDTH=450&amp;START_MAXIMIZED=FALSE&amp;VAR:CALENDAR=US&amp;VAR:SYMBOL=UTX&amp;VAR:INDEX=0"}</definedName>
    <definedName name="_575__FDSAUDITLINK__" hidden="1">{"fdsup://directions/FAT Viewer?action=UPDATE&amp;creator=factset&amp;DYN_ARGS=TRUE&amp;DOC_NAME=FAT:FQL_AUDITING_CLIENT_TEMPLATE.FAT&amp;display_string=Audit&amp;VAR:KEY=VOXYDADEJY&amp;VAR:QUERY=RkZfRU5UUlBSX1ZBTF9EQUlMWSgwNy8zMC8yMDEwLCwsLCwnRElMJykvRUNBX01FQU5fRUJJVERBKDIwMTAsM","DcvMzAvMjAxMCk=&amp;WINDOW=FIRST_POPUP&amp;HEIGHT=450&amp;WIDTH=450&amp;START_MAXIMIZED=FALSE&amp;VAR:CALENDAR=US&amp;VAR:SYMBOL=UTX&amp;VAR:INDEX=0"}</definedName>
    <definedName name="_58__FDSAUDITLINK__" hidden="1">{"fdsup://directions/FAT Viewer?action=UPDATE&amp;creator=factset&amp;DYN_ARGS=TRUE&amp;DOC_NAME=FAT:FQL_AUDITING_CLIENT_TEMPLATE.FAT&amp;display_string=Audit&amp;VAR:KEY=TIFWNMDONK&amp;VAR:QUERY=RkZfRU5UUlBSX1ZBTF9EQUlMWSgwNC8yMC8yMDEwLCwsLCwnRElMJykvRUNBX01FQU5fRUJJVCgyMDEyLDA0L","zIwLzIwMTAp&amp;WINDOW=FIRST_POPUP&amp;HEIGHT=450&amp;WIDTH=450&amp;START_MAXIMIZED=FALSE&amp;VAR:CALENDAR=US&amp;VAR:SYMBOL=PCP&amp;VAR:INDEX=0"}</definedName>
    <definedName name="_59__FDSAUDITLINK__" hidden="1">{"fdsup://directions/FAT Viewer?action=UPDATE&amp;creator=factset&amp;DYN_ARGS=TRUE&amp;DOC_NAME=FAT:FQL_AUDITING_CLIENT_TEMPLATE.FAT&amp;display_string=Audit&amp;VAR:KEY=TCPYBURKFE&amp;VAR:QUERY=RkZfRU5UUlBSX1ZBTF9EQUlMWSgwNC8yMC8yMDEwLCwsLCwnRElMJykvRUNBX01FQU5fRUJJVCgyMDExLDA0L","zIwLzIwMTAp&amp;WINDOW=FIRST_POPUP&amp;HEIGHT=450&amp;WIDTH=450&amp;START_MAXIMIZED=FALSE&amp;VAR:CALENDAR=US&amp;VAR:SYMBOL=PCP&amp;VAR:INDEX=0"}</definedName>
    <definedName name="_6__123Graph_Aｸﾞﾗﾌ_2" hidden="1">[2]単独!$AR$14:$AR$18</definedName>
    <definedName name="_6__FDSAUDITLINK__" hidden="1">{"fdsup://directions/FAT Viewer?action=UPDATE&amp;creator=factset&amp;DYN_ARGS=TRUE&amp;DOC_NAME=FAT:FQL_AUDITING_CLIENT_TEMPLATE.FAT&amp;display_string=Audit&amp;VAR:KEY=HELGFKZGPK&amp;VAR:QUERY=RkZfRU5UUlBSX1ZBTF9EQUlMWSgwNC8xOS8yMDEwLCwsLCwnRElMJykvRUNBX01FQU5fRUJJVCgyMDEwLDA0L","zE5LzIwMTAp&amp;WINDOW=FIRST_POPUP&amp;HEIGHT=450&amp;WIDTH=450&amp;START_MAXIMIZED=FALSE&amp;VAR:CALENDAR=US&amp;VAR:SYMBOL=057580&amp;VAR:INDEX=0"}</definedName>
    <definedName name="_60__FDSAUDITLINK__" hidden="1">{"fdsup://directions/FAT Viewer?action=UPDATE&amp;creator=factset&amp;DYN_ARGS=TRUE&amp;DOC_NAME=FAT:FQL_AUDITING_CLIENT_TEMPLATE.FAT&amp;display_string=Audit&amp;VAR:KEY=ZODERCJAHI&amp;VAR:QUERY=RkZfRU5UUlBSX1ZBTF9EQUlMWSgwNC8yMC8yMDEwLCwsLCwnRElMJykvRUNBX01FQU5fRUJJVCgyMDEwLDA0L","zIwLzIwMTAp&amp;WINDOW=FIRST_POPUP&amp;HEIGHT=450&amp;WIDTH=450&amp;START_MAXIMIZED=FALSE&amp;VAR:CALENDAR=US&amp;VAR:SYMBOL=PCP&amp;VAR:INDEX=0"}</definedName>
    <definedName name="_61__FDSAUDITLINK__" hidden="1">{"fdsup://directions/FAT Viewer?action=UPDATE&amp;creator=factset&amp;DYN_ARGS=TRUE&amp;DOC_NAME=FAT:FQL_AUDITING_CLIENT_TEMPLATE.FAT&amp;display_string=Audit&amp;VAR:KEY=ZELOTEPIDU&amp;VAR:QUERY=RkZfRU5UUlBSX1ZBTF9EQUlMWSgwNC8yMC8yMDEwLCwsLCwnRElMJykvRUNBX01FQU5fRUJJVERBKDIwMTIsM","DQvMjAvMjAxMCk=&amp;WINDOW=FIRST_POPUP&amp;HEIGHT=450&amp;WIDTH=450&amp;START_MAXIMIZED=FALSE&amp;VAR:CALENDAR=US&amp;VAR:SYMBOL=PCP&amp;VAR:INDEX=0"}</definedName>
    <definedName name="_62__FDSAUDITLINK__" hidden="1">{"fdsup://directions/FAT Viewer?action=UPDATE&amp;creator=factset&amp;DYN_ARGS=TRUE&amp;DOC_NAME=FAT:FQL_AUDITING_CLIENT_TEMPLATE.FAT&amp;display_string=Audit&amp;VAR:KEY=RYHYVADUFS&amp;VAR:QUERY=RkZfRU5UUlBSX1ZBTF9EQUlMWSgwNC8yMC8yMDEwLCwsLCwnRElMJykvRUNBX01FQU5fRUJJVERBKDIwMTEsM","DQvMjAvMjAxMCk=&amp;WINDOW=FIRST_POPUP&amp;HEIGHT=450&amp;WIDTH=450&amp;START_MAXIMIZED=FALSE&amp;VAR:CALENDAR=US&amp;VAR:SYMBOL=PCP&amp;VAR:INDEX=0"}</definedName>
    <definedName name="_63__FDSAUDITLINK__" hidden="1">{"fdsup://directions/FAT Viewer?action=UPDATE&amp;creator=factset&amp;DYN_ARGS=TRUE&amp;DOC_NAME=FAT:FQL_AUDITING_CLIENT_TEMPLATE.FAT&amp;display_string=Audit&amp;VAR:KEY=JKFAPCVKRA&amp;VAR:QUERY=RkZfRU5UUlBSX1ZBTF9EQUlMWSgwNC8yMC8yMDEwLCwsLCwnRElMJykvRUNBX01FQU5fRUJJVERBKDIwMTAsM","DQvMjAvMjAxMCk=&amp;WINDOW=FIRST_POPUP&amp;HEIGHT=450&amp;WIDTH=450&amp;START_MAXIMIZED=FALSE&amp;VAR:CALENDAR=US&amp;VAR:SYMBOL=PCP&amp;VAR:INDEX=0"}</definedName>
    <definedName name="_64__FDSAUDITLINK__" hidden="1">{"fdsup://directions/FAT Viewer?action=UPDATE&amp;creator=factset&amp;DYN_ARGS=TRUE&amp;DOC_NAME=FAT:FQL_AUDITING_CLIENT_TEMPLATE.FAT&amp;display_string=Audit&amp;VAR:KEY=LMBKXCBGLC&amp;VAR:QUERY=RkZfRU5UUlBSX1ZBTF9EQUlMWSgwNC8yMC8yMDEwLCwsLCwnRElMJykvRUNBX01FQU5fU0FMRVMoMjAxMiwwN","C8yMC8yMDEwKQ==&amp;WINDOW=FIRST_POPUP&amp;HEIGHT=450&amp;WIDTH=450&amp;START_MAXIMIZED=FALSE&amp;VAR:CALENDAR=US&amp;VAR:SYMBOL=MOG.A&amp;VAR:INDEX=0"}</definedName>
    <definedName name="_65__FDSAUDITLINK__" hidden="1">{"fdsup://directions/FAT Viewer?action=UPDATE&amp;creator=factset&amp;DYN_ARGS=TRUE&amp;DOC_NAME=FAT:FQL_AUDITING_CLIENT_TEMPLATE.FAT&amp;display_string=Audit&amp;VAR:KEY=DMVUTQLWXC&amp;VAR:QUERY=RkZfRU5UUlBSX1ZBTF9EQUlMWSgwNC8yMC8yMDEwLCwsLCwnRElMJykvRUNBX01FQU5fU0FMRVMoMjAxMSwwN","C8yMC8yMDEwKQ==&amp;WINDOW=FIRST_POPUP&amp;HEIGHT=450&amp;WIDTH=450&amp;START_MAXIMIZED=FALSE&amp;VAR:CALENDAR=US&amp;VAR:SYMBOL=MOG.A&amp;VAR:INDEX=0"}</definedName>
    <definedName name="_66__FDSAUDITLINK__" hidden="1">{"fdsup://directions/FAT Viewer?action=UPDATE&amp;creator=factset&amp;DYN_ARGS=TRUE&amp;DOC_NAME=FAT:FQL_AUDITING_CLIENT_TEMPLATE.FAT&amp;display_string=Audit&amp;VAR:KEY=BEHCHIJAHW&amp;VAR:QUERY=RkZfRU5UUlBSX1ZBTF9EQUlMWSgwNC8yMC8yMDEwLCwsLCwnRElMJykvRUNBX01FQU5fU0FMRVMoMjAxMCwwN","C8yMC8yMDEwKQ==&amp;WINDOW=FIRST_POPUP&amp;HEIGHT=450&amp;WIDTH=450&amp;START_MAXIMIZED=FALSE&amp;VAR:CALENDAR=US&amp;VAR:SYMBOL=MOG.A&amp;VAR:INDEX=0"}</definedName>
    <definedName name="_67__FDSAUDITLINK__" hidden="1">{"fdsup://directions/FAT Viewer?action=UPDATE&amp;creator=factset&amp;DYN_ARGS=TRUE&amp;DOC_NAME=FAT:FQL_AUDITING_CLIENT_TEMPLATE.FAT&amp;display_string=Audit&amp;VAR:KEY=NEHYTKRYZM&amp;VAR:QUERY=RkZfRU5UUlBSX1ZBTF9EQUlMWSgwNC8yMC8yMDEwLCwsLCwnRElMJykvRUNBX01FQU5fRUJJVCgyMDEyLDA0L","zIwLzIwMTAp&amp;WINDOW=FIRST_POPUP&amp;HEIGHT=450&amp;WIDTH=450&amp;START_MAXIMIZED=FALSE&amp;VAR:CALENDAR=US&amp;VAR:SYMBOL=MOG.A&amp;VAR:INDEX=0"}</definedName>
    <definedName name="_68__FDSAUDITLINK__" hidden="1">{"fdsup://directions/FAT Viewer?action=UPDATE&amp;creator=factset&amp;DYN_ARGS=TRUE&amp;DOC_NAME=FAT:FQL_AUDITING_CLIENT_TEMPLATE.FAT&amp;display_string=Audit&amp;VAR:KEY=JYXMTYLAVY&amp;VAR:QUERY=RkZfRU5UUlBSX1ZBTF9EQUlMWSgwNC8yMC8yMDEwLCwsLCwnRElMJykvRUNBX01FQU5fRUJJVCgyMDExLDA0L","zIwLzIwMTAp&amp;WINDOW=FIRST_POPUP&amp;HEIGHT=450&amp;WIDTH=450&amp;START_MAXIMIZED=FALSE&amp;VAR:CALENDAR=US&amp;VAR:SYMBOL=MOG.A&amp;VAR:INDEX=0"}</definedName>
    <definedName name="_69__FDSAUDITLINK__" hidden="1">{"fdsup://directions/FAT Viewer?action=UPDATE&amp;creator=factset&amp;DYN_ARGS=TRUE&amp;DOC_NAME=FAT:FQL_AUDITING_CLIENT_TEMPLATE.FAT&amp;display_string=Audit&amp;VAR:KEY=LUNSBKNALY&amp;VAR:QUERY=RkZfRU5UUlBSX1ZBTF9EQUlMWSgwNC8yMC8yMDEwLCwsLCwnRElMJykvRUNBX01FQU5fRUJJVCgyMDEwLDA0L","zIwLzIwMTAp&amp;WINDOW=FIRST_POPUP&amp;HEIGHT=450&amp;WIDTH=450&amp;START_MAXIMIZED=FALSE&amp;VAR:CALENDAR=US&amp;VAR:SYMBOL=MOG.A&amp;VAR:INDEX=0"}</definedName>
    <definedName name="_7__123Graph_BCHART_1E" hidden="1">[1]Aerospace!$AJ$342:$AJ$355</definedName>
    <definedName name="_7__FDSAUDITLINK__" hidden="1">{"fdsup://directions/FAT Viewer?action=UPDATE&amp;creator=factset&amp;DYN_ARGS=TRUE&amp;DOC_NAME=FAT:FQL_AUDITING_CLIENT_TEMPLATE.FAT&amp;display_string=Audit&amp;VAR:KEY=ZQHSLQZWXI&amp;VAR:QUERY=RkZfRU5UUlBSX1ZBTF9EQUlMWSgwNC8xOS8yMDEwLCwsLCwnRElMJykvRUNBX01FQU5fRUJJVERBKDIwMTIsM","DQvMTkvMjAxMCk=&amp;WINDOW=FIRST_POPUP&amp;HEIGHT=450&amp;WIDTH=450&amp;START_MAXIMIZED=FALSE&amp;VAR:CALENDAR=US&amp;VAR:SYMBOL=057580&amp;VAR:INDEX=0"}</definedName>
    <definedName name="_70__FDSAUDITLINK__" hidden="1">{"fdsup://directions/FAT Viewer?action=UPDATE&amp;creator=factset&amp;DYN_ARGS=TRUE&amp;DOC_NAME=FAT:FQL_AUDITING_CLIENT_TEMPLATE.FAT&amp;display_string=Audit&amp;VAR:KEY=HABMFEBIHK&amp;VAR:QUERY=RkZfRU5UUlBSX1ZBTF9EQUlMWSgwNC8yMC8yMDEwLCwsLCwnRElMJykvRUNBX01FQU5fRUJJVERBKDIwMTIsM","DQvMjAvMjAxMCk=&amp;WINDOW=FIRST_POPUP&amp;HEIGHT=450&amp;WIDTH=450&amp;START_MAXIMIZED=FALSE&amp;VAR:CALENDAR=US&amp;VAR:SYMBOL=MOG.A&amp;VAR:INDEX=0"}</definedName>
    <definedName name="_71__FDSAUDITLINK__" hidden="1">{"fdsup://directions/FAT Viewer?action=UPDATE&amp;creator=factset&amp;DYN_ARGS=TRUE&amp;DOC_NAME=FAT:FQL_AUDITING_CLIENT_TEMPLATE.FAT&amp;display_string=Audit&amp;VAR:KEY=HUTENYTSRQ&amp;VAR:QUERY=RkZfRU5UUlBSX1ZBTF9EQUlMWSgwNC8yMC8yMDEwLCwsLCwnRElMJykvRUNBX01FQU5fRUJJVERBKDIwMTEsM","DQvMjAvMjAxMCk=&amp;WINDOW=FIRST_POPUP&amp;HEIGHT=450&amp;WIDTH=450&amp;START_MAXIMIZED=FALSE&amp;VAR:CALENDAR=US&amp;VAR:SYMBOL=MOG.A&amp;VAR:INDEX=0"}</definedName>
    <definedName name="_72__FDSAUDITLINK__" hidden="1">{"fdsup://directions/FAT Viewer?action=UPDATE&amp;creator=factset&amp;DYN_ARGS=TRUE&amp;DOC_NAME=FAT:FQL_AUDITING_CLIENT_TEMPLATE.FAT&amp;display_string=Audit&amp;VAR:KEY=FEVAPQXSNW&amp;VAR:QUERY=RkZfRU5UUlBSX1ZBTF9EQUlMWSgwNC8yMC8yMDEwLCwsLCwnRElMJykvRUNBX01FQU5fRUJJVERBKDIwMTAsM","DQvMjAvMjAxMCk=&amp;WINDOW=FIRST_POPUP&amp;HEIGHT=450&amp;WIDTH=450&amp;START_MAXIMIZED=FALSE&amp;VAR:CALENDAR=US&amp;VAR:SYMBOL=MOG.A&amp;VAR:INDEX=0"}</definedName>
    <definedName name="_73__FDSAUDITLINK__" hidden="1">{"fdsup://directions/FAT Viewer?action=UPDATE&amp;creator=factset&amp;DYN_ARGS=TRUE&amp;DOC_NAME=FAT:FQL_AUDITING_CLIENT_TEMPLATE.FAT&amp;display_string=Audit&amp;VAR:KEY=JADGLOBGFE&amp;VAR:QUERY=RkZfRU5UUlBSX1ZBTF9EQUlMWSgwNC8yMC8yMDEwLCwsLCwnRElMJykvRUNBX01FQU5fU0FMRVMoMjAxMiwwN","C8yMC8yMDEwKQ==&amp;WINDOW=FIRST_POPUP&amp;HEIGHT=450&amp;WIDTH=450&amp;START_MAXIMIZED=FALSE&amp;VAR:CALENDAR=US&amp;VAR:SYMBOL=COL&amp;VAR:INDEX=0"}</definedName>
    <definedName name="_74__FDSAUDITLINK__" hidden="1">{"fdsup://directions/FAT Viewer?action=UPDATE&amp;creator=factset&amp;DYN_ARGS=TRUE&amp;DOC_NAME=FAT:FQL_AUDITING_CLIENT_TEMPLATE.FAT&amp;display_string=Audit&amp;VAR:KEY=LQRUFCXMLK&amp;VAR:QUERY=RkZfRU5UUlBSX1ZBTF9EQUlMWSgwNC8yMC8yMDEwLCwsLCwnRElMJykvRUNBX01FQU5fU0FMRVMoMjAxMSwwN","C8yMC8yMDEwKQ==&amp;WINDOW=FIRST_POPUP&amp;HEIGHT=450&amp;WIDTH=450&amp;START_MAXIMIZED=FALSE&amp;VAR:CALENDAR=US&amp;VAR:SYMBOL=COL&amp;VAR:INDEX=0"}</definedName>
    <definedName name="_75__FDSAUDITLINK__" hidden="1">{"fdsup://directions/FAT Viewer?action=UPDATE&amp;creator=factset&amp;DYN_ARGS=TRUE&amp;DOC_NAME=FAT:FQL_AUDITING_CLIENT_TEMPLATE.FAT&amp;display_string=Audit&amp;VAR:KEY=PCNKFMHWHW&amp;VAR:QUERY=RkZfRU5UUlBSX1ZBTF9EQUlMWSgwNC8yMC8yMDEwLCwsLCwnRElMJykvRUNBX01FQU5fU0FMRVMoMjAxMCwwN","C8yMC8yMDEwKQ==&amp;WINDOW=FIRST_POPUP&amp;HEIGHT=450&amp;WIDTH=450&amp;START_MAXIMIZED=FALSE&amp;VAR:CALENDAR=US&amp;VAR:SYMBOL=COL&amp;VAR:INDEX=0"}</definedName>
    <definedName name="_76__FDSAUDITLINK__" hidden="1">{"fdsup://directions/FAT Viewer?action=UPDATE&amp;creator=factset&amp;DYN_ARGS=TRUE&amp;DOC_NAME=FAT:FQL_AUDITING_CLIENT_TEMPLATE.FAT&amp;display_string=Audit&amp;VAR:KEY=XSXODYBKHS&amp;VAR:QUERY=RkZfRU5UUlBSX1ZBTF9EQUlMWSgwNC8yMC8yMDEwLCwsLCwnRElMJykvRUNBX01FQU5fRUJJVCgyMDEyLDA0L","zIwLzIwMTAp&amp;WINDOW=FIRST_POPUP&amp;HEIGHT=450&amp;WIDTH=450&amp;START_MAXIMIZED=FALSE&amp;VAR:CALENDAR=US&amp;VAR:SYMBOL=COL&amp;VAR:INDEX=0"}</definedName>
    <definedName name="_77__FDSAUDITLINK__" hidden="1">{"fdsup://directions/FAT Viewer?action=UPDATE&amp;creator=factset&amp;DYN_ARGS=TRUE&amp;DOC_NAME=FAT:FQL_AUDITING_CLIENT_TEMPLATE.FAT&amp;display_string=Audit&amp;VAR:KEY=BIPGLEHKDO&amp;VAR:QUERY=RkZfRU5UUlBSX1ZBTF9EQUlMWSgwNC8yMC8yMDEwLCwsLCwnRElMJykvRUNBX01FQU5fRUJJVCgyMDExLDA0L","zIwLzIwMTAp&amp;WINDOW=FIRST_POPUP&amp;HEIGHT=450&amp;WIDTH=450&amp;START_MAXIMIZED=FALSE&amp;VAR:CALENDAR=US&amp;VAR:SYMBOL=COL&amp;VAR:INDEX=0"}</definedName>
    <definedName name="_78__FDSAUDITLINK__" hidden="1">{"fdsup://directions/FAT Viewer?action=UPDATE&amp;creator=factset&amp;DYN_ARGS=TRUE&amp;DOC_NAME=FAT:FQL_AUDITING_CLIENT_TEMPLATE.FAT&amp;display_string=Audit&amp;VAR:KEY=BGDKHCNGLQ&amp;VAR:QUERY=RkZfRU5UUlBSX1ZBTF9EQUlMWSgwNC8yMC8yMDEwLCwsLCwnRElMJykvRUNBX01FQU5fRUJJVCgyMDEwLDA0L","zIwLzIwMTAp&amp;WINDOW=FIRST_POPUP&amp;HEIGHT=450&amp;WIDTH=450&amp;START_MAXIMIZED=FALSE&amp;VAR:CALENDAR=US&amp;VAR:SYMBOL=COL&amp;VAR:INDEX=0"}</definedName>
    <definedName name="_79__FDSAUDITLINK__" hidden="1">{"fdsup://directions/FAT Viewer?action=UPDATE&amp;creator=factset&amp;DYN_ARGS=TRUE&amp;DOC_NAME=FAT:FQL_AUDITING_CLIENT_TEMPLATE.FAT&amp;display_string=Audit&amp;VAR:KEY=LWTMZOPAXY&amp;VAR:QUERY=RkZfRU5UUlBSX1ZBTF9EQUlMWSgwNC8yMC8yMDEwLCwsLCwnRElMJykvRUNBX01FQU5fRUJJVERBKDIwMTIsM","DQvMjAvMjAxMCk=&amp;WINDOW=FIRST_POPUP&amp;HEIGHT=450&amp;WIDTH=450&amp;START_MAXIMIZED=FALSE&amp;VAR:CALENDAR=US&amp;VAR:SYMBOL=COL&amp;VAR:INDEX=0"}</definedName>
    <definedName name="_8__123Graph_BCHART_2E" hidden="1">[1]Aerospace!$AD$342:$AD$373</definedName>
    <definedName name="_8__FDSAUDITLINK__" hidden="1">{"fdsup://directions/FAT Viewer?action=UPDATE&amp;creator=factset&amp;DYN_ARGS=TRUE&amp;DOC_NAME=FAT:FQL_AUDITING_CLIENT_TEMPLATE.FAT&amp;display_string=Audit&amp;VAR:KEY=PGTKPQLMHM&amp;VAR:QUERY=RkZfRU5UUlBSX1ZBTF9EQUlMWSgwNC8xOS8yMDEwLCwsLCwnRElMJykvRUNBX01FQU5fRUJJVERBKDIwMTEsM","DQvMTkvMjAxMCk=&amp;WINDOW=FIRST_POPUP&amp;HEIGHT=450&amp;WIDTH=450&amp;START_MAXIMIZED=FALSE&amp;VAR:CALENDAR=US&amp;VAR:SYMBOL=057580&amp;VAR:INDEX=0"}</definedName>
    <definedName name="_80__FDSAUDITLINK__" hidden="1">{"fdsup://directions/FAT Viewer?action=UPDATE&amp;creator=factset&amp;DYN_ARGS=TRUE&amp;DOC_NAME=FAT:FQL_AUDITING_CLIENT_TEMPLATE.FAT&amp;display_string=Audit&amp;VAR:KEY=NQJKPQVIBC&amp;VAR:QUERY=RkZfRU5UUlBSX1ZBTF9EQUlMWSgwNC8yMC8yMDEwLCwsLCwnRElMJykvRUNBX01FQU5fRUJJVERBKDIwMTEsM","DQvMjAvMjAxMCk=&amp;WINDOW=FIRST_POPUP&amp;HEIGHT=450&amp;WIDTH=450&amp;START_MAXIMIZED=FALSE&amp;VAR:CALENDAR=US&amp;VAR:SYMBOL=COL&amp;VAR:INDEX=0"}</definedName>
    <definedName name="_81__FDSAUDITLINK__" hidden="1">{"fdsup://directions/FAT Viewer?action=UPDATE&amp;creator=factset&amp;DYN_ARGS=TRUE&amp;DOC_NAME=FAT:FQL_AUDITING_CLIENT_TEMPLATE.FAT&amp;display_string=Audit&amp;VAR:KEY=NWJANIRWXY&amp;VAR:QUERY=RkZfRU5UUlBSX1ZBTF9EQUlMWSgwNC8yMC8yMDEwLCwsLCwnRElMJykvRUNBX01FQU5fRUJJVERBKDIwMTAsM","DQvMjAvMjAxMCk=&amp;WINDOW=FIRST_POPUP&amp;HEIGHT=450&amp;WIDTH=450&amp;START_MAXIMIZED=FALSE&amp;VAR:CALENDAR=US&amp;VAR:SYMBOL=COL&amp;VAR:INDEX=0"}</definedName>
    <definedName name="_82__FDSAUDITLINK__" hidden="1">{"fdsup://directions/FAT Viewer?action=UPDATE&amp;creator=factset&amp;DYN_ARGS=TRUE&amp;DOC_NAME=FAT:FQL_AUDITING_CLIENT_TEMPLATE.FAT&amp;display_string=Audit&amp;VAR:KEY=XKFQPULWTG&amp;VAR:QUERY=RkZfRU5UUlBSX1ZBTF9EQUlMWSgwNC8yMC8yMDEwLCwsLCwnRElMJykvRUNBX01FQU5fU0FMRVMoMjAxMiwwN","C8yMC8yMDEwKQ==&amp;WINDOW=FIRST_POPUP&amp;HEIGHT=450&amp;WIDTH=450&amp;START_MAXIMIZED=FALSE&amp;VAR:CALENDAR=US&amp;VAR:SYMBOL=BEAV&amp;VAR:INDEX=0"}</definedName>
    <definedName name="_83__FDSAUDITLINK__" hidden="1">{"fdsup://directions/FAT Viewer?action=UPDATE&amp;creator=factset&amp;DYN_ARGS=TRUE&amp;DOC_NAME=FAT:FQL_AUDITING_CLIENT_TEMPLATE.FAT&amp;display_string=Audit&amp;VAR:KEY=VUNOVWJCBU&amp;VAR:QUERY=RkZfRU5UUlBSX1ZBTF9EQUlMWSgwNC8yMC8yMDEwLCwsLCwnRElMJykvRUNBX01FQU5fU0FMRVMoMjAxMSwwN","C8yMC8yMDEwKQ==&amp;WINDOW=FIRST_POPUP&amp;HEIGHT=450&amp;WIDTH=450&amp;START_MAXIMIZED=FALSE&amp;VAR:CALENDAR=US&amp;VAR:SYMBOL=BEAV&amp;VAR:INDEX=0"}</definedName>
    <definedName name="_84__FDSAUDITLINK__" hidden="1">{"fdsup://directions/FAT Viewer?action=UPDATE&amp;creator=factset&amp;DYN_ARGS=TRUE&amp;DOC_NAME=FAT:FQL_AUDITING_CLIENT_TEMPLATE.FAT&amp;display_string=Audit&amp;VAR:KEY=HGFOPCFUZI&amp;VAR:QUERY=RkZfRU5UUlBSX1ZBTF9EQUlMWSgwNC8yMC8yMDEwLCwsLCwnRElMJykvRUNBX01FQU5fU0FMRVMoMjAxMCwwN","C8yMC8yMDEwKQ==&amp;WINDOW=FIRST_POPUP&amp;HEIGHT=450&amp;WIDTH=450&amp;START_MAXIMIZED=FALSE&amp;VAR:CALENDAR=US&amp;VAR:SYMBOL=BEAV&amp;VAR:INDEX=0"}</definedName>
    <definedName name="_85__FDSAUDITLINK__" hidden="1">{"fdsup://directions/FAT Viewer?action=UPDATE&amp;creator=factset&amp;DYN_ARGS=TRUE&amp;DOC_NAME=FAT:FQL_AUDITING_CLIENT_TEMPLATE.FAT&amp;display_string=Audit&amp;VAR:KEY=TWLURMJWTK&amp;VAR:QUERY=RkZfRU5UUlBSX1ZBTF9EQUlMWSgwNC8yMC8yMDEwLCwsLCwnRElMJykvRUNBX01FQU5fRUJJVCgyMDEyLDA0L","zIwLzIwMTAp&amp;WINDOW=FIRST_POPUP&amp;HEIGHT=450&amp;WIDTH=450&amp;START_MAXIMIZED=FALSE&amp;VAR:CALENDAR=US&amp;VAR:SYMBOL=BEAV&amp;VAR:INDEX=0"}</definedName>
    <definedName name="_86__FDSAUDITLINK__" hidden="1">{"fdsup://directions/FAT Viewer?action=UPDATE&amp;creator=factset&amp;DYN_ARGS=TRUE&amp;DOC_NAME=FAT:FQL_AUDITING_CLIENT_TEMPLATE.FAT&amp;display_string=Audit&amp;VAR:KEY=NKNMNEDUJO&amp;VAR:QUERY=RkZfRU5UUlBSX1ZBTF9EQUlMWSgwNC8yMC8yMDEwLCwsLCwnRElMJykvRUNBX01FQU5fRUJJVCgyMDExLDA0L","zIwLzIwMTAp&amp;WINDOW=FIRST_POPUP&amp;HEIGHT=450&amp;WIDTH=450&amp;START_MAXIMIZED=FALSE&amp;VAR:CALENDAR=US&amp;VAR:SYMBOL=BEAV&amp;VAR:INDEX=0"}</definedName>
    <definedName name="_87__FDSAUDITLINK__" hidden="1">{"fdsup://directions/FAT Viewer?action=UPDATE&amp;creator=factset&amp;DYN_ARGS=TRUE&amp;DOC_NAME=FAT:FQL_AUDITING_CLIENT_TEMPLATE.FAT&amp;display_string=Audit&amp;VAR:KEY=NCNUJGXYJU&amp;VAR:QUERY=RkZfRU5UUlBSX1ZBTF9EQUlMWSgwNC8yMC8yMDEwLCwsLCwnRElMJykvRUNBX01FQU5fRUJJVCgyMDEwLDA0L","zIwLzIwMTAp&amp;WINDOW=FIRST_POPUP&amp;HEIGHT=450&amp;WIDTH=450&amp;START_MAXIMIZED=FALSE&amp;VAR:CALENDAR=US&amp;VAR:SYMBOL=BEAV&amp;VAR:INDEX=0"}</definedName>
    <definedName name="_88__FDSAUDITLINK__" hidden="1">{"fdsup://directions/FAT Viewer?action=UPDATE&amp;creator=factset&amp;DYN_ARGS=TRUE&amp;DOC_NAME=FAT:FQL_AUDITING_CLIENT_TEMPLATE.FAT&amp;display_string=Audit&amp;VAR:KEY=NCXKPCVUTM&amp;VAR:QUERY=RkZfRU5UUlBSX1ZBTF9EQUlMWSgwNC8yMC8yMDEwLCwsLCwnRElMJykvRUNBX01FQU5fRUJJVERBKDIwMTIsM","DQvMjAvMjAxMCk=&amp;WINDOW=FIRST_POPUP&amp;HEIGHT=450&amp;WIDTH=450&amp;START_MAXIMIZED=FALSE&amp;VAR:CALENDAR=US&amp;VAR:SYMBOL=BEAV&amp;VAR:INDEX=0"}</definedName>
    <definedName name="_89__FDSAUDITLINK__" hidden="1">{"fdsup://directions/FAT Viewer?action=UPDATE&amp;creator=factset&amp;DYN_ARGS=TRUE&amp;DOC_NAME=FAT:FQL_AUDITING_CLIENT_TEMPLATE.FAT&amp;display_string=Audit&amp;VAR:KEY=NWFSHIFWLY&amp;VAR:QUERY=RkZfRU5UUlBSX1ZBTF9EQUlMWSgwNC8yMC8yMDEwLCwsLCwnRElMJykvRUNBX01FQU5fRUJJVERBKDIwMTEsM","DQvMjAvMjAxMCk=&amp;WINDOW=FIRST_POPUP&amp;HEIGHT=450&amp;WIDTH=450&amp;START_MAXIMIZED=FALSE&amp;VAR:CALENDAR=US&amp;VAR:SYMBOL=BEAV&amp;VAR:INDEX=0"}</definedName>
    <definedName name="_9__123Graph_Aｸﾞﾗﾌ_1" hidden="1">[2]ｾｸﾞﾒﾝﾄ!$E$164:$I$164</definedName>
    <definedName name="_9__123Graph_Bｸﾞﾗﾌ_1" hidden="1">[2]ｾｸﾞﾒﾝﾄ!$E$165:$I$165</definedName>
    <definedName name="_9__FDSAUDITLINK__" hidden="1">{"fdsup://directions/FAT Viewer?action=UPDATE&amp;creator=factset&amp;DYN_ARGS=TRUE&amp;DOC_NAME=FAT:FQL_AUDITING_CLIENT_TEMPLATE.FAT&amp;display_string=Audit&amp;VAR:KEY=RUHIVQJYXQ&amp;VAR:QUERY=RkZfRU5UUlBSX1ZBTF9EQUlMWSgwNC8xOS8yMDEwLCwsLCwnRElMJykvRUNBX01FQU5fRUJJVERBKDIwMTAsM","DQvMTkvMjAxMCk=&amp;WINDOW=FIRST_POPUP&amp;HEIGHT=450&amp;WIDTH=450&amp;START_MAXIMIZED=FALSE&amp;VAR:CALENDAR=US&amp;VAR:SYMBOL=057580&amp;VAR:INDEX=0"}</definedName>
    <definedName name="_90__FDSAUDITLINK__" hidden="1">{"fdsup://directions/FAT Viewer?action=UPDATE&amp;creator=factset&amp;DYN_ARGS=TRUE&amp;DOC_NAME=FAT:FQL_AUDITING_CLIENT_TEMPLATE.FAT&amp;display_string=Audit&amp;VAR:KEY=NIXCZYXEXM&amp;VAR:QUERY=RkZfRU5UUlBSX1ZBTF9EQUlMWSgwNC8yMC8yMDEwLCwsLCwnRElMJykvRUNBX01FQU5fRUJJVERBKDIwMTAsM","DQvMjAvMjAxMCk=&amp;WINDOW=FIRST_POPUP&amp;HEIGHT=450&amp;WIDTH=450&amp;START_MAXIMIZED=FALSE&amp;VAR:CALENDAR=US&amp;VAR:SYMBOL=BEAV&amp;VAR:INDEX=0"}</definedName>
    <definedName name="_91__FDSAUDITLINK__" hidden="1">{"fdsup://directions/FAT Viewer?action=UPDATE&amp;creator=factset&amp;DYN_ARGS=TRUE&amp;DOC_NAME=FAT:FQL_AUDITING_CLIENT_TEMPLATE.FAT&amp;display_string=Audit&amp;VAR:KEY=SXIZAPUTSL&amp;VAR:QUERY=RkZfRU5UUlBSX1ZBTF9EQUlMWSgwNC8yMC8yMDEwLCwsLCwnRElMJykvRUNBX01FQU5fU0FMRVMoMjAxMiwwN","C8yMC8yMDEwKQ==&amp;WINDOW=FIRST_POPUP&amp;HEIGHT=450&amp;WIDTH=450&amp;START_MAXIMIZED=FALSE&amp;VAR:CALENDAR=US&amp;VAR:SYMBOL=057580&amp;VAR:INDEX=0"}</definedName>
    <definedName name="_92__FDSAUDITLINK__" hidden="1">{"fdsup://directions/FAT Viewer?action=UPDATE&amp;creator=factset&amp;DYN_ARGS=TRUE&amp;DOC_NAME=FAT:FQL_AUDITING_CLIENT_TEMPLATE.FAT&amp;display_string=Audit&amp;VAR:KEY=IZMHMRIDGD&amp;VAR:QUERY=RkZfRU5UUlBSX1ZBTF9EQUlMWSgwNC8yMC8yMDEwLCwsLCwnRElMJykvRUNBX01FQU5fU0FMRVMoMjAxMSwwN","C8yMC8yMDEwKQ==&amp;WINDOW=FIRST_POPUP&amp;HEIGHT=450&amp;WIDTH=450&amp;START_MAXIMIZED=FALSE&amp;VAR:CALENDAR=US&amp;VAR:SYMBOL=057580&amp;VAR:INDEX=0"}</definedName>
    <definedName name="_93__FDSAUDITLINK__" hidden="1">{"fdsup://directions/FAT Viewer?action=UPDATE&amp;creator=factset&amp;DYN_ARGS=TRUE&amp;DOC_NAME=FAT:FQL_AUDITING_CLIENT_TEMPLATE.FAT&amp;display_string=Audit&amp;VAR:KEY=AHYLUPQJOV&amp;VAR:QUERY=RkZfRU5UUlBSX1ZBTF9EQUlMWSgwNC8yMC8yMDEwLCwsLCwnRElMJykvRUNBX01FQU5fU0FMRVMoMjAxMCwwN","C8yMC8yMDEwKQ==&amp;WINDOW=FIRST_POPUP&amp;HEIGHT=450&amp;WIDTH=450&amp;START_MAXIMIZED=FALSE&amp;VAR:CALENDAR=US&amp;VAR:SYMBOL=057580&amp;VAR:INDEX=0"}</definedName>
    <definedName name="_94__FDSAUDITLINK__" hidden="1">{"fdsup://directions/FAT Viewer?action=UPDATE&amp;creator=factset&amp;DYN_ARGS=TRUE&amp;DOC_NAME=FAT:FQL_AUDITING_CLIENT_TEMPLATE.FAT&amp;display_string=Audit&amp;VAR:KEY=MNMDWPKHKR&amp;VAR:QUERY=RkZfRU5UUlBSX1ZBTF9EQUlMWSgwNC8yMC8yMDEwLCwsLCwnRElMJykvRUNBX01FQU5fRUJJVCgyMDEyLDA0L","zIwLzIwMTAp&amp;WINDOW=FIRST_POPUP&amp;HEIGHT=450&amp;WIDTH=450&amp;START_MAXIMIZED=FALSE&amp;VAR:CALENDAR=US&amp;VAR:SYMBOL=057580&amp;VAR:INDEX=0"}</definedName>
    <definedName name="_95__FDSAUDITLINK__" hidden="1">{"fdsup://directions/FAT Viewer?action=UPDATE&amp;creator=factset&amp;DYN_ARGS=TRUE&amp;DOC_NAME=FAT:FQL_AUDITING_CLIENT_TEMPLATE.FAT&amp;display_string=Audit&amp;VAR:KEY=QDQFMHWNGP&amp;VAR:QUERY=RkZfRU5UUlBSX1ZBTF9EQUlMWSgwNC8yMC8yMDEwLCwsLCwnRElMJykvRUNBX01FQU5fRUJJVCgyMDExLDA0L","zIwLzIwMTAp&amp;WINDOW=FIRST_POPUP&amp;HEIGHT=450&amp;WIDTH=450&amp;START_MAXIMIZED=FALSE&amp;VAR:CALENDAR=US&amp;VAR:SYMBOL=057580&amp;VAR:INDEX=0"}</definedName>
    <definedName name="_96__FDSAUDITLINK__" hidden="1">{"fdsup://directions/FAT Viewer?action=UPDATE&amp;creator=factset&amp;DYN_ARGS=TRUE&amp;DOC_NAME=FAT:FQL_AUDITING_CLIENT_TEMPLATE.FAT&amp;display_string=Audit&amp;VAR:KEY=UNCDGZMPIV&amp;VAR:QUERY=RkZfRU5UUlBSX1ZBTF9EQUlMWSgwNC8yMC8yMDEwLCwsLCwnRElMJykvRUNBX01FQU5fRUJJVCgyMDEwLDA0L","zIwLzIwMTAp&amp;WINDOW=FIRST_POPUP&amp;HEIGHT=450&amp;WIDTH=450&amp;START_MAXIMIZED=FALSE&amp;VAR:CALENDAR=US&amp;VAR:SYMBOL=057580&amp;VAR:INDEX=0"}</definedName>
    <definedName name="_97__FDSAUDITLINK__" hidden="1">{"fdsup://directions/FAT Viewer?action=UPDATE&amp;creator=factset&amp;DYN_ARGS=TRUE&amp;DOC_NAME=FAT:FQL_AUDITING_CLIENT_TEMPLATE.FAT&amp;display_string=Audit&amp;VAR:KEY=SZQHOXWPOT&amp;VAR:QUERY=RkZfRU5UUlBSX1ZBTF9EQUlMWSgwNC8yMC8yMDEwLCwsLCwnRElMJykvRUNBX01FQU5fRUJJVERBKDIwMTIsM","DQvMjAvMjAxMCk=&amp;WINDOW=FIRST_POPUP&amp;HEIGHT=450&amp;WIDTH=450&amp;START_MAXIMIZED=FALSE&amp;VAR:CALENDAR=US&amp;VAR:SYMBOL=057580&amp;VAR:INDEX=0"}</definedName>
    <definedName name="_98__FDSAUDITLINK__" hidden="1">{"fdsup://directions/FAT Viewer?action=UPDATE&amp;creator=factset&amp;DYN_ARGS=TRUE&amp;DOC_NAME=FAT:FQL_AUDITING_CLIENT_TEMPLATE.FAT&amp;display_string=Audit&amp;VAR:KEY=GJORCRKVGB&amp;VAR:QUERY=RkZfRU5UUlBSX1ZBTF9EQUlMWSgwNC8yMC8yMDEwLCwsLCwnRElMJykvRUNBX01FQU5fRUJJVERBKDIwMTEsM","DQvMjAvMjAxMCk=&amp;WINDOW=FIRST_POPUP&amp;HEIGHT=450&amp;WIDTH=450&amp;START_MAXIMIZED=FALSE&amp;VAR:CALENDAR=US&amp;VAR:SYMBOL=057580&amp;VAR:INDEX=0"}</definedName>
    <definedName name="_99__FDSAUDITLINK__" hidden="1">{"fdsup://directions/FAT Viewer?action=UPDATE&amp;creator=factset&amp;DYN_ARGS=TRUE&amp;DOC_NAME=FAT:FQL_AUDITING_CLIENT_TEMPLATE.FAT&amp;display_string=Audit&amp;VAR:KEY=GRMLMRIFMV&amp;VAR:QUERY=RkZfRU5UUlBSX1ZBTF9EQUlMWSgwNC8yMC8yMDEwLCwsLCwnRElMJykvRUNBX01FQU5fRUJJVERBKDIwMTAsM","DQvMjAvMjAxMCk=&amp;WINDOW=FIRST_POPUP&amp;HEIGHT=450&amp;WIDTH=450&amp;START_MAXIMIZED=FALSE&amp;VAR:CALENDAR=US&amp;VAR:SYMBOL=057580&amp;VAR:INDEX=0"}</definedName>
    <definedName name="_bdm.02E29E7B1053433EA3CCCBE4E5141596.edm" hidden="1">[4]Sheet1!$A:$IV</definedName>
    <definedName name="_bdm.05C76620D0F942BD91694A7441F1F5C8.edm" hidden="1" xml:space="preserve">                                    [5]Charts!$A:$IV</definedName>
    <definedName name="_bdm.078EA78924E84E8D85C00E79DB46B34D.edm" hidden="1">'[6]Monthly Note'!$A:$IV</definedName>
    <definedName name="_bdm.0A309A7C54694B58B44FD1219DEB06D6.edm" hidden="1" xml:space="preserve">                    [7]Charts!$A:$IV</definedName>
    <definedName name="_bdm.0B3D3E997120452FBC2D66FEB853AEB5.edm" hidden="1">'[8]Old Format'!$A:$IV</definedName>
    <definedName name="_bdm.0CF6476ABCD740CBBD526EFD70553332.edm" hidden="1">'[9]BJs charts'!$A:$IV</definedName>
    <definedName name="_bdm.0FE4CCE013E445E6BACF2B2139C3125F.edm" hidden="1" xml:space="preserve">                                    [5]Charts!$A:$IV</definedName>
    <definedName name="_bdm.11EB72ACE3374B1CB252FDD683429D59.edm" hidden="1">[10]C1500!$A:$IV</definedName>
    <definedName name="_bdm.14505C7EA9BF421980DFF73F48458FA0.edm" hidden="1">[11]Scratch!$A:$IV</definedName>
    <definedName name="_bdm.147D945281854BAD92540BF0916FBE8E.edm" hidden="1">'[8]Deliveries LCA &amp; RJ'!$A:$IV</definedName>
    <definedName name="_bdm.157183DAF1E84906A95424A6EC9D85A4.edm" hidden="1">[11]FCF!$A:$IV</definedName>
    <definedName name="_bdm.15E035C6D252441EBE1CA7246B35B9BF.edm" hidden="1" xml:space="preserve">                                    [5]Charts!$A:$IV</definedName>
    <definedName name="_bdm.17B254B60E574C2FB9729545A86672B8.edm" hidden="1" xml:space="preserve">                    [7]Charts!$A:$IV</definedName>
    <definedName name="_bdm.1E1A1F0BCC22433CB91E014ED273A01A.edm" hidden="1">'[12]F35 Analysis'!$A:$IV</definedName>
    <definedName name="_bdm.239F81C4FCB14E8E837150F85A952995.edm" hidden="1" xml:space="preserve">              [5]FCF!$A:$IV</definedName>
    <definedName name="_bdm.266670196A064D96BEB637495C0C3E7D.edm" hidden="1">'[8]Backlog v Deliveries'!$A:$IV</definedName>
    <definedName name="_bdm.27FA7C534A97476B8A53B3D84C38F75B.edm" hidden="1">'[6]Boeing Del Schedule- Reported'!$A:$IV</definedName>
    <definedName name="_bdm.2D0960B0D04847B19CCA5C16D808F1D2.edm" hidden="1" xml:space="preserve">              [5]FCF!$A:$IV</definedName>
    <definedName name="_bdm.2E5B8185B9C24169A0E58561C92910AD.edm" hidden="1" xml:space="preserve">        [5]Sensitivity!$A:$IV</definedName>
    <definedName name="_bdm.2F3E2D1A137043FD84CADCE9EA8304AC.edm" hidden="1" xml:space="preserve">              [5]FCF!$A:$IV</definedName>
    <definedName name="_bdm.308A2BC54F3348DD849DDB2142BA41B4.edm" hidden="1">'[6]787 vs A350 Orders'!$A:$IV</definedName>
    <definedName name="_bdm.343E216D5B414568A14BCBF2B2272126.edm" hidden="1">'[8]Airbus Monthly'!$A:$IV</definedName>
    <definedName name="_bdm.35FE14BF4EA64E7FB4E1024B97988A70.edm" hidden="1">[13]Deliveries!$A:$IV</definedName>
    <definedName name="_bdm.38623E9759C140A08ECC1DCA6D676F49.edm" hidden="1" xml:space="preserve">                    [7]Pension!$A:$IV</definedName>
    <definedName name="_bdm.398EE42877E946E2A1A0BF5366E69083.edm" hidden="1">[14]Scratch!$A:$IV</definedName>
    <definedName name="_bdm.3C2DC0AA74BE43CB8FC86B2C5BB472F1.edm" hidden="1">'[15]MWA RR'!$A:$IV</definedName>
    <definedName name="_bdm.4245E76961BA47F3BEE79C56B40B4FF1.edm" hidden="1">'[6]Paris 05 Orders'!$A:$IV</definedName>
    <definedName name="_bdm.47419B450E0B4977AEDD16CD5669726A.edm" hidden="1">[14]Variance!$A:$IV</definedName>
    <definedName name="_bdm.4B0A00B2D50C478196AEE2DE4077891C.edm" hidden="1">'[8]Boeing Monthly'!$A:$IV</definedName>
    <definedName name="_bdm.4CC88C4501154E8CB7D8110D590F116E.edm" hidden="1" xml:space="preserve">                                    [5]Charts!$A:$IV</definedName>
    <definedName name="_bdm.4F0497BCADEC4BC9B6B2D1023BD52A4D.edm" hidden="1" xml:space="preserve">                    [7]Charts!$A:$IV</definedName>
    <definedName name="_bdm.563F9366C63F43DD93BE87B09D05918B.edm" hidden="1" xml:space="preserve">                    [7]Charts!$A:$IV</definedName>
    <definedName name="_bdm.5929A3875CC54C5392CE41B76CCE5ED4.edm" hidden="1" xml:space="preserve">              [5]FCF!$A:$IV</definedName>
    <definedName name="_bdm.59F100707DF741589EC22972A7CD3D49.edm" hidden="1">[11]DCF!$A:$IV</definedName>
    <definedName name="_bdm.61C58FA279E54130900B21E8B4865A66.edm" hidden="1" xml:space="preserve">                    [7]Walk!$A:$IV</definedName>
    <definedName name="_bdm.65820A31135B4F2A9C85BECB29D10637.edm" hidden="1">'[11]MWA RR'!$A:$IV</definedName>
    <definedName name="_bdm.732E3ADD87814FF19D1501A8B61B4F6B.edm" hidden="1">[14]SOTP!$A:$IV</definedName>
    <definedName name="_bdm.761AA87A722B4ECDB42BE133587B5F08.edm" hidden="1">'[14]Comm Networks'!$A:$IV</definedName>
    <definedName name="_bdm.77F96403296B45A1AB7B76004A7450CE.edm" hidden="1">'[6]Boeing Del Schedule'!$A:$IV</definedName>
    <definedName name="_bdm.7A1B969AA9F34694B5A5BE94DF418973.edm" hidden="1" xml:space="preserve">                          '[5]2010e Fair Market Value'!$A:$IV</definedName>
    <definedName name="_bdm.7B29AB6E4D784D59966D698C096CF906.edm" hidden="1" xml:space="preserve">                          [5]FCF!$A:$IV</definedName>
    <definedName name="_bdm.7D78028F194C41A7BDFA1D1A0F9CD507.edm" hidden="1">[16]Sheet1!$A:$IV</definedName>
    <definedName name="_bdm.7F22CBDFEEAE4328A00D529162BAA0AF.edm" hidden="1">'[8]Storage Summary'!$A:$IV</definedName>
    <definedName name="_bdm.853AD08E651648D1B91CB8C66D89BC17.edm" hidden="1">[11]SOTP!$A:$IV</definedName>
    <definedName name="_bdm.8CF40BC716584083A0F217F33DD5F511.edm" hidden="1">'[14]Govt Systems'!$A:$IV</definedName>
    <definedName name="_bdm.93F1714AA3EA4E53B6ECBD6353C50769.edm" hidden="1" xml:space="preserve">                                        [5]Sensitivity!$A:$IV</definedName>
    <definedName name="_bdm.943F4B03FC0140B6AFE1A172565651BD.edm" hidden="1">'[8]WW Fleet Stats'!$A:$IV</definedName>
    <definedName name="_bdm.990192282A5E464980704B34CC58ACC1.edm" hidden="1">'[8]Sang-scratch'!$A:$IV</definedName>
    <definedName name="_bdm.9AAE8749CB734469BD1407FBAD7BA49E.edm" hidden="1">'[11]Comm Systems'!$A:$IV</definedName>
    <definedName name="_bdm.A3E73079BB3E401681653080CC0CCAF6.edm" hidden="1">[16]Main!$A:$IV</definedName>
    <definedName name="_bdm.A41CADEBCF2C4759913F909EDF763630.edm" hidden="1">'[14]Sat Services'!$A:$IV</definedName>
    <definedName name="_bdm.A43907D10E124383954BB5FB908689F7.edm" hidden="1" xml:space="preserve">                    [7]Pension!$A:$IV</definedName>
    <definedName name="_bdm.A8D59B57C4184413ACD45E8D9BC6F49C.edm" hidden="1" xml:space="preserve">                                    '[5]2010e Fair Market Value'!$A:$IV</definedName>
    <definedName name="_bdm.A9FDA19A0EC441A88F23DB34903DDCA4.edm" hidden="1">'[6]New Tables 2006'!$A:$IV</definedName>
    <definedName name="_bdm.B50A8F3075404A3DAD2A4B20C94C4C32.edm" hidden="1" xml:space="preserve">                    [7]Walk!$A:$IV</definedName>
    <definedName name="_bdm.B79BA6AB469647F4959D1173B0661A55.edm" hidden="1">'[8]from AIRCAP'!$A:$IV</definedName>
    <definedName name="_bdm.B89F0DCA1C9841C48CDCE7713894289D.edm" hidden="1">[6]Graphs!$A:$IV</definedName>
    <definedName name="_bdm.BEF639A7268143F3A5EF7EA4F6286DB5.edm" hidden="1">'[17]Annual Traffic Summary'!$A:$IV</definedName>
    <definedName name="_bdm.C1D64D3D12104A57B36648A45FD482BA.edm" hidden="1">'[8]Program Lifecycles'!$A:$IV</definedName>
    <definedName name="_bdm.CAB0F15EC35D4F47A39CDDF3C5EF250A.edm" hidden="1">'[18]BizJet Deliveries'!$A:$IV</definedName>
    <definedName name="_bdm.D16D4B4991F24D41B4A4D56808A9138E.edm" hidden="1">[6]Main!$A:$IV</definedName>
    <definedName name="_bdm.D736FE2ECE9844E481084B2BEE4999E6.edm" hidden="1" xml:space="preserve">                      [5]FCF!$A:$IV</definedName>
    <definedName name="_bdm.D9693A91C4234F65B844EEC4BFAAD949.edm" hidden="1">'[6]F''boro 08 Orders'!$A:$IV</definedName>
    <definedName name="_bdm.D9E108B6406341D2861CB14581BD073A.edm" hidden="1" xml:space="preserve">                      '[5]2010e Fair Market Value'!$A:$IV</definedName>
    <definedName name="_bdm.DAF05722B58E40AF8A0DD0C5C5565E86.edm" hidden="1" xml:space="preserve">                                    [5]Charts!$A:$IV</definedName>
    <definedName name="_bdm.DCA91A27BDEE4141924A80B1FAB6CAB4.edm" hidden="1" xml:space="preserve">                                    [5]Charts!$A:$IV</definedName>
    <definedName name="_bdm.E32A116BB8AF457EABFAC69CB51F4C47.edm" hidden="1" xml:space="preserve">                                    [5]FCF!$A:$IV</definedName>
    <definedName name="_bdm.E78D5F77B9704765898D93BE5B0440EF.edm" hidden="1">'[11]Govt Systems'!$A:$IV</definedName>
    <definedName name="_bdm.E7B140965DFC4B4CB3AF0C90B25C7F5B.edm" hidden="1" xml:space="preserve">                    [7]Pension!$A:$IV</definedName>
    <definedName name="_bdm.E9BABFAC54E04B0EAEA6B1850220160E.edm" hidden="1">[19]Graphs!$A:$IV</definedName>
    <definedName name="_bdm.EA049B7228D04EFCA3CA5A7DCF7D7577.edm" hidden="1" xml:space="preserve">                                    [5]Charts!$A:$IV</definedName>
    <definedName name="_bdm.EB71207A3C454F22948B2C37520A7952.edm" hidden="1" xml:space="preserve">                                    [5]Charts!$A:$IV</definedName>
    <definedName name="_bdm.EC1C669790714E999B1F786F94002AAF.edm" hidden="1" xml:space="preserve">                    [7]Walk!$A:$IV</definedName>
    <definedName name="_bdm.F0534C7080FA442F9782B47F27018E5C.edm" hidden="1">[15]DCF!$A:$IV</definedName>
    <definedName name="_bdm.F2D7158D39524BD083A9C9850E79D5B0.edm" hidden="1" xml:space="preserve">                    [7]Charts!$A:$IV</definedName>
    <definedName name="_bdm.F34B28B19825438E97F16E849389D4AE.edm" hidden="1">[11]Guid!$A:$IV</definedName>
    <definedName name="_bdm.F61F1A8D7FBE4DDB976FC9D75E157E84.edm" hidden="1">'[8]Sang - Charts'!$A:$IV</definedName>
    <definedName name="_bdm.F9B7852CD88747DBA03CDE2FA8516D2D.edm" hidden="1" xml:space="preserve">                                    [5]Charts!$A:$IV</definedName>
    <definedName name="_bdm.FA190DA1B38549B599DE6D2E4639EC00.edm" hidden="1">[11]Breakdown!$A:$IV</definedName>
    <definedName name="_CommJetTransport">'[8]from AIRCAP'!$A$3:$AL$54</definedName>
    <definedName name="_Key1" hidden="1">[2]単独!$U$1</definedName>
    <definedName name="_Order1">0</definedName>
    <definedName name="_rtn1">576</definedName>
    <definedName name="_rtn2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_Sort" hidden="1">[2]単独!$A$512:$AC$552</definedName>
    <definedName name="A">[2]ｾｸﾞﾒﾝﾄ!$E$165:$I$165</definedName>
    <definedName name="abc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ABJ_columnG">OFFSET('[9]Biz Jet Output Data'!$G$20,0,0,COUNT('[9]Biz Jet Output Data'!$G$1:$G$65536),1)</definedName>
    <definedName name="ABJ_rolling12mo">OFFSET('[9]Biz Jet Output Data'!$H$20,COUNT('[9]Biz Jet Output Data'!$H$1:$H$65536)-12,0,12,1)</definedName>
    <definedName name="ABJ_TotalOchange_LTM">OFFSET('[9]Biz Jet Output Data'!$G$20,COUNT('[9]Biz Jet Output Data'!$G$1:$G$65536)-12,0,12,1)</definedName>
    <definedName name="Actual" hidden="1">{#N/A,#N/A,TRUE,"Historicals";#N/A,#N/A,TRUE,"Charts";#N/A,#N/A,TRUE,"Forecasts"}</definedName>
    <definedName name="AdditionalInstructions">IndexInformation!$B$42</definedName>
    <definedName name="Address" localSheetId="2">ImportantDisclosures!$A$2:$A$2</definedName>
    <definedName name="ANA" localSheetId="7">ModPubIndex!$A$7</definedName>
    <definedName name="anscount" hidden="1">1</definedName>
    <definedName name="Asia_ASM">OFFSET([17]Monthly_Traffic_Summary!$AF$297,COUNT([17]Monthly_Traffic_Summary!$AF$1:$AF$65536)-12,0,12,1)</definedName>
    <definedName name="Asia_ASM_LTM">OFFSET([17]Monthly_Traffic_Summary!$AG$309,COUNT([17]Monthly_Traffic_Summary!$AG$1:$AG$65536)-12,0,12,1)</definedName>
    <definedName name="Asia_ASM10y">OFFSET([17]Monthly_Traffic_Summary!$AF$297,COUNT([17]Monthly_Traffic_Summary!$AF$1:$AF$65536)-120,0,120,1)</definedName>
    <definedName name="Asia_dates10y">OFFSET([17]Monthly_Traffic_Summary!$A$9,COUNT([17]Monthly_Traffic_Summary!$A$1:$A$65536)-120,0,120,1)</definedName>
    <definedName name="Asia_LF">OFFSET([17]Monthly_Traffic_Summary!$AH$297,COUNT([17]Monthly_Traffic_Summary!$AH$1:$AH$65536)-12,0,12,1)</definedName>
    <definedName name="Asia_LF_LTM">OFFSET([17]Monthly_Traffic_Summary!$AI$309,COUNT([17]Monthly_Traffic_Summary!$AI$1:$AI$65536)-12,0,12,1)</definedName>
    <definedName name="Asia_LF10y">OFFSET([17]Monthly_Traffic_Summary!$AH$297,COUNT([17]Monthly_Traffic_Summary!$AH$1:$AH$65536)-120,0,120,1)</definedName>
    <definedName name="Asia_RPM">OFFSET([17]Monthly_Traffic_Summary!$AD$297,COUNT([17]Monthly_Traffic_Summary!$AD$1:$AD$65536)-12,0,12,1)</definedName>
    <definedName name="Asia_RPM_LTM">OFFSET([17]Monthly_Traffic_Summary!$AE$309,COUNT([17]Monthly_Traffic_Summary!$AE$1:$AE$65536)-12,0,12,1)</definedName>
    <definedName name="Asia_RPM10y">OFFSET([17]Monthly_Traffic_Summary!$AD$297,COUNT([17]Monthly_Traffic_Summary!$AD$1:$AD$65536)-120,0,120,1)</definedName>
    <definedName name="Authors" localSheetId="2">ImportantDisclosures!$A$7</definedName>
    <definedName name="Authors" localSheetId="6">IndexInformation!$B$18</definedName>
    <definedName name="b" hidden="1">[2]ｾｸﾞﾒﾝﾄ!$E$167:$I$167</definedName>
    <definedName name="B_columnAD">OFFSET('[9]Biz Jet Output Data'!$AG$20,0,0,COUNT('[9]Biz Jet Output Data'!$AG$1:$AG$65536)-12,1)</definedName>
    <definedName name="B_columnAF">OFFSET('[9]Biz Jet Output Data'!$AI$20,0,0,COUNT('[9]Biz Jet Output Data'!$AI$1:$AI$65536)-1,1)</definedName>
    <definedName name="B_columnAH">OFFSET('[9]Biz Jet Output Data'!$AK$20,0,0,COUNT('[9]Biz Jet Output Data'!$AK$1:$AK$65536),1)</definedName>
    <definedName name="B_columnAI">OFFSET('[9]Biz Jet Output Data'!$AL$20,0,0,COUNT('[9]Biz Jet Output Data'!$AL$1:$AL$65536),1)</definedName>
    <definedName name="B_rolling12mo">OFFSET('[9]Biz Jet Output Data'!$AL$20,COUNT('[9]Biz Jet Output Data'!$AL$1:$AL$65536)-12,0,12,1)</definedName>
    <definedName name="B_TotalO_LTM">OFFSET('[9]Biz Jet Output Data'!$AG$8,COUNT('[9]Biz Jet Output Data'!$AG$1:$AG$65536)-12,0,12,1)</definedName>
    <definedName name="B_TotalOchange_LTM">OFFSET('[9]Biz Jet Output Data'!$AK$20,COUNT('[9]Biz Jet Output Data'!$AK$1:$AK$65536)-12,0,12,1)</definedName>
    <definedName name="BA_bookbillav">OFFSET('[8]Boeing Monthly'!$AU$451,COUNT('[8]Boeing Monthly'!$AU$1:$AU$65536)-121,0,120,1)</definedName>
    <definedName name="BA_orders">OFFSET('[8]Boeing Charts'!$C$6,COUNT('[8]Boeing Charts'!$C$1:$C$65536)-12,0,12,1)</definedName>
    <definedName name="BA_performance">OFFSET('[8]Boeing Charts'!$C$6,0,0,COUNT('[8]Boeing Charts'!$C$1:$C$65536),1)</definedName>
    <definedName name="BA_relativeprice">OFFSET('[8]Boeing Monthly'!$AX$451,COUNT('[8]Boeing Monthly'!$AX$1:$AX$65536)-121,0,120,1)</definedName>
    <definedName name="BA_stockperformance">OFFSET('[8]Boeing Charts'!$D$6,0,0,COUNT('[8]Boeing Charts'!$D$1:$D$65536),1)</definedName>
    <definedName name="BA_stockprice">OFFSET('[8]Boeing Charts'!$D$6,COUNT('[8]Boeing Charts'!$D$1:$D$65536)-12,0,12,1)</definedName>
    <definedName name="BJ_2001_dates">OFFSET('[9]Biz Jet Output Data'!$A$20,0,0,COUNT('[9]Biz Jet Output Data'!$A$1:$A$65536)-12,1)</definedName>
    <definedName name="BJ_2001_rolling">OFFSET('[9]Biz Jet Output Data'!$E$20,0,0,COUNT('[9]Biz Jet Output Data'!$E$1:$E$65536)-1,1)</definedName>
    <definedName name="BJ_2001_rollingyoy">OFFSET('[9]Biz Jet Output Data'!$H$20,0,0,COUNT('[9]Biz Jet Output Data'!$H$1:$H$65536),1)</definedName>
    <definedName name="BJ_TotalO">OFFSET('[9]Biz Jet Output Data'!$D$20,0,0,COUNT('[9]Biz Jet Output Data'!$D$1:$D$65536)-12,1)</definedName>
    <definedName name="BJ_TotalO_LTM">OFFSET('[9]Biz Jet Output Data'!$D$8,COUNT('[9]Biz Jet Output Data'!$D$1:$D$65536)-12,0,12,1)</definedName>
    <definedName name="BJ_TotalO_YoY">OFFSET('[9]Biz Jet Output Data'!$G$20,0,0,COUNT('[9]Biz Jet Output Data'!$G$1:$G$65536),1)</definedName>
    <definedName name="BRO" localSheetId="7">ModPubIndex!$A$1</definedName>
    <definedName name="C_columnU">OFFSET('[9]Biz Jet Output Data'!$W$20,0,0,COUNT('[9]Biz Jet Output Data'!$W$1:$W$65536)-12,1)</definedName>
    <definedName name="C_columnW">OFFSET('[9]Biz Jet Output Data'!$Y$20,0,0,COUNT('[9]Biz Jet Output Data'!$Y$1:$Y$65536)-1,1)</definedName>
    <definedName name="C_columnY">OFFSET('[9]Biz Jet Output Data'!$AA$20,0,0,COUNT('[9]Biz Jet Output Data'!$AA$1:$AA$65536),1)</definedName>
    <definedName name="C_columnZ">OFFSET('[9]Biz Jet Output Data'!$AB$20,0,0,COUNT('[9]Biz Jet Output Data'!$AB$1:$AB$65536),1)</definedName>
    <definedName name="C_rolling12mo">OFFSET('[9]Biz Jet Output Data'!$AB$20,COUNT('[9]Biz Jet Output Data'!$AB$1:$AB$65536)-12,0,12,1)</definedName>
    <definedName name="C_TotalO_LTM">OFFSET('[9]Biz Jet Output Data'!$W$8,COUNT('[9]Biz Jet Output Data'!$W$1:$W$65536)-12,0,12,1)</definedName>
    <definedName name="C_TotalOchange_LTM">OFFSET('[9]Biz Jet Output Data'!$AA$20,COUNT('[9]Biz Jet Output Data'!$AA$1:$AA$65536)-12,0,12,1)</definedName>
    <definedName name="CD">'[8]Deliveries LCA &amp; RJ'!$A$1</definedName>
    <definedName name="CopyrightStamp">ImportantDisclosures!$A$27</definedName>
    <definedName name="correlation">'[8]Boeing Monthly'!$AU$674</definedName>
    <definedName name="COU" localSheetId="7">ModPubIndex!$A$5</definedName>
    <definedName name="CQEnd" localSheetId="6">IndexInformation!$B$31</definedName>
    <definedName name="Currency" localSheetId="6">IndexInformation!$B$24</definedName>
    <definedName name="Current_month">OFFSET([17]Monthly_Traffic_Summary!$A$9,COUNT([17]Monthly_Traffic_Summary!$A$1:$A$65536)-2,0,1,1)</definedName>
    <definedName name="CurrentBA_month">OFFSET('[8]Boeing Charts'!$B$6,COUNT('[8]Boeing Charts'!$B$1:$B$65536)-1,0,1,1)</definedName>
    <definedName name="CurrentBJ_month">OFFSET('[9]Biz Jet Output Data'!$A$8,COUNT('[9]Biz Jet Output Data'!$A$1:$A$65536)-1,0,1,1)</definedName>
    <definedName name="CurrentStockPrice" localSheetId="6">IndexInformation!$B$23</definedName>
    <definedName name="CurrQtrEPS" localSheetId="6">IndexInformation!$B$29</definedName>
    <definedName name="CurrYearEPS" localSheetId="6">IndexInformation!$B$11</definedName>
    <definedName name="CurrYearTotalRevenue" localSheetId="6">IndexInformation!$B$10</definedName>
    <definedName name="CurrYearTotalRevenueActual" localSheetId="6">IndexInformation!$B$32</definedName>
    <definedName name="CUSIP" localSheetId="6">IndexInformation!$B$20</definedName>
    <definedName name="CYEnd" localSheetId="6">IndexInformation!$B$30</definedName>
    <definedName name="dataseries1">OFFSET('[20]Roll off Speed'!$X$12,0,0,COUNTIF('[20]Roll off Speed'!$W$12:$W$1231,"&lt;&gt;false"),1)</definedName>
    <definedName name="Date" localSheetId="2">ImportantDisclosures!$A$8</definedName>
    <definedName name="Date">OFFSET([8]StoredAC!$B$9,0,0,COUNT([8]StoredAC!$B$1:$B$65536),1)</definedName>
    <definedName name="Dates_BA_RP">OFFSET('[8]Boeing Monthly'!$AZ$440,COUNT('[8]Boeing Monthly'!$AZ$1:$AZ$65536)-168,0,168,1)</definedName>
    <definedName name="Dates_BAmonthly">OFFSET('[8]Boeing Monthly'!$AZ$440,COUNT('[8]Boeing Monthly'!$AZ$1:$AZ$65536)-120,0,120,1)</definedName>
    <definedName name="Dates_BJ">OFFSET('[9]Biz Jet Output Data'!$A$8,0,0,COUNT('[9]Biz Jet Output Data'!$A$1:$A$65536),1)</definedName>
    <definedName name="Dates_BJ_LTM">OFFSET('[9]Biz Jet Output Data'!$A$8,COUNT('[9]Biz Jet Output Data'!$A$1:$A$65536)-12,0,12,1)</definedName>
    <definedName name="Dates10y">OFFSET([17]Monthly_Traffic_Summary!$A$9,COUNT([17]Monthly_Traffic_Summary!$A$1:$A$65536)-120,0,120,1)</definedName>
    <definedName name="DatesBA_charts">OFFSET('[8]Boeing Charts'!$B$6,COUNT('[8]Boeing Charts'!$B$1:$B$65536)-12,0,12,1)</definedName>
    <definedName name="DatesBA_performance">OFFSET('[8]Boeing Charts'!$B$6,0,0,COUNT('[8]Boeing Charts'!$B$1:$B$65536),1)</definedName>
    <definedName name="DatesLTM">OFFSET([17]Monthly_Traffic_Summary!$A$9,COUNT([17]Monthly_Traffic_Summary!$A$1:$A$65536)-12,0,12,1)</definedName>
    <definedName name="DCF">[21]DCF!$A$27</definedName>
    <definedName name="defense1">{"Client Name or Project Name"}</definedName>
    <definedName name="defense2">[22]mwareDates!$B$2:$E$21</definedName>
    <definedName name="Deleted" localSheetId="6">IndexInformation!$B$27</definedName>
    <definedName name="Description" localSheetId="6">IndexInformation!$B$7</definedName>
    <definedName name="Discipline" localSheetId="6">IndexInformation!$B$3</definedName>
    <definedName name="DISCIPLINE" localSheetId="7">ModPubIndex!$A$12</definedName>
    <definedName name="DisclosuresText">ImportantDisclosures!$A$22</definedName>
    <definedName name="Distribution" localSheetId="6">IndexInformation!$B$26</definedName>
    <definedName name="DistTable" localSheetId="2">ImportantDisclosures!#REF!</definedName>
    <definedName name="DistTablePreamble" localSheetId="2">ImportantDisclosures!#REF!</definedName>
    <definedName name="DOCDAT" localSheetId="7">ModPubIndex!$A$2</definedName>
    <definedName name="DOCTIME" localSheetId="7">ModPubIndex!$A$3</definedName>
    <definedName name="DocType" localSheetId="6">IndexInformation!$B$5</definedName>
    <definedName name="EMAIL_ALERT" localSheetId="7">ModPubIndex!$A$10</definedName>
    <definedName name="EmailAlert" localSheetId="6">IndexInformation!$B$28</definedName>
    <definedName name="Europe_ASM">OFFSET([17]Monthly_Traffic_Summary!$Y$261,COUNT([17]Monthly_Traffic_Summary!$Y$1:$Y$65536)-12,0,12,1)</definedName>
    <definedName name="Europe_ASM_LTM">OFFSET([17]Monthly_Traffic_Summary!$Z$261,COUNT([17]Monthly_Traffic_Summary!$Z$1:$Z$65536)-12,0,12,1)</definedName>
    <definedName name="Europe_ASM10y">OFFSET([17]Monthly_Traffic_Summary!$Y$261,COUNT([17]Monthly_Traffic_Summary!$Y$1:$Y$65536)-120,0,120,1)</definedName>
    <definedName name="Europe_LF">OFFSET([17]Monthly_Traffic_Summary!$AA$261,COUNT([17]Monthly_Traffic_Summary!$AA$1:$AA$65536)-12,0,12,1)</definedName>
    <definedName name="Europe_LF_LTM">OFFSET([17]Monthly_Traffic_Summary!$AB$261,COUNT([17]Monthly_Traffic_Summary!$AB$1:$AB$65536)-12,0,12,1)</definedName>
    <definedName name="Europe_LF10y">OFFSET([17]Monthly_Traffic_Summary!$AA$261,COUNT([17]Monthly_Traffic_Summary!$AA$1:$AA$65536)-120,0,120,1)</definedName>
    <definedName name="Europe_RPM">OFFSET([17]Monthly_Traffic_Summary!$W$261,COUNT([17]Monthly_Traffic_Summary!$W$1:$W$65536)-12,0,12,1)</definedName>
    <definedName name="Europe_RPM_LTM">OFFSET([17]Monthly_Traffic_Summary!$X$261,COUNT([17]Monthly_Traffic_Summary!$X$1:$X$65536)-12,0,12,1)</definedName>
    <definedName name="Europe_RPM10y">OFFSET([17]Monthly_Traffic_Summary!$W$261,COUNT([17]Monthly_Traffic_Summary!$W$1:$W$65536)-120,0,120,1)</definedName>
    <definedName name="ｆ" hidden="1">"iQShowAnnual"</definedName>
    <definedName name="fdsa" hidden="1">39489.6256597222</definedName>
    <definedName name="FiveYearGrowthRate" localSheetId="6">IndexInformation!$B$16</definedName>
    <definedName name="FollowingYearEPS" localSheetId="6">IndexInformation!$B$15</definedName>
    <definedName name="FollowingYearTotalRevenue" localSheetId="6">IndexInformation!$B$14</definedName>
    <definedName name="FollowingYearTotalRevenueActual" localSheetId="6">IndexInformation!$B$34</definedName>
    <definedName name="G_columnL">OFFSET('[9]Biz Jet Output Data'!$M$20,0,0,COUNT('[9]Biz Jet Output Data'!$M$1:$M$65536)-12,1)</definedName>
    <definedName name="G_columnN">OFFSET('[9]Biz Jet Output Data'!$O$20,0,0,COUNT('[9]Biz Jet Output Data'!$O$1:$O$65536)-1,1)</definedName>
    <definedName name="G_columnP">OFFSET('[9]Biz Jet Output Data'!$Q$20,0,0,COUNT('[9]Biz Jet Output Data'!$Q$1:$Q$65536),1)</definedName>
    <definedName name="G_columnQ">OFFSET('[9]Biz Jet Output Data'!$R$20,0,0,COUNT('[9]Biz Jet Output Data'!$R$1:$R$65536),1)</definedName>
    <definedName name="G_rolling12mo">OFFSET('[9]Biz Jet Output Data'!$R$20,COUNT('[9]Biz Jet Output Data'!$R$1:$R$65536)-12,0,12,1)</definedName>
    <definedName name="G_TotalO_LTM">OFFSET('[9]Biz Jet Output Data'!$M$8,COUNT('[9]Biz Jet Output Data'!$M$1:$M$65536)-12,0,12,1)</definedName>
    <definedName name="G_TotalOchange_LTM">OFFSET('[9]Biz Jet Output Data'!$Q$20,COUNT('[9]Biz Jet Output Data'!$Q$1:$Q$65536)-12,0,12,1)</definedName>
    <definedName name="ghjhg" hidden="1">[2]ｾｸﾞﾒﾝﾄ!$E$164:$I$164</definedName>
    <definedName name="HL" localSheetId="7">ModPubIndex!$A$8</definedName>
    <definedName name="IND" localSheetId="7">ModPubIndex!$A$9</definedName>
    <definedName name="Industry" localSheetId="2">ImportantDisclosures!$A$12</definedName>
    <definedName name="IndustryId">IndexInformation!$B$40</definedName>
    <definedName name="IndustryRating" localSheetId="2">ImportantDisclosures!$A$13</definedName>
    <definedName name="InStorageDates">OFFSET('[8]StoredAC v2'!$B$9,0,0,COUNT('[8]StoredAC v2'!$B$1:$B$65536),1)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J_AVG_BANK_ASSETS" hidden="1">"c2671"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BROKER_REC_NO_REUT" hidden="1">"c5315"</definedName>
    <definedName name="IQ_AVG_BROKER_REC_REUT" hidden="1">"c3630"</definedName>
    <definedName name="IQ_AVG_DAILY_VOL" hidden="1">"c65"</definedName>
    <definedName name="IQ_AVG_INDUSTRY_REC" hidden="1">"c4455"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NK_DEBT" hidden="1">"c2544"</definedName>
    <definedName name="IQ_BANK_DEBT_PCT" hidden="1">"c2545"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ROK_COMMISSION" hidden="1">"c3514"</definedName>
    <definedName name="IQ_BUILDINGS" hidden="1">"c99"</definedName>
    <definedName name="IQ_BUS_SEG_ASSETS" hidden="1">"c4067"</definedName>
    <definedName name="IQ_BUS_SEG_ASSETS_ABS" hidden="1">"c4089"</definedName>
    <definedName name="IQ_BUS_SEG_ASSETS_TOTAL" hidden="1">"c4112"</definedName>
    <definedName name="IQ_BUS_SEG_CAPEX" hidden="1">"c4079"</definedName>
    <definedName name="IQ_BUS_SEG_CAPEX_ABS" hidden="1">"c4101"</definedName>
    <definedName name="IQ_BUS_SEG_CAPEX_TOTAL" hidden="1">"c4116"</definedName>
    <definedName name="IQ_BUS_SEG_DA" hidden="1">"c4078"</definedName>
    <definedName name="IQ_BUS_SEG_DA_ABS" hidden="1">"c4100"</definedName>
    <definedName name="IQ_BUS_SEG_DA_TOTAL" hidden="1">"c4115"</definedName>
    <definedName name="IQ_BUS_SEG_EARNINGS_OP" hidden="1">"c4063"</definedName>
    <definedName name="IQ_BUS_SEG_EARNINGS_OP_ABS" hidden="1">"c4085"</definedName>
    <definedName name="IQ_BUS_SEG_EARNINGS_OP_TOTAL" hidden="1">"c4108"</definedName>
    <definedName name="IQ_BUS_SEG_EBT" hidden="1">"c4064"</definedName>
    <definedName name="IQ_BUS_SEG_EBT_ABS" hidden="1">"c4086"</definedName>
    <definedName name="IQ_BUS_SEG_EBT_TOTAL" hidden="1">"c4110"</definedName>
    <definedName name="IQ_BUS_SEG_GP" hidden="1">"c4066"</definedName>
    <definedName name="IQ_BUS_SEG_GP_ABS" hidden="1">"c4088"</definedName>
    <definedName name="IQ_BUS_SEG_GP_TOTAL" hidden="1">"c4109"</definedName>
    <definedName name="IQ_BUS_SEG_INC_TAX" hidden="1">"c4077"</definedName>
    <definedName name="IQ_BUS_SEG_INC_TAX_ABS" hidden="1">"c4099"</definedName>
    <definedName name="IQ_BUS_SEG_INC_TAX_TOTAL" hidden="1">"c4114"</definedName>
    <definedName name="IQ_BUS_SEG_INTEREST_EXP" hidden="1">"c4076"</definedName>
    <definedName name="IQ_BUS_SEG_INTEREST_EXP_ABS" hidden="1">"c4098"</definedName>
    <definedName name="IQ_BUS_SEG_INTEREST_EXP_TOTAL" hidden="1">"c4113"</definedName>
    <definedName name="IQ_BUS_SEG_NAME" hidden="1">"c5482"</definedName>
    <definedName name="IQ_BUS_SEG_NAME_ABS" hidden="1">"c5483"</definedName>
    <definedName name="IQ_BUS_SEG_NI" hidden="1">"c4065"</definedName>
    <definedName name="IQ_BUS_SEG_NI_ABS" hidden="1">"c4087"</definedName>
    <definedName name="IQ_BUS_SEG_NI_TOTAL" hidden="1">"c4111"</definedName>
    <definedName name="IQ_BUS_SEG_OPER_INC" hidden="1">"c4062"</definedName>
    <definedName name="IQ_BUS_SEG_OPER_INC_ABS" hidden="1">"c4084"</definedName>
    <definedName name="IQ_BUS_SEG_OPER_INC_TOTAL" hidden="1">"c4107"</definedName>
    <definedName name="IQ_BUS_SEG_REV" hidden="1">"c4068"</definedName>
    <definedName name="IQ_BUS_SEG_REV_ABS" hidden="1">"c4090"</definedName>
    <definedName name="IQ_BUS_SEG_REV_TOTAL" hidden="1">"c4106"</definedName>
    <definedName name="IQ_BUSINESS_DESCRIPTION" hidden="1">"c322"</definedName>
    <definedName name="IQ_BV_OVER_SHARES" hidden="1">"c1349"</definedName>
    <definedName name="IQ_BV_SHARE" hidden="1">"c100"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Y" hidden="1">"c102"</definedName>
    <definedName name="IQ_CALC_TYPE_BS" hidden="1">"c3086"</definedName>
    <definedName name="IQ_CALC_TYPE_CF" hidden="1">"c3085"</definedName>
    <definedName name="IQ_CALC_TYPE_IS" hidden="1">"c3084"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_LOSS_CF_1YR" hidden="1">"c3474"</definedName>
    <definedName name="IQ_CAP_LOSS_CF_2YR" hidden="1">"c3475"</definedName>
    <definedName name="IQ_CAP_LOSS_CF_3YR" hidden="1">"c3476"</definedName>
    <definedName name="IQ_CAP_LOSS_CF_4YR" hidden="1">"c3477"</definedName>
    <definedName name="IQ_CAP_LOSS_CF_5YR" hidden="1">"c3478"</definedName>
    <definedName name="IQ_CAP_LOSS_CF_AFTER_FIVE" hidden="1">"c3479"</definedName>
    <definedName name="IQ_CAP_LOSS_CF_MAX_YEAR" hidden="1">"c3482"</definedName>
    <definedName name="IQ_CAP_LOSS_CF_NO_EXP" hidden="1">"c3480"</definedName>
    <definedName name="IQ_CAP_LOSS_CF_TOTAL" hidden="1">"c3481"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"c2076"</definedName>
    <definedName name="IQ_CAPITALIZED_INTEREST_BOP" hidden="1">"c3459"</definedName>
    <definedName name="IQ_CAPITALIZED_INTEREST_EOP" hidden="1">"c3464"</definedName>
    <definedName name="IQ_CAPITALIZED_INTEREST_EXP" hidden="1">"c3461"</definedName>
    <definedName name="IQ_CAPITALIZED_INTEREST_OTHER_ADJ" hidden="1">"c3463"</definedName>
    <definedName name="IQ_CAPITALIZED_INTEREST_WRITE_OFF" hidden="1">"c3462"</definedName>
    <definedName name="IQ_CASH" hidden="1">"c1458"</definedName>
    <definedName name="IQ_CASH_ACQUIRE_CF" hidden="1">"c116"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FLOW_ACT_OR_EST" hidden="1">"c4154"</definedName>
    <definedName name="IQ_CASH_INTEREST" hidden="1">"c120"</definedName>
    <definedName name="IQ_CASH_INVEST" hidden="1">"c121"</definedName>
    <definedName name="IQ_CASH_OPER" hidden="1">"c122"</definedName>
    <definedName name="IQ_CASH_OPER_ACT_OR_EST" hidden="1">"c4164"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OPER_ASSETS" hidden="1">"c3592"</definedName>
    <definedName name="IQ_CHANGE_NET_WORKING_CAPITAL" hidden="1">"c1909"</definedName>
    <definedName name="IQ_CHANGE_OTHER_NET_OPER_ASSETS" hidden="1">"c3593"</definedName>
    <definedName name="IQ_CHANGE_OTHER_NET_OPER_ASSETS_BNK" hidden="1">"c3594"</definedName>
    <definedName name="IQ_CHANGE_OTHER_NET_OPER_ASSETS_BR" hidden="1">"c3595"</definedName>
    <definedName name="IQ_CHANGE_OTHER_NET_OPER_ASSETS_FIN" hidden="1">"c3596"</definedName>
    <definedName name="IQ_CHANGE_OTHER_NET_OPER_ASSETS_INS" hidden="1">"c3597"</definedName>
    <definedName name="IQ_CHANGE_OTHER_NET_OPER_ASSETS_REIT" hidden="1">"c3598"</definedName>
    <definedName name="IQ_CHANGE_OTHER_NET_OPER_ASSETS_UTI" hidden="1">"c3599"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ED" hidden="1">"c2681"</definedName>
    <definedName name="IQ_CLASSA_OPTIONS_GRANTED" hidden="1">"c2680"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ID" hidden="1">"c3513"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E" hidden="1">"c2192"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ST_BORROWING" hidden="1">"c2936"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PORT_PCT" hidden="1">"c2541"</definedName>
    <definedName name="IQ_CURRENT_RATIO" hidden="1">"c246"</definedName>
    <definedName name="IQ_CUSIP" hidden="1">"c2245"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EBITDA" hidden="1">"c5528"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OSITS_INTEREST_SECURITIES" hidden="1">"c5509"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ACT_OR_EST" hidden="1">"c4278"</definedName>
    <definedName name="IQ_DISTRIBUTABLE_CASH_PAYOUT" hidden="1">"c3005"</definedName>
    <definedName name="IQ_DISTRIBUTABLE_CASH_SHARE" hidden="1">"c3003"</definedName>
    <definedName name="IQ_DISTRIBUTABLE_CASH_SHARE_ACT_OR_EST" hidden="1">"c4286"</definedName>
    <definedName name="IQ_DIV_AMOUNT" hidden="1">"c3041"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ARNINGS_ANNOUNCE_DATE_REUT" hidden="1">"c5314"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EQ_INC" hidden="1">"c3498"</definedName>
    <definedName name="IQ_EBIT_EQ_INC_EXCL_SBC" hidden="1">"c3502"</definedName>
    <definedName name="IQ_EBIT_EXCL_SBC" hidden="1">"c3082"</definedName>
    <definedName name="IQ_EBIT_GW_ACT_OR_EST" hidden="1">"c4306"</definedName>
    <definedName name="IQ_EBIT_INT" hidden="1">"c360"</definedName>
    <definedName name="IQ_EBIT_MARGIN" hidden="1">"c359"</definedName>
    <definedName name="IQ_EBIT_OVER_IE" hidden="1">"c1369"</definedName>
    <definedName name="IQ_EBIT_SBC_ACT_OR_EST" hidden="1">"c4316"</definedName>
    <definedName name="IQ_EBIT_SBC_GW_ACT_OR_EST" hidden="1">"c4320"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EQ_INC" hidden="1">"c3497"</definedName>
    <definedName name="IQ_EBITA_EQ_INC_EXCL_SBC" hidden="1">"c3501"</definedName>
    <definedName name="IQ_EBITA_EXCL_SBC" hidden="1">"c3080"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ACT_OR_EST" hidden="1">"c2215"</definedName>
    <definedName name="IQ_EBITDA_CAPEX_INT" hidden="1">"c368"</definedName>
    <definedName name="IQ_EBITDA_CAPEX_OVER_TOTAL_IE" hidden="1">"c1370"</definedName>
    <definedName name="IQ_EBITDA_EQ_INC" hidden="1">"c3496"</definedName>
    <definedName name="IQ_EBITDA_EQ_INC_EXCL_SBC" hidden="1">"c3500"</definedName>
    <definedName name="IQ_EBITDA_EST" hidden="1">"c369"</definedName>
    <definedName name="IQ_EBITDA_EST_REUT" hidden="1">"c3640"</definedName>
    <definedName name="IQ_EBITDA_EXCL_SBC" hidden="1">"c3081"</definedName>
    <definedName name="IQ_EBITDA_HIGH_EST" hidden="1">"c370"</definedName>
    <definedName name="IQ_EBITDA_HIGH_EST_REUT" hidden="1">"c3642"</definedName>
    <definedName name="IQ_EBITDA_INT" hidden="1">"c373"</definedName>
    <definedName name="IQ_EBITDA_LOW_EST" hidden="1">"c371"</definedName>
    <definedName name="IQ_EBITDA_LOW_EST_REUT" hidden="1">"c3643"</definedName>
    <definedName name="IQ_EBITDA_MARGIN" hidden="1">"c372"</definedName>
    <definedName name="IQ_EBITDA_MEDIAN_EST" hidden="1">"c1663"</definedName>
    <definedName name="IQ_EBITDA_MEDIAN_EST_REUT" hidden="1">"c3641"</definedName>
    <definedName name="IQ_EBITDA_NUM_EST" hidden="1">"c374"</definedName>
    <definedName name="IQ_EBITDA_NUM_EST_REUT" hidden="1">"c3644"</definedName>
    <definedName name="IQ_EBITDA_OVER_TOTAL_IE" hidden="1">"c1371"</definedName>
    <definedName name="IQ_EBITDA_SBC_ACT_OR_EST" hidden="1">"c4337"</definedName>
    <definedName name="IQ_EBITDA_STDDEV_EST" hidden="1">"c375"</definedName>
    <definedName name="IQ_EBITDA_STDDEV_EST_REUT" hidden="1">"c3645"</definedName>
    <definedName name="IQ_EBITDAR" hidden="1">"c2989"</definedName>
    <definedName name="IQ_EBITDAR_EQ_INC" hidden="1">"c3499"</definedName>
    <definedName name="IQ_EBITDAR_EQ_INC_EXCL_SBC" hidden="1">"c3503"</definedName>
    <definedName name="IQ_EBITDAR_EXCL_SBC" hidden="1">"c3083"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SBC_ACT_OR_EST" hidden="1">"c4350"</definedName>
    <definedName name="IQ_EBT_SBC_GW_ACT_OR_EST" hidden="1">"c4354"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ACT_OR_EST" hidden="1">"c2213"</definedName>
    <definedName name="IQ_EPS_EST" hidden="1">"c399"</definedName>
    <definedName name="IQ_EPS_EST_REUT" hidden="1">"c5453"</definedName>
    <definedName name="IQ_EPS_HIGH_EST" hidden="1">"c400"</definedName>
    <definedName name="IQ_EPS_HIGH_EST_REUT" hidden="1">"c5454"</definedName>
    <definedName name="IQ_EPS_LOW_EST" hidden="1">"c401"</definedName>
    <definedName name="IQ_EPS_LOW_EST_REUT" hidden="1">"c5455"</definedName>
    <definedName name="IQ_EPS_MEDIAN_EST" hidden="1">"c1661"</definedName>
    <definedName name="IQ_EPS_MEDIAN_EST_REUT" hidden="1">"c5456"</definedName>
    <definedName name="IQ_EPS_NORM" hidden="1">"c1902"</definedName>
    <definedName name="IQ_EPS_NUM_EST" hidden="1">"c402"</definedName>
    <definedName name="IQ_EPS_NUM_EST_REUT" hidden="1">"c5451"</definedName>
    <definedName name="IQ_EPS_SBC_ACT_OR_EST" hidden="1">"c4376"</definedName>
    <definedName name="IQ_EPS_SBC_GW_ACT_OR_EST" hidden="1">"c4380"</definedName>
    <definedName name="IQ_EPS_STDDEV_EST" hidden="1">"c403"</definedName>
    <definedName name="IQ_EPS_STDDEV_EST_REUT" hidden="1">"c5452"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EPS" hidden="1">"c1648"</definedName>
    <definedName name="IQ_EST_CURRENCY" hidden="1">"c2140"</definedName>
    <definedName name="IQ_EST_CURRENCY_REUT" hidden="1">"c5437"</definedName>
    <definedName name="IQ_EST_DATE" hidden="1">"c1634"</definedName>
    <definedName name="IQ_EST_DATE_REUT" hidden="1">"c5438"</definedName>
    <definedName name="IQ_EST_EPS_DIFF" hidden="1">"c1864"</definedName>
    <definedName name="IQ_EST_EPS_GROWTH_1YR" hidden="1">"c1636"</definedName>
    <definedName name="IQ_EST_EPS_GROWTH_1YR_REUT" hidden="1">"c3646"</definedName>
    <definedName name="IQ_EST_EPS_GROWTH_5YR" hidden="1">"c1655"</definedName>
    <definedName name="IQ_EST_EPS_GROWTH_5YR_REUT" hidden="1">"c3633"</definedName>
    <definedName name="IQ_EST_EPS_GROWTH_Q_1YR" hidden="1">"c1641"</definedName>
    <definedName name="IQ_EST_EPS_GROWTH_Q_1YR_REUT" hidden="1">"c5410"</definedName>
    <definedName name="IQ_EST_VENDOR" hidden="1">"c5564"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CISE_TAXES_EXCL_SALES" hidden="1">"c5515"</definedName>
    <definedName name="IQ_EXCISE_TAXES_INCL_SALES" hidden="1">"c5514"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FO_ADJ_ACT_OR_EST" hidden="1">"c4435"</definedName>
    <definedName name="IQ_FFO_PAYOUT_RATIO" hidden="1">"c3492"</definedName>
    <definedName name="IQ_FFO_SHARE_ACT_OR_EST" hidden="1">"c4446"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CURRENT_PORT_DEBT_TOTAL" hidden="1">"c5524"</definedName>
    <definedName name="IQ_FIN_DIV_CURRENT_PORT_LEASES_TOTAL" hidden="1">"c5523"</definedName>
    <definedName name="IQ_FIN_DIV_DEBT_CURRENT" hidden="1">"c429"</definedName>
    <definedName name="IQ_FIN_DIV_DEBT_LT" hidden="1">"c430"</definedName>
    <definedName name="IQ_FIN_DIV_DEBT_LT_TOTAL" hidden="1">"c5526"</definedName>
    <definedName name="IQ_FIN_DIV_EXP" hidden="1">"c431"</definedName>
    <definedName name="IQ_FIN_DIV_INT_EXP" hidden="1">"c432"</definedName>
    <definedName name="IQ_FIN_DIV_LEASES_LT_TOTAL" hidden="1">"c5525"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NOTES_PAY_TOTAL" hidden="1">"c5522"</definedName>
    <definedName name="IQ_FIN_DIV_REV" hidden="1">"c437"</definedName>
    <definedName name="IQ_FIN_DIV_ST_DEBT_TOTAL" hidden="1">"c5527"</definedName>
    <definedName name="IQ_FINANCING_CASH" hidden="1">"c1405"</definedName>
    <definedName name="IQ_FINANCING_CASH_SUPPL" hidden="1">"c1406"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EO_SEG_ASSETS" hidden="1">"c4069"</definedName>
    <definedName name="IQ_GEO_SEG_ASSETS_ABS" hidden="1">"c4091"</definedName>
    <definedName name="IQ_GEO_SEG_ASSETS_TOTAL" hidden="1">"c4123"</definedName>
    <definedName name="IQ_GEO_SEG_CAPEX" hidden="1">"c4083"</definedName>
    <definedName name="IQ_GEO_SEG_CAPEX_ABS" hidden="1">"c4105"</definedName>
    <definedName name="IQ_GEO_SEG_CAPEX_TOTAL" hidden="1">"c4127"</definedName>
    <definedName name="IQ_GEO_SEG_DA" hidden="1">"c4082"</definedName>
    <definedName name="IQ_GEO_SEG_DA_ABS" hidden="1">"c4104"</definedName>
    <definedName name="IQ_GEO_SEG_DA_TOTAL" hidden="1">"c4126"</definedName>
    <definedName name="IQ_GEO_SEG_EARNINGS_OP" hidden="1">"c4073"</definedName>
    <definedName name="IQ_GEO_SEG_EARNINGS_OP_ABS" hidden="1">"c4095"</definedName>
    <definedName name="IQ_GEO_SEG_EARNINGS_OP_TOTAL" hidden="1">"c4119"</definedName>
    <definedName name="IQ_GEO_SEG_EBT" hidden="1">"c4072"</definedName>
    <definedName name="IQ_GEO_SEG_EBT_ABS" hidden="1">"c4094"</definedName>
    <definedName name="IQ_GEO_SEG_EBT_TOTAL" hidden="1">"c4121"</definedName>
    <definedName name="IQ_GEO_SEG_GP" hidden="1">"c4070"</definedName>
    <definedName name="IQ_GEO_SEG_GP_ABS" hidden="1">"c4092"</definedName>
    <definedName name="IQ_GEO_SEG_GP_TOTAL" hidden="1">"c4120"</definedName>
    <definedName name="IQ_GEO_SEG_INC_TAX" hidden="1">"c4081"</definedName>
    <definedName name="IQ_GEO_SEG_INC_TAX_ABS" hidden="1">"c4103"</definedName>
    <definedName name="IQ_GEO_SEG_INC_TAX_TOTAL" hidden="1">"c4125"</definedName>
    <definedName name="IQ_GEO_SEG_INTEREST_EXP" hidden="1">"c4080"</definedName>
    <definedName name="IQ_GEO_SEG_INTEREST_EXP_ABS" hidden="1">"c4102"</definedName>
    <definedName name="IQ_GEO_SEG_INTEREST_EXP_TOTAL" hidden="1">"c4124"</definedName>
    <definedName name="IQ_GEO_SEG_NAME" hidden="1">"c5484"</definedName>
    <definedName name="IQ_GEO_SEG_NAME_ABS" hidden="1">"c5485"</definedName>
    <definedName name="IQ_GEO_SEG_NI" hidden="1">"c4071"</definedName>
    <definedName name="IQ_GEO_SEG_NI_ABS" hidden="1">"c4093"</definedName>
    <definedName name="IQ_GEO_SEG_NI_TOTAL" hidden="1">"c4122"</definedName>
    <definedName name="IQ_GEO_SEG_OPER_INC" hidden="1">"c4075"</definedName>
    <definedName name="IQ_GEO_SEG_OPER_INC_ABS" hidden="1">"c4097"</definedName>
    <definedName name="IQ_GEO_SEG_OPER_INC_TOTAL" hidden="1">"c4118"</definedName>
    <definedName name="IQ_GEO_SEG_REV" hidden="1">"c4074"</definedName>
    <definedName name="IQ_GEO_SEG_REV_ABS" hidden="1">"c4096"</definedName>
    <definedName name="IQ_GEO_SEG_REV_TOTAL" hidden="1">"c4117"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_TARGET_PRICE" hidden="1">"c1651"</definedName>
    <definedName name="IQ_HIGH_TARGET_PRICE_REUT" hidden="1">"c5317"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DUSTRY" hidden="1">"c3601"</definedName>
    <definedName name="IQ_INDUSTRY_GROUP" hidden="1">"c3602"</definedName>
    <definedName name="IQ_INDUSTRY_SECTOR" hidden="1">"c3603"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GOV_SECURITY" hidden="1">"c5510"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MUNI_SECURITY" hidden="1">"c5512"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NVEST_SECURITY_SUPPL" hidden="1">"c5511"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SS_TO_NET_EARNED" hidden="1">"c2751"</definedName>
    <definedName name="IQ_LOW_TARGET_PRICE" hidden="1">"c1652"</definedName>
    <definedName name="IQ_LOW_TARGET_PRICE_REUT" hidden="1">"c5318"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CAPEX" hidden="1">"c2947"</definedName>
    <definedName name="IQ_MAINT_CAPEX_ACT_OR_EST" hidden="1">"c4458"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C_RATIO" hidden="1">"c2783"</definedName>
    <definedName name="IQ_MC_STATUTORY_SURPLUS" hidden="1">"c2772"</definedName>
    <definedName name="IQ_MEDIAN_TARGET_PRICE" hidden="1">"c1650"</definedName>
    <definedName name="IQ_MEDIAN_TARGET_PRICE_REUT" hidden="1">"c5316"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KTCAP_TOTAL_REV_FWD_REUT" hidden="1">"c4048"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ET_CHANGE" hidden="1">"c749"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EBITDA" hidden="1">"c750"</definedName>
    <definedName name="IQ_NET_DEBT_EBITDA_CAPEX" hidden="1">"c2949"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EARNED" hidden="1">"c2734"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IFE_INS_IN_FORCE" hidden="1">"c2769"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T_TO_GROSS_EARNED" hidden="1">"c2750"</definedName>
    <definedName name="IQ_NET_TO_GROSS_WRITTEN" hidden="1">"c2729"</definedName>
    <definedName name="IQ_NET_WORKING_CAP" hidden="1">"c3493"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MARGIN" hidden="1">"c794"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SBC_ACT_OR_EST" hidden="1">"c4474"</definedName>
    <definedName name="IQ_NI_SBC_GW_ACT_OR_EST" hidden="1">"c4478"</definedName>
    <definedName name="IQ_NI_SFAS" hidden="1">"c795"</definedName>
    <definedName name="IQ_NOL_CF_1YR" hidden="1">"c3465"</definedName>
    <definedName name="IQ_NOL_CF_2YR" hidden="1">"c3466"</definedName>
    <definedName name="IQ_NOL_CF_3YR" hidden="1">"c3467"</definedName>
    <definedName name="IQ_NOL_CF_4YR" hidden="1">"c3468"</definedName>
    <definedName name="IQ_NOL_CF_5YR" hidden="1">"c3469"</definedName>
    <definedName name="IQ_NOL_CF_AFTER_FIVE" hidden="1">"c3470"</definedName>
    <definedName name="IQ_NOL_CF_MAX_YEAR" hidden="1">"c3473"</definedName>
    <definedName name="IQ_NOL_CF_NO_EXP" hidden="1">"c3471"</definedName>
    <definedName name="IQ_NOL_CF_TOTAL" hidden="1">"c3472"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CASH_PENSION_EXP" hidden="1">"c3000"</definedName>
    <definedName name="IQ_NONRECOURSE_DEBT" hidden="1">"c2550"</definedName>
    <definedName name="IQ_NONRECOURSE_DEBT_PCT" hidden="1">"c2551"</definedName>
    <definedName name="IQ_NONUTIL_REV" hidden="1">"c2089"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B_ACCRUED_LIAB" hidden="1">"c3308"</definedName>
    <definedName name="IQ_OPEB_ACCRUED_LIAB_DOM" hidden="1">"c3306"</definedName>
    <definedName name="IQ_OPEB_ACCRUED_LIAB_FOREIGN" hidden="1">"c3307"</definedName>
    <definedName name="IQ_OPEB_ACCUM_OTHER_CI" hidden="1">"c3314"</definedName>
    <definedName name="IQ_OPEB_ACCUM_OTHER_CI_DOM" hidden="1">"c3312"</definedName>
    <definedName name="IQ_OPEB_ACCUM_OTHER_CI_FOREIGN" hidden="1">"c3313"</definedName>
    <definedName name="IQ_OPEB_ASSETS" hidden="1">"c3356"</definedName>
    <definedName name="IQ_OPEB_ASSETS_ACQ" hidden="1">"c3347"</definedName>
    <definedName name="IQ_OPEB_ASSETS_ACQ_DOM" hidden="1">"c3345"</definedName>
    <definedName name="IQ_OPEB_ASSETS_ACQ_FOREIGN" hidden="1">"c3346"</definedName>
    <definedName name="IQ_OPEB_ASSETS_ACTUAL_RETURN" hidden="1">"c3332"</definedName>
    <definedName name="IQ_OPEB_ASSETS_ACTUAL_RETURN_DOM" hidden="1">"c3330"</definedName>
    <definedName name="IQ_OPEB_ASSETS_ACTUAL_RETURN_FOREIGN" hidden="1">"c3331"</definedName>
    <definedName name="IQ_OPEB_ASSETS_BEG" hidden="1">"c3329"</definedName>
    <definedName name="IQ_OPEB_ASSETS_BEG_DOM" hidden="1">"c3327"</definedName>
    <definedName name="IQ_OPEB_ASSETS_BEG_FOREIGN" hidden="1">"c3328"</definedName>
    <definedName name="IQ_OPEB_ASSETS_BENEFITS_PAID" hidden="1">"c3341"</definedName>
    <definedName name="IQ_OPEB_ASSETS_BENEFITS_PAID_DOM" hidden="1">"c3339"</definedName>
    <definedName name="IQ_OPEB_ASSETS_BENEFITS_PAID_FOREIGN" hidden="1">"c3340"</definedName>
    <definedName name="IQ_OPEB_ASSETS_CURTAIL" hidden="1">"c3350"</definedName>
    <definedName name="IQ_OPEB_ASSETS_CURTAIL_DOM" hidden="1">"c3348"</definedName>
    <definedName name="IQ_OPEB_ASSETS_CURTAIL_FOREIGN" hidden="1">"c3349"</definedName>
    <definedName name="IQ_OPEB_ASSETS_DOM" hidden="1">"c3354"</definedName>
    <definedName name="IQ_OPEB_ASSETS_EMPLOYER_CONTRIBUTIONS" hidden="1">"c3335"</definedName>
    <definedName name="IQ_OPEB_ASSETS_EMPLOYER_CONTRIBUTIONS_DOM" hidden="1">"c3333"</definedName>
    <definedName name="IQ_OPEB_ASSETS_EMPLOYER_CONTRIBUTIONS_FOREIGN" hidden="1">"c3334"</definedName>
    <definedName name="IQ_OPEB_ASSETS_FOREIGN" hidden="1">"c3355"</definedName>
    <definedName name="IQ_OPEB_ASSETS_FX_ADJ" hidden="1">"c3344"</definedName>
    <definedName name="IQ_OPEB_ASSETS_FX_ADJ_DOM" hidden="1">"c3342"</definedName>
    <definedName name="IQ_OPEB_ASSETS_FX_ADJ_FOREIGN" hidden="1">"c3343"</definedName>
    <definedName name="IQ_OPEB_ASSETS_OTHER_PLAN_ADJ" hidden="1">"c3353"</definedName>
    <definedName name="IQ_OPEB_ASSETS_OTHER_PLAN_ADJ_DOM" hidden="1">"c3351"</definedName>
    <definedName name="IQ_OPEB_ASSETS_OTHER_PLAN_ADJ_FOREIGN" hidden="1">"c3352"</definedName>
    <definedName name="IQ_OPEB_ASSETS_PARTICIP_CONTRIBUTIONS" hidden="1">"c3338"</definedName>
    <definedName name="IQ_OPEB_ASSETS_PARTICIP_CONTRIBUTIONS_DOM" hidden="1">"c3336"</definedName>
    <definedName name="IQ_OPEB_ASSETS_PARTICIP_CONTRIBUTIONS_FOREIGN" hidden="1">"c3337"</definedName>
    <definedName name="IQ_OPEB_BENEFIT_INFO_DATE" hidden="1">"c3410"</definedName>
    <definedName name="IQ_OPEB_BENEFIT_INFO_DATE_DOM" hidden="1">"c3408"</definedName>
    <definedName name="IQ_OPEB_BENEFIT_INFO_DATE_FOREIGN" hidden="1">"c3409"</definedName>
    <definedName name="IQ_OPEB_BREAKDOWN_EQ" hidden="1">"c3275"</definedName>
    <definedName name="IQ_OPEB_BREAKDOWN_EQ_DOM" hidden="1">"c3273"</definedName>
    <definedName name="IQ_OPEB_BREAKDOWN_EQ_FOREIGN" hidden="1">"c3274"</definedName>
    <definedName name="IQ_OPEB_BREAKDOWN_FI" hidden="1">"c3278"</definedName>
    <definedName name="IQ_OPEB_BREAKDOWN_FI_DOM" hidden="1">"c3276"</definedName>
    <definedName name="IQ_OPEB_BREAKDOWN_FI_FOREIGN" hidden="1">"c3277"</definedName>
    <definedName name="IQ_OPEB_BREAKDOWN_OTHER" hidden="1">"c3284"</definedName>
    <definedName name="IQ_OPEB_BREAKDOWN_OTHER_DOM" hidden="1">"c3282"</definedName>
    <definedName name="IQ_OPEB_BREAKDOWN_OTHER_FOREIGN" hidden="1">"c3283"</definedName>
    <definedName name="IQ_OPEB_BREAKDOWN_PCT_EQ" hidden="1">"c3263"</definedName>
    <definedName name="IQ_OPEB_BREAKDOWN_PCT_EQ_DOM" hidden="1">"c3261"</definedName>
    <definedName name="IQ_OPEB_BREAKDOWN_PCT_EQ_FOREIGN" hidden="1">"c3262"</definedName>
    <definedName name="IQ_OPEB_BREAKDOWN_PCT_FI" hidden="1">"c3266"</definedName>
    <definedName name="IQ_OPEB_BREAKDOWN_PCT_FI_DOM" hidden="1">"c3264"</definedName>
    <definedName name="IQ_OPEB_BREAKDOWN_PCT_FI_FOREIGN" hidden="1">"c3265"</definedName>
    <definedName name="IQ_OPEB_BREAKDOWN_PCT_OTHER" hidden="1">"c3272"</definedName>
    <definedName name="IQ_OPEB_BREAKDOWN_PCT_OTHER_DOM" hidden="1">"c3270"</definedName>
    <definedName name="IQ_OPEB_BREAKDOWN_PCT_OTHER_FOREIGN" hidden="1">"c3271"</definedName>
    <definedName name="IQ_OPEB_BREAKDOWN_PCT_RE" hidden="1">"c3269"</definedName>
    <definedName name="IQ_OPEB_BREAKDOWN_PCT_RE_DOM" hidden="1">"c3267"</definedName>
    <definedName name="IQ_OPEB_BREAKDOWN_PCT_RE_FOREIGN" hidden="1">"c3268"</definedName>
    <definedName name="IQ_OPEB_BREAKDOWN_RE" hidden="1">"c3281"</definedName>
    <definedName name="IQ_OPEB_BREAKDOWN_RE_DOM" hidden="1">"c3279"</definedName>
    <definedName name="IQ_OPEB_BREAKDOWN_RE_FOREIGN" hidden="1">"c3280"</definedName>
    <definedName name="IQ_OPEB_DECREASE_EFFECT_PBO" hidden="1">"c3458"</definedName>
    <definedName name="IQ_OPEB_DECREASE_EFFECT_PBO_DOM" hidden="1">"c3456"</definedName>
    <definedName name="IQ_OPEB_DECREASE_EFFECT_PBO_FOREIGN" hidden="1">"c3457"</definedName>
    <definedName name="IQ_OPEB_DECREASE_EFFECT_SERVICE_INT_COST" hidden="1">"c3455"</definedName>
    <definedName name="IQ_OPEB_DECREASE_EFFECT_SERVICE_INT_COST_DOM" hidden="1">"c3453"</definedName>
    <definedName name="IQ_OPEB_DECREASE_EFFECT_SERVICE_INT_COST_FOREIGN" hidden="1">"c3454"</definedName>
    <definedName name="IQ_OPEB_DISC_RATE_MAX" hidden="1">"c3422"</definedName>
    <definedName name="IQ_OPEB_DISC_RATE_MAX_DOM" hidden="1">"c3420"</definedName>
    <definedName name="IQ_OPEB_DISC_RATE_MAX_FOREIGN" hidden="1">"c3421"</definedName>
    <definedName name="IQ_OPEB_DISC_RATE_MIN" hidden="1">"c3419"</definedName>
    <definedName name="IQ_OPEB_DISC_RATE_MIN_DOM" hidden="1">"c3417"</definedName>
    <definedName name="IQ_OPEB_DISC_RATE_MIN_FOREIGN" hidden="1">"c3418"</definedName>
    <definedName name="IQ_OPEB_EST_BENEFIT_1YR" hidden="1">"c3287"</definedName>
    <definedName name="IQ_OPEB_EST_BENEFIT_1YR_DOM" hidden="1">"c3285"</definedName>
    <definedName name="IQ_OPEB_EST_BENEFIT_1YR_FOREIGN" hidden="1">"c3286"</definedName>
    <definedName name="IQ_OPEB_EST_BENEFIT_2YR" hidden="1">"c3290"</definedName>
    <definedName name="IQ_OPEB_EST_BENEFIT_2YR_DOM" hidden="1">"c3288"</definedName>
    <definedName name="IQ_OPEB_EST_BENEFIT_2YR_FOREIGN" hidden="1">"c3289"</definedName>
    <definedName name="IQ_OPEB_EST_BENEFIT_3YR" hidden="1">"c3293"</definedName>
    <definedName name="IQ_OPEB_EST_BENEFIT_3YR_DOM" hidden="1">"c3291"</definedName>
    <definedName name="IQ_OPEB_EST_BENEFIT_3YR_FOREIGN" hidden="1">"c3292"</definedName>
    <definedName name="IQ_OPEB_EST_BENEFIT_4YR" hidden="1">"c3296"</definedName>
    <definedName name="IQ_OPEB_EST_BENEFIT_4YR_DOM" hidden="1">"c3294"</definedName>
    <definedName name="IQ_OPEB_EST_BENEFIT_4YR_FOREIGN" hidden="1">"c3295"</definedName>
    <definedName name="IQ_OPEB_EST_BENEFIT_5YR" hidden="1">"c3299"</definedName>
    <definedName name="IQ_OPEB_EST_BENEFIT_5YR_DOM" hidden="1">"c3297"</definedName>
    <definedName name="IQ_OPEB_EST_BENEFIT_5YR_FOREIGN" hidden="1">"c3298"</definedName>
    <definedName name="IQ_OPEB_EST_BENEFIT_AFTER5" hidden="1">"c3302"</definedName>
    <definedName name="IQ_OPEB_EST_BENEFIT_AFTER5_DOM" hidden="1">"c3300"</definedName>
    <definedName name="IQ_OPEB_EST_BENEFIT_AFTER5_FOREIGN" hidden="1">"c3301"</definedName>
    <definedName name="IQ_OPEB_EXP_RATE_RETURN_MAX" hidden="1">"c3434"</definedName>
    <definedName name="IQ_OPEB_EXP_RATE_RETURN_MAX_DOM" hidden="1">"c3432"</definedName>
    <definedName name="IQ_OPEB_EXP_RATE_RETURN_MAX_FOREIGN" hidden="1">"c3433"</definedName>
    <definedName name="IQ_OPEB_EXP_RATE_RETURN_MIN" hidden="1">"c3431"</definedName>
    <definedName name="IQ_OPEB_EXP_RATE_RETURN_MIN_DOM" hidden="1">"c3429"</definedName>
    <definedName name="IQ_OPEB_EXP_RATE_RETURN_MIN_FOREIGN" hidden="1">"c3430"</definedName>
    <definedName name="IQ_OPEB_EXP_RETURN" hidden="1">"c3398"</definedName>
    <definedName name="IQ_OPEB_EXP_RETURN_DOM" hidden="1">"c3396"</definedName>
    <definedName name="IQ_OPEB_EXP_RETURN_FOREIGN" hidden="1">"c3397"</definedName>
    <definedName name="IQ_OPEB_HEALTH_COST_TREND_INITIAL" hidden="1">"c3413"</definedName>
    <definedName name="IQ_OPEB_HEALTH_COST_TREND_INITIAL_DOM" hidden="1">"c3411"</definedName>
    <definedName name="IQ_OPEB_HEALTH_COST_TREND_INITIAL_FOREIGN" hidden="1">"c3412"</definedName>
    <definedName name="IQ_OPEB_HEALTH_COST_TREND_ULTIMATE" hidden="1">"c3416"</definedName>
    <definedName name="IQ_OPEB_HEALTH_COST_TREND_ULTIMATE_DOM" hidden="1">"c3414"</definedName>
    <definedName name="IQ_OPEB_HEALTH_COST_TREND_ULTIMATE_FOREIGN" hidden="1">"c3415"</definedName>
    <definedName name="IQ_OPEB_INCREASE_EFFECT_PBO" hidden="1">"c3452"</definedName>
    <definedName name="IQ_OPEB_INCREASE_EFFECT_PBO_DOM" hidden="1">"c3450"</definedName>
    <definedName name="IQ_OPEB_INCREASE_EFFECT_PBO_FOREIGN" hidden="1">"c3451"</definedName>
    <definedName name="IQ_OPEB_INCREASE_EFFECT_SERVICE_INT_COST" hidden="1">"c3449"</definedName>
    <definedName name="IQ_OPEB_INCREASE_EFFECT_SERVICE_INT_COST_DOM" hidden="1">"c3447"</definedName>
    <definedName name="IQ_OPEB_INCREASE_EFFECT_SERVICE_INT_COST_FOREIGN" hidden="1">"c3448"</definedName>
    <definedName name="IQ_OPEB_INTAN_ASSETS" hidden="1">"c3311"</definedName>
    <definedName name="IQ_OPEB_INTAN_ASSETS_DOM" hidden="1">"c3309"</definedName>
    <definedName name="IQ_OPEB_INTAN_ASSETS_FOREIGN" hidden="1">"c3310"</definedName>
    <definedName name="IQ_OPEB_INTEREST_COST" hidden="1">"c3395"</definedName>
    <definedName name="IQ_OPEB_INTEREST_COST_DOM" hidden="1">"c3393"</definedName>
    <definedName name="IQ_OPEB_INTEREST_COST_FOREIGN" hidden="1">"c3394"</definedName>
    <definedName name="IQ_OPEB_NET_ASSET_RECOG" hidden="1">"c3326"</definedName>
    <definedName name="IQ_OPEB_NET_ASSET_RECOG_DOM" hidden="1">"c3324"</definedName>
    <definedName name="IQ_OPEB_NET_ASSET_RECOG_FOREIGN" hidden="1">"c3325"</definedName>
    <definedName name="IQ_OPEB_OBLIGATION_ACCUMULATED" hidden="1">"c3407"</definedName>
    <definedName name="IQ_OPEB_OBLIGATION_ACCUMULATED_DOM" hidden="1">"c3405"</definedName>
    <definedName name="IQ_OPEB_OBLIGATION_ACCUMULATED_FOREIGN" hidden="1">"c3406"</definedName>
    <definedName name="IQ_OPEB_OBLIGATION_ACQ" hidden="1">"c3380"</definedName>
    <definedName name="IQ_OPEB_OBLIGATION_ACQ_DOM" hidden="1">"c3378"</definedName>
    <definedName name="IQ_OPEB_OBLIGATION_ACQ_FOREIGN" hidden="1">"c3379"</definedName>
    <definedName name="IQ_OPEB_OBLIGATION_ACTUARIAL_GAIN_LOSS" hidden="1">"c3371"</definedName>
    <definedName name="IQ_OPEB_OBLIGATION_ACTUARIAL_GAIN_LOSS_DOM" hidden="1">"c3369"</definedName>
    <definedName name="IQ_OPEB_OBLIGATION_ACTUARIAL_GAIN_LOSS_FOREIGN" hidden="1">"c3370"</definedName>
    <definedName name="IQ_OPEB_OBLIGATION_BEG" hidden="1">"c3359"</definedName>
    <definedName name="IQ_OPEB_OBLIGATION_BEG_DOM" hidden="1">"c3357"</definedName>
    <definedName name="IQ_OPEB_OBLIGATION_BEG_FOREIGN" hidden="1">"c3358"</definedName>
    <definedName name="IQ_OPEB_OBLIGATION_CURTAIL" hidden="1">"c3383"</definedName>
    <definedName name="IQ_OPEB_OBLIGATION_CURTAIL_DOM" hidden="1">"c3381"</definedName>
    <definedName name="IQ_OPEB_OBLIGATION_CURTAIL_FOREIGN" hidden="1">"c3382"</definedName>
    <definedName name="IQ_OPEB_OBLIGATION_EMPLOYEE_CONTRIBUTIONS" hidden="1">"c3368"</definedName>
    <definedName name="IQ_OPEB_OBLIGATION_EMPLOYEE_CONTRIBUTIONS_DOM" hidden="1">"c3366"</definedName>
    <definedName name="IQ_OPEB_OBLIGATION_EMPLOYEE_CONTRIBUTIONS_FOREIGN" hidden="1">"c3367"</definedName>
    <definedName name="IQ_OPEB_OBLIGATION_FX_ADJ" hidden="1">"c3377"</definedName>
    <definedName name="IQ_OPEB_OBLIGATION_FX_ADJ_DOM" hidden="1">"c3375"</definedName>
    <definedName name="IQ_OPEB_OBLIGATION_FX_ADJ_FOREIGN" hidden="1">"c3376"</definedName>
    <definedName name="IQ_OPEB_OBLIGATION_INTEREST_COST" hidden="1">"c3365"</definedName>
    <definedName name="IQ_OPEB_OBLIGATION_INTEREST_COST_DOM" hidden="1">"c3363"</definedName>
    <definedName name="IQ_OPEB_OBLIGATION_INTEREST_COST_FOREIGN" hidden="1">"c3364"</definedName>
    <definedName name="IQ_OPEB_OBLIGATION_OTHER_PLAN_ADJ" hidden="1">"c3386"</definedName>
    <definedName name="IQ_OPEB_OBLIGATION_OTHER_PLAN_ADJ_DOM" hidden="1">"c3384"</definedName>
    <definedName name="IQ_OPEB_OBLIGATION_OTHER_PLAN_ADJ_FOREIGN" hidden="1">"c3385"</definedName>
    <definedName name="IQ_OPEB_OBLIGATION_PAID" hidden="1">"c3374"</definedName>
    <definedName name="IQ_OPEB_OBLIGATION_PAID_DOM" hidden="1">"c3372"</definedName>
    <definedName name="IQ_OPEB_OBLIGATION_PAID_FOREIGN" hidden="1">"c3373"</definedName>
    <definedName name="IQ_OPEB_OBLIGATION_PROJECTED" hidden="1">"c3389"</definedName>
    <definedName name="IQ_OPEB_OBLIGATION_PROJECTED_DOM" hidden="1">"c3387"</definedName>
    <definedName name="IQ_OPEB_OBLIGATION_PROJECTED_FOREIGN" hidden="1">"c3388"</definedName>
    <definedName name="IQ_OPEB_OBLIGATION_SERVICE_COST" hidden="1">"c3362"</definedName>
    <definedName name="IQ_OPEB_OBLIGATION_SERVICE_COST_DOM" hidden="1">"c3360"</definedName>
    <definedName name="IQ_OPEB_OBLIGATION_SERVICE_COST_FOREIGN" hidden="1">"c3361"</definedName>
    <definedName name="IQ_OPEB_OTHER" hidden="1">"c3317"</definedName>
    <definedName name="IQ_OPEB_OTHER_ADJ" hidden="1">"c3323"</definedName>
    <definedName name="IQ_OPEB_OTHER_ADJ_DOM" hidden="1">"c3321"</definedName>
    <definedName name="IQ_OPEB_OTHER_ADJ_FOREIGN" hidden="1">"c3322"</definedName>
    <definedName name="IQ_OPEB_OTHER_COST" hidden="1">"c3401"</definedName>
    <definedName name="IQ_OPEB_OTHER_COST_DOM" hidden="1">"c3399"</definedName>
    <definedName name="IQ_OPEB_OTHER_COST_FOREIGN" hidden="1">"c3400"</definedName>
    <definedName name="IQ_OPEB_OTHER_DOM" hidden="1">"c3315"</definedName>
    <definedName name="IQ_OPEB_OTHER_FOREIGN" hidden="1">"c3316"</definedName>
    <definedName name="IQ_OPEB_PBO_ASSUMED_RATE_RET_MAX" hidden="1">"c3440"</definedName>
    <definedName name="IQ_OPEB_PBO_ASSUMED_RATE_RET_MAX_DOM" hidden="1">"c3438"</definedName>
    <definedName name="IQ_OPEB_PBO_ASSUMED_RATE_RET_MAX_FOREIGN" hidden="1">"c3439"</definedName>
    <definedName name="IQ_OPEB_PBO_ASSUMED_RATE_RET_MIN" hidden="1">"c3437"</definedName>
    <definedName name="IQ_OPEB_PBO_ASSUMED_RATE_RET_MIN_DOM" hidden="1">"c3435"</definedName>
    <definedName name="IQ_OPEB_PBO_ASSUMED_RATE_RET_MIN_FOREIGN" hidden="1">"c3436"</definedName>
    <definedName name="IQ_OPEB_PBO_RATE_COMP_INCREASE_MAX" hidden="1">"c3446"</definedName>
    <definedName name="IQ_OPEB_PBO_RATE_COMP_INCREASE_MAX_DOM" hidden="1">"c3444"</definedName>
    <definedName name="IQ_OPEB_PBO_RATE_COMP_INCREASE_MAX_FOREIGN" hidden="1">"c3445"</definedName>
    <definedName name="IQ_OPEB_PBO_RATE_COMP_INCREASE_MIN" hidden="1">"c3443"</definedName>
    <definedName name="IQ_OPEB_PBO_RATE_COMP_INCREASE_MIN_DOM" hidden="1">"c3441"</definedName>
    <definedName name="IQ_OPEB_PBO_RATE_COMP_INCREASE_MIN_FOREIGN" hidden="1">"c3442"</definedName>
    <definedName name="IQ_OPEB_PREPAID_COST" hidden="1">"c3305"</definedName>
    <definedName name="IQ_OPEB_PREPAID_COST_DOM" hidden="1">"c3303"</definedName>
    <definedName name="IQ_OPEB_PREPAID_COST_FOREIGN" hidden="1">"c3304"</definedName>
    <definedName name="IQ_OPEB_RATE_COMP_INCREASE_MAX" hidden="1">"c3428"</definedName>
    <definedName name="IQ_OPEB_RATE_COMP_INCREASE_MAX_DOM" hidden="1">"c3426"</definedName>
    <definedName name="IQ_OPEB_RATE_COMP_INCREASE_MAX_FOREIGN" hidden="1">"c3427"</definedName>
    <definedName name="IQ_OPEB_RATE_COMP_INCREASE_MIN" hidden="1">"c3425"</definedName>
    <definedName name="IQ_OPEB_RATE_COMP_INCREASE_MIN_DOM" hidden="1">"c3423"</definedName>
    <definedName name="IQ_OPEB_RATE_COMP_INCREASE_MIN_FOREIGN" hidden="1">"c3424"</definedName>
    <definedName name="IQ_OPEB_SERVICE_COST" hidden="1">"c3392"</definedName>
    <definedName name="IQ_OPEB_SERVICE_COST_DOM" hidden="1">"c3390"</definedName>
    <definedName name="IQ_OPEB_SERVICE_COST_FOREIGN" hidden="1">"c3391"</definedName>
    <definedName name="IQ_OPEB_TOTAL_COST" hidden="1">"c3404"</definedName>
    <definedName name="IQ_OPEB_TOTAL_COST_DOM" hidden="1">"c3402"</definedName>
    <definedName name="IQ_OPEB_TOTAL_COST_FOREIGN" hidden="1">"c3403"</definedName>
    <definedName name="IQ_OPEB_UNRECOG_PRIOR" hidden="1">"c3320"</definedName>
    <definedName name="IQ_OPEB_UNRECOG_PRIOR_DOM" hidden="1">"c3318"</definedName>
    <definedName name="IQ_OPEB_UNRECOG_PRIOR_FOREIGN" hidden="1">"c3319"</definedName>
    <definedName name="IQ_OPENPRICE" hidden="1">"c848"</definedName>
    <definedName name="IQ_OPER_INC" hidden="1">"c849"</definedName>
    <definedName name="IQ_OPER_INC_BR" hidden="1">"c850"</definedName>
    <definedName name="IQ_OPER_INC_FIN" hidden="1">"c851"</definedName>
    <definedName name="IQ_OPER_INC_INS" hidden="1">"c852"</definedName>
    <definedName name="IQ_OPER_INC_MARGIN" hidden="1">"c1448"</definedName>
    <definedName name="IQ_OPER_INC_REIT" hidden="1">"c853"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THER_ADJUST_GROSS_LOANS" hidden="1">"c859"</definedName>
    <definedName name="IQ_OTHER_AMORT" hidden="1">"c5563"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ED" hidden="1">"c2688"</definedName>
    <definedName name="IQ_OTHER_OPTIONS_GRANTED" hidden="1">"c2687"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TRIKE_PRICE_GRANTED" hidden="1">"c2692"</definedName>
    <definedName name="IQ_OTHER_UNDRAWN" hidden="1">"c2522"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"c1023"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EXCL_FWD_REUT" hidden="1">"c4049"</definedName>
    <definedName name="IQ_PE_NORMALIZED" hidden="1">"c2207"</definedName>
    <definedName name="IQ_PE_RATIO" hidden="1">"c1610"</definedName>
    <definedName name="IQ_PEG_FWD" hidden="1">"c1863"</definedName>
    <definedName name="IQ_PEG_FWD_REUT" hidden="1">"c4052"</definedName>
    <definedName name="IQ_PENSION" hidden="1">"c1031"</definedName>
    <definedName name="IQ_PENSION_ACCRUED_LIAB" hidden="1">"c3134"</definedName>
    <definedName name="IQ_PENSION_ACCRUED_LIAB_DOM" hidden="1">"c3132"</definedName>
    <definedName name="IQ_PENSION_ACCRUED_LIAB_FOREIGN" hidden="1">"c3133"</definedName>
    <definedName name="IQ_PENSION_ACCUM_OTHER_CI" hidden="1">"c3140"</definedName>
    <definedName name="IQ_PENSION_ACCUM_OTHER_CI_DOM" hidden="1">"c3138"</definedName>
    <definedName name="IQ_PENSION_ACCUM_OTHER_CI_FOREIGN" hidden="1">"c3139"</definedName>
    <definedName name="IQ_PENSION_ACCUMULATED_OBLIGATION" hidden="1">"c3570"</definedName>
    <definedName name="IQ_PENSION_ACCUMULATED_OBLIGATION_DOMESTIC" hidden="1">"c3568"</definedName>
    <definedName name="IQ_PENSION_ACCUMULATED_OBLIGATION_FOREIGN" hidden="1">"c3569"</definedName>
    <definedName name="IQ_PENSION_ASSETS" hidden="1">"c3182"</definedName>
    <definedName name="IQ_PENSION_ASSETS_ACQ" hidden="1">"c3173"</definedName>
    <definedName name="IQ_PENSION_ASSETS_ACQ_DOM" hidden="1">"c3171"</definedName>
    <definedName name="IQ_PENSION_ASSETS_ACQ_FOREIGN" hidden="1">"c3172"</definedName>
    <definedName name="IQ_PENSION_ASSETS_ACTUAL_RETURN" hidden="1">"c3158"</definedName>
    <definedName name="IQ_PENSION_ASSETS_ACTUAL_RETURN_DOM" hidden="1">"c3156"</definedName>
    <definedName name="IQ_PENSION_ASSETS_ACTUAL_RETURN_FOREIGN" hidden="1">"c3157"</definedName>
    <definedName name="IQ_PENSION_ASSETS_BEG" hidden="1">"c3155"</definedName>
    <definedName name="IQ_PENSION_ASSETS_BEG_DOM" hidden="1">"c3153"</definedName>
    <definedName name="IQ_PENSION_ASSETS_BEG_FOREIGN" hidden="1">"c3154"</definedName>
    <definedName name="IQ_PENSION_ASSETS_BENEFITS_PAID" hidden="1">"c3167"</definedName>
    <definedName name="IQ_PENSION_ASSETS_BENEFITS_PAID_DOM" hidden="1">"c3165"</definedName>
    <definedName name="IQ_PENSION_ASSETS_BENEFITS_PAID_FOREIGN" hidden="1">"c3166"</definedName>
    <definedName name="IQ_PENSION_ASSETS_CURTAIL" hidden="1">"c3176"</definedName>
    <definedName name="IQ_PENSION_ASSETS_CURTAIL_DOM" hidden="1">"c3174"</definedName>
    <definedName name="IQ_PENSION_ASSETS_CURTAIL_FOREIGN" hidden="1">"c3175"</definedName>
    <definedName name="IQ_PENSION_ASSETS_DOM" hidden="1">"c3180"</definedName>
    <definedName name="IQ_PENSION_ASSETS_EMPLOYER_CONTRIBUTIONS" hidden="1">"c3161"</definedName>
    <definedName name="IQ_PENSION_ASSETS_EMPLOYER_CONTRIBUTIONS_DOM" hidden="1">"c3159"</definedName>
    <definedName name="IQ_PENSION_ASSETS_EMPLOYER_CONTRIBUTIONS_FOREIGN" hidden="1">"c3160"</definedName>
    <definedName name="IQ_PENSION_ASSETS_FOREIGN" hidden="1">"c3181"</definedName>
    <definedName name="IQ_PENSION_ASSETS_FX_ADJ" hidden="1">"c3170"</definedName>
    <definedName name="IQ_PENSION_ASSETS_FX_ADJ_DOM" hidden="1">"c3168"</definedName>
    <definedName name="IQ_PENSION_ASSETS_FX_ADJ_FOREIGN" hidden="1">"c3169"</definedName>
    <definedName name="IQ_PENSION_ASSETS_OTHER_PLAN_ADJ" hidden="1">"c3179"</definedName>
    <definedName name="IQ_PENSION_ASSETS_OTHER_PLAN_ADJ_DOM" hidden="1">"c3177"</definedName>
    <definedName name="IQ_PENSION_ASSETS_OTHER_PLAN_ADJ_FOREIGN" hidden="1">"c3178"</definedName>
    <definedName name="IQ_PENSION_ASSETS_PARTICIP_CONTRIBUTIONS" hidden="1">"c3164"</definedName>
    <definedName name="IQ_PENSION_ASSETS_PARTICIP_CONTRIBUTIONS_DOM" hidden="1">"c3162"</definedName>
    <definedName name="IQ_PENSION_ASSETS_PARTICIP_CONTRIBUTIONS_FOREIGN" hidden="1">"c3163"</definedName>
    <definedName name="IQ_PENSION_BENEFIT_INFO_DATE" hidden="1">"c3230"</definedName>
    <definedName name="IQ_PENSION_BENEFIT_INFO_DATE_DOM" hidden="1">"c3228"</definedName>
    <definedName name="IQ_PENSION_BENEFIT_INFO_DATE_FOREIGN" hidden="1">"c3229"</definedName>
    <definedName name="IQ_PENSION_BREAKDOWN_EQ" hidden="1">"c3101"</definedName>
    <definedName name="IQ_PENSION_BREAKDOWN_EQ_DOM" hidden="1">"c3099"</definedName>
    <definedName name="IQ_PENSION_BREAKDOWN_EQ_FOREIGN" hidden="1">"c3100"</definedName>
    <definedName name="IQ_PENSION_BREAKDOWN_FI" hidden="1">"c3104"</definedName>
    <definedName name="IQ_PENSION_BREAKDOWN_FI_DOM" hidden="1">"c3102"</definedName>
    <definedName name="IQ_PENSION_BREAKDOWN_FI_FOREIGN" hidden="1">"c3103"</definedName>
    <definedName name="IQ_PENSION_BREAKDOWN_OTHER" hidden="1">"c3110"</definedName>
    <definedName name="IQ_PENSION_BREAKDOWN_OTHER_DOM" hidden="1">"c3108"</definedName>
    <definedName name="IQ_PENSION_BREAKDOWN_OTHER_FOREIGN" hidden="1">"c3109"</definedName>
    <definedName name="IQ_PENSION_BREAKDOWN_PCT_EQ" hidden="1">"c3089"</definedName>
    <definedName name="IQ_PENSION_BREAKDOWN_PCT_EQ_DOM" hidden="1">"c3087"</definedName>
    <definedName name="IQ_PENSION_BREAKDOWN_PCT_EQ_FOREIGN" hidden="1">"c3088"</definedName>
    <definedName name="IQ_PENSION_BREAKDOWN_PCT_FI" hidden="1">"c3092"</definedName>
    <definedName name="IQ_PENSION_BREAKDOWN_PCT_FI_DOM" hidden="1">"c3090"</definedName>
    <definedName name="IQ_PENSION_BREAKDOWN_PCT_FI_FOREIGN" hidden="1">"c3091"</definedName>
    <definedName name="IQ_PENSION_BREAKDOWN_PCT_OTHER" hidden="1">"c3098"</definedName>
    <definedName name="IQ_PENSION_BREAKDOWN_PCT_OTHER_DOM" hidden="1">"c3096"</definedName>
    <definedName name="IQ_PENSION_BREAKDOWN_PCT_OTHER_FOREIGN" hidden="1">"c3097"</definedName>
    <definedName name="IQ_PENSION_BREAKDOWN_PCT_RE" hidden="1">"c3095"</definedName>
    <definedName name="IQ_PENSION_BREAKDOWN_PCT_RE_DOM" hidden="1">"c3093"</definedName>
    <definedName name="IQ_PENSION_BREAKDOWN_PCT_RE_FOREIGN" hidden="1">"c3094"</definedName>
    <definedName name="IQ_PENSION_BREAKDOWN_RE" hidden="1">"c3107"</definedName>
    <definedName name="IQ_PENSION_BREAKDOWN_RE_DOM" hidden="1">"c3105"</definedName>
    <definedName name="IQ_PENSION_BREAKDOWN_RE_FOREIGN" hidden="1">"c3106"</definedName>
    <definedName name="IQ_PENSION_CONTRIBUTION_TOTAL_COST" hidden="1">"c3559"</definedName>
    <definedName name="IQ_PENSION_DISC_RATE_MAX" hidden="1">"c3236"</definedName>
    <definedName name="IQ_PENSION_DISC_RATE_MAX_DOM" hidden="1">"c3234"</definedName>
    <definedName name="IQ_PENSION_DISC_RATE_MAX_FOREIGN" hidden="1">"c3235"</definedName>
    <definedName name="IQ_PENSION_DISC_RATE_MIN" hidden="1">"c3233"</definedName>
    <definedName name="IQ_PENSION_DISC_RATE_MIN_DOM" hidden="1">"c3231"</definedName>
    <definedName name="IQ_PENSION_DISC_RATE_MIN_FOREIGN" hidden="1">"c3232"</definedName>
    <definedName name="IQ_PENSION_DISCOUNT_RATE_DOMESTIC" hidden="1">"c3573"</definedName>
    <definedName name="IQ_PENSION_DISCOUNT_RATE_FOREIGN" hidden="1">"c3574"</definedName>
    <definedName name="IQ_PENSION_EST_BENEFIT_1YR" hidden="1">"c3113"</definedName>
    <definedName name="IQ_PENSION_EST_BENEFIT_1YR_DOM" hidden="1">"c3111"</definedName>
    <definedName name="IQ_PENSION_EST_BENEFIT_1YR_FOREIGN" hidden="1">"c3112"</definedName>
    <definedName name="IQ_PENSION_EST_BENEFIT_2YR" hidden="1">"c3116"</definedName>
    <definedName name="IQ_PENSION_EST_BENEFIT_2YR_DOM" hidden="1">"c3114"</definedName>
    <definedName name="IQ_PENSION_EST_BENEFIT_2YR_FOREIGN" hidden="1">"c3115"</definedName>
    <definedName name="IQ_PENSION_EST_BENEFIT_3YR" hidden="1">"c3119"</definedName>
    <definedName name="IQ_PENSION_EST_BENEFIT_3YR_DOM" hidden="1">"c3117"</definedName>
    <definedName name="IQ_PENSION_EST_BENEFIT_3YR_FOREIGN" hidden="1">"c3118"</definedName>
    <definedName name="IQ_PENSION_EST_BENEFIT_4YR" hidden="1">"c3122"</definedName>
    <definedName name="IQ_PENSION_EST_BENEFIT_4YR_DOM" hidden="1">"c3120"</definedName>
    <definedName name="IQ_PENSION_EST_BENEFIT_4YR_FOREIGN" hidden="1">"c3121"</definedName>
    <definedName name="IQ_PENSION_EST_BENEFIT_5YR" hidden="1">"c3125"</definedName>
    <definedName name="IQ_PENSION_EST_BENEFIT_5YR_DOM" hidden="1">"c3123"</definedName>
    <definedName name="IQ_PENSION_EST_BENEFIT_5YR_FOREIGN" hidden="1">"c3124"</definedName>
    <definedName name="IQ_PENSION_EST_BENEFIT_AFTER5" hidden="1">"c3128"</definedName>
    <definedName name="IQ_PENSION_EST_BENEFIT_AFTER5_DOM" hidden="1">"c3126"</definedName>
    <definedName name="IQ_PENSION_EST_BENEFIT_AFTER5_FOREIGN" hidden="1">"c3127"</definedName>
    <definedName name="IQ_PENSION_EST_CONTRIBUTIONS_NEXTYR" hidden="1">"c3218"</definedName>
    <definedName name="IQ_PENSION_EST_CONTRIBUTIONS_NEXTYR_DOM" hidden="1">"c3216"</definedName>
    <definedName name="IQ_PENSION_EST_CONTRIBUTIONS_NEXTYR_FOREIGN" hidden="1">"c3217"</definedName>
    <definedName name="IQ_PENSION_EXP_RATE_RETURN_MAX" hidden="1">"c3248"</definedName>
    <definedName name="IQ_PENSION_EXP_RATE_RETURN_MAX_DOM" hidden="1">"c3246"</definedName>
    <definedName name="IQ_PENSION_EXP_RATE_RETURN_MAX_FOREIGN" hidden="1">"c3247"</definedName>
    <definedName name="IQ_PENSION_EXP_RATE_RETURN_MIN" hidden="1">"c3245"</definedName>
    <definedName name="IQ_PENSION_EXP_RATE_RETURN_MIN_DOM" hidden="1">"c3243"</definedName>
    <definedName name="IQ_PENSION_EXP_RATE_RETURN_MIN_FOREIGN" hidden="1">"c3244"</definedName>
    <definedName name="IQ_PENSION_EXP_RETURN_DOMESTIC" hidden="1">"c3571"</definedName>
    <definedName name="IQ_PENSION_EXP_RETURN_FOREIGN" hidden="1">"c3572"</definedName>
    <definedName name="IQ_PENSION_INTAN_ASSETS" hidden="1">"c3137"</definedName>
    <definedName name="IQ_PENSION_INTAN_ASSETS_DOM" hidden="1">"c3135"</definedName>
    <definedName name="IQ_PENSION_INTAN_ASSETS_FOREIGN" hidden="1">"c3136"</definedName>
    <definedName name="IQ_PENSION_INTEREST_COST" hidden="1">"c3582"</definedName>
    <definedName name="IQ_PENSION_INTEREST_COST_DOM" hidden="1">"c3580"</definedName>
    <definedName name="IQ_PENSION_INTEREST_COST_FOREIGN" hidden="1">"c3581"</definedName>
    <definedName name="IQ_PENSION_NET_ASSET_RECOG" hidden="1">"c3152"</definedName>
    <definedName name="IQ_PENSION_NET_ASSET_RECOG_DOM" hidden="1">"c3150"</definedName>
    <definedName name="IQ_PENSION_NET_ASSET_RECOG_FOREIGN" hidden="1">"c3151"</definedName>
    <definedName name="IQ_PENSION_OBLIGATION_ACQ" hidden="1">"c3206"</definedName>
    <definedName name="IQ_PENSION_OBLIGATION_ACQ_DOM" hidden="1">"c3204"</definedName>
    <definedName name="IQ_PENSION_OBLIGATION_ACQ_FOREIGN" hidden="1">"c3205"</definedName>
    <definedName name="IQ_PENSION_OBLIGATION_ACTUARIAL_GAIN_LOSS" hidden="1">"c3197"</definedName>
    <definedName name="IQ_PENSION_OBLIGATION_ACTUARIAL_GAIN_LOSS_DOM" hidden="1">"c3195"</definedName>
    <definedName name="IQ_PENSION_OBLIGATION_ACTUARIAL_GAIN_LOSS_FOREIGN" hidden="1">"c3196"</definedName>
    <definedName name="IQ_PENSION_OBLIGATION_BEG" hidden="1">"c3185"</definedName>
    <definedName name="IQ_PENSION_OBLIGATION_BEG_DOM" hidden="1">"c3183"</definedName>
    <definedName name="IQ_PENSION_OBLIGATION_BEG_FOREIGN" hidden="1">"c3184"</definedName>
    <definedName name="IQ_PENSION_OBLIGATION_CURTAIL" hidden="1">"c3209"</definedName>
    <definedName name="IQ_PENSION_OBLIGATION_CURTAIL_DOM" hidden="1">"c3207"</definedName>
    <definedName name="IQ_PENSION_OBLIGATION_CURTAIL_FOREIGN" hidden="1">"c3208"</definedName>
    <definedName name="IQ_PENSION_OBLIGATION_EMPLOYEE_CONTRIBUTIONS" hidden="1">"c3194"</definedName>
    <definedName name="IQ_PENSION_OBLIGATION_EMPLOYEE_CONTRIBUTIONS_DOM" hidden="1">"c3192"</definedName>
    <definedName name="IQ_PENSION_OBLIGATION_EMPLOYEE_CONTRIBUTIONS_FOREIGN" hidden="1">"c3193"</definedName>
    <definedName name="IQ_PENSION_OBLIGATION_FX_ADJ" hidden="1">"c3203"</definedName>
    <definedName name="IQ_PENSION_OBLIGATION_FX_ADJ_DOM" hidden="1">"c3201"</definedName>
    <definedName name="IQ_PENSION_OBLIGATION_FX_ADJ_FOREIGN" hidden="1">"c3202"</definedName>
    <definedName name="IQ_PENSION_OBLIGATION_INTEREST_COST" hidden="1">"c3191"</definedName>
    <definedName name="IQ_PENSION_OBLIGATION_INTEREST_COST_DOM" hidden="1">"c3189"</definedName>
    <definedName name="IQ_PENSION_OBLIGATION_INTEREST_COST_FOREIGN" hidden="1">"c3190"</definedName>
    <definedName name="IQ_PENSION_OBLIGATION_OTHER_COST" hidden="1">"c3555"</definedName>
    <definedName name="IQ_PENSION_OBLIGATION_OTHER_COST_DOM" hidden="1">"c3553"</definedName>
    <definedName name="IQ_PENSION_OBLIGATION_OTHER_COST_FOREIGN" hidden="1">"c3554"</definedName>
    <definedName name="IQ_PENSION_OBLIGATION_OTHER_PLAN_ADJ" hidden="1">"c3212"</definedName>
    <definedName name="IQ_PENSION_OBLIGATION_OTHER_PLAN_ADJ_DOM" hidden="1">"c3210"</definedName>
    <definedName name="IQ_PENSION_OBLIGATION_OTHER_PLAN_ADJ_FOREIGN" hidden="1">"c3211"</definedName>
    <definedName name="IQ_PENSION_OBLIGATION_PAID" hidden="1">"c3200"</definedName>
    <definedName name="IQ_PENSION_OBLIGATION_PAID_DOM" hidden="1">"c3198"</definedName>
    <definedName name="IQ_PENSION_OBLIGATION_PAID_FOREIGN" hidden="1">"c3199"</definedName>
    <definedName name="IQ_PENSION_OBLIGATION_PROJECTED" hidden="1">"c3215"</definedName>
    <definedName name="IQ_PENSION_OBLIGATION_PROJECTED_DOM" hidden="1">"c3213"</definedName>
    <definedName name="IQ_PENSION_OBLIGATION_PROJECTED_FOREIGN" hidden="1">"c3214"</definedName>
    <definedName name="IQ_PENSION_OBLIGATION_ROA" hidden="1">"c3552"</definedName>
    <definedName name="IQ_PENSION_OBLIGATION_ROA_DOM" hidden="1">"c3550"</definedName>
    <definedName name="IQ_PENSION_OBLIGATION_ROA_FOREIGN" hidden="1">"c3551"</definedName>
    <definedName name="IQ_PENSION_OBLIGATION_SERVICE_COST" hidden="1">"c3188"</definedName>
    <definedName name="IQ_PENSION_OBLIGATION_SERVICE_COST_DOM" hidden="1">"c3186"</definedName>
    <definedName name="IQ_PENSION_OBLIGATION_SERVICE_COST_FOREIGN" hidden="1">"c3187"</definedName>
    <definedName name="IQ_PENSION_OBLIGATION_TOTAL_COST" hidden="1">"c3558"</definedName>
    <definedName name="IQ_PENSION_OBLIGATION_TOTAL_COST_DOM" hidden="1">"c3556"</definedName>
    <definedName name="IQ_PENSION_OBLIGATION_TOTAL_COST_FOREIGN" hidden="1">"c3557"</definedName>
    <definedName name="IQ_PENSION_OTHER" hidden="1">"c3143"</definedName>
    <definedName name="IQ_PENSION_OTHER_ADJ" hidden="1">"c3149"</definedName>
    <definedName name="IQ_PENSION_OTHER_ADJ_DOM" hidden="1">"c3147"</definedName>
    <definedName name="IQ_PENSION_OTHER_ADJ_FOREIGN" hidden="1">"c3148"</definedName>
    <definedName name="IQ_PENSION_OTHER_DOM" hidden="1">"c3141"</definedName>
    <definedName name="IQ_PENSION_OTHER_FOREIGN" hidden="1">"c3142"</definedName>
    <definedName name="IQ_PENSION_PBO_ASSUMED_RATE_RET_MAX" hidden="1">"c3254"</definedName>
    <definedName name="IQ_PENSION_PBO_ASSUMED_RATE_RET_MAX_DOM" hidden="1">"c3252"</definedName>
    <definedName name="IQ_PENSION_PBO_ASSUMED_RATE_RET_MAX_FOREIGN" hidden="1">"c3253"</definedName>
    <definedName name="IQ_PENSION_PBO_ASSUMED_RATE_RET_MIN" hidden="1">"c3251"</definedName>
    <definedName name="IQ_PENSION_PBO_ASSUMED_RATE_RET_MIN_DOM" hidden="1">"c3249"</definedName>
    <definedName name="IQ_PENSION_PBO_ASSUMED_RATE_RET_MIN_FOREIGN" hidden="1">"c3250"</definedName>
    <definedName name="IQ_PENSION_PBO_RATE_COMP_INCREASE_MAX" hidden="1">"c3260"</definedName>
    <definedName name="IQ_PENSION_PBO_RATE_COMP_INCREASE_MAX_DOM" hidden="1">"c3258"</definedName>
    <definedName name="IQ_PENSION_PBO_RATE_COMP_INCREASE_MAX_FOREIGN" hidden="1">"c3259"</definedName>
    <definedName name="IQ_PENSION_PBO_RATE_COMP_INCREASE_MIN" hidden="1">"c3257"</definedName>
    <definedName name="IQ_PENSION_PBO_RATE_COMP_INCREASE_MIN_DOM" hidden="1">"c3255"</definedName>
    <definedName name="IQ_PENSION_PBO_RATE_COMP_INCREASE_MIN_FOREIGN" hidden="1">"c3256"</definedName>
    <definedName name="IQ_PENSION_PREPAID_COST" hidden="1">"c3131"</definedName>
    <definedName name="IQ_PENSION_PREPAID_COST_DOM" hidden="1">"c3129"</definedName>
    <definedName name="IQ_PENSION_PREPAID_COST_FOREIGN" hidden="1">"c3130"</definedName>
    <definedName name="IQ_PENSION_PROJECTED_OBLIGATION" hidden="1">"c3566"</definedName>
    <definedName name="IQ_PENSION_PROJECTED_OBLIGATION_DOMESTIC" hidden="1">"c3564"</definedName>
    <definedName name="IQ_PENSION_PROJECTED_OBLIGATION_FOREIGN" hidden="1">"c3565"</definedName>
    <definedName name="IQ_PENSION_QUART_ADDL_CONTRIBUTIONS_EXP" hidden="1">"c3224"</definedName>
    <definedName name="IQ_PENSION_QUART_ADDL_CONTRIBUTIONS_EXP_DOM" hidden="1">"c3222"</definedName>
    <definedName name="IQ_PENSION_QUART_ADDL_CONTRIBUTIONS_EXP_FOREIGN" hidden="1">"c3223"</definedName>
    <definedName name="IQ_PENSION_QUART_EMPLOYER_CONTRIBUTIONS" hidden="1">"c3221"</definedName>
    <definedName name="IQ_PENSION_QUART_EMPLOYER_CONTRIBUTIONS_DOM" hidden="1">"c3219"</definedName>
    <definedName name="IQ_PENSION_QUART_EMPLOYER_CONTRIBUTIONS_FOREIGN" hidden="1">"c3220"</definedName>
    <definedName name="IQ_PENSION_RATE_COMP_GROWTH_DOMESTIC" hidden="1">"c3575"</definedName>
    <definedName name="IQ_PENSION_RATE_COMP_GROWTH_FOREIGN" hidden="1">"c3576"</definedName>
    <definedName name="IQ_PENSION_RATE_COMP_INCREASE_MAX" hidden="1">"c3242"</definedName>
    <definedName name="IQ_PENSION_RATE_COMP_INCREASE_MAX_DOM" hidden="1">"c3240"</definedName>
    <definedName name="IQ_PENSION_RATE_COMP_INCREASE_MAX_FOREIGN" hidden="1">"c3241"</definedName>
    <definedName name="IQ_PENSION_RATE_COMP_INCREASE_MIN" hidden="1">"c3239"</definedName>
    <definedName name="IQ_PENSION_RATE_COMP_INCREASE_MIN_DOM" hidden="1">"c3237"</definedName>
    <definedName name="IQ_PENSION_RATE_COMP_INCREASE_MIN_FOREIGN" hidden="1">"c3238"</definedName>
    <definedName name="IQ_PENSION_SERVICE_COST" hidden="1">"c3579"</definedName>
    <definedName name="IQ_PENSION_SERVICE_COST_DOM" hidden="1">"c3577"</definedName>
    <definedName name="IQ_PENSION_SERVICE_COST_FOREIGN" hidden="1">"c3578"</definedName>
    <definedName name="IQ_PENSION_TOTAL_ASSETS" hidden="1">"c3563"</definedName>
    <definedName name="IQ_PENSION_TOTAL_ASSETS_DOMESTIC" hidden="1">"c3561"</definedName>
    <definedName name="IQ_PENSION_TOTAL_ASSETS_FOREIGN" hidden="1">"c3562"</definedName>
    <definedName name="IQ_PENSION_TOTAL_EXP" hidden="1">"c3560"</definedName>
    <definedName name="IQ_PENSION_UNFUNDED_ADDL_MIN_LIAB" hidden="1">"c3227"</definedName>
    <definedName name="IQ_PENSION_UNFUNDED_ADDL_MIN_LIAB_DOM" hidden="1">"c3225"</definedName>
    <definedName name="IQ_PENSION_UNFUNDED_ADDL_MIN_LIAB_FOREIGN" hidden="1">"c3226"</definedName>
    <definedName name="IQ_PENSION_UNRECOG_PRIOR" hidden="1">"c3146"</definedName>
    <definedName name="IQ_PENSION_UNRECOG_PRIOR_DOM" hidden="1">"c3144"</definedName>
    <definedName name="IQ_PENSION_UNRECOG_PRIOR_FOREIGN" hidden="1">"c3145"</definedName>
    <definedName name="IQ_PENSION_UV_LIAB" hidden="1">"c3567"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RE_OPEN_COST" hidden="1">"c1040"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ICE_OVER_BVPS" hidden="1">"c1412"</definedName>
    <definedName name="IQ_PRICE_OVER_LTM_EPS" hidden="1">"c1413"</definedName>
    <definedName name="IQ_PRICE_TARGET" hidden="1">"c82"</definedName>
    <definedName name="IQ_PRICE_TARGET_REUT" hidden="1">"c3631"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T_DATE_SCHEDULE" hidden="1">"c2483"</definedName>
    <definedName name="IQ_PUT_NOTIFICATION" hidden="1">"c2485"</definedName>
    <definedName name="IQ_PUT_PRICE_SCHEDULE" hidden="1">"c2484"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CURRING_PROFIT_ACT_OR_EST" hidden="1">"c4507"</definedName>
    <definedName name="IQ_RECURRING_PROFIT_SHARE_ACT_OR_EST" hidden="1">"c4508"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_STOCK_COMP" hidden="1">"c3506"</definedName>
    <definedName name="IQ_RESTR_STOCK_COMP_PRETAX" hidden="1">"c3504"</definedName>
    <definedName name="IQ_RESTR_STOCK_COMP_TAX" hidden="1">"c3505"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CQUIRED_FRANCHISE_STORES" hidden="1">"c2903"</definedName>
    <definedName name="IQ_RETAIL_ACQUIRED_OWNED_STORES" hidden="1">"c2895"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STDDEV_EST_REUT" hidden="1">"c3639"</definedName>
    <definedName name="IQ_REV_UTI" hidden="1">"c1125"</definedName>
    <definedName name="IQ_REVENUE" hidden="1">"c1422"</definedName>
    <definedName name="IQ_REVENUE_ACT_OR_EST" hidden="1">"c2214"</definedName>
    <definedName name="IQ_REVENUE_EST" hidden="1">"c1126"</definedName>
    <definedName name="IQ_REVENUE_EST_REUT" hidden="1">"c3634"</definedName>
    <definedName name="IQ_REVENUE_HIGH_EST" hidden="1">"c1127"</definedName>
    <definedName name="IQ_REVENUE_HIGH_EST_REUT" hidden="1">"c3636"</definedName>
    <definedName name="IQ_REVENUE_LOW_EST" hidden="1">"c1128"</definedName>
    <definedName name="IQ_REVENUE_LOW_EST_REUT" hidden="1">"c3637"</definedName>
    <definedName name="IQ_REVENUE_MEDIAN_EST" hidden="1">"c1662"</definedName>
    <definedName name="IQ_REVENUE_MEDIAN_EST_REUT" hidden="1">"c3635"</definedName>
    <definedName name="IQ_REVENUE_NUM_EST" hidden="1">"c1129"</definedName>
    <definedName name="IQ_REVENUE_NUM_EST_REUT" hidden="1">"c3638"</definedName>
    <definedName name="IQ_REVISION_DATE_" hidden="1">39244.4711574074</definedName>
    <definedName name="IQ_RISK_ADJ_BANK_ASSETS" hidden="1">"c2670"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_PURCHASED_RESELL" hidden="1">"c5513"</definedName>
    <definedName name="IQ_SECUR_RECEIV" hidden="1">"c1151"</definedName>
    <definedName name="IQ_SECURED_DEBT" hidden="1">"c2546"</definedName>
    <definedName name="IQ_SECURED_DEBT_PCT" hidden="1">"c2547"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" hidden="1">"c2171"</definedName>
    <definedName name="IQ_SP_BANK" hidden="1">"c2637"</definedName>
    <definedName name="IQ_SP_BANK_ACTION" hidden="1">"c2636"</definedName>
    <definedName name="IQ_SP_BANK_DATE" hidden="1">"c2635"</definedName>
    <definedName name="IQ_SP_DATE" hidden="1">"c2172"</definedName>
    <definedName name="IQ_SP_FIN_ENHANCE_FX" hidden="1">"c2631"</definedName>
    <definedName name="IQ_SP_FIN_ENHANCE_FX_ACTION" hidden="1">"c2630"</definedName>
    <definedName name="IQ_SP_FIN_ENHANCE_FX_DATE" hidden="1">"c2629"</definedName>
    <definedName name="IQ_SP_FIN_ENHANCE_LC" hidden="1">"c2634"</definedName>
    <definedName name="IQ_SP_FIN_ENHANCE_LC_ACTION" hidden="1">"c2633"</definedName>
    <definedName name="IQ_SP_FIN_ENHANCE_LC_DATE" hidden="1">"c2632"</definedName>
    <definedName name="IQ_SP_FIN_STRENGTH_LC_ACTION_LT" hidden="1">"c2625"</definedName>
    <definedName name="IQ_SP_FIN_STRENGTH_LC_ACTION_ST" hidden="1">"c2626"</definedName>
    <definedName name="IQ_SP_FIN_STRENGTH_LC_DATE_LT" hidden="1">"c2623"</definedName>
    <definedName name="IQ_SP_FIN_STRENGTH_LC_DATE_ST" hidden="1">"c2624"</definedName>
    <definedName name="IQ_SP_FIN_STRENGTH_LC_LT" hidden="1">"c2627"</definedName>
    <definedName name="IQ_SP_FIN_STRENGTH_LC_ST" hidden="1">"c2628"</definedName>
    <definedName name="IQ_SP_FX_ACTION_LT" hidden="1">"c2613"</definedName>
    <definedName name="IQ_SP_FX_ACTION_ST" hidden="1">"c2614"</definedName>
    <definedName name="IQ_SP_FX_DATE_LT" hidden="1">"c2611"</definedName>
    <definedName name="IQ_SP_FX_DATE_ST" hidden="1">"c2612"</definedName>
    <definedName name="IQ_SP_FX_LT" hidden="1">"c2615"</definedName>
    <definedName name="IQ_SP_FX_ST" hidden="1">"c2616"</definedName>
    <definedName name="IQ_SP_ISSUE_ACTION" hidden="1">"c2644"</definedName>
    <definedName name="IQ_SP_ISSUE_DATE" hidden="1">"c2643"</definedName>
    <definedName name="IQ_SP_ISSUE_LT" hidden="1">"c2645"</definedName>
    <definedName name="IQ_SP_ISSUE_OUTLOOK_WATCH" hidden="1">"c2650"</definedName>
    <definedName name="IQ_SP_ISSUE_OUTLOOK_WATCH_DATE" hidden="1">"c2649"</definedName>
    <definedName name="IQ_SP_ISSUE_RECOVER" hidden="1">"c2648"</definedName>
    <definedName name="IQ_SP_ISSUE_RECOVER_ACTION" hidden="1">"c2647"</definedName>
    <definedName name="IQ_SP_ISSUE_RECOVER_DATE" hidden="1">"c2646"</definedName>
    <definedName name="IQ_SP_LC_ACTION_LT" hidden="1">"c2619"</definedName>
    <definedName name="IQ_SP_LC_ACTION_ST" hidden="1">"c2620"</definedName>
    <definedName name="IQ_SP_LC_DATE_LT" hidden="1">"c2617"</definedName>
    <definedName name="IQ_SP_LC_DATE_ST" hidden="1">"c2618"</definedName>
    <definedName name="IQ_SP_LC_LT" hidden="1">"c2621"</definedName>
    <definedName name="IQ_SP_LC_ST" hidden="1">"c2622"</definedName>
    <definedName name="IQ_SP_OUTLOOK_WATCH" hidden="1">"c2639"</definedName>
    <definedName name="IQ_SP_OUTLOOK_WATCH_DATE" hidden="1">"c2638"</definedName>
    <definedName name="IQ_SP_REASON" hidden="1">"c2174"</definedName>
    <definedName name="IQ_SP_STATUS" hidden="1">"c2173"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COMP" hidden="1">"c3512"</definedName>
    <definedName name="IQ_STOCK_BASED_COMP_PRETAX" hidden="1">"c3510"</definedName>
    <definedName name="IQ_STOCK_BASED_COMP_TAX" hidden="1">"c3511"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OCK_OPTIONS_COMP" hidden="1">"c3509"</definedName>
    <definedName name="IQ_STOCK_OPTIONS_COMP_PRETAX" hidden="1">"c3507"</definedName>
    <definedName name="IQ_STOCK_OPTIONS_COMP_TAX" hidden="1">"c3508"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NUM" hidden="1">"c1653"</definedName>
    <definedName name="IQ_TARGET_PRICE_NUM_REUT" hidden="1">"c5319"</definedName>
    <definedName name="IQ_TARGET_PRICE_STDDEV" hidden="1">"c1654"</definedName>
    <definedName name="IQ_TARGET_PRICE_STDDEV_REUT" hidden="1">"c5320"</definedName>
    <definedName name="IQ_TAX_BENEFIT_CF_1YR" hidden="1">"c3483"</definedName>
    <definedName name="IQ_TAX_BENEFIT_CF_2YR" hidden="1">"c3484"</definedName>
    <definedName name="IQ_TAX_BENEFIT_CF_3YR" hidden="1">"c3485"</definedName>
    <definedName name="IQ_TAX_BENEFIT_CF_4YR" hidden="1">"c3486"</definedName>
    <definedName name="IQ_TAX_BENEFIT_CF_5YR" hidden="1">"c3487"</definedName>
    <definedName name="IQ_TAX_BENEFIT_CF_AFTER_FIVE" hidden="1">"c3488"</definedName>
    <definedName name="IQ_TAX_BENEFIT_CF_MAX_YEAR" hidden="1">"c3491"</definedName>
    <definedName name="IQ_TAX_BENEFIT_CF_NO_EXP" hidden="1">"c3489"</definedName>
    <definedName name="IQ_TAX_BENEFIT_CF_TOTAL" hidden="1">"c3490"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BITDA_FWD" hidden="1">"c1224"</definedName>
    <definedName name="IQ_TEV_EBITDA_FWD_REUT" hidden="1">"c4050"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TOTAL_REV_FWD_REUT" hidden="1">"c4051"</definedName>
    <definedName name="IQ_TEV_UFCF" hidden="1">"c2208"</definedName>
    <definedName name="IQ_TIER_ONE_CAPITAL" hidden="1">"c2667"</definedName>
    <definedName name="IQ_TIER_ONE_RATIO" hidden="1">"c1229"</definedName>
    <definedName name="IQ_TIER_TWO_CAPITAL" hidden="1">"c2669"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UNUSUAL" hidden="1">"c1508"</definedName>
    <definedName name="IQ_TOTAL_UNUSUAL_BNK" hidden="1">"c5516"</definedName>
    <definedName name="IQ_TOTAL_UNUSUAL_BR" hidden="1">"c5517"</definedName>
    <definedName name="IQ_TOTAL_UNUSUAL_FIN" hidden="1">"c5518"</definedName>
    <definedName name="IQ_TOTAL_UNUSUAL_INS" hidden="1">"c5519"</definedName>
    <definedName name="IQ_TOTAL_UNUSUAL_REIT" hidden="1">"c5520"</definedName>
    <definedName name="IQ_TOTAL_UNUSUAL_UTI" hidden="1">"c5521"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_EQ_INC" hidden="1">"c3611"</definedName>
    <definedName name="IQ_TR_ACQ_EBITDA" hidden="1">"c2381"</definedName>
    <definedName name="IQ_TR_ACQ_EBITDA_EQ_INC" hidden="1">"c3610"</definedName>
    <definedName name="IQ_TR_ACQ_FILING_CURRENCY" hidden="1">"c3033"</definedName>
    <definedName name="IQ_TR_ACQ_FILINGDATE" hidden="1">"c3607"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ERIODDATE" hidden="1">"c3606"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INIT_FILED_DATE" hidden="1">"c3495"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_EQ_INC" hidden="1">"c3609"</definedName>
    <definedName name="IQ_TR_TARGET_EBITDA" hidden="1">"c2334"</definedName>
    <definedName name="IQ_TR_TARGET_EBITDA_EQ_INC" hidden="1">"c3608"</definedName>
    <definedName name="IQ_TR_TARGET_FILING_CURRENCY" hidden="1">"c3034"</definedName>
    <definedName name="IQ_TR_TARGET_FILINGDATE" hidden="1">"c3605"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ERIODDATE" hidden="1">"c3604"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SECURED_DEBT" hidden="1">"c2548"</definedName>
    <definedName name="IQ_UNSECURED_DEBT_PCT" hidden="1">"c2549"</definedName>
    <definedName name="IQ_UNUSUAL_EXP" hidden="1">"c1456"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COST_REV_ADJ" hidden="1">"c2951"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IGHTED_AVG_PRICE" hidden="1">"c1334"</definedName>
    <definedName name="IQ_WIP_INV" hidden="1">"c1335"</definedName>
    <definedName name="IQ_WORKING_CAP" hidden="1">"c3494"</definedName>
    <definedName name="IQ_WORKMEN_WRITTEN" hidden="1">"c1336"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KeepVersions" localSheetId="6">IndexInformation!$B$8</definedName>
    <definedName name="LanguageCode">IndexInformation!$B$38</definedName>
    <definedName name="Last_date">OFFSET('[8]StoredAC v2'!$B$9,COUNT('[8]StoredAC v2'!$B$1:$B$65536)-1,0,1,1)</definedName>
    <definedName name="LastCell" localSheetId="2">ImportantDisclosures!$A$22</definedName>
    <definedName name="Linking_Range_11">Model!$A$1:$BO$224</definedName>
    <definedName name="Linking_Range_12">Model!$A$1:$BO$274</definedName>
    <definedName name="Linking_Range_122">Valuation!$K$6:$T$71</definedName>
    <definedName name="Linking_Range_13">Model!$A$1:$BO$302</definedName>
    <definedName name="Linking_Range_14">Model!$A$1:$BO$344</definedName>
    <definedName name="MacroVersion" localSheetId="6">IndexInformation!$B$1</definedName>
    <definedName name="MACRS_schedule">[23]Analysis!$C$2</definedName>
    <definedName name="MACRSoptions">[23]MACRS!$C$4:$C$8</definedName>
    <definedName name="Mainline">OFFSET([8]StoredAC!$AP$9,0,0,COUNT([8]StoredAC!$AP$1:$AP$65536)-1,1)</definedName>
    <definedName name="Mid_AC">OFFSET('[8]StoredAC v2'!$W$9,0,0,COUNT('[8]StoredAC v2'!$W$1:$W$65536)-1,1)</definedName>
    <definedName name="Mid_Sized">OFFSET([8]StoredAC!$BI$9,0,0,COUNT([8]StoredAC!$BI$1:$BI$65536)-1,1)</definedName>
    <definedName name="MidInStorage">OFFSET('[8]StoredAC v2'!$W$9,0,0,COUNT('[8]StoredAC v2'!$W$1:$W$65536)-1,1)</definedName>
    <definedName name="ModelPrice" localSheetId="2">ImportantDisclosures!$A$14</definedName>
    <definedName name="Mult">[15]DCF!$B$7</definedName>
    <definedName name="Multiplier" localSheetId="6">IndexInformation!$B$35</definedName>
    <definedName name="multSecurities_L">[24]MultipleSecurities!$A$2:$A$17</definedName>
    <definedName name="New">OFFSET([8]StoredAC!$BY$9,0,0,COUNT([8]StoredAC!$BY$1:$BY$65536)-1,1)</definedName>
    <definedName name="New_AC">OFFSET('[8]StoredAC v2'!$AJ$9,0,0,COUNT('[8]StoredAC v2'!$AJ$1:$AJ$65536)-1,1)</definedName>
    <definedName name="New_Small">OFFSET([8]StoredAC!$BE$9,0,0,COUNT([8]StoredAC!$BE$1:$BE$65536)-1,1)</definedName>
    <definedName name="NewInStorage">OFFSET('[8]StoredAC v2'!$AJ$9,0,0,COUNT('[8]StoredAC v2'!$AJ$1:$AJ$65536)-1,1)</definedName>
    <definedName name="NextYearEPS" localSheetId="6">IndexInformation!$B$13</definedName>
    <definedName name="NextYearTotalRevenue" localSheetId="6">IndexInformation!$B$12</definedName>
    <definedName name="NextYearTotalRevenueActual" localSheetId="6">IndexInformation!$B$33</definedName>
    <definedName name="ObjectType">IndexInformation!$B$37</definedName>
    <definedName name="Old">OFFSET([8]StoredAC!$BX$9,0,0,COUNT([8]StoredAC!$BX$1:$BX$65536)-1,1)</definedName>
    <definedName name="Old_AC">OFFSET('[8]StoredAC v2'!$L$9,0,0,COUNT('[8]StoredAC v2'!$L$1:$L$65536)-1,1)</definedName>
    <definedName name="Old_Narrows">OFFSET([8]StoredAC!$BF$9,0,0,COUNT([8]StoredAC!$BF$1:$BF$65536)-1,1)</definedName>
    <definedName name="OldInStorage">OFFSET('[8]StoredAC v2'!$L$9,0,0,COUNT('[8]StoredAC v2'!$L$1:$L$65536)-1,1)</definedName>
    <definedName name="one">{"Client Name or Project Name"}</definedName>
    <definedName name="PANA" localSheetId="7">ModPubIndex!$A$11</definedName>
    <definedName name="PathName" localSheetId="6">IndexInformation!$B$25</definedName>
    <definedName name="_xlnm.Print_Area" localSheetId="5">Model!$A$1:$BE$354</definedName>
    <definedName name="_xlnm.Print_Area" localSheetId="4">Valuation!$B$1:$T$71</definedName>
    <definedName name="_xlnm.Print_Area">"Formula removed, name can be deleted."</definedName>
    <definedName name="_xlnm.Print_Titles" localSheetId="5">Model!$1:$1</definedName>
    <definedName name="_xlnm.Print_Titles">"Formula removed, name can be deleted."</definedName>
    <definedName name="PRODUCT" localSheetId="7">ModPubIndex!$A$6</definedName>
    <definedName name="ProjectName">{"Client Name or Project Name"}</definedName>
    <definedName name="PSYM" localSheetId="7">ModPubIndex!$A$4</definedName>
    <definedName name="PublishDate" localSheetId="6">IndexInformation!$B$2</definedName>
    <definedName name="qwer" hidden="1">"c2903"</definedName>
    <definedName name="Rating" localSheetId="6">IndexInformation!$B$9</definedName>
    <definedName name="RatingsDefined" localSheetId="2">ImportantDisclosures!$A$21</definedName>
    <definedName name="RatingsDefs" localSheetId="2">ImportantDisclosures!#REF!</definedName>
    <definedName name="RegACDisclosure" localSheetId="2">ImportantDisclosures!#REF!</definedName>
    <definedName name="ResearchTopic" localSheetId="6">IndexInformation!$B$4</definedName>
    <definedName name="RIC" localSheetId="6">IndexInformation!$B$21</definedName>
    <definedName name="Rsquared">'[8]Boeing Monthly'!$AT$674</definedName>
    <definedName name="SECSettlement" localSheetId="2">ImportantDisclosures!#REF!</definedName>
    <definedName name="SEDOL" localSheetId="6">IndexInformation!$B$22</definedName>
    <definedName name="SourceDefined" localSheetId="2">ImportantDisclosures!$A$19</definedName>
    <definedName name="Statement">[0]!Statement</definedName>
    <definedName name="StockRating" localSheetId="2">ImportantDisclosures!$A$11</definedName>
    <definedName name="Stored_Dates">OFFSET('[8]StoredAC v2'!$B$9,0,0,COUNT('[8]StoredAC v2'!$B$1:$B$65536),1)</definedName>
    <definedName name="SubjectCode" localSheetId="6">IndexInformation!$B$6</definedName>
    <definedName name="SubmitterUserId">IndexInformation!$B$39</definedName>
    <definedName name="SUPPRESSED" localSheetId="7">ModPubIndex!$A$13</definedName>
    <definedName name="T_Mainline">OFFSET('[8]StoredAC v2'!$AK$9,0,0,COUNT('[8]StoredAC v2'!$AK$1:$AK$65536)-1,1)</definedName>
    <definedName name="TargetPrice" localSheetId="2">ImportantDisclosures!$A$15</definedName>
    <definedName name="TemplateRegion">IndexInformation!$B$36</definedName>
    <definedName name="Ticker" localSheetId="2">ImportantDisclosures!$A$10</definedName>
    <definedName name="ticker">OFFSET('[25]Exclusion List'!$A$1,1,0,COUNTA('[25]Exclusion List'!$A$1:$A$65536)-1,1)</definedName>
    <definedName name="TickerRegion">IndexInformation!$B$41</definedName>
    <definedName name="Tickers" localSheetId="6">IndexInformation!$B$19</definedName>
    <definedName name="toc">"Raytheon Company"</definedName>
    <definedName name="TotalInStorage">OFFSET('[8]StoredAC v2'!$AK$9,0,0,COUNT('[8]StoredAC v2'!$AK$1:$AK$65536)-1,1)</definedName>
    <definedName name="tyd" hidden="1">[2]ｾｸﾞﾒﾝﾄ!$E$165:$I$165</definedName>
    <definedName name="uiyioy" hidden="1">[2]単独!$AR$14:$AR$18</definedName>
    <definedName name="Update_This">[26]!Update_This</definedName>
    <definedName name="UpdateReason" localSheetId="6">IndexInformation!$B$17</definedName>
    <definedName name="US_ASM">OFFSET([17]Monthly_Traffic_Summary!$R$9,COUNT([17]Monthly_Traffic_Summary!$R$1:$R$65536)-12,0,12,1)</definedName>
    <definedName name="US_ASM_LTM">OFFSET([17]Monthly_Traffic_Summary!$S$21,COUNT([17]Monthly_Traffic_Summary!$S$1:$S$65536)-12,0,12,1)</definedName>
    <definedName name="US_ASM10y">OFFSET([17]Monthly_Traffic_Summary!$R$9,COUNT([17]Monthly_Traffic_Summary!$R$1:$R$65536)-120,0,120,1)</definedName>
    <definedName name="US_LF">OFFSET([17]Monthly_Traffic_Summary!$T$9,COUNT([17]Monthly_Traffic_Summary!$T$1:$T$65536)-12,0,12,1)</definedName>
    <definedName name="US_LF_LTM">OFFSET([17]Monthly_Traffic_Summary!$U$21,COUNT([17]Monthly_Traffic_Summary!$U$1:$U$65536)-12,0,12,1)</definedName>
    <definedName name="US_LF10y">OFFSET([17]Monthly_Traffic_Summary!$T$9,COUNT([17]Monthly_Traffic_Summary!$T$1:$T$65536)-120,0,120,1)</definedName>
    <definedName name="US_RPM">OFFSET([17]Monthly_Traffic_Summary!$P$9,COUNT([17]Monthly_Traffic_Summary!$P$1:$P$65536)-12,0,12,1)</definedName>
    <definedName name="US_RPM_LTM">OFFSET([17]Monthly_Traffic_Summary!$Q$21,COUNT([17]Monthly_Traffic_Summary!$Q$1:$Q$65536)-12,0,12,1)</definedName>
    <definedName name="US_RPM10y">OFFSET([17]Monthly_Traffic_Summary!$P$9,COUNT([17]Monthly_Traffic_Summary!$P$1:$P$65536)-120,0,120,1)</definedName>
    <definedName name="USRegDisclosures" localSheetId="2">ImportantDisclosures!#REF!</definedName>
    <definedName name="v" hidden="1">[2]ｾｸﾞﾒﾝﾄ!$E$164:$I$164</definedName>
    <definedName name="Version">"June 29, 2004"</definedName>
    <definedName name="w" hidden="1">[2]単独!$AR$14:$AR$18</definedName>
    <definedName name="wer" hidden="1">"c2895"</definedName>
    <definedName name="Widebodies">OFFSET([8]StoredAC!$BZ$9,0,0,COUNT([8]StoredAC!$BZ$1:$BZ$65536)-1,1)</definedName>
    <definedName name="Worldwide_ASM_LTM">OFFSET([17]Monthly_Traffic_Summary!$AN$369,COUNT([17]Monthly_Traffic_Summary!$AN$1:$AN$65536)-12,0,12,1)</definedName>
    <definedName name="Worldwide_RPM_LTM">OFFSET([17]Monthly_Traffic_Summary!$AL$369,COUNT([17]Monthly_Traffic_Summary!$AL$1:$AL$65536)-12,0,12,1)</definedName>
    <definedName name="Worlwide_LF_LTM">OFFSET([17]Monthly_Traffic_Summary!$AP$369,COUNT([17]Monthly_Traffic_Summary!$AP$1:$AP$65536)-12,0,12,1)</definedName>
    <definedName name="wrn.2._.pagers." hidden="1">{"Cover",#N/A,FALSE,"Cover";"Summary",#N/A,FALSE,"Summarpage"}</definedName>
    <definedName name="wrn.allpages." hidden="1">{#N/A,#N/A,TRUE,"Historicals";#N/A,#N/A,TRUE,"Charts";#N/A,#N/A,TRUE,"Forecasts"}</definedName>
    <definedName name="wrn.Complete.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Industry.xls." hidden="1">{#N/A,#N/A,FALSE,"Earnings";#N/A,#N/A,FALSE,"Overview";#N/A,#N/A,FALSE,"Summary";#N/A,#N/A,FALSE,"Summary II";#N/A,#N/A,FALSE,"R&amp;D";#N/A,#N/A,FALSE,"R&amp;D Forecast";#N/A,#N/A,FALSE,"Tax Adj";#N/A,#N/A,FALSE,"Goodwill";#N/A,#N/A,FALSE,"FX ";#N/A,#N/A,FALSE,"Consolidation";#N/A,#N/A,FALSE,"Provisions"}</definedName>
    <definedName name="wrn.MOBIL." hidden="1">{"quarter",#N/A,FALSE,"MOB"}</definedName>
    <definedName name="wrn.Pulp." hidden="1">{"Pulp Production",#N/A,FALSE,"Pulp";"Pulp Earnings",#N/A,FALSE,"Pulp"}</definedName>
    <definedName name="xaxis">OFFSET('[20]Roll off Speed'!$W$12,0,0,COUNTIF('[20]Roll off Speed'!$W$12:$W$1231,"&lt;&gt;false"),1)</definedName>
    <definedName name="ytdhy" hidden="1">[2]ｾｸﾞﾒﾝﾄ!$E$167:$I$167</definedName>
  </definedNames>
  <calcPr calcId="145621" iterate="1" iterateDelta="1.0000000000000002E-3"/>
</workbook>
</file>

<file path=xl/calcChain.xml><?xml version="1.0" encoding="utf-8"?>
<calcChain xmlns="http://schemas.openxmlformats.org/spreadsheetml/2006/main">
  <c r="CJ213" i="29" l="1"/>
  <c r="CE213" i="29"/>
  <c r="BZ213" i="29"/>
  <c r="BR193" i="29"/>
  <c r="BS193" i="29"/>
  <c r="BR194" i="29"/>
  <c r="BS194" i="29"/>
  <c r="BJ352" i="29" l="1"/>
  <c r="AQ352" i="29"/>
  <c r="AO352" i="29"/>
  <c r="AL352" i="29"/>
  <c r="AG352" i="29"/>
  <c r="AB352" i="29"/>
  <c r="Y352" i="29"/>
  <c r="W352" i="29"/>
  <c r="R352" i="29"/>
  <c r="M352" i="29"/>
  <c r="H352" i="29"/>
  <c r="G352" i="29"/>
  <c r="F352" i="29"/>
  <c r="E352" i="29"/>
  <c r="D352" i="29"/>
  <c r="C352" i="29"/>
  <c r="B352" i="29"/>
  <c r="BE352" i="29"/>
  <c r="BA352" i="29"/>
  <c r="AZ352" i="29"/>
  <c r="BD351" i="29"/>
  <c r="BC351" i="29"/>
  <c r="BB351" i="29"/>
  <c r="BA351" i="29"/>
  <c r="AT351" i="29"/>
  <c r="AS351" i="29"/>
  <c r="AR351" i="29"/>
  <c r="AQ351" i="29"/>
  <c r="AO351" i="29"/>
  <c r="AN351" i="29"/>
  <c r="AM351" i="29"/>
  <c r="AL351" i="29"/>
  <c r="AJ351" i="29"/>
  <c r="AI351" i="29"/>
  <c r="AH351" i="29"/>
  <c r="AD351" i="29"/>
  <c r="AC351" i="29"/>
  <c r="AB351" i="29"/>
  <c r="Z351" i="29"/>
  <c r="Y351" i="29"/>
  <c r="X351" i="29"/>
  <c r="W351" i="29"/>
  <c r="U351" i="29"/>
  <c r="T351" i="29"/>
  <c r="S351" i="29"/>
  <c r="R351" i="29"/>
  <c r="P351" i="29"/>
  <c r="O351" i="29"/>
  <c r="N351" i="29"/>
  <c r="M351" i="29"/>
  <c r="K351" i="29"/>
  <c r="J351" i="29"/>
  <c r="I351" i="29"/>
  <c r="H351" i="29"/>
  <c r="G351" i="29"/>
  <c r="F351" i="29"/>
  <c r="E351" i="29"/>
  <c r="D351" i="29"/>
  <c r="C351" i="29"/>
  <c r="BJ343" i="29"/>
  <c r="BJ341" i="29"/>
  <c r="BJ340" i="29"/>
  <c r="BJ339" i="29"/>
  <c r="BJ338" i="29"/>
  <c r="BJ337" i="29"/>
  <c r="BE343" i="29"/>
  <c r="BE341" i="29"/>
  <c r="BE340" i="29"/>
  <c r="BE339" i="29"/>
  <c r="BE338" i="29"/>
  <c r="BE337" i="29"/>
  <c r="AU343" i="29"/>
  <c r="AU341" i="29"/>
  <c r="AU340" i="29"/>
  <c r="AU339" i="29"/>
  <c r="AU338" i="29"/>
  <c r="AU342" i="29" s="1"/>
  <c r="AU337" i="29"/>
  <c r="AP343" i="29"/>
  <c r="AP341" i="29"/>
  <c r="AP340" i="29"/>
  <c r="AP339" i="29"/>
  <c r="AP338" i="29"/>
  <c r="AP342" i="29" s="1"/>
  <c r="AP337" i="29"/>
  <c r="AP351" i="29" s="1"/>
  <c r="AK343" i="29"/>
  <c r="AK341" i="29"/>
  <c r="AK340" i="29"/>
  <c r="AK339" i="29"/>
  <c r="AK338" i="29"/>
  <c r="AK337" i="29"/>
  <c r="AF343" i="29"/>
  <c r="AF341" i="29"/>
  <c r="AF340" i="29"/>
  <c r="AF339" i="29"/>
  <c r="AF338" i="29"/>
  <c r="AA343" i="29"/>
  <c r="AA341" i="29"/>
  <c r="AA340" i="29"/>
  <c r="AA339" i="29"/>
  <c r="AA338" i="29"/>
  <c r="AA342" i="29" s="1"/>
  <c r="AA337" i="29"/>
  <c r="V343" i="29"/>
  <c r="V341" i="29"/>
  <c r="V340" i="29"/>
  <c r="V339" i="29"/>
  <c r="V338" i="29"/>
  <c r="V342" i="29" s="1"/>
  <c r="V337" i="29"/>
  <c r="V351" i="29" s="1"/>
  <c r="Q343" i="29"/>
  <c r="Q341" i="29"/>
  <c r="Q340" i="29"/>
  <c r="Q339" i="29"/>
  <c r="Q338" i="29"/>
  <c r="Q337" i="29"/>
  <c r="L343" i="29"/>
  <c r="L341" i="29"/>
  <c r="L340" i="29"/>
  <c r="L339" i="29"/>
  <c r="L338" i="29"/>
  <c r="L337" i="29"/>
  <c r="BN342" i="29"/>
  <c r="BM342" i="29"/>
  <c r="BL342" i="29"/>
  <c r="BK342" i="29"/>
  <c r="BI342" i="29"/>
  <c r="BH342" i="29"/>
  <c r="BG342" i="29"/>
  <c r="BF342" i="29"/>
  <c r="BD342" i="29"/>
  <c r="BC342" i="29"/>
  <c r="BB342" i="29"/>
  <c r="BA342" i="29"/>
  <c r="AZ342" i="29"/>
  <c r="AT342" i="29"/>
  <c r="AS342" i="29"/>
  <c r="AR342" i="29"/>
  <c r="AQ342" i="29"/>
  <c r="AO342" i="29"/>
  <c r="AN342" i="29"/>
  <c r="AM342" i="29"/>
  <c r="AL342" i="29"/>
  <c r="AJ342" i="29"/>
  <c r="AI342" i="29"/>
  <c r="AI344" i="29" s="1"/>
  <c r="AI345" i="29" s="1"/>
  <c r="AH342" i="29"/>
  <c r="AH344" i="29" s="1"/>
  <c r="AH345" i="29" s="1"/>
  <c r="AG342" i="29"/>
  <c r="AG344" i="29" s="1"/>
  <c r="AG345" i="29" s="1"/>
  <c r="AD342" i="29"/>
  <c r="AD344" i="29" s="1"/>
  <c r="AD345" i="29" s="1"/>
  <c r="AC342" i="29"/>
  <c r="AC344" i="29" s="1"/>
  <c r="AC345" i="29" s="1"/>
  <c r="AB342" i="29"/>
  <c r="AB344" i="29" s="1"/>
  <c r="AB345" i="29" s="1"/>
  <c r="Z342" i="29"/>
  <c r="Z344" i="29" s="1"/>
  <c r="Z345" i="29" s="1"/>
  <c r="Y342" i="29"/>
  <c r="Y344" i="29" s="1"/>
  <c r="Y345" i="29" s="1"/>
  <c r="X342" i="29"/>
  <c r="X344" i="29" s="1"/>
  <c r="X345" i="29" s="1"/>
  <c r="W342" i="29"/>
  <c r="W344" i="29" s="1"/>
  <c r="W345" i="29" s="1"/>
  <c r="U342" i="29"/>
  <c r="U344" i="29" s="1"/>
  <c r="U345" i="29" s="1"/>
  <c r="T342" i="29"/>
  <c r="T344" i="29" s="1"/>
  <c r="T345" i="29" s="1"/>
  <c r="S342" i="29"/>
  <c r="S344" i="29" s="1"/>
  <c r="S345" i="29" s="1"/>
  <c r="R342" i="29"/>
  <c r="R344" i="29" s="1"/>
  <c r="R345" i="29" s="1"/>
  <c r="P342" i="29"/>
  <c r="P344" i="29" s="1"/>
  <c r="P345" i="29" s="1"/>
  <c r="O342" i="29"/>
  <c r="O344" i="29" s="1"/>
  <c r="O345" i="29" s="1"/>
  <c r="N342" i="29"/>
  <c r="N344" i="29" s="1"/>
  <c r="N345" i="29" s="1"/>
  <c r="M342" i="29"/>
  <c r="M344" i="29" s="1"/>
  <c r="M345" i="29" s="1"/>
  <c r="K342" i="29"/>
  <c r="K344" i="29" s="1"/>
  <c r="K345" i="29" s="1"/>
  <c r="J342" i="29"/>
  <c r="J344" i="29" s="1"/>
  <c r="J345" i="29" s="1"/>
  <c r="I342" i="29"/>
  <c r="I344" i="29" s="1"/>
  <c r="I345" i="29" s="1"/>
  <c r="H342" i="29"/>
  <c r="H344" i="29" s="1"/>
  <c r="H345" i="29" s="1"/>
  <c r="G342" i="29"/>
  <c r="G344" i="29" s="1"/>
  <c r="G345" i="29" s="1"/>
  <c r="C342" i="29"/>
  <c r="C344" i="29" s="1"/>
  <c r="C345" i="29" s="1"/>
  <c r="B342" i="29"/>
  <c r="B344" i="29" s="1"/>
  <c r="B345" i="29" s="1"/>
  <c r="BU343" i="29"/>
  <c r="BZ343" i="29" s="1"/>
  <c r="CE343" i="29" s="1"/>
  <c r="CJ343" i="29" s="1"/>
  <c r="BQ343" i="29"/>
  <c r="BR343" i="29" s="1"/>
  <c r="BS343" i="29" s="1"/>
  <c r="BT343" i="29" s="1"/>
  <c r="BP343" i="29"/>
  <c r="BO343" i="29"/>
  <c r="BO341" i="29"/>
  <c r="BP341" i="29" s="1"/>
  <c r="BP340" i="29"/>
  <c r="BO340" i="29"/>
  <c r="BP339" i="29"/>
  <c r="BO339" i="29"/>
  <c r="F339" i="29"/>
  <c r="F342" i="29" s="1"/>
  <c r="F344" i="29" s="1"/>
  <c r="F345" i="29" s="1"/>
  <c r="E339" i="29"/>
  <c r="E342" i="29" s="1"/>
  <c r="E344" i="29" s="1"/>
  <c r="E345" i="29" s="1"/>
  <c r="D339" i="29"/>
  <c r="D342" i="29" s="1"/>
  <c r="D344" i="29" s="1"/>
  <c r="D345" i="29" s="1"/>
  <c r="BU338" i="29"/>
  <c r="BZ338" i="29" s="1"/>
  <c r="CE338" i="29" s="1"/>
  <c r="CJ338" i="29" s="1"/>
  <c r="BP338" i="29"/>
  <c r="BO338" i="29"/>
  <c r="BO342" i="29" s="1"/>
  <c r="BR337" i="29"/>
  <c r="BS337" i="29" s="1"/>
  <c r="BQ337" i="29"/>
  <c r="BP337" i="29"/>
  <c r="BO337" i="29"/>
  <c r="AE337" i="29"/>
  <c r="AE342" i="29" s="1"/>
  <c r="AE344" i="29" s="1"/>
  <c r="AE345" i="29" s="1"/>
  <c r="BN335" i="29"/>
  <c r="BN344" i="29" s="1"/>
  <c r="BM335" i="29"/>
  <c r="BM344" i="29" s="1"/>
  <c r="BL335" i="29"/>
  <c r="BL344" i="29" s="1"/>
  <c r="BL345" i="29" s="1"/>
  <c r="BK335" i="29"/>
  <c r="BK344" i="29" s="1"/>
  <c r="BK345" i="29" s="1"/>
  <c r="BI335" i="29"/>
  <c r="BI344" i="29" s="1"/>
  <c r="BI345" i="29" s="1"/>
  <c r="BH335" i="29"/>
  <c r="BH344" i="29" s="1"/>
  <c r="BH345" i="29" s="1"/>
  <c r="BG335" i="29"/>
  <c r="BG344" i="29" s="1"/>
  <c r="BG345" i="29" s="1"/>
  <c r="BF335" i="29"/>
  <c r="BF344" i="29" s="1"/>
  <c r="BF345" i="29" s="1"/>
  <c r="BD335" i="29"/>
  <c r="BD344" i="29" s="1"/>
  <c r="BD345" i="29" s="1"/>
  <c r="BC335" i="29"/>
  <c r="BC344" i="29" s="1"/>
  <c r="BC345" i="29" s="1"/>
  <c r="BB335" i="29"/>
  <c r="BB344" i="29" s="1"/>
  <c r="BB345" i="29" s="1"/>
  <c r="BA335" i="29"/>
  <c r="BA344" i="29" s="1"/>
  <c r="BA345" i="29" s="1"/>
  <c r="AZ335" i="29"/>
  <c r="AZ344" i="29" s="1"/>
  <c r="AZ345" i="29" s="1"/>
  <c r="AT335" i="29"/>
  <c r="AT344" i="29" s="1"/>
  <c r="AT345" i="29" s="1"/>
  <c r="AS335" i="29"/>
  <c r="AS344" i="29" s="1"/>
  <c r="AS345" i="29" s="1"/>
  <c r="AR335" i="29"/>
  <c r="AR344" i="29" s="1"/>
  <c r="AR345" i="29" s="1"/>
  <c r="AQ335" i="29"/>
  <c r="AQ344" i="29" s="1"/>
  <c r="AQ345" i="29" s="1"/>
  <c r="AO335" i="29"/>
  <c r="AO344" i="29" s="1"/>
  <c r="AO345" i="29" s="1"/>
  <c r="AN335" i="29"/>
  <c r="AN344" i="29" s="1"/>
  <c r="AN345" i="29" s="1"/>
  <c r="AM335" i="29"/>
  <c r="AM344" i="29" s="1"/>
  <c r="AM345" i="29" s="1"/>
  <c r="AL335" i="29"/>
  <c r="AL344" i="29" s="1"/>
  <c r="AL345" i="29" s="1"/>
  <c r="AJ335" i="29"/>
  <c r="AJ344" i="29" s="1"/>
  <c r="AJ345" i="29" s="1"/>
  <c r="AF335" i="29"/>
  <c r="AF334" i="29" s="1"/>
  <c r="AA335" i="29"/>
  <c r="AA344" i="29" s="1"/>
  <c r="V335" i="29"/>
  <c r="V334" i="29" s="1"/>
  <c r="Q335" i="29"/>
  <c r="L335" i="29"/>
  <c r="BJ334" i="29"/>
  <c r="BJ333" i="29"/>
  <c r="BJ332" i="29"/>
  <c r="BJ331" i="29"/>
  <c r="BJ335" i="29" s="1"/>
  <c r="BJ328" i="29"/>
  <c r="BJ326" i="29"/>
  <c r="BJ324" i="29"/>
  <c r="BE334" i="29"/>
  <c r="BE333" i="29"/>
  <c r="BE332" i="29"/>
  <c r="BE328" i="29"/>
  <c r="BE326" i="29"/>
  <c r="BE324" i="29"/>
  <c r="AU334" i="29"/>
  <c r="AQ334" i="29"/>
  <c r="AO334" i="29"/>
  <c r="AP334" i="29" s="1"/>
  <c r="AM334" i="29"/>
  <c r="AI334" i="29"/>
  <c r="AH334" i="29"/>
  <c r="AG334" i="29"/>
  <c r="AE334" i="29"/>
  <c r="AD334" i="29"/>
  <c r="AC334" i="29"/>
  <c r="AB334" i="29"/>
  <c r="Z334" i="29"/>
  <c r="Y334" i="29"/>
  <c r="X334" i="29"/>
  <c r="W334" i="29"/>
  <c r="U334" i="29"/>
  <c r="T334" i="29"/>
  <c r="S334" i="29"/>
  <c r="R334" i="29"/>
  <c r="P334" i="29"/>
  <c r="O334" i="29"/>
  <c r="N334" i="29"/>
  <c r="M334" i="29"/>
  <c r="K334" i="29"/>
  <c r="J334" i="29"/>
  <c r="I334" i="29"/>
  <c r="H334" i="29"/>
  <c r="G334" i="29"/>
  <c r="F334" i="29"/>
  <c r="BP334" i="29"/>
  <c r="BO334" i="29"/>
  <c r="BO333" i="29"/>
  <c r="BR332" i="29"/>
  <c r="BS332" i="29" s="1"/>
  <c r="BT332" i="29" s="1"/>
  <c r="BU332" i="29" s="1"/>
  <c r="BZ332" i="29" s="1"/>
  <c r="CE332" i="29" s="1"/>
  <c r="CJ332" i="29" s="1"/>
  <c r="BQ332" i="29"/>
  <c r="BP332" i="29"/>
  <c r="BO332" i="29"/>
  <c r="AU332" i="29"/>
  <c r="AU328" i="29"/>
  <c r="AU326" i="29"/>
  <c r="AU324" i="29"/>
  <c r="AP332" i="29"/>
  <c r="AP328" i="29"/>
  <c r="AP326" i="29"/>
  <c r="AP324" i="29"/>
  <c r="AP331" i="29" s="1"/>
  <c r="AP335" i="29" s="1"/>
  <c r="AP344" i="29" s="1"/>
  <c r="AK332" i="29"/>
  <c r="AK331" i="29"/>
  <c r="AK330" i="29"/>
  <c r="AK328" i="29"/>
  <c r="AK326" i="29"/>
  <c r="AF332" i="29"/>
  <c r="AF331" i="29"/>
  <c r="AF328" i="29"/>
  <c r="AF326" i="29"/>
  <c r="AF324" i="29"/>
  <c r="AA332" i="29"/>
  <c r="AA331" i="29"/>
  <c r="AA328" i="29"/>
  <c r="AA326" i="29"/>
  <c r="AA324" i="29"/>
  <c r="V332" i="29"/>
  <c r="V331" i="29"/>
  <c r="V328" i="29"/>
  <c r="V326" i="29"/>
  <c r="V324" i="29"/>
  <c r="Q332" i="29"/>
  <c r="Q331" i="29"/>
  <c r="Q328" i="29"/>
  <c r="Q326" i="29"/>
  <c r="Q324" i="29"/>
  <c r="L332" i="29"/>
  <c r="L331" i="29"/>
  <c r="L328" i="29"/>
  <c r="L326" i="29"/>
  <c r="L324" i="29"/>
  <c r="E332" i="29"/>
  <c r="E334" i="29" s="1"/>
  <c r="D332" i="29"/>
  <c r="D334" i="29" s="1"/>
  <c r="C332" i="29"/>
  <c r="C334" i="29" s="1"/>
  <c r="B332" i="29"/>
  <c r="B334" i="29" s="1"/>
  <c r="CI331" i="29"/>
  <c r="CH331" i="29"/>
  <c r="CG331" i="29"/>
  <c r="CF331" i="29"/>
  <c r="CD331" i="29"/>
  <c r="CC331" i="29"/>
  <c r="CB331" i="29"/>
  <c r="CA331" i="29"/>
  <c r="BY331" i="29"/>
  <c r="BX331" i="29"/>
  <c r="BW331" i="29"/>
  <c r="BV331" i="29"/>
  <c r="BO331" i="29"/>
  <c r="BO335" i="29" s="1"/>
  <c r="BO344" i="29" s="1"/>
  <c r="BQ330" i="29"/>
  <c r="BN330" i="29"/>
  <c r="BO330" i="29" s="1"/>
  <c r="BP330" i="29" s="1"/>
  <c r="BM330" i="29"/>
  <c r="BL330" i="29"/>
  <c r="BK330" i="29"/>
  <c r="BI330" i="29"/>
  <c r="BJ330" i="29" s="1"/>
  <c r="BH330" i="29"/>
  <c r="BG330" i="29"/>
  <c r="BF330" i="29"/>
  <c r="BD330" i="29"/>
  <c r="BE330" i="29" s="1"/>
  <c r="BC330" i="29"/>
  <c r="BB330" i="29"/>
  <c r="BA330" i="29"/>
  <c r="AZ330" i="29"/>
  <c r="AT330" i="29"/>
  <c r="AU330" i="29" s="1"/>
  <c r="AS330" i="29"/>
  <c r="AR330" i="29"/>
  <c r="AQ330" i="29"/>
  <c r="AO330" i="29"/>
  <c r="AP330" i="29" s="1"/>
  <c r="AN330" i="29"/>
  <c r="AM330" i="29"/>
  <c r="AL330" i="29"/>
  <c r="AJ330" i="29"/>
  <c r="AI330" i="29"/>
  <c r="AH330" i="29"/>
  <c r="AG330" i="29"/>
  <c r="AE330" i="29"/>
  <c r="AD330" i="29"/>
  <c r="AC330" i="29"/>
  <c r="AB330" i="29"/>
  <c r="Z330" i="29"/>
  <c r="Y330" i="29"/>
  <c r="X330" i="29"/>
  <c r="W330" i="29"/>
  <c r="U330" i="29"/>
  <c r="T330" i="29"/>
  <c r="S330" i="29"/>
  <c r="R330" i="29"/>
  <c r="P330" i="29"/>
  <c r="O330" i="29"/>
  <c r="N330" i="29"/>
  <c r="M330" i="29"/>
  <c r="K330" i="29"/>
  <c r="J330" i="29"/>
  <c r="I330" i="29"/>
  <c r="H330" i="29"/>
  <c r="G330" i="29"/>
  <c r="F330" i="29"/>
  <c r="E330" i="29"/>
  <c r="D330" i="29"/>
  <c r="C330" i="29"/>
  <c r="B330" i="29"/>
  <c r="BP328" i="29"/>
  <c r="BO328" i="29"/>
  <c r="BP326" i="29"/>
  <c r="BO326" i="29"/>
  <c r="AJ324" i="29"/>
  <c r="CJ321" i="29"/>
  <c r="BO322" i="29"/>
  <c r="BR321" i="29"/>
  <c r="BS321" i="29" s="1"/>
  <c r="BT321" i="29" s="1"/>
  <c r="BU321" i="29" s="1"/>
  <c r="BZ321" i="29" s="1"/>
  <c r="CE321" i="29" s="1"/>
  <c r="BP321" i="29"/>
  <c r="BO321" i="29"/>
  <c r="BQ321" i="29" s="1"/>
  <c r="BN319" i="29"/>
  <c r="BN345" i="29" s="1"/>
  <c r="BM319" i="29"/>
  <c r="BM345" i="29" s="1"/>
  <c r="BJ317" i="29"/>
  <c r="BJ316" i="29"/>
  <c r="BJ312" i="29"/>
  <c r="BJ310" i="29"/>
  <c r="BJ308" i="29"/>
  <c r="BJ307" i="29"/>
  <c r="BE318" i="29"/>
  <c r="BE317" i="29"/>
  <c r="BE316" i="29"/>
  <c r="BE312" i="29"/>
  <c r="BE310" i="29"/>
  <c r="BE308" i="29"/>
  <c r="BE307" i="29"/>
  <c r="AU317" i="29"/>
  <c r="AU316" i="29"/>
  <c r="AU312" i="29"/>
  <c r="AU310" i="29"/>
  <c r="AU308" i="29"/>
  <c r="AU307" i="29"/>
  <c r="AP318" i="29"/>
  <c r="AP317" i="29"/>
  <c r="AP316" i="29"/>
  <c r="AP312" i="29"/>
  <c r="AP310" i="29"/>
  <c r="AP308" i="29"/>
  <c r="AP307" i="29"/>
  <c r="AK319" i="29"/>
  <c r="AK317" i="29"/>
  <c r="AK316" i="29"/>
  <c r="AK318" i="29" s="1"/>
  <c r="AK315" i="29"/>
  <c r="AK312" i="29"/>
  <c r="AK310" i="29"/>
  <c r="AK308" i="29"/>
  <c r="AK307" i="29"/>
  <c r="AF319" i="29"/>
  <c r="AF318" i="29"/>
  <c r="AF317" i="29"/>
  <c r="AF316" i="29"/>
  <c r="AF315" i="29"/>
  <c r="AF312" i="29"/>
  <c r="AF310" i="29"/>
  <c r="AF308" i="29"/>
  <c r="AF307" i="29"/>
  <c r="AA319" i="29"/>
  <c r="AA345" i="29" s="1"/>
  <c r="AA317" i="29"/>
  <c r="AA316" i="29"/>
  <c r="AA318" i="29" s="1"/>
  <c r="AA315" i="29"/>
  <c r="AA312" i="29"/>
  <c r="AA310" i="29"/>
  <c r="AA308" i="29"/>
  <c r="AA307" i="29"/>
  <c r="V319" i="29"/>
  <c r="V318" i="29"/>
  <c r="V317" i="29"/>
  <c r="V316" i="29"/>
  <c r="V315" i="29"/>
  <c r="V312" i="29"/>
  <c r="V310" i="29"/>
  <c r="V308" i="29"/>
  <c r="V307" i="29"/>
  <c r="Q319" i="29"/>
  <c r="Q317" i="29"/>
  <c r="Q316" i="29"/>
  <c r="Q318" i="29" s="1"/>
  <c r="Q315" i="29"/>
  <c r="Q312" i="29"/>
  <c r="Q310" i="29"/>
  <c r="Q308" i="29"/>
  <c r="Q307" i="29"/>
  <c r="L319" i="29"/>
  <c r="L317" i="29"/>
  <c r="L316" i="29"/>
  <c r="L318" i="29" s="1"/>
  <c r="L315" i="29"/>
  <c r="L312" i="29"/>
  <c r="L310" i="29"/>
  <c r="L308" i="29"/>
  <c r="L307" i="29"/>
  <c r="BL318" i="29"/>
  <c r="BK318" i="29"/>
  <c r="BI318" i="29"/>
  <c r="BJ318" i="29" s="1"/>
  <c r="BH318" i="29"/>
  <c r="BG318" i="29"/>
  <c r="BF318" i="29"/>
  <c r="BD318" i="29"/>
  <c r="BC318" i="29"/>
  <c r="BB318" i="29"/>
  <c r="BA318" i="29"/>
  <c r="AZ318" i="29"/>
  <c r="AT318" i="29"/>
  <c r="AU318" i="29" s="1"/>
  <c r="AS318" i="29"/>
  <c r="AR318" i="29"/>
  <c r="AQ318" i="29"/>
  <c r="AO318" i="29"/>
  <c r="AN318" i="29"/>
  <c r="AL318" i="29"/>
  <c r="AJ318" i="29"/>
  <c r="AI318" i="29"/>
  <c r="AH318" i="29"/>
  <c r="AG318" i="29"/>
  <c r="AE318" i="29"/>
  <c r="AD318" i="29"/>
  <c r="AC318" i="29"/>
  <c r="AB318" i="29"/>
  <c r="Z318" i="29"/>
  <c r="Y318" i="29"/>
  <c r="X318" i="29"/>
  <c r="W318" i="29"/>
  <c r="U318" i="29"/>
  <c r="T318" i="29"/>
  <c r="S318" i="29"/>
  <c r="R318" i="29"/>
  <c r="P318" i="29"/>
  <c r="O318" i="29"/>
  <c r="N318" i="29"/>
  <c r="M318" i="29"/>
  <c r="K318" i="29"/>
  <c r="J318" i="29"/>
  <c r="I318" i="29"/>
  <c r="H318" i="29"/>
  <c r="G318" i="29"/>
  <c r="F318" i="29"/>
  <c r="E318" i="29"/>
  <c r="D318" i="29"/>
  <c r="C318" i="29"/>
  <c r="B318" i="29"/>
  <c r="BO318" i="29"/>
  <c r="BP318" i="29" s="1"/>
  <c r="BU317" i="29"/>
  <c r="BZ317" i="29" s="1"/>
  <c r="CE317" i="29" s="1"/>
  <c r="CJ317" i="29" s="1"/>
  <c r="BQ317" i="29"/>
  <c r="BR317" i="29" s="1"/>
  <c r="BS317" i="29" s="1"/>
  <c r="BT317" i="29" s="1"/>
  <c r="BP317" i="29"/>
  <c r="BO317" i="29"/>
  <c r="BP316" i="29"/>
  <c r="BO316" i="29"/>
  <c r="BO315" i="29"/>
  <c r="BO319" i="29" s="1"/>
  <c r="BO345" i="29" s="1"/>
  <c r="BN313" i="29"/>
  <c r="BO313" i="29" s="1"/>
  <c r="BM313" i="29"/>
  <c r="BL313" i="29"/>
  <c r="BK313" i="29"/>
  <c r="BP312" i="29"/>
  <c r="BO312" i="29"/>
  <c r="BU312" i="29" s="1"/>
  <c r="BZ312" i="29" s="1"/>
  <c r="CE312" i="29" s="1"/>
  <c r="CJ312" i="29" s="1"/>
  <c r="CI311" i="29"/>
  <c r="CH311" i="29"/>
  <c r="CG311" i="29"/>
  <c r="CF311" i="29"/>
  <c r="CD311" i="29"/>
  <c r="CC311" i="29"/>
  <c r="CB311" i="29"/>
  <c r="CA311" i="29"/>
  <c r="AH307" i="29"/>
  <c r="AI307" i="29" s="1"/>
  <c r="BP310" i="29"/>
  <c r="BO310" i="29"/>
  <c r="BP308" i="29"/>
  <c r="BO308" i="29"/>
  <c r="BO307" i="29"/>
  <c r="BP306" i="29"/>
  <c r="BO306" i="29"/>
  <c r="BK300" i="29"/>
  <c r="BJ300" i="29"/>
  <c r="BF300" i="29"/>
  <c r="BA300" i="29"/>
  <c r="AZ300" i="29"/>
  <c r="AQ300" i="29"/>
  <c r="AL300" i="29"/>
  <c r="AI300" i="29"/>
  <c r="AH300" i="29"/>
  <c r="AG300" i="29"/>
  <c r="AE300" i="29"/>
  <c r="AD300" i="29"/>
  <c r="AC300" i="29"/>
  <c r="AB300" i="29"/>
  <c r="Z300" i="29"/>
  <c r="Y300" i="29"/>
  <c r="X300" i="29"/>
  <c r="W300" i="29"/>
  <c r="U300" i="29"/>
  <c r="T300" i="29"/>
  <c r="S300" i="29"/>
  <c r="R300" i="29"/>
  <c r="P300" i="29"/>
  <c r="O300" i="29"/>
  <c r="N300" i="29"/>
  <c r="M300" i="29"/>
  <c r="H300" i="29"/>
  <c r="H302" i="29" s="1"/>
  <c r="G300" i="29"/>
  <c r="F300" i="29"/>
  <c r="E300" i="29"/>
  <c r="D300" i="29"/>
  <c r="C300" i="29"/>
  <c r="B300" i="29"/>
  <c r="B302" i="29" s="1"/>
  <c r="BL299" i="29"/>
  <c r="BI299" i="29"/>
  <c r="BH299" i="29"/>
  <c r="BG299" i="29"/>
  <c r="BD299" i="29"/>
  <c r="BC299" i="29"/>
  <c r="BB299" i="29"/>
  <c r="AO299" i="29"/>
  <c r="AN299" i="29"/>
  <c r="AM299" i="29"/>
  <c r="AJ299" i="29"/>
  <c r="AF299" i="29"/>
  <c r="AF293" i="29"/>
  <c r="AA299" i="29"/>
  <c r="AA293" i="29"/>
  <c r="V299" i="29"/>
  <c r="V293" i="29"/>
  <c r="Q299" i="29"/>
  <c r="Q293" i="29"/>
  <c r="L299" i="29"/>
  <c r="L293" i="29"/>
  <c r="L288" i="29"/>
  <c r="BU298" i="29"/>
  <c r="BU297" i="29"/>
  <c r="BU296" i="29"/>
  <c r="BU292" i="29"/>
  <c r="BU291" i="29"/>
  <c r="BU284" i="29"/>
  <c r="BU280" i="29"/>
  <c r="BK298" i="29"/>
  <c r="BJ298" i="29"/>
  <c r="BF298" i="29"/>
  <c r="BE298" i="29"/>
  <c r="BA298" i="29"/>
  <c r="AZ298" i="29"/>
  <c r="AT299" i="29"/>
  <c r="AS299" i="29"/>
  <c r="AR299" i="29"/>
  <c r="AQ298" i="29"/>
  <c r="AL298" i="29"/>
  <c r="AG298" i="29"/>
  <c r="AB298" i="29"/>
  <c r="Y298" i="29"/>
  <c r="W298" i="29"/>
  <c r="R298" i="29"/>
  <c r="M298" i="29"/>
  <c r="H298" i="29"/>
  <c r="G298" i="29"/>
  <c r="F298" i="29"/>
  <c r="E298" i="29"/>
  <c r="D298" i="29"/>
  <c r="C298" i="29"/>
  <c r="B298" i="29"/>
  <c r="BL297" i="29"/>
  <c r="BL296" i="29"/>
  <c r="BL295" i="29"/>
  <c r="BL294" i="29"/>
  <c r="BL293" i="29"/>
  <c r="BL292" i="29" s="1"/>
  <c r="BL291" i="29"/>
  <c r="BL286" i="29"/>
  <c r="BI297" i="29"/>
  <c r="BI277" i="29"/>
  <c r="BD297" i="29"/>
  <c r="AR297" i="29"/>
  <c r="AR296" i="29"/>
  <c r="AR295" i="29"/>
  <c r="AS295" i="29" s="1"/>
  <c r="AR294" i="29"/>
  <c r="AR352" i="29" s="1"/>
  <c r="AR293" i="29"/>
  <c r="AM297" i="29"/>
  <c r="AM296" i="29"/>
  <c r="AM295" i="29"/>
  <c r="AM294" i="29"/>
  <c r="AM352" i="29" s="1"/>
  <c r="AM293" i="29"/>
  <c r="AM291" i="29"/>
  <c r="AM289" i="29"/>
  <c r="AM288" i="29"/>
  <c r="AM286" i="29"/>
  <c r="AM316" i="29" s="1"/>
  <c r="AM285" i="29"/>
  <c r="AM284" i="29"/>
  <c r="AM283" i="29"/>
  <c r="AM281" i="29"/>
  <c r="AM280" i="29"/>
  <c r="AM279" i="29"/>
  <c r="AM278" i="29"/>
  <c r="AM277" i="29"/>
  <c r="AC297" i="29"/>
  <c r="AC296" i="29"/>
  <c r="AC295" i="29"/>
  <c r="AC294" i="29"/>
  <c r="AC352" i="29" s="1"/>
  <c r="Z295" i="29"/>
  <c r="X297" i="29"/>
  <c r="X296" i="29"/>
  <c r="X295" i="29"/>
  <c r="AA295" i="29" s="1"/>
  <c r="X294" i="29"/>
  <c r="X352" i="29" s="1"/>
  <c r="BP297" i="29"/>
  <c r="BO297" i="29"/>
  <c r="BP296" i="29"/>
  <c r="BO296" i="29"/>
  <c r="BN296" i="29"/>
  <c r="BM296" i="29"/>
  <c r="AN296" i="29"/>
  <c r="AN295" i="29"/>
  <c r="AN294" i="29"/>
  <c r="AN352" i="29" s="1"/>
  <c r="AN291" i="29"/>
  <c r="AN286" i="29"/>
  <c r="AP286" i="29" s="1"/>
  <c r="AN284" i="29"/>
  <c r="AO284" i="29" s="1"/>
  <c r="AN283" i="29"/>
  <c r="AN289" i="29" s="1"/>
  <c r="AN280" i="29"/>
  <c r="AD296" i="29"/>
  <c r="AE296" i="29" s="1"/>
  <c r="AF296" i="29" s="1"/>
  <c r="AS294" i="29"/>
  <c r="AS352" i="29" s="1"/>
  <c r="AS293" i="29"/>
  <c r="AS291" i="29"/>
  <c r="AS284" i="29"/>
  <c r="AS279" i="29"/>
  <c r="AS278" i="29"/>
  <c r="AS277" i="29"/>
  <c r="AO296" i="29"/>
  <c r="AO295" i="29"/>
  <c r="AP295" i="29" s="1"/>
  <c r="AP294" i="29"/>
  <c r="AP352" i="29" s="1"/>
  <c r="AP289" i="29"/>
  <c r="AP285" i="29"/>
  <c r="AH297" i="29"/>
  <c r="AH296" i="29"/>
  <c r="AH295" i="29"/>
  <c r="AH294" i="29"/>
  <c r="T297" i="29"/>
  <c r="U297" i="29" s="1"/>
  <c r="S297" i="29"/>
  <c r="U296" i="29"/>
  <c r="S296" i="29"/>
  <c r="T296" i="29" s="1"/>
  <c r="T295" i="29"/>
  <c r="S295" i="29"/>
  <c r="S294" i="29"/>
  <c r="O297" i="29"/>
  <c r="P297" i="29" s="1"/>
  <c r="Q297" i="29" s="1"/>
  <c r="N297" i="29"/>
  <c r="P296" i="29"/>
  <c r="O296" i="29"/>
  <c r="N296" i="29"/>
  <c r="O295" i="29"/>
  <c r="N295" i="29"/>
  <c r="N294" i="29"/>
  <c r="K297" i="29"/>
  <c r="J297" i="29"/>
  <c r="I297" i="29"/>
  <c r="L297" i="29" s="1"/>
  <c r="K296" i="29"/>
  <c r="L296" i="29" s="1"/>
  <c r="J296" i="29"/>
  <c r="I296" i="29"/>
  <c r="I295" i="29"/>
  <c r="I294" i="29"/>
  <c r="BM295" i="29"/>
  <c r="BO294" i="29"/>
  <c r="BM294" i="29"/>
  <c r="BN294" i="29" s="1"/>
  <c r="BQ293" i="29"/>
  <c r="BM293" i="29"/>
  <c r="BN293" i="29" s="1"/>
  <c r="AO291" i="29"/>
  <c r="AP291" i="29" s="1"/>
  <c r="AO289" i="29"/>
  <c r="AO288" i="29"/>
  <c r="AK293" i="29"/>
  <c r="AJ293" i="29"/>
  <c r="BK292" i="29"/>
  <c r="BJ292" i="29"/>
  <c r="BF292" i="29"/>
  <c r="BE292" i="29"/>
  <c r="BA292" i="29"/>
  <c r="AZ292" i="29"/>
  <c r="AQ292" i="29"/>
  <c r="AL292" i="29"/>
  <c r="AG292" i="29"/>
  <c r="AC292" i="29"/>
  <c r="AB292" i="29"/>
  <c r="Y292" i="29"/>
  <c r="W292" i="29"/>
  <c r="R292" i="29"/>
  <c r="M292" i="29"/>
  <c r="I292" i="29"/>
  <c r="H292" i="29"/>
  <c r="G292" i="29"/>
  <c r="F292" i="29"/>
  <c r="E292" i="29"/>
  <c r="D292" i="29"/>
  <c r="C292" i="29"/>
  <c r="B292" i="29"/>
  <c r="BP291" i="29"/>
  <c r="BO291" i="29"/>
  <c r="BM291" i="29"/>
  <c r="BM286" i="29"/>
  <c r="AH291" i="29"/>
  <c r="Z286" i="29"/>
  <c r="X291" i="29"/>
  <c r="Z291" i="29" s="1"/>
  <c r="X286" i="29"/>
  <c r="X284" i="29"/>
  <c r="X285" i="29" s="1"/>
  <c r="AB289" i="29"/>
  <c r="AB288" i="29"/>
  <c r="Y289" i="29"/>
  <c r="Y288" i="29"/>
  <c r="W289" i="29"/>
  <c r="W288" i="29"/>
  <c r="R289" i="29"/>
  <c r="R288" i="29"/>
  <c r="M289" i="29"/>
  <c r="M288" i="29"/>
  <c r="I291" i="29"/>
  <c r="I289" i="29"/>
  <c r="H289" i="29"/>
  <c r="G289" i="29"/>
  <c r="F289" i="29"/>
  <c r="E289" i="29"/>
  <c r="D289" i="29"/>
  <c r="C289" i="29"/>
  <c r="B289" i="29"/>
  <c r="G288" i="29"/>
  <c r="F288" i="29"/>
  <c r="E288" i="29"/>
  <c r="D288" i="29"/>
  <c r="C288" i="29"/>
  <c r="BK289" i="29"/>
  <c r="BJ289" i="29"/>
  <c r="BK288" i="29"/>
  <c r="BJ288" i="29"/>
  <c r="BF289" i="29"/>
  <c r="BF288" i="29"/>
  <c r="BE288" i="29"/>
  <c r="BA289" i="29"/>
  <c r="AZ289" i="29"/>
  <c r="AQ289" i="29"/>
  <c r="AR288" i="29"/>
  <c r="AQ288" i="29"/>
  <c r="AL289" i="29"/>
  <c r="AG289" i="29"/>
  <c r="AL288" i="29"/>
  <c r="AH288" i="29"/>
  <c r="AG288" i="29"/>
  <c r="AR286" i="29"/>
  <c r="AR284" i="29"/>
  <c r="AR285" i="29" s="1"/>
  <c r="AR283" i="29"/>
  <c r="AS283" i="29" s="1"/>
  <c r="AR281" i="29"/>
  <c r="AS281" i="29" s="1"/>
  <c r="AR280" i="29"/>
  <c r="AS280" i="29" s="1"/>
  <c r="AH286" i="29"/>
  <c r="CI285" i="29"/>
  <c r="CH285" i="29"/>
  <c r="CG285" i="29"/>
  <c r="CF285" i="29"/>
  <c r="CD285" i="29"/>
  <c r="CC285" i="29"/>
  <c r="CB285" i="29"/>
  <c r="CA285" i="29"/>
  <c r="BY285" i="29"/>
  <c r="BX285" i="29"/>
  <c r="BW285" i="29"/>
  <c r="BV285" i="29"/>
  <c r="BQ288" i="29"/>
  <c r="BT286" i="29"/>
  <c r="BT293" i="29" s="1"/>
  <c r="BS286" i="29"/>
  <c r="BR286" i="29"/>
  <c r="BR293" i="29" s="1"/>
  <c r="BQ286" i="29"/>
  <c r="BO286" i="29"/>
  <c r="BN286" i="29"/>
  <c r="BN288" i="29" s="1"/>
  <c r="BK285" i="29"/>
  <c r="BJ285" i="29"/>
  <c r="BF285" i="29"/>
  <c r="BE285" i="29"/>
  <c r="BA285" i="29"/>
  <c r="AZ285" i="29"/>
  <c r="AQ285" i="29"/>
  <c r="AO285" i="29"/>
  <c r="AL285" i="29"/>
  <c r="AJ285" i="29"/>
  <c r="AG285" i="29"/>
  <c r="AB285" i="29"/>
  <c r="Y284" i="29"/>
  <c r="Y285" i="29" s="1"/>
  <c r="W285" i="29"/>
  <c r="R285" i="29"/>
  <c r="M285" i="29"/>
  <c r="H285" i="29"/>
  <c r="G285" i="29"/>
  <c r="F285" i="29"/>
  <c r="E285" i="29"/>
  <c r="D285" i="29"/>
  <c r="C285" i="29"/>
  <c r="B285" i="29"/>
  <c r="BO284" i="29"/>
  <c r="BP284" i="29" s="1"/>
  <c r="AH284" i="29"/>
  <c r="AD291" i="29"/>
  <c r="AE291" i="29" s="1"/>
  <c r="AC291" i="29"/>
  <c r="AC288" i="29"/>
  <c r="AC286" i="29"/>
  <c r="AC284" i="29"/>
  <c r="T291" i="29"/>
  <c r="U291" i="29" s="1"/>
  <c r="S291" i="29"/>
  <c r="S288" i="29"/>
  <c r="S286" i="29"/>
  <c r="S284" i="29"/>
  <c r="O291" i="29"/>
  <c r="P291" i="29" s="1"/>
  <c r="N291" i="29"/>
  <c r="N288" i="29"/>
  <c r="N286" i="29"/>
  <c r="N284" i="29"/>
  <c r="J286" i="29"/>
  <c r="I286" i="29"/>
  <c r="J284" i="29"/>
  <c r="I284" i="29"/>
  <c r="K284" i="29" s="1"/>
  <c r="BE283" i="29"/>
  <c r="BE300" i="29" s="1"/>
  <c r="AJ283" i="29"/>
  <c r="AJ300" i="29" s="1"/>
  <c r="AF283" i="29"/>
  <c r="AA283" i="29"/>
  <c r="V283" i="29"/>
  <c r="Q283" i="29"/>
  <c r="Q300" i="29" s="1"/>
  <c r="I283" i="29"/>
  <c r="I300" i="29" s="1"/>
  <c r="BL283" i="29"/>
  <c r="BL281" i="29"/>
  <c r="Y281" i="29"/>
  <c r="X281" i="29"/>
  <c r="G281" i="29"/>
  <c r="F281" i="29"/>
  <c r="E281" i="29"/>
  <c r="BM280" i="29"/>
  <c r="BN280" i="29" s="1"/>
  <c r="BL280" i="29"/>
  <c r="Z280" i="29"/>
  <c r="AA280" i="29" s="1"/>
  <c r="Z278" i="29"/>
  <c r="AA278" i="29" s="1"/>
  <c r="X280" i="29"/>
  <c r="X279" i="29"/>
  <c r="X278" i="29"/>
  <c r="S281" i="29"/>
  <c r="T280" i="29"/>
  <c r="S280" i="29"/>
  <c r="U280" i="29" s="1"/>
  <c r="N281" i="29"/>
  <c r="O280" i="29"/>
  <c r="N280" i="29"/>
  <c r="J281" i="29"/>
  <c r="I281" i="29"/>
  <c r="J280" i="29"/>
  <c r="K280" i="29" s="1"/>
  <c r="I280" i="29"/>
  <c r="CJ277" i="29"/>
  <c r="CE277" i="29"/>
  <c r="BZ277" i="29"/>
  <c r="P279" i="29"/>
  <c r="Q279" i="29" s="1"/>
  <c r="P277" i="29"/>
  <c r="AP280" i="29"/>
  <c r="AO280" i="29"/>
  <c r="AP279" i="29"/>
  <c r="AO279" i="29"/>
  <c r="AN278" i="29"/>
  <c r="AO278" i="29" s="1"/>
  <c r="AN277" i="29"/>
  <c r="AH281" i="29"/>
  <c r="AH280" i="29"/>
  <c r="AH279" i="29"/>
  <c r="AH278" i="29"/>
  <c r="S278" i="29"/>
  <c r="S277" i="29"/>
  <c r="L279" i="29"/>
  <c r="K279" i="29"/>
  <c r="J278" i="29"/>
  <c r="K278" i="29" s="1"/>
  <c r="I278" i="29"/>
  <c r="BF277" i="29"/>
  <c r="W277" i="29"/>
  <c r="R277" i="29"/>
  <c r="BM279" i="29"/>
  <c r="BN279" i="29" s="1"/>
  <c r="BL279" i="29"/>
  <c r="BR278" i="29"/>
  <c r="BQ278" i="29"/>
  <c r="BM278" i="29"/>
  <c r="BL278" i="29"/>
  <c r="BT277" i="29"/>
  <c r="BS277" i="29"/>
  <c r="BR277" i="29"/>
  <c r="BQ277" i="29"/>
  <c r="BN277" i="29"/>
  <c r="BO277" i="29" s="1"/>
  <c r="BP277" i="29" s="1"/>
  <c r="BM277" i="29"/>
  <c r="BL277" i="29"/>
  <c r="BK277" i="29"/>
  <c r="BH296" i="29"/>
  <c r="BG296" i="29"/>
  <c r="BG295" i="29"/>
  <c r="BH294" i="29"/>
  <c r="BG294" i="29"/>
  <c r="BG293" i="29"/>
  <c r="BG291" i="29"/>
  <c r="BH291" i="29" s="1"/>
  <c r="BI291" i="29" s="1"/>
  <c r="BH288" i="29"/>
  <c r="BH286" i="29"/>
  <c r="BG286" i="29"/>
  <c r="BH284" i="29"/>
  <c r="BG284" i="29"/>
  <c r="BG283" i="29"/>
  <c r="BG285" i="29" s="1"/>
  <c r="BG281" i="29"/>
  <c r="BH280" i="29"/>
  <c r="BG280" i="29"/>
  <c r="BG279" i="29"/>
  <c r="BH278" i="29"/>
  <c r="BG278" i="29"/>
  <c r="BH277" i="29"/>
  <c r="BG277" i="29"/>
  <c r="BB296" i="29"/>
  <c r="BB295" i="29"/>
  <c r="BB294" i="29"/>
  <c r="BB293" i="29"/>
  <c r="BB291" i="29"/>
  <c r="BB288" i="29"/>
  <c r="BB286" i="29"/>
  <c r="BB285" i="29"/>
  <c r="BC284" i="29"/>
  <c r="BB284" i="29"/>
  <c r="BB283" i="29"/>
  <c r="BB281" i="29"/>
  <c r="BB280" i="29"/>
  <c r="BB279" i="29"/>
  <c r="BB278" i="29"/>
  <c r="BB277" i="29"/>
  <c r="BA277" i="29"/>
  <c r="AZ277" i="29"/>
  <c r="AT297" i="29"/>
  <c r="AU297" i="29" s="1"/>
  <c r="AT296" i="29"/>
  <c r="AU296" i="29" s="1"/>
  <c r="AT295" i="29"/>
  <c r="AU295" i="29" s="1"/>
  <c r="AT294" i="29"/>
  <c r="AT293" i="29"/>
  <c r="AT291" i="29"/>
  <c r="AU291" i="29" s="1"/>
  <c r="AT285" i="29"/>
  <c r="AT284" i="29"/>
  <c r="AU284" i="29" s="1"/>
  <c r="AT283" i="29"/>
  <c r="AT281" i="29"/>
  <c r="AU281" i="29" s="1"/>
  <c r="AT280" i="29"/>
  <c r="AT279" i="29"/>
  <c r="AU279" i="29" s="1"/>
  <c r="AT278" i="29"/>
  <c r="AU278" i="29" s="1"/>
  <c r="AT277" i="29"/>
  <c r="AR277" i="29"/>
  <c r="AQ277" i="29"/>
  <c r="AO277" i="29"/>
  <c r="AC281" i="29"/>
  <c r="AC280" i="29"/>
  <c r="AD279" i="29"/>
  <c r="AE279" i="29" s="1"/>
  <c r="AC279" i="29"/>
  <c r="AC278" i="29"/>
  <c r="AD278" i="29" s="1"/>
  <c r="AE278" i="29" s="1"/>
  <c r="AE277" i="29"/>
  <c r="AC277" i="29"/>
  <c r="T279" i="29"/>
  <c r="T278" i="29"/>
  <c r="T277" i="29"/>
  <c r="O278" i="29"/>
  <c r="N278" i="29"/>
  <c r="O277" i="29"/>
  <c r="N277" i="29"/>
  <c r="M277" i="29"/>
  <c r="J277" i="29"/>
  <c r="I277" i="29"/>
  <c r="H277" i="29"/>
  <c r="G277" i="29"/>
  <c r="F277" i="29"/>
  <c r="D277" i="29"/>
  <c r="B277" i="29"/>
  <c r="BM273" i="29"/>
  <c r="BK273" i="29"/>
  <c r="BI273" i="29"/>
  <c r="BH273" i="29"/>
  <c r="BG273" i="29"/>
  <c r="BF273" i="29"/>
  <c r="BE273" i="29"/>
  <c r="BD273" i="29"/>
  <c r="BC273" i="29"/>
  <c r="BB273" i="29"/>
  <c r="BA273" i="29"/>
  <c r="AT273" i="29"/>
  <c r="AS273" i="29"/>
  <c r="AR273" i="29"/>
  <c r="AQ273" i="29"/>
  <c r="AP273" i="29"/>
  <c r="AO273" i="29"/>
  <c r="AL273" i="29"/>
  <c r="AK273" i="29"/>
  <c r="AG273" i="29"/>
  <c r="AE273" i="29"/>
  <c r="AD273" i="29"/>
  <c r="AC273" i="29"/>
  <c r="AB273" i="29"/>
  <c r="Z273" i="29"/>
  <c r="Y273" i="29"/>
  <c r="X273" i="29"/>
  <c r="W273" i="29"/>
  <c r="V273" i="29"/>
  <c r="U273" i="29"/>
  <c r="T273" i="29"/>
  <c r="S273" i="29"/>
  <c r="R273" i="29"/>
  <c r="Q273" i="29"/>
  <c r="P273" i="29"/>
  <c r="O273" i="29"/>
  <c r="N273" i="29"/>
  <c r="M273" i="29"/>
  <c r="L273" i="29"/>
  <c r="G273" i="29"/>
  <c r="F273" i="29"/>
  <c r="E273" i="29"/>
  <c r="D273" i="29"/>
  <c r="C273" i="29"/>
  <c r="BS272" i="29"/>
  <c r="BR272" i="29"/>
  <c r="BQ272" i="29"/>
  <c r="BL272" i="29"/>
  <c r="BJ272" i="29"/>
  <c r="BJ273" i="29" s="1"/>
  <c r="BE272" i="29"/>
  <c r="AU272" i="29"/>
  <c r="AP272" i="29"/>
  <c r="AJ272" i="29"/>
  <c r="AJ273" i="29" s="1"/>
  <c r="AH272" i="29"/>
  <c r="AF272" i="29"/>
  <c r="AF273" i="29" s="1"/>
  <c r="V272" i="29"/>
  <c r="BD270" i="29"/>
  <c r="BC270" i="29"/>
  <c r="BB270" i="29"/>
  <c r="BA270" i="29"/>
  <c r="AT270" i="29"/>
  <c r="AS270" i="29"/>
  <c r="AR270" i="29"/>
  <c r="AQ270" i="29"/>
  <c r="AO270" i="29"/>
  <c r="AN270" i="29"/>
  <c r="AM270" i="29"/>
  <c r="AL270" i="29"/>
  <c r="AK270" i="29"/>
  <c r="AJ270" i="29"/>
  <c r="AI270" i="29"/>
  <c r="AH270" i="29"/>
  <c r="AG270" i="29"/>
  <c r="AE270" i="29"/>
  <c r="AD270" i="29"/>
  <c r="AC270" i="29"/>
  <c r="AB270" i="29"/>
  <c r="Z270" i="29"/>
  <c r="Y270" i="29"/>
  <c r="X270" i="29"/>
  <c r="W270" i="29"/>
  <c r="U270" i="29"/>
  <c r="T270" i="29"/>
  <c r="S270" i="29"/>
  <c r="R270" i="29"/>
  <c r="Q270" i="29"/>
  <c r="P270" i="29"/>
  <c r="O270" i="29"/>
  <c r="N270" i="29"/>
  <c r="M270" i="29"/>
  <c r="K270" i="29"/>
  <c r="J270" i="29"/>
  <c r="I270" i="29"/>
  <c r="G270" i="29"/>
  <c r="F270" i="29"/>
  <c r="E270" i="29"/>
  <c r="D270" i="29"/>
  <c r="C270" i="29"/>
  <c r="BQ269" i="29"/>
  <c r="BM270" i="29"/>
  <c r="BL270" i="29"/>
  <c r="BI270" i="29"/>
  <c r="BH270" i="29"/>
  <c r="BG270" i="29"/>
  <c r="BF270" i="29"/>
  <c r="BE269" i="29"/>
  <c r="BE270" i="29" s="1"/>
  <c r="AZ266" i="29"/>
  <c r="AU269" i="29"/>
  <c r="AZ269" i="29" s="1"/>
  <c r="AU267" i="29"/>
  <c r="AU266" i="29"/>
  <c r="AU265" i="29"/>
  <c r="AZ265" i="29" s="1"/>
  <c r="AP269" i="29"/>
  <c r="AP270" i="29" s="1"/>
  <c r="AP267" i="29"/>
  <c r="AP268" i="29" s="1"/>
  <c r="AP265" i="29"/>
  <c r="AP264" i="29"/>
  <c r="AK269" i="29"/>
  <c r="AK268" i="29"/>
  <c r="AF269" i="29"/>
  <c r="AF270" i="29" s="1"/>
  <c r="AF268" i="29"/>
  <c r="AA269" i="29"/>
  <c r="AA270" i="29" s="1"/>
  <c r="AA268" i="29"/>
  <c r="V269" i="29"/>
  <c r="V270" i="29" s="1"/>
  <c r="Q269" i="29"/>
  <c r="Q268" i="29"/>
  <c r="Q267" i="29"/>
  <c r="V268" i="29" s="1"/>
  <c r="Q266" i="29"/>
  <c r="L269" i="29"/>
  <c r="L270" i="29" s="1"/>
  <c r="L268" i="29"/>
  <c r="BO268" i="29"/>
  <c r="BN268" i="29"/>
  <c r="BM268" i="29"/>
  <c r="BL268" i="29"/>
  <c r="BK268" i="29"/>
  <c r="BJ268" i="29"/>
  <c r="BI268" i="29"/>
  <c r="BH268" i="29"/>
  <c r="BG268" i="29"/>
  <c r="BF268" i="29"/>
  <c r="BD268" i="29"/>
  <c r="BC268" i="29"/>
  <c r="BB268" i="29"/>
  <c r="BA268" i="29"/>
  <c r="AT268" i="29"/>
  <c r="AS268" i="29"/>
  <c r="AR268" i="29"/>
  <c r="AQ268" i="29"/>
  <c r="AO268" i="29"/>
  <c r="AN268" i="29"/>
  <c r="AM268" i="29"/>
  <c r="AL268" i="29"/>
  <c r="AJ268" i="29"/>
  <c r="AI268" i="29"/>
  <c r="AH268" i="29"/>
  <c r="AG268" i="29"/>
  <c r="AE268" i="29"/>
  <c r="AD268" i="29"/>
  <c r="AC268" i="29"/>
  <c r="AB268" i="29"/>
  <c r="Z268" i="29"/>
  <c r="Y268" i="29"/>
  <c r="X268" i="29"/>
  <c r="W268" i="29"/>
  <c r="U268" i="29"/>
  <c r="T268" i="29"/>
  <c r="S268" i="29"/>
  <c r="R268" i="29"/>
  <c r="P268" i="29"/>
  <c r="O268" i="29"/>
  <c r="N268" i="29"/>
  <c r="M268" i="29"/>
  <c r="K268" i="29"/>
  <c r="J268" i="29"/>
  <c r="I268" i="29"/>
  <c r="G268" i="29"/>
  <c r="F268" i="29"/>
  <c r="E268" i="29"/>
  <c r="D268" i="29"/>
  <c r="C268" i="29"/>
  <c r="BR267" i="29"/>
  <c r="BQ267" i="29"/>
  <c r="BQ294" i="29" s="1"/>
  <c r="BP267" i="29"/>
  <c r="BP268" i="29" s="1"/>
  <c r="BN266" i="29"/>
  <c r="BM266" i="29"/>
  <c r="BL266" i="29"/>
  <c r="BK266" i="29"/>
  <c r="BJ266" i="29"/>
  <c r="BI266" i="29"/>
  <c r="BH266" i="29"/>
  <c r="BG266" i="29"/>
  <c r="BF266" i="29"/>
  <c r="BE266" i="29"/>
  <c r="BD266" i="29"/>
  <c r="BC266" i="29"/>
  <c r="BB266" i="29"/>
  <c r="BA266" i="29"/>
  <c r="AT266" i="29"/>
  <c r="AS266" i="29"/>
  <c r="AR266" i="29"/>
  <c r="AQ266" i="29"/>
  <c r="AO266" i="29"/>
  <c r="AP266" i="29" s="1"/>
  <c r="AN266" i="29"/>
  <c r="AM266" i="29"/>
  <c r="AL266" i="29"/>
  <c r="AJ266" i="29"/>
  <c r="AI266" i="29"/>
  <c r="AH266" i="29"/>
  <c r="AG266" i="29"/>
  <c r="AF266" i="29"/>
  <c r="AE266" i="29"/>
  <c r="AD266" i="29"/>
  <c r="AC266" i="29"/>
  <c r="AB266" i="29"/>
  <c r="AA266" i="29"/>
  <c r="Z266" i="29"/>
  <c r="Y266" i="29"/>
  <c r="X266" i="29"/>
  <c r="W266" i="29"/>
  <c r="V266" i="29"/>
  <c r="U266" i="29"/>
  <c r="T266" i="29"/>
  <c r="S266" i="29"/>
  <c r="R266" i="29"/>
  <c r="P266" i="29"/>
  <c r="O266" i="29"/>
  <c r="N266" i="29"/>
  <c r="M266" i="29"/>
  <c r="L266" i="29"/>
  <c r="K266" i="29"/>
  <c r="J266" i="29"/>
  <c r="I266" i="29"/>
  <c r="H266" i="29"/>
  <c r="G266" i="29"/>
  <c r="F266" i="29"/>
  <c r="E266" i="29"/>
  <c r="D266" i="29"/>
  <c r="C266" i="29"/>
  <c r="B266" i="29"/>
  <c r="AK265" i="29"/>
  <c r="AK266" i="29" s="1"/>
  <c r="AK264" i="29"/>
  <c r="AF265" i="29"/>
  <c r="BN264" i="29"/>
  <c r="BN263" i="29"/>
  <c r="BT263" i="29" s="1"/>
  <c r="BN262" i="29"/>
  <c r="BI264" i="29"/>
  <c r="BJ264" i="29" s="1"/>
  <c r="BE264" i="29"/>
  <c r="BD264" i="29"/>
  <c r="Q263" i="29"/>
  <c r="L262" i="29"/>
  <c r="L263" i="29" s="1"/>
  <c r="G263" i="29"/>
  <c r="BK263" i="29"/>
  <c r="BG263" i="29"/>
  <c r="BC263" i="29"/>
  <c r="BM262" i="29"/>
  <c r="BM263" i="29" s="1"/>
  <c r="BS263" i="29" s="1"/>
  <c r="BL262" i="29"/>
  <c r="BK262" i="29"/>
  <c r="BI262" i="29"/>
  <c r="BI263" i="29" s="1"/>
  <c r="BH262" i="29"/>
  <c r="BH263" i="29" s="1"/>
  <c r="BG262" i="29"/>
  <c r="BD262" i="29"/>
  <c r="BD263" i="29" s="1"/>
  <c r="BC262" i="29"/>
  <c r="BB262" i="29"/>
  <c r="BB263" i="29" s="1"/>
  <c r="BA262" i="29"/>
  <c r="BA263" i="29" s="1"/>
  <c r="AT264" i="29"/>
  <c r="AR264" i="29"/>
  <c r="AS264" i="29" s="1"/>
  <c r="AS263" i="29" s="1"/>
  <c r="AT262" i="29"/>
  <c r="AS262" i="29"/>
  <c r="AR262" i="29"/>
  <c r="AR263" i="29" s="1"/>
  <c r="AO262" i="29"/>
  <c r="AO263" i="29" s="1"/>
  <c r="AN262" i="29"/>
  <c r="AN263" i="29" s="1"/>
  <c r="AM262" i="29"/>
  <c r="AM263" i="29" s="1"/>
  <c r="AL262" i="29"/>
  <c r="AP262" i="29" s="1"/>
  <c r="AP261" i="29" s="1"/>
  <c r="AG263" i="29"/>
  <c r="AK263" i="29" s="1"/>
  <c r="AJ262" i="29"/>
  <c r="AJ263" i="29" s="1"/>
  <c r="AI262" i="29"/>
  <c r="AI263" i="29" s="1"/>
  <c r="AH262" i="29"/>
  <c r="AH263" i="29" s="1"/>
  <c r="AG262" i="29"/>
  <c r="AK262" i="29" s="1"/>
  <c r="AE262" i="29"/>
  <c r="AD262" i="29"/>
  <c r="AC262" i="29"/>
  <c r="AB262" i="29"/>
  <c r="AF262" i="29" s="1"/>
  <c r="AF263" i="29" s="1"/>
  <c r="Z262" i="29"/>
  <c r="Y262" i="29"/>
  <c r="X262" i="29"/>
  <c r="W262" i="29"/>
  <c r="AA262" i="29" s="1"/>
  <c r="AA263" i="29" s="1"/>
  <c r="U262" i="29"/>
  <c r="T262" i="29"/>
  <c r="S262" i="29"/>
  <c r="R262" i="29"/>
  <c r="V262" i="29" s="1"/>
  <c r="V263" i="29" s="1"/>
  <c r="P262" i="29"/>
  <c r="O262" i="29"/>
  <c r="N262" i="29"/>
  <c r="M262" i="29"/>
  <c r="Q262" i="29" s="1"/>
  <c r="K262" i="29"/>
  <c r="J262" i="29"/>
  <c r="I262" i="29"/>
  <c r="H262" i="29"/>
  <c r="G262" i="29"/>
  <c r="F262" i="29"/>
  <c r="F263" i="29" s="1"/>
  <c r="E262" i="29"/>
  <c r="D262" i="29"/>
  <c r="C262" i="29"/>
  <c r="BT266" i="29"/>
  <c r="BR266" i="29"/>
  <c r="BS266" i="29" s="1"/>
  <c r="BQ265" i="29"/>
  <c r="BO265" i="29"/>
  <c r="BP265" i="29" s="1"/>
  <c r="BO264" i="29"/>
  <c r="BP264" i="29" s="1"/>
  <c r="BQ261" i="29"/>
  <c r="BR261" i="29" s="1"/>
  <c r="BQ257" i="29"/>
  <c r="BM257" i="29"/>
  <c r="BL257" i="29"/>
  <c r="BK257" i="29"/>
  <c r="BI257" i="29"/>
  <c r="BH257" i="29"/>
  <c r="BG257" i="29"/>
  <c r="BF257" i="29"/>
  <c r="BD257" i="29"/>
  <c r="BC257" i="29"/>
  <c r="BB257" i="29"/>
  <c r="BA257" i="29"/>
  <c r="AT257" i="29"/>
  <c r="AS257" i="29"/>
  <c r="AR257" i="29"/>
  <c r="AQ257" i="29"/>
  <c r="AO257" i="29"/>
  <c r="AN257" i="29"/>
  <c r="AM257" i="29"/>
  <c r="AJ257" i="29"/>
  <c r="AE257" i="29"/>
  <c r="AC257" i="29"/>
  <c r="Y257" i="29"/>
  <c r="W257" i="29"/>
  <c r="U257" i="29"/>
  <c r="T257" i="29"/>
  <c r="S257" i="29"/>
  <c r="R257" i="29"/>
  <c r="Q257" i="29"/>
  <c r="P257" i="29"/>
  <c r="O257" i="29"/>
  <c r="N257" i="29"/>
  <c r="M257" i="29"/>
  <c r="J257" i="29"/>
  <c r="I257" i="29"/>
  <c r="H257" i="29"/>
  <c r="G257" i="29"/>
  <c r="F257" i="29"/>
  <c r="D257" i="29"/>
  <c r="C257" i="29"/>
  <c r="B257" i="29"/>
  <c r="BU255" i="29"/>
  <c r="BP255" i="29"/>
  <c r="BP257" i="29" s="1"/>
  <c r="BO255" i="29"/>
  <c r="BO257" i="29" s="1"/>
  <c r="BN255" i="29"/>
  <c r="BN257" i="29" s="1"/>
  <c r="BJ255" i="29"/>
  <c r="BE255" i="29"/>
  <c r="BE257" i="29" s="1"/>
  <c r="AU255" i="29"/>
  <c r="AU277" i="29" s="1"/>
  <c r="AL255" i="29"/>
  <c r="AJ255" i="29"/>
  <c r="AJ277" i="29" s="1"/>
  <c r="AI255" i="29"/>
  <c r="AI277" i="29" s="1"/>
  <c r="AH255" i="29"/>
  <c r="AG255" i="29"/>
  <c r="AD255" i="29"/>
  <c r="AD277" i="29" s="1"/>
  <c r="AB255" i="29"/>
  <c r="Z255" i="29"/>
  <c r="Z277" i="29" s="1"/>
  <c r="Y255" i="29"/>
  <c r="Y277" i="29" s="1"/>
  <c r="X255" i="29"/>
  <c r="V255" i="29"/>
  <c r="U255" i="29"/>
  <c r="U277" i="29" s="1"/>
  <c r="Q255" i="29"/>
  <c r="Q277" i="29" s="1"/>
  <c r="L255" i="29"/>
  <c r="K255" i="29"/>
  <c r="K277" i="29" s="1"/>
  <c r="E255" i="29"/>
  <c r="E277" i="29" s="1"/>
  <c r="C255" i="29"/>
  <c r="C277" i="29" s="1"/>
  <c r="BU251" i="29"/>
  <c r="BP251" i="29"/>
  <c r="BO251" i="29"/>
  <c r="BJ251" i="29"/>
  <c r="BE251" i="29"/>
  <c r="AU251" i="29"/>
  <c r="AP251" i="29"/>
  <c r="AJ251" i="29"/>
  <c r="AK251" i="29" s="1"/>
  <c r="AF251" i="29"/>
  <c r="AA251" i="29"/>
  <c r="Z251" i="29"/>
  <c r="V251" i="29"/>
  <c r="Q251" i="29"/>
  <c r="L251" i="29"/>
  <c r="K247" i="29"/>
  <c r="J247" i="29"/>
  <c r="I247" i="29"/>
  <c r="H247" i="29"/>
  <c r="L247" i="29" s="1"/>
  <c r="G247" i="29"/>
  <c r="F247" i="29"/>
  <c r="E247" i="29"/>
  <c r="D247" i="29"/>
  <c r="C247" i="29"/>
  <c r="B247" i="29"/>
  <c r="BC247" i="29"/>
  <c r="BB247" i="29"/>
  <c r="BA247" i="29"/>
  <c r="AZ247" i="29"/>
  <c r="AO247" i="29"/>
  <c r="AN247" i="29"/>
  <c r="AM247" i="29"/>
  <c r="AL247" i="29"/>
  <c r="AP247" i="29" s="1"/>
  <c r="AJ247" i="29"/>
  <c r="AI247" i="29"/>
  <c r="AH247" i="29"/>
  <c r="AG247" i="29"/>
  <c r="AE247" i="29"/>
  <c r="AD247" i="29"/>
  <c r="AC247" i="29"/>
  <c r="AB247" i="29"/>
  <c r="Z247" i="29"/>
  <c r="Y247" i="29"/>
  <c r="X247" i="29"/>
  <c r="W247" i="29"/>
  <c r="BH247" i="29"/>
  <c r="BG247" i="29"/>
  <c r="BF247" i="29"/>
  <c r="U247" i="29"/>
  <c r="T247" i="29"/>
  <c r="S247" i="29"/>
  <c r="R247" i="29"/>
  <c r="P247" i="29"/>
  <c r="O247" i="29"/>
  <c r="N247" i="29"/>
  <c r="M247" i="29"/>
  <c r="Q247" i="29" s="1"/>
  <c r="BJ240" i="29"/>
  <c r="BJ237" i="29"/>
  <c r="BJ235" i="29"/>
  <c r="BE240" i="29"/>
  <c r="BE237" i="29"/>
  <c r="BE235" i="29"/>
  <c r="BE234" i="29"/>
  <c r="AU240" i="29"/>
  <c r="AU237" i="29"/>
  <c r="AU235" i="29"/>
  <c r="AP240" i="29"/>
  <c r="AP235" i="29"/>
  <c r="AK240" i="29"/>
  <c r="AF240" i="29"/>
  <c r="AA240" i="29"/>
  <c r="V240" i="29"/>
  <c r="Q240" i="29"/>
  <c r="Q237" i="29"/>
  <c r="BT240" i="29"/>
  <c r="BS240" i="29"/>
  <c r="BR240" i="29"/>
  <c r="BQ240" i="29"/>
  <c r="BO240" i="29"/>
  <c r="BP240" i="29" s="1"/>
  <c r="CJ234" i="29"/>
  <c r="CE235" i="29"/>
  <c r="CE234" i="29"/>
  <c r="BZ235" i="29"/>
  <c r="BZ234" i="29"/>
  <c r="AL237" i="29"/>
  <c r="AJ237" i="29"/>
  <c r="AI237" i="29"/>
  <c r="AH237" i="29"/>
  <c r="AG237" i="29"/>
  <c r="AD237" i="29"/>
  <c r="AB237" i="29"/>
  <c r="AF237" i="29" s="1"/>
  <c r="Y237" i="29"/>
  <c r="X237" i="29"/>
  <c r="AA237" i="29" s="1"/>
  <c r="U237" i="29"/>
  <c r="L237" i="29"/>
  <c r="K237" i="29"/>
  <c r="BO237" i="29"/>
  <c r="BP237" i="29" s="1"/>
  <c r="BN237" i="29"/>
  <c r="AJ235" i="29"/>
  <c r="AK235" i="29" s="1"/>
  <c r="AF235" i="29"/>
  <c r="AA235" i="29"/>
  <c r="AA234" i="29"/>
  <c r="U235" i="29"/>
  <c r="V235" i="29" s="1"/>
  <c r="Q235" i="29"/>
  <c r="Q234" i="29"/>
  <c r="L235" i="29"/>
  <c r="BT235" i="29"/>
  <c r="BP235" i="29"/>
  <c r="BO235" i="29"/>
  <c r="BN234" i="29"/>
  <c r="BM234" i="29"/>
  <c r="BL234" i="29"/>
  <c r="BK234" i="29"/>
  <c r="BO234" i="29" s="1"/>
  <c r="BP234" i="29" s="1"/>
  <c r="BI234" i="29"/>
  <c r="BH234" i="29"/>
  <c r="BG234" i="29"/>
  <c r="BF234" i="29"/>
  <c r="BJ234" i="29" s="1"/>
  <c r="BD234" i="29"/>
  <c r="BC234" i="29"/>
  <c r="BB234" i="29"/>
  <c r="BA234" i="29"/>
  <c r="AZ234" i="29"/>
  <c r="AT234" i="29"/>
  <c r="AS234" i="29"/>
  <c r="AR234" i="29"/>
  <c r="AQ234" i="29"/>
  <c r="AO234" i="29"/>
  <c r="AN234" i="29"/>
  <c r="AM234" i="29"/>
  <c r="AL234" i="29"/>
  <c r="AJ234" i="29"/>
  <c r="AI234" i="29"/>
  <c r="AH234" i="29"/>
  <c r="AG234" i="29"/>
  <c r="AE234" i="29"/>
  <c r="AD234" i="29"/>
  <c r="AC234" i="29"/>
  <c r="AB234" i="29"/>
  <c r="Z234" i="29"/>
  <c r="Y234" i="29"/>
  <c r="X234" i="29"/>
  <c r="W234" i="29"/>
  <c r="U234" i="29"/>
  <c r="T234" i="29"/>
  <c r="S234" i="29"/>
  <c r="R234" i="29"/>
  <c r="P234" i="29"/>
  <c r="O234" i="29"/>
  <c r="N234" i="29"/>
  <c r="M234" i="29"/>
  <c r="K234" i="29"/>
  <c r="J234" i="29"/>
  <c r="I234" i="29"/>
  <c r="H234" i="29"/>
  <c r="G234" i="29"/>
  <c r="F234" i="29"/>
  <c r="E234" i="29"/>
  <c r="D234" i="29"/>
  <c r="C234" i="29"/>
  <c r="B234" i="29"/>
  <c r="BU227" i="29"/>
  <c r="AF230" i="29"/>
  <c r="AA230" i="29"/>
  <c r="V230" i="29"/>
  <c r="Q230" i="29"/>
  <c r="BN232" i="29"/>
  <c r="BN231" i="29"/>
  <c r="BM231" i="29"/>
  <c r="BM232" i="29" s="1"/>
  <c r="BL231" i="29"/>
  <c r="BL232" i="29" s="1"/>
  <c r="BT230" i="29"/>
  <c r="BS230" i="29"/>
  <c r="BR230" i="29"/>
  <c r="BQ230" i="29"/>
  <c r="BU230" i="29" s="1"/>
  <c r="BO230" i="29"/>
  <c r="BP230" i="29" s="1"/>
  <c r="BJ230" i="29"/>
  <c r="BE230" i="29"/>
  <c r="AU230" i="29"/>
  <c r="AP230" i="29"/>
  <c r="AK230" i="29"/>
  <c r="L230" i="29"/>
  <c r="CJ227" i="29"/>
  <c r="CE227" i="29"/>
  <c r="BZ227" i="29"/>
  <c r="AF227" i="29"/>
  <c r="AF228" i="29" s="1"/>
  <c r="AF226" i="29"/>
  <c r="AA227" i="29"/>
  <c r="AA226" i="29"/>
  <c r="AA228" i="29" s="1"/>
  <c r="V227" i="29"/>
  <c r="Q228" i="29"/>
  <c r="Q227" i="29"/>
  <c r="Q226" i="29"/>
  <c r="BO228" i="29"/>
  <c r="BQ228" i="29" s="1"/>
  <c r="BK228" i="29"/>
  <c r="BG228" i="29"/>
  <c r="BC228" i="29"/>
  <c r="BT227" i="29"/>
  <c r="BS227" i="29"/>
  <c r="BR227" i="29"/>
  <c r="BQ227" i="29"/>
  <c r="BP227" i="29"/>
  <c r="BO227" i="29"/>
  <c r="BN227" i="29"/>
  <c r="BN228" i="29" s="1"/>
  <c r="BM227" i="29"/>
  <c r="BM228" i="29" s="1"/>
  <c r="BL227" i="29"/>
  <c r="BL228" i="29" s="1"/>
  <c r="BK227" i="29"/>
  <c r="BJ227" i="29"/>
  <c r="BI227" i="29"/>
  <c r="BI228" i="29" s="1"/>
  <c r="BH227" i="29"/>
  <c r="BH228" i="29" s="1"/>
  <c r="BG227" i="29"/>
  <c r="BF227" i="29"/>
  <c r="BF228" i="29" s="1"/>
  <c r="BE227" i="29"/>
  <c r="BD227" i="29"/>
  <c r="BD228" i="29" s="1"/>
  <c r="BC227" i="29"/>
  <c r="BB227" i="29"/>
  <c r="BB228" i="29" s="1"/>
  <c r="BA227" i="29"/>
  <c r="BA228" i="29" s="1"/>
  <c r="AZ227" i="29"/>
  <c r="AZ228" i="29" s="1"/>
  <c r="AT228" i="29"/>
  <c r="AR228" i="29"/>
  <c r="AN228" i="29"/>
  <c r="AL228" i="29"/>
  <c r="AU227" i="29"/>
  <c r="AT227" i="29"/>
  <c r="AS227" i="29"/>
  <c r="AS228" i="29" s="1"/>
  <c r="AR227" i="29"/>
  <c r="AQ227" i="29"/>
  <c r="AQ228" i="29" s="1"/>
  <c r="AP227" i="29"/>
  <c r="AO227" i="29"/>
  <c r="AO228" i="29" s="1"/>
  <c r="AN227" i="29"/>
  <c r="AM227" i="29"/>
  <c r="AM228" i="29" s="1"/>
  <c r="AL227" i="29"/>
  <c r="AK227" i="29"/>
  <c r="AK228" i="29" s="1"/>
  <c r="BO226" i="29"/>
  <c r="BP226" i="29" s="1"/>
  <c r="BJ226" i="29"/>
  <c r="BJ228" i="29" s="1"/>
  <c r="BE226" i="29"/>
  <c r="BE228" i="29" s="1"/>
  <c r="AU226" i="29"/>
  <c r="AU234" i="29" s="1"/>
  <c r="AP226" i="29"/>
  <c r="AK226" i="29"/>
  <c r="U226" i="29"/>
  <c r="V226" i="29" s="1"/>
  <c r="L226" i="29"/>
  <c r="L234" i="29" s="1"/>
  <c r="CJ218" i="29"/>
  <c r="CJ235" i="29" s="1"/>
  <c r="BT218" i="29"/>
  <c r="BS218" i="29"/>
  <c r="BS235" i="29" s="1"/>
  <c r="BR218" i="29"/>
  <c r="BR235" i="29" s="1"/>
  <c r="BQ218" i="29"/>
  <c r="BQ235" i="29" s="1"/>
  <c r="BU235" i="29" s="1"/>
  <c r="BU217" i="29"/>
  <c r="BO217" i="29"/>
  <c r="BO213" i="29"/>
  <c r="CJ215" i="29"/>
  <c r="CE216" i="29"/>
  <c r="BJ215" i="29"/>
  <c r="BE210" i="29"/>
  <c r="BE209" i="29"/>
  <c r="AZ216" i="29"/>
  <c r="AU216" i="29"/>
  <c r="AU215" i="29"/>
  <c r="AU214" i="29"/>
  <c r="AU213" i="29"/>
  <c r="AU210" i="29"/>
  <c r="AU209" i="29"/>
  <c r="AU194" i="29"/>
  <c r="AU193" i="29"/>
  <c r="AU190" i="29"/>
  <c r="AK214" i="29"/>
  <c r="AF215" i="29"/>
  <c r="AF214" i="29"/>
  <c r="AA215" i="29"/>
  <c r="AF216" i="29" s="1"/>
  <c r="AA214" i="29"/>
  <c r="V215" i="29"/>
  <c r="V216" i="29" s="1"/>
  <c r="V214" i="29"/>
  <c r="Q215" i="29"/>
  <c r="Q214" i="29"/>
  <c r="L216" i="29"/>
  <c r="L215" i="29"/>
  <c r="Q216" i="29" s="1"/>
  <c r="L214" i="29"/>
  <c r="BT215" i="29"/>
  <c r="BT212" i="29" s="1"/>
  <c r="BT247" i="29" s="1"/>
  <c r="BS215" i="29"/>
  <c r="BR215" i="29"/>
  <c r="BQ215" i="29"/>
  <c r="BU215" i="29" s="1"/>
  <c r="BN215" i="29"/>
  <c r="BO215" i="29" s="1"/>
  <c r="BO216" i="29" s="1"/>
  <c r="BI215" i="29"/>
  <c r="BD215" i="29"/>
  <c r="BE215" i="29" s="1"/>
  <c r="BE216" i="29" s="1"/>
  <c r="B215" i="29"/>
  <c r="AZ214" i="29"/>
  <c r="AP214" i="29"/>
  <c r="E216" i="29"/>
  <c r="D216" i="29"/>
  <c r="C216" i="29"/>
  <c r="G215" i="29"/>
  <c r="F215" i="29"/>
  <c r="G216" i="29" s="1"/>
  <c r="E215" i="29"/>
  <c r="D215" i="29"/>
  <c r="C215" i="29"/>
  <c r="G214" i="29"/>
  <c r="F214" i="29"/>
  <c r="E214" i="29"/>
  <c r="D214" i="29"/>
  <c r="C214" i="29"/>
  <c r="BZ212" i="29"/>
  <c r="BZ247" i="29" s="1"/>
  <c r="BI213" i="29"/>
  <c r="BJ213" i="29" s="1"/>
  <c r="BI212" i="29"/>
  <c r="BI247" i="29" s="1"/>
  <c r="BD213" i="29"/>
  <c r="BE213" i="29" s="1"/>
  <c r="BE214" i="29" s="1"/>
  <c r="BD212" i="29"/>
  <c r="BE212" i="29" s="1"/>
  <c r="BT213" i="29"/>
  <c r="BS213" i="29"/>
  <c r="BR213" i="29"/>
  <c r="BQ213" i="29"/>
  <c r="BS212" i="29"/>
  <c r="BS247" i="29" s="1"/>
  <c r="BR212" i="29"/>
  <c r="BR247" i="29" s="1"/>
  <c r="BQ212" i="29"/>
  <c r="BQ247" i="29" s="1"/>
  <c r="BP212" i="29"/>
  <c r="BP247" i="29" s="1"/>
  <c r="BP211" i="29"/>
  <c r="BP208" i="29"/>
  <c r="BM212" i="29"/>
  <c r="BL212" i="29"/>
  <c r="BL247" i="29" s="1"/>
  <c r="BK212" i="29"/>
  <c r="BK247" i="29" s="1"/>
  <c r="AK212" i="29"/>
  <c r="AK215" i="29" s="1"/>
  <c r="AK210" i="29"/>
  <c r="AT212" i="29"/>
  <c r="AT247" i="29" s="1"/>
  <c r="AS212" i="29"/>
  <c r="AS247" i="29" s="1"/>
  <c r="AR212" i="29"/>
  <c r="AR247" i="29" s="1"/>
  <c r="AQ212" i="29"/>
  <c r="AQ247" i="29" s="1"/>
  <c r="AP212" i="29"/>
  <c r="AZ210" i="29"/>
  <c r="AZ209" i="29"/>
  <c r="AZ205" i="29"/>
  <c r="AP210" i="29"/>
  <c r="AT209" i="29"/>
  <c r="AT199" i="29"/>
  <c r="AT194" i="29"/>
  <c r="AT193" i="29"/>
  <c r="AT190" i="29"/>
  <c r="AT192" i="29" s="1"/>
  <c r="AT188" i="29"/>
  <c r="AT221" i="29" s="1"/>
  <c r="BA205" i="29"/>
  <c r="BE205" i="29" s="1"/>
  <c r="AN205" i="29"/>
  <c r="AM205" i="29"/>
  <c r="AP205" i="29" s="1"/>
  <c r="AL205" i="29"/>
  <c r="AI205" i="29"/>
  <c r="AH205" i="29"/>
  <c r="AG205" i="29"/>
  <c r="AE205" i="29"/>
  <c r="AD205" i="29"/>
  <c r="AC205" i="29"/>
  <c r="AB205" i="29"/>
  <c r="AF205" i="29" s="1"/>
  <c r="Y205" i="29"/>
  <c r="X205" i="29"/>
  <c r="W205" i="29"/>
  <c r="Z205" i="29" s="1"/>
  <c r="T205" i="29"/>
  <c r="S205" i="29"/>
  <c r="R205" i="29"/>
  <c r="O205" i="29"/>
  <c r="L205" i="29"/>
  <c r="K205" i="29"/>
  <c r="Z196" i="29"/>
  <c r="Y196" i="29"/>
  <c r="X196" i="29"/>
  <c r="W196" i="29"/>
  <c r="U196" i="29"/>
  <c r="T196" i="29"/>
  <c r="S196" i="29"/>
  <c r="R196" i="29"/>
  <c r="AS205" i="29"/>
  <c r="AR205" i="29"/>
  <c r="AQ205" i="29"/>
  <c r="BN194" i="29"/>
  <c r="BO194" i="29" s="1"/>
  <c r="BP194" i="29" s="1"/>
  <c r="BN193" i="29"/>
  <c r="BO193" i="29" s="1"/>
  <c r="BO190" i="29" s="1"/>
  <c r="BN188" i="29"/>
  <c r="BI194" i="29"/>
  <c r="BJ194" i="29" s="1"/>
  <c r="BI193" i="29"/>
  <c r="BJ193" i="29" s="1"/>
  <c r="BD194" i="29"/>
  <c r="BE194" i="29" s="1"/>
  <c r="BD193" i="29"/>
  <c r="BE193" i="29" s="1"/>
  <c r="BD190" i="29"/>
  <c r="BD188" i="29"/>
  <c r="AO194" i="29"/>
  <c r="AO193" i="29"/>
  <c r="AO190" i="29"/>
  <c r="AO188" i="29"/>
  <c r="AO185" i="29"/>
  <c r="AP184" i="29"/>
  <c r="CI188" i="29"/>
  <c r="CI199" i="29" s="1"/>
  <c r="CH188" i="29"/>
  <c r="CH199" i="29" s="1"/>
  <c r="CG188" i="29"/>
  <c r="CG199" i="29" s="1"/>
  <c r="CF188" i="29"/>
  <c r="CF199" i="29" s="1"/>
  <c r="CD188" i="29"/>
  <c r="CD199" i="29" s="1"/>
  <c r="CC188" i="29"/>
  <c r="CC199" i="29" s="1"/>
  <c r="CB188" i="29"/>
  <c r="CB199" i="29" s="1"/>
  <c r="CA188" i="29"/>
  <c r="CA199" i="29" s="1"/>
  <c r="BY188" i="29"/>
  <c r="BY199" i="29" s="1"/>
  <c r="BX188" i="29"/>
  <c r="BX199" i="29" s="1"/>
  <c r="BW188" i="29"/>
  <c r="BW199" i="29" s="1"/>
  <c r="BV188" i="29"/>
  <c r="BV199" i="29" s="1"/>
  <c r="AY188" i="29"/>
  <c r="AY199" i="29" s="1"/>
  <c r="AX188" i="29"/>
  <c r="AX199" i="29" s="1"/>
  <c r="AW188" i="29"/>
  <c r="AW199" i="29" s="1"/>
  <c r="AV188" i="29"/>
  <c r="AV199" i="29" s="1"/>
  <c r="K188" i="29"/>
  <c r="F188" i="29"/>
  <c r="AN189" i="29"/>
  <c r="AJ189" i="29"/>
  <c r="AB189" i="29"/>
  <c r="P189" i="29"/>
  <c r="AN188" i="29"/>
  <c r="AN221" i="29" s="1"/>
  <c r="AM188" i="29"/>
  <c r="AM192" i="29" s="1"/>
  <c r="AL188" i="29"/>
  <c r="AL192" i="29" s="1"/>
  <c r="AJ188" i="29"/>
  <c r="AJ192" i="29" s="1"/>
  <c r="AI188" i="29"/>
  <c r="AI192" i="29" s="1"/>
  <c r="AH188" i="29"/>
  <c r="AH192" i="29" s="1"/>
  <c r="AG188" i="29"/>
  <c r="AF188" i="29"/>
  <c r="AF192" i="29" s="1"/>
  <c r="AE188" i="29"/>
  <c r="AE192" i="29" s="1"/>
  <c r="AD188" i="29"/>
  <c r="AD192" i="29" s="1"/>
  <c r="AC188" i="29"/>
  <c r="AB188" i="29"/>
  <c r="AB221" i="29" s="1"/>
  <c r="Z188" i="29"/>
  <c r="Y188" i="29"/>
  <c r="W188" i="29"/>
  <c r="U188" i="29"/>
  <c r="R188" i="29"/>
  <c r="P188" i="29"/>
  <c r="O188" i="29"/>
  <c r="BM190" i="29"/>
  <c r="BM192" i="29" s="1"/>
  <c r="BL190" i="29"/>
  <c r="BK190" i="29"/>
  <c r="BK192" i="29" s="1"/>
  <c r="BM188" i="29"/>
  <c r="BM189" i="29" s="1"/>
  <c r="BL188" i="29"/>
  <c r="BL189" i="29" s="1"/>
  <c r="BK188" i="29"/>
  <c r="BK221" i="29" s="1"/>
  <c r="BH190" i="29"/>
  <c r="BG190" i="29"/>
  <c r="BF190" i="29"/>
  <c r="BH188" i="29"/>
  <c r="BH189" i="29" s="1"/>
  <c r="BG188" i="29"/>
  <c r="BF188" i="29"/>
  <c r="BF221" i="29" s="1"/>
  <c r="BC190" i="29"/>
  <c r="BC192" i="29" s="1"/>
  <c r="BB190" i="29"/>
  <c r="BB192" i="29" s="1"/>
  <c r="BA190" i="29"/>
  <c r="BA192" i="29" s="1"/>
  <c r="AZ190" i="29"/>
  <c r="AZ192" i="29" s="1"/>
  <c r="BC188" i="29"/>
  <c r="BB188" i="29"/>
  <c r="BA188" i="29"/>
  <c r="AZ188" i="29"/>
  <c r="AZ221" i="29" s="1"/>
  <c r="AS190" i="29"/>
  <c r="AS192" i="29" s="1"/>
  <c r="AR190" i="29"/>
  <c r="AR192" i="29" s="1"/>
  <c r="AQ190" i="29"/>
  <c r="AQ192" i="29" s="1"/>
  <c r="AS189" i="29"/>
  <c r="AQ189" i="29"/>
  <c r="AS188" i="29"/>
  <c r="AR188" i="29"/>
  <c r="AR221" i="29" s="1"/>
  <c r="AQ188" i="29"/>
  <c r="AQ221" i="29" s="1"/>
  <c r="AN185" i="29"/>
  <c r="AM185" i="29"/>
  <c r="AL185" i="29"/>
  <c r="AJ185" i="29"/>
  <c r="AI185" i="29"/>
  <c r="AH185" i="29"/>
  <c r="AG185" i="29"/>
  <c r="AF185" i="29"/>
  <c r="AE185" i="29"/>
  <c r="AD185" i="29"/>
  <c r="AC185" i="29"/>
  <c r="AB185" i="29"/>
  <c r="Z185" i="29"/>
  <c r="Y185" i="29"/>
  <c r="W185" i="29"/>
  <c r="U185" i="29"/>
  <c r="R185" i="29"/>
  <c r="P185" i="29"/>
  <c r="O185" i="29"/>
  <c r="K185" i="29"/>
  <c r="I185" i="29"/>
  <c r="H185" i="29"/>
  <c r="F185" i="29"/>
  <c r="D185" i="29"/>
  <c r="AK184" i="29"/>
  <c r="T184" i="29"/>
  <c r="T188" i="29" s="1"/>
  <c r="S184" i="29"/>
  <c r="S185" i="29" s="1"/>
  <c r="N184" i="29"/>
  <c r="N185" i="29" s="1"/>
  <c r="M184" i="29"/>
  <c r="M185" i="29" s="1"/>
  <c r="J184" i="29"/>
  <c r="J185" i="29" s="1"/>
  <c r="I184" i="29"/>
  <c r="I188" i="29" s="1"/>
  <c r="H184" i="29"/>
  <c r="H188" i="29" s="1"/>
  <c r="G184" i="29"/>
  <c r="G185" i="29" s="1"/>
  <c r="E184" i="29"/>
  <c r="E185" i="29" s="1"/>
  <c r="D184" i="29"/>
  <c r="D188" i="29" s="1"/>
  <c r="C184" i="29"/>
  <c r="C185" i="29" s="1"/>
  <c r="B184" i="29"/>
  <c r="B185" i="29" s="1"/>
  <c r="CJ179" i="29"/>
  <c r="BN183" i="29"/>
  <c r="BM183" i="29"/>
  <c r="BL183" i="29"/>
  <c r="BK183" i="29"/>
  <c r="BH183" i="29"/>
  <c r="BG183" i="29"/>
  <c r="BF183" i="29"/>
  <c r="BD183" i="29"/>
  <c r="BC183" i="29"/>
  <c r="BB183" i="29"/>
  <c r="BA183" i="29"/>
  <c r="AZ183" i="29"/>
  <c r="AY183" i="29"/>
  <c r="AX183" i="29"/>
  <c r="AW183" i="29"/>
  <c r="AV183" i="29"/>
  <c r="AT183" i="29"/>
  <c r="AS183" i="29"/>
  <c r="AR183" i="29"/>
  <c r="AQ183" i="29"/>
  <c r="BU182" i="29"/>
  <c r="BP182" i="29"/>
  <c r="BO182" i="29"/>
  <c r="BI182" i="29"/>
  <c r="BE182" i="29"/>
  <c r="BE180" i="29"/>
  <c r="BE179" i="29"/>
  <c r="BE175" i="29"/>
  <c r="BE176" i="29" s="1"/>
  <c r="AU182" i="29"/>
  <c r="AU180" i="29"/>
  <c r="AU179" i="29"/>
  <c r="AU175" i="29"/>
  <c r="AU176" i="29" s="1"/>
  <c r="BN181" i="29"/>
  <c r="BM181" i="29"/>
  <c r="BL181" i="29"/>
  <c r="BK181" i="29"/>
  <c r="BH181" i="29"/>
  <c r="BG181" i="29"/>
  <c r="BF181" i="29"/>
  <c r="BD181" i="29"/>
  <c r="BC181" i="29"/>
  <c r="BB181" i="29"/>
  <c r="BA181" i="29"/>
  <c r="AZ181" i="29"/>
  <c r="AY181" i="29"/>
  <c r="AX181" i="29"/>
  <c r="AW181" i="29"/>
  <c r="AV181" i="29"/>
  <c r="AT181" i="29"/>
  <c r="AS181" i="29"/>
  <c r="AR181" i="29"/>
  <c r="AQ181" i="29"/>
  <c r="BI180" i="29"/>
  <c r="BO180" i="29"/>
  <c r="BP180" i="29" s="1"/>
  <c r="BO179" i="29"/>
  <c r="BP179" i="29" s="1"/>
  <c r="BJ179" i="29"/>
  <c r="BH177" i="29"/>
  <c r="BH178" i="29" s="1"/>
  <c r="BG177" i="29"/>
  <c r="BG178" i="29" s="1"/>
  <c r="BF177" i="29"/>
  <c r="BF178" i="29" s="1"/>
  <c r="AT177" i="29"/>
  <c r="AS177" i="29"/>
  <c r="AR177" i="29"/>
  <c r="AQ177" i="29"/>
  <c r="AU177" i="29" s="1"/>
  <c r="AU178" i="29" s="1"/>
  <c r="AP177" i="29"/>
  <c r="BK178" i="29"/>
  <c r="BN177" i="29"/>
  <c r="BM177" i="29"/>
  <c r="BM178" i="29" s="1"/>
  <c r="BL177" i="29"/>
  <c r="BL178" i="29" s="1"/>
  <c r="BK177" i="29"/>
  <c r="BM176" i="29"/>
  <c r="BL176" i="29"/>
  <c r="BK176" i="29"/>
  <c r="BH176" i="29"/>
  <c r="BG176" i="29"/>
  <c r="BB178" i="29"/>
  <c r="BD177" i="29"/>
  <c r="BD178" i="29" s="1"/>
  <c r="BC177" i="29"/>
  <c r="BC178" i="29" s="1"/>
  <c r="BB177" i="29"/>
  <c r="BA177" i="29"/>
  <c r="BE177" i="29" s="1"/>
  <c r="BE178" i="29" s="1"/>
  <c r="AZ177" i="29"/>
  <c r="AZ178" i="29" s="1"/>
  <c r="BD176" i="29"/>
  <c r="BC176" i="29"/>
  <c r="BB176" i="29"/>
  <c r="BA176" i="29"/>
  <c r="AZ176" i="29"/>
  <c r="BO175" i="29"/>
  <c r="BP175" i="29" s="1"/>
  <c r="BI175" i="29"/>
  <c r="BJ175" i="29" s="1"/>
  <c r="BI174" i="29"/>
  <c r="BD174" i="29"/>
  <c r="BC174" i="29"/>
  <c r="BB174" i="29"/>
  <c r="BA174" i="29"/>
  <c r="AY174" i="29"/>
  <c r="AX174" i="29"/>
  <c r="AW174" i="29"/>
  <c r="AV174" i="29"/>
  <c r="BT180" i="29"/>
  <c r="BS180" i="29"/>
  <c r="BR180" i="29"/>
  <c r="BQ180" i="29"/>
  <c r="BU180" i="29" s="1"/>
  <c r="BT179" i="29"/>
  <c r="BS179" i="29"/>
  <c r="BR179" i="29"/>
  <c r="BQ179" i="29"/>
  <c r="BU179" i="29" s="1"/>
  <c r="BN174" i="29"/>
  <c r="BM174" i="29"/>
  <c r="BL174" i="29"/>
  <c r="BK174" i="29"/>
  <c r="BL173" i="29"/>
  <c r="BN172" i="29"/>
  <c r="BM172" i="29"/>
  <c r="BS173" i="29" s="1"/>
  <c r="BL172" i="29"/>
  <c r="BR173" i="29" s="1"/>
  <c r="BK172" i="29"/>
  <c r="BK173" i="29" s="1"/>
  <c r="BH174" i="29"/>
  <c r="BG174" i="29"/>
  <c r="BF174" i="29"/>
  <c r="BG173" i="29"/>
  <c r="BH172" i="29"/>
  <c r="BH173" i="29" s="1"/>
  <c r="BG172" i="29"/>
  <c r="BF172" i="29"/>
  <c r="BD172" i="29"/>
  <c r="BD173" i="29" s="1"/>
  <c r="BC172" i="29"/>
  <c r="BB172" i="29"/>
  <c r="BA172" i="29"/>
  <c r="BA173" i="29" s="1"/>
  <c r="AZ172" i="29"/>
  <c r="AT172" i="29"/>
  <c r="AS172" i="29"/>
  <c r="AR172" i="29"/>
  <c r="AQ172" i="29"/>
  <c r="AP172" i="29"/>
  <c r="F171" i="29"/>
  <c r="K170" i="29"/>
  <c r="J170" i="29"/>
  <c r="I170" i="29"/>
  <c r="H170" i="29"/>
  <c r="G170" i="29"/>
  <c r="G171" i="29" s="1"/>
  <c r="F170" i="29"/>
  <c r="E170" i="29"/>
  <c r="E171" i="29" s="1"/>
  <c r="D170" i="29"/>
  <c r="D171" i="29" s="1"/>
  <c r="C170" i="29"/>
  <c r="C171" i="29" s="1"/>
  <c r="B170" i="29"/>
  <c r="M171" i="29"/>
  <c r="AL170" i="29"/>
  <c r="AL171" i="29" s="1"/>
  <c r="AK170" i="29"/>
  <c r="AI170" i="29"/>
  <c r="AI171" i="29" s="1"/>
  <c r="AH170" i="29"/>
  <c r="AH171" i="29" s="1"/>
  <c r="AG170" i="29"/>
  <c r="AE170" i="29"/>
  <c r="AE171" i="29" s="1"/>
  <c r="AD170" i="29"/>
  <c r="AD171" i="29" s="1"/>
  <c r="AC170" i="29"/>
  <c r="AB170" i="29"/>
  <c r="AG171" i="29" s="1"/>
  <c r="Z170" i="29"/>
  <c r="Z171" i="29" s="1"/>
  <c r="Y170" i="29"/>
  <c r="X170" i="29"/>
  <c r="AC171" i="29" s="1"/>
  <c r="W170" i="29"/>
  <c r="W171" i="29" s="1"/>
  <c r="U170" i="29"/>
  <c r="T170" i="29"/>
  <c r="Y171" i="29" s="1"/>
  <c r="S170" i="29"/>
  <c r="S171" i="29" s="1"/>
  <c r="R170" i="29"/>
  <c r="R171" i="29" s="1"/>
  <c r="Q170" i="29"/>
  <c r="P170" i="29"/>
  <c r="U171" i="29" s="1"/>
  <c r="O170" i="29"/>
  <c r="O171" i="29" s="1"/>
  <c r="N170" i="29"/>
  <c r="N171" i="29" s="1"/>
  <c r="M170" i="29"/>
  <c r="L170" i="29"/>
  <c r="Q171" i="29" s="1"/>
  <c r="AL169" i="29"/>
  <c r="AI169" i="29"/>
  <c r="AH169" i="29"/>
  <c r="AG169" i="29"/>
  <c r="AE169" i="29"/>
  <c r="AD169" i="29"/>
  <c r="AC169" i="29"/>
  <c r="AB169" i="29"/>
  <c r="AA169" i="29"/>
  <c r="Z169" i="29"/>
  <c r="Y169" i="29"/>
  <c r="X169" i="29"/>
  <c r="W169" i="29"/>
  <c r="V169" i="29"/>
  <c r="U169" i="29"/>
  <c r="T169" i="29"/>
  <c r="S169" i="29"/>
  <c r="R169" i="29"/>
  <c r="Q169" i="29"/>
  <c r="P169" i="29"/>
  <c r="O169" i="29"/>
  <c r="N169" i="29"/>
  <c r="M169" i="29"/>
  <c r="L169" i="29"/>
  <c r="G169" i="29"/>
  <c r="F169" i="29"/>
  <c r="E169" i="29"/>
  <c r="D169" i="29"/>
  <c r="C169" i="29"/>
  <c r="AJ168" i="29"/>
  <c r="AJ161" i="29"/>
  <c r="AJ162" i="29" s="1"/>
  <c r="AF168" i="29"/>
  <c r="AK169" i="29" s="1"/>
  <c r="AF161" i="29"/>
  <c r="AA168" i="29"/>
  <c r="AA167" i="29"/>
  <c r="AA162" i="29"/>
  <c r="AA161" i="29"/>
  <c r="AF162" i="29" s="1"/>
  <c r="G167" i="29"/>
  <c r="F167" i="29"/>
  <c r="E167" i="29"/>
  <c r="D167" i="29"/>
  <c r="C167" i="29"/>
  <c r="E166" i="29"/>
  <c r="K165" i="29"/>
  <c r="J165" i="29"/>
  <c r="I165" i="29"/>
  <c r="H165" i="29"/>
  <c r="G165" i="29"/>
  <c r="G166" i="29" s="1"/>
  <c r="F165" i="29"/>
  <c r="F166" i="29" s="1"/>
  <c r="E165" i="29"/>
  <c r="D165" i="29"/>
  <c r="D166" i="29" s="1"/>
  <c r="C165" i="29"/>
  <c r="C166" i="29" s="1"/>
  <c r="B165" i="29"/>
  <c r="D164" i="29"/>
  <c r="K163" i="29"/>
  <c r="J163" i="29"/>
  <c r="I163" i="29"/>
  <c r="H163" i="29"/>
  <c r="G163" i="29"/>
  <c r="G164" i="29" s="1"/>
  <c r="F163" i="29"/>
  <c r="F164" i="29" s="1"/>
  <c r="E163" i="29"/>
  <c r="E164" i="29" s="1"/>
  <c r="D163" i="29"/>
  <c r="C163" i="29"/>
  <c r="C164" i="29" s="1"/>
  <c r="B163" i="29"/>
  <c r="AL167" i="29"/>
  <c r="AL165" i="29"/>
  <c r="AL166" i="29" s="1"/>
  <c r="AK165" i="29"/>
  <c r="AL163" i="29"/>
  <c r="AL164" i="29" s="1"/>
  <c r="AK163" i="29"/>
  <c r="AL162" i="29"/>
  <c r="AK162" i="29"/>
  <c r="AI167" i="29"/>
  <c r="AH167" i="29"/>
  <c r="AG167" i="29"/>
  <c r="AI165" i="29"/>
  <c r="AH165" i="29"/>
  <c r="AH166" i="29" s="1"/>
  <c r="AG165" i="29"/>
  <c r="AG166" i="29" s="1"/>
  <c r="AG164" i="29"/>
  <c r="AI163" i="29"/>
  <c r="AI164" i="29" s="1"/>
  <c r="AH163" i="29"/>
  <c r="AH164" i="29" s="1"/>
  <c r="AG163" i="29"/>
  <c r="AI162" i="29"/>
  <c r="AH162" i="29"/>
  <c r="AG162" i="29"/>
  <c r="AE167" i="29"/>
  <c r="AD167" i="29"/>
  <c r="AC167" i="29"/>
  <c r="AB167" i="29"/>
  <c r="AE165" i="29"/>
  <c r="AE166" i="29" s="1"/>
  <c r="AD165" i="29"/>
  <c r="AI166" i="29" s="1"/>
  <c r="AC165" i="29"/>
  <c r="AC166" i="29" s="1"/>
  <c r="AB165" i="29"/>
  <c r="AB166" i="29" s="1"/>
  <c r="AE163" i="29"/>
  <c r="AE164" i="29" s="1"/>
  <c r="AD163" i="29"/>
  <c r="AD164" i="29" s="1"/>
  <c r="AC163" i="29"/>
  <c r="AC164" i="29" s="1"/>
  <c r="AB163" i="29"/>
  <c r="AB164" i="29" s="1"/>
  <c r="AE162" i="29"/>
  <c r="AD162" i="29"/>
  <c r="AC162" i="29"/>
  <c r="AB162" i="29"/>
  <c r="Z167" i="29"/>
  <c r="Y167" i="29"/>
  <c r="X167" i="29"/>
  <c r="W167" i="29"/>
  <c r="V167" i="29"/>
  <c r="U167" i="29"/>
  <c r="T167" i="29"/>
  <c r="S167" i="29"/>
  <c r="R167" i="29"/>
  <c r="Q167" i="29"/>
  <c r="P167" i="29"/>
  <c r="O167" i="29"/>
  <c r="N167" i="29"/>
  <c r="M167" i="29"/>
  <c r="L167" i="29"/>
  <c r="P166" i="29"/>
  <c r="L166" i="29"/>
  <c r="Z165" i="29"/>
  <c r="Z166" i="29" s="1"/>
  <c r="Y165" i="29"/>
  <c r="Y166" i="29" s="1"/>
  <c r="X165" i="29"/>
  <c r="W165" i="29"/>
  <c r="W166" i="29" s="1"/>
  <c r="U165" i="29"/>
  <c r="U166" i="29" s="1"/>
  <c r="T165" i="29"/>
  <c r="S165" i="29"/>
  <c r="X166" i="29" s="1"/>
  <c r="R165" i="29"/>
  <c r="R166" i="29" s="1"/>
  <c r="Q165" i="29"/>
  <c r="Q166" i="29" s="1"/>
  <c r="P165" i="29"/>
  <c r="O165" i="29"/>
  <c r="T166" i="29" s="1"/>
  <c r="N165" i="29"/>
  <c r="N166" i="29" s="1"/>
  <c r="M165" i="29"/>
  <c r="M166" i="29" s="1"/>
  <c r="L165" i="29"/>
  <c r="N164" i="29"/>
  <c r="Z163" i="29"/>
  <c r="Y163" i="29"/>
  <c r="Y164" i="29" s="1"/>
  <c r="X163" i="29"/>
  <c r="X164" i="29" s="1"/>
  <c r="W163" i="29"/>
  <c r="W164" i="29" s="1"/>
  <c r="U163" i="29"/>
  <c r="Z164" i="29" s="1"/>
  <c r="T163" i="29"/>
  <c r="T164" i="29" s="1"/>
  <c r="S163" i="29"/>
  <c r="S164" i="29" s="1"/>
  <c r="R163" i="29"/>
  <c r="Q163" i="29"/>
  <c r="Q164" i="29" s="1"/>
  <c r="P163" i="29"/>
  <c r="P164" i="29" s="1"/>
  <c r="O163" i="29"/>
  <c r="O164" i="29" s="1"/>
  <c r="N163" i="29"/>
  <c r="M163" i="29"/>
  <c r="R164" i="29" s="1"/>
  <c r="L163" i="29"/>
  <c r="L164" i="29" s="1"/>
  <c r="Z162" i="29"/>
  <c r="Y162" i="29"/>
  <c r="X162" i="29"/>
  <c r="W162" i="29"/>
  <c r="V162" i="29"/>
  <c r="U162" i="29"/>
  <c r="T162" i="29"/>
  <c r="S162" i="29"/>
  <c r="R162" i="29"/>
  <c r="Q162" i="29"/>
  <c r="P162" i="29"/>
  <c r="O162" i="29"/>
  <c r="N162" i="29"/>
  <c r="M162" i="29"/>
  <c r="L162" i="29"/>
  <c r="G162" i="29"/>
  <c r="F162" i="29"/>
  <c r="E162" i="29"/>
  <c r="D162" i="29"/>
  <c r="C162" i="29"/>
  <c r="G160" i="29"/>
  <c r="F160" i="29"/>
  <c r="E160" i="29"/>
  <c r="D160" i="29"/>
  <c r="C160" i="29"/>
  <c r="AL160" i="29"/>
  <c r="AL158" i="29"/>
  <c r="AL159" i="29" s="1"/>
  <c r="AK158" i="29"/>
  <c r="AI160" i="29"/>
  <c r="AH160" i="29"/>
  <c r="AG160" i="29"/>
  <c r="AI158" i="29"/>
  <c r="AI159" i="29" s="1"/>
  <c r="AH158" i="29"/>
  <c r="AH159" i="29" s="1"/>
  <c r="AG158" i="29"/>
  <c r="AE160" i="29"/>
  <c r="AD160" i="29"/>
  <c r="AC160" i="29"/>
  <c r="AB160" i="29"/>
  <c r="AE158" i="29"/>
  <c r="AE159" i="29" s="1"/>
  <c r="AD158" i="29"/>
  <c r="AD159" i="29" s="1"/>
  <c r="AC158" i="29"/>
  <c r="AC159" i="29" s="1"/>
  <c r="AB158" i="29"/>
  <c r="AB159" i="29" s="1"/>
  <c r="Z160" i="29"/>
  <c r="Y160" i="29"/>
  <c r="X160" i="29"/>
  <c r="W160" i="29"/>
  <c r="U160" i="29"/>
  <c r="T160" i="29"/>
  <c r="S160" i="29"/>
  <c r="R160" i="29"/>
  <c r="Q160" i="29"/>
  <c r="P160" i="29"/>
  <c r="O160" i="29"/>
  <c r="N160" i="29"/>
  <c r="M160" i="29"/>
  <c r="L160" i="29"/>
  <c r="Z158" i="29"/>
  <c r="Z159" i="29" s="1"/>
  <c r="Y158" i="29"/>
  <c r="Y159" i="29" s="1"/>
  <c r="X158" i="29"/>
  <c r="W158" i="29"/>
  <c r="W159" i="29" s="1"/>
  <c r="U158" i="29"/>
  <c r="U159" i="29" s="1"/>
  <c r="T158" i="29"/>
  <c r="S158" i="29"/>
  <c r="X159" i="29" s="1"/>
  <c r="R158" i="29"/>
  <c r="R159" i="29" s="1"/>
  <c r="Q158" i="29"/>
  <c r="Q159" i="29" s="1"/>
  <c r="P158" i="29"/>
  <c r="O158" i="29"/>
  <c r="T159" i="29" s="1"/>
  <c r="N158" i="29"/>
  <c r="N159" i="29" s="1"/>
  <c r="M158" i="29"/>
  <c r="M159" i="29" s="1"/>
  <c r="L158" i="29"/>
  <c r="K158" i="29"/>
  <c r="P159" i="29" s="1"/>
  <c r="J158" i="29"/>
  <c r="I158" i="29"/>
  <c r="H158" i="29"/>
  <c r="G158" i="29"/>
  <c r="G159" i="29" s="1"/>
  <c r="F158" i="29"/>
  <c r="F159" i="29" s="1"/>
  <c r="E158" i="29"/>
  <c r="D158" i="29"/>
  <c r="D159" i="29" s="1"/>
  <c r="C158" i="29"/>
  <c r="C159" i="29" s="1"/>
  <c r="B158" i="29"/>
  <c r="BD156" i="29"/>
  <c r="BD157" i="29" s="1"/>
  <c r="BD154" i="29"/>
  <c r="BD152" i="29" s="1"/>
  <c r="BD153" i="29" s="1"/>
  <c r="BD150" i="29"/>
  <c r="BD149" i="29"/>
  <c r="AT156" i="29"/>
  <c r="AO156" i="29"/>
  <c r="AO157" i="29" s="1"/>
  <c r="BE148" i="29"/>
  <c r="BE154" i="29" s="1"/>
  <c r="AU148" i="29"/>
  <c r="AU154" i="29" s="1"/>
  <c r="AS155" i="29"/>
  <c r="AT154" i="29"/>
  <c r="BD155" i="29" s="1"/>
  <c r="AS154" i="29"/>
  <c r="AR154" i="29"/>
  <c r="AR155" i="29" s="1"/>
  <c r="AQ154" i="29"/>
  <c r="AQ155" i="29" s="1"/>
  <c r="AN154" i="29"/>
  <c r="AM154" i="29"/>
  <c r="AL154" i="29"/>
  <c r="G151" i="29"/>
  <c r="F151" i="29"/>
  <c r="C151" i="29"/>
  <c r="K150" i="29"/>
  <c r="J150" i="29"/>
  <c r="I150" i="29"/>
  <c r="H150" i="29"/>
  <c r="G150" i="29"/>
  <c r="F150" i="29"/>
  <c r="E150" i="29"/>
  <c r="E151" i="29" s="1"/>
  <c r="D150" i="29"/>
  <c r="D151" i="29" s="1"/>
  <c r="C150" i="29"/>
  <c r="B150" i="29"/>
  <c r="BF151" i="29"/>
  <c r="BN150" i="29"/>
  <c r="BM150" i="29"/>
  <c r="BL150" i="29"/>
  <c r="BL151" i="29" s="1"/>
  <c r="BK150" i="29"/>
  <c r="BK151" i="29" s="1"/>
  <c r="BH150" i="29"/>
  <c r="BH151" i="29" s="1"/>
  <c r="BG150" i="29"/>
  <c r="BG151" i="29" s="1"/>
  <c r="BF150" i="29"/>
  <c r="BM149" i="29"/>
  <c r="BL149" i="29"/>
  <c r="BK149" i="29"/>
  <c r="BH149" i="29"/>
  <c r="BG149" i="29"/>
  <c r="BF149" i="29"/>
  <c r="BC154" i="29"/>
  <c r="BC155" i="29" s="1"/>
  <c r="BB154" i="29"/>
  <c r="BB155" i="29" s="1"/>
  <c r="BA154" i="29"/>
  <c r="BA155" i="29" s="1"/>
  <c r="AZ154" i="29"/>
  <c r="AZ155" i="29" s="1"/>
  <c r="BC152" i="29"/>
  <c r="BC153" i="29" s="1"/>
  <c r="BB152" i="29"/>
  <c r="BB153" i="29" s="1"/>
  <c r="BA152" i="29"/>
  <c r="BA153" i="29" s="1"/>
  <c r="AZ152" i="29"/>
  <c r="BC150" i="29"/>
  <c r="BC151" i="29" s="1"/>
  <c r="BB150" i="29"/>
  <c r="BB151" i="29" s="1"/>
  <c r="BA150" i="29"/>
  <c r="BA151" i="29" s="1"/>
  <c r="AZ150" i="29"/>
  <c r="BC149" i="29"/>
  <c r="BB149" i="29"/>
  <c r="BA149" i="29"/>
  <c r="AZ149" i="29"/>
  <c r="AT152" i="29"/>
  <c r="AS152" i="29"/>
  <c r="AS153" i="29" s="1"/>
  <c r="AR152" i="29"/>
  <c r="AR153" i="29" s="1"/>
  <c r="AQ152" i="29"/>
  <c r="AQ153" i="29" s="1"/>
  <c r="AN152" i="29"/>
  <c r="AM152" i="29"/>
  <c r="AL152" i="29"/>
  <c r="AS151" i="29"/>
  <c r="AO151" i="29"/>
  <c r="AT150" i="29"/>
  <c r="AT151" i="29" s="1"/>
  <c r="AS150" i="29"/>
  <c r="AR150" i="29"/>
  <c r="AQ150" i="29"/>
  <c r="AQ151" i="29" s="1"/>
  <c r="AO150" i="29"/>
  <c r="AN150" i="29"/>
  <c r="AM150" i="29"/>
  <c r="AM151" i="29" s="1"/>
  <c r="AL150" i="29"/>
  <c r="AL151" i="29" s="1"/>
  <c r="AT149" i="29"/>
  <c r="AS149" i="29"/>
  <c r="AR149" i="29"/>
  <c r="AQ149" i="29"/>
  <c r="AO149" i="29"/>
  <c r="AN149" i="29"/>
  <c r="AM149" i="29"/>
  <c r="AL149" i="29"/>
  <c r="AK149" i="29"/>
  <c r="AJ151" i="29"/>
  <c r="AG151" i="29"/>
  <c r="AC151" i="29"/>
  <c r="AB151" i="29"/>
  <c r="Y151" i="29"/>
  <c r="X151" i="29"/>
  <c r="U151" i="29"/>
  <c r="T151" i="29"/>
  <c r="P151" i="29"/>
  <c r="M151" i="29"/>
  <c r="L151" i="29"/>
  <c r="AJ150" i="29"/>
  <c r="AI150" i="29"/>
  <c r="AI151" i="29" s="1"/>
  <c r="AH150" i="29"/>
  <c r="AH151" i="29" s="1"/>
  <c r="AG150" i="29"/>
  <c r="AF150" i="29"/>
  <c r="AE150" i="29"/>
  <c r="AE151" i="29" s="1"/>
  <c r="AD150" i="29"/>
  <c r="AD151" i="29" s="1"/>
  <c r="AC150" i="29"/>
  <c r="AB150" i="29"/>
  <c r="Z150" i="29"/>
  <c r="Z151" i="29" s="1"/>
  <c r="Y150" i="29"/>
  <c r="X150" i="29"/>
  <c r="W150" i="29"/>
  <c r="W151" i="29" s="1"/>
  <c r="U150" i="29"/>
  <c r="T150" i="29"/>
  <c r="S150" i="29"/>
  <c r="S151" i="29" s="1"/>
  <c r="R150" i="29"/>
  <c r="R151" i="29" s="1"/>
  <c r="P150" i="29"/>
  <c r="O150" i="29"/>
  <c r="O151" i="29" s="1"/>
  <c r="N150" i="29"/>
  <c r="N151" i="29" s="1"/>
  <c r="M150" i="29"/>
  <c r="L150" i="29"/>
  <c r="AJ149" i="29"/>
  <c r="AI149" i="29"/>
  <c r="AH149" i="29"/>
  <c r="AG149" i="29"/>
  <c r="AE149" i="29"/>
  <c r="AD149" i="29"/>
  <c r="AC149" i="29"/>
  <c r="AB149" i="29"/>
  <c r="AA149" i="29"/>
  <c r="Z149" i="29"/>
  <c r="Y149" i="29"/>
  <c r="X149" i="29"/>
  <c r="W149" i="29"/>
  <c r="U149" i="29"/>
  <c r="T149" i="29"/>
  <c r="S149" i="29"/>
  <c r="R149" i="29"/>
  <c r="P149" i="29"/>
  <c r="O149" i="29"/>
  <c r="N149" i="29"/>
  <c r="M149" i="29"/>
  <c r="L149" i="29"/>
  <c r="G149" i="29"/>
  <c r="F149" i="29"/>
  <c r="E149" i="29"/>
  <c r="D149" i="29"/>
  <c r="C149" i="29"/>
  <c r="BP148" i="29"/>
  <c r="BO148" i="29"/>
  <c r="BI148" i="29"/>
  <c r="AP148" i="29"/>
  <c r="AK148" i="29"/>
  <c r="AK154" i="29" s="1"/>
  <c r="AA148" i="29"/>
  <c r="V148" i="29"/>
  <c r="Q148" i="29"/>
  <c r="Q149" i="29" s="1"/>
  <c r="BQ146" i="29"/>
  <c r="BM147" i="29"/>
  <c r="BL147" i="29"/>
  <c r="BK147" i="29"/>
  <c r="BH147" i="29"/>
  <c r="BG147" i="29"/>
  <c r="BF147" i="29"/>
  <c r="G147" i="29"/>
  <c r="F147" i="29"/>
  <c r="E147" i="29"/>
  <c r="D147" i="29"/>
  <c r="C147" i="29"/>
  <c r="BN145" i="29"/>
  <c r="BT146" i="29" s="1"/>
  <c r="BM145" i="29"/>
  <c r="BS146" i="29" s="1"/>
  <c r="BL145" i="29"/>
  <c r="BL146" i="29" s="1"/>
  <c r="BK145" i="29"/>
  <c r="BK146" i="29" s="1"/>
  <c r="BH145" i="29"/>
  <c r="BH146" i="29" s="1"/>
  <c r="BG145" i="29"/>
  <c r="BG146" i="29" s="1"/>
  <c r="BF145" i="29"/>
  <c r="AJ147" i="29"/>
  <c r="AI147" i="29"/>
  <c r="AH147" i="29"/>
  <c r="AG147" i="29"/>
  <c r="AE147" i="29"/>
  <c r="AD147" i="29"/>
  <c r="AC147" i="29"/>
  <c r="AB147" i="29"/>
  <c r="AJ146" i="29"/>
  <c r="AI146" i="29"/>
  <c r="AE146" i="29"/>
  <c r="AB146" i="29"/>
  <c r="AJ145" i="29"/>
  <c r="AI145" i="29"/>
  <c r="AH145" i="29"/>
  <c r="AH146" i="29" s="1"/>
  <c r="AG145" i="29"/>
  <c r="AG146" i="29" s="1"/>
  <c r="AF145" i="29"/>
  <c r="AE145" i="29"/>
  <c r="AD145" i="29"/>
  <c r="AD146" i="29" s="1"/>
  <c r="AC145" i="29"/>
  <c r="AC146" i="29" s="1"/>
  <c r="AB145" i="29"/>
  <c r="Z147" i="29"/>
  <c r="Y147" i="29"/>
  <c r="X147" i="29"/>
  <c r="W147" i="29"/>
  <c r="Z145" i="29"/>
  <c r="Z146" i="29" s="1"/>
  <c r="Y145" i="29"/>
  <c r="Y146" i="29" s="1"/>
  <c r="X145" i="29"/>
  <c r="X146" i="29" s="1"/>
  <c r="W145" i="29"/>
  <c r="W146" i="29" s="1"/>
  <c r="U147" i="29"/>
  <c r="T147" i="29"/>
  <c r="S147" i="29"/>
  <c r="R147" i="29"/>
  <c r="U145" i="29"/>
  <c r="U146" i="29" s="1"/>
  <c r="T145" i="29"/>
  <c r="T146" i="29" s="1"/>
  <c r="S145" i="29"/>
  <c r="S146" i="29" s="1"/>
  <c r="R145" i="29"/>
  <c r="R146" i="29" s="1"/>
  <c r="P147" i="29"/>
  <c r="O147" i="29"/>
  <c r="N147" i="29"/>
  <c r="M147" i="29"/>
  <c r="L147" i="29"/>
  <c r="O146" i="29"/>
  <c r="N146" i="29"/>
  <c r="P145" i="29"/>
  <c r="P146" i="29" s="1"/>
  <c r="O145" i="29"/>
  <c r="N145" i="29"/>
  <c r="M145" i="29"/>
  <c r="M146" i="29" s="1"/>
  <c r="L145" i="29"/>
  <c r="L146" i="29" s="1"/>
  <c r="K145" i="29"/>
  <c r="J145" i="29"/>
  <c r="I145" i="29"/>
  <c r="H145" i="29"/>
  <c r="G145" i="29"/>
  <c r="G146" i="29" s="1"/>
  <c r="F145" i="29"/>
  <c r="F146" i="29" s="1"/>
  <c r="E145" i="29"/>
  <c r="D145" i="29"/>
  <c r="E146" i="29" s="1"/>
  <c r="C145" i="29"/>
  <c r="C146" i="29" s="1"/>
  <c r="B145" i="29"/>
  <c r="BD147" i="29"/>
  <c r="BC147" i="29"/>
  <c r="BB147" i="29"/>
  <c r="BA147" i="29"/>
  <c r="BD146" i="29"/>
  <c r="BD145" i="29"/>
  <c r="BC145" i="29"/>
  <c r="BB145" i="29"/>
  <c r="BB146" i="29" s="1"/>
  <c r="BA145" i="29"/>
  <c r="BA146" i="29" s="1"/>
  <c r="AZ145" i="29"/>
  <c r="AT147" i="29"/>
  <c r="AS147" i="29"/>
  <c r="AR147" i="29"/>
  <c r="AQ147" i="29"/>
  <c r="AT145" i="29"/>
  <c r="AT146" i="29" s="1"/>
  <c r="AS145" i="29"/>
  <c r="AS146" i="29" s="1"/>
  <c r="AR145" i="29"/>
  <c r="AR146" i="29" s="1"/>
  <c r="AQ145" i="29"/>
  <c r="AQ146" i="29" s="1"/>
  <c r="AO147" i="29"/>
  <c r="AN147" i="29"/>
  <c r="AM147" i="29"/>
  <c r="AL147" i="29"/>
  <c r="AO145" i="29"/>
  <c r="AO146" i="29" s="1"/>
  <c r="AN145" i="29"/>
  <c r="AN146" i="29" s="1"/>
  <c r="AM145" i="29"/>
  <c r="AM146" i="29" s="1"/>
  <c r="AL145" i="29"/>
  <c r="AL146" i="29" s="1"/>
  <c r="BD143" i="29"/>
  <c r="BD144" i="29" s="1"/>
  <c r="BD142" i="29"/>
  <c r="BD141" i="29"/>
  <c r="BD139" i="29" s="1"/>
  <c r="BD140" i="29" s="1"/>
  <c r="BD138" i="29"/>
  <c r="BD137" i="29"/>
  <c r="BD136" i="29"/>
  <c r="AT143" i="29"/>
  <c r="AT144" i="29" s="1"/>
  <c r="AT141" i="29"/>
  <c r="AT139" i="29" s="1"/>
  <c r="AT140" i="29" s="1"/>
  <c r="AT137" i="29"/>
  <c r="AT157" i="29" s="1"/>
  <c r="AT136" i="29"/>
  <c r="AO143" i="29"/>
  <c r="AO144" i="29" s="1"/>
  <c r="BE142" i="29"/>
  <c r="BE141" i="29"/>
  <c r="BE135" i="29"/>
  <c r="BE136" i="29" s="1"/>
  <c r="AU141" i="29"/>
  <c r="AU135" i="29"/>
  <c r="AU136" i="29" s="1"/>
  <c r="AO141" i="29"/>
  <c r="AO139" i="29" s="1"/>
  <c r="AN141" i="29"/>
  <c r="AM141" i="29"/>
  <c r="AL141" i="29"/>
  <c r="E138" i="29"/>
  <c r="D138" i="29"/>
  <c r="K137" i="29"/>
  <c r="J137" i="29"/>
  <c r="I137" i="29"/>
  <c r="H137" i="29"/>
  <c r="G137" i="29"/>
  <c r="G138" i="29" s="1"/>
  <c r="F137" i="29"/>
  <c r="F138" i="29" s="1"/>
  <c r="E137" i="29"/>
  <c r="D137" i="29"/>
  <c r="C137" i="29"/>
  <c r="C138" i="29" s="1"/>
  <c r="B137" i="29"/>
  <c r="BL138" i="29"/>
  <c r="BH138" i="29"/>
  <c r="BN137" i="29"/>
  <c r="BM137" i="29"/>
  <c r="BM138" i="29" s="1"/>
  <c r="BL137" i="29"/>
  <c r="BK137" i="29"/>
  <c r="BH137" i="29"/>
  <c r="BG137" i="29"/>
  <c r="BF137" i="29"/>
  <c r="BF138" i="29" s="1"/>
  <c r="BM136" i="29"/>
  <c r="BL136" i="29"/>
  <c r="BK136" i="29"/>
  <c r="BH136" i="29"/>
  <c r="BG136" i="29"/>
  <c r="BF136" i="29"/>
  <c r="BC141" i="29"/>
  <c r="BC142" i="29" s="1"/>
  <c r="BB141" i="29"/>
  <c r="BB142" i="29" s="1"/>
  <c r="BA141" i="29"/>
  <c r="BA142" i="29" s="1"/>
  <c r="AZ141" i="29"/>
  <c r="AZ142" i="29" s="1"/>
  <c r="BC139" i="29"/>
  <c r="BC140" i="29" s="1"/>
  <c r="BB139" i="29"/>
  <c r="BB140" i="29" s="1"/>
  <c r="BA139" i="29"/>
  <c r="BA140" i="29" s="1"/>
  <c r="AZ139" i="29"/>
  <c r="BC137" i="29"/>
  <c r="BC138" i="29" s="1"/>
  <c r="BB137" i="29"/>
  <c r="BB138" i="29" s="1"/>
  <c r="BA137" i="29"/>
  <c r="BA157" i="29" s="1"/>
  <c r="AZ137" i="29"/>
  <c r="BC136" i="29"/>
  <c r="BB136" i="29"/>
  <c r="BA136" i="29"/>
  <c r="AZ136" i="29"/>
  <c r="AS141" i="29"/>
  <c r="AS142" i="29" s="1"/>
  <c r="AR141" i="29"/>
  <c r="AR142" i="29" s="1"/>
  <c r="AQ141" i="29"/>
  <c r="AQ142" i="29" s="1"/>
  <c r="AS139" i="29"/>
  <c r="AS140" i="29" s="1"/>
  <c r="AR139" i="29"/>
  <c r="AR140" i="29" s="1"/>
  <c r="AQ139" i="29"/>
  <c r="AQ140" i="29" s="1"/>
  <c r="AS137" i="29"/>
  <c r="AS157" i="29" s="1"/>
  <c r="AR137" i="29"/>
  <c r="AR157" i="29" s="1"/>
  <c r="AQ137" i="29"/>
  <c r="AQ157" i="29" s="1"/>
  <c r="AS136" i="29"/>
  <c r="AR136" i="29"/>
  <c r="AQ136" i="29"/>
  <c r="AN139" i="29"/>
  <c r="AM139" i="29"/>
  <c r="AL139" i="29"/>
  <c r="AO137" i="29"/>
  <c r="AT138" i="29" s="1"/>
  <c r="AN137" i="29"/>
  <c r="AN157" i="29" s="1"/>
  <c r="AM137" i="29"/>
  <c r="AM138" i="29" s="1"/>
  <c r="AL137" i="29"/>
  <c r="AL138" i="29" s="1"/>
  <c r="AO136" i="29"/>
  <c r="AN136" i="29"/>
  <c r="AM136" i="29"/>
  <c r="AL136" i="29"/>
  <c r="AI138" i="29"/>
  <c r="AH138" i="29"/>
  <c r="AE138" i="29"/>
  <c r="AD138" i="29"/>
  <c r="Z138" i="29"/>
  <c r="W138" i="29"/>
  <c r="S138" i="29"/>
  <c r="R138" i="29"/>
  <c r="O138" i="29"/>
  <c r="N138" i="29"/>
  <c r="AJ137" i="29"/>
  <c r="AJ138" i="29" s="1"/>
  <c r="AI137" i="29"/>
  <c r="AN138" i="29" s="1"/>
  <c r="AH137" i="29"/>
  <c r="AG137" i="29"/>
  <c r="AG138" i="29" s="1"/>
  <c r="AF137" i="29"/>
  <c r="AE137" i="29"/>
  <c r="AD137" i="29"/>
  <c r="AC137" i="29"/>
  <c r="AC138" i="29" s="1"/>
  <c r="AB137" i="29"/>
  <c r="AB138" i="29" s="1"/>
  <c r="Z137" i="29"/>
  <c r="Y137" i="29"/>
  <c r="Y138" i="29" s="1"/>
  <c r="X137" i="29"/>
  <c r="X138" i="29" s="1"/>
  <c r="W137" i="29"/>
  <c r="U137" i="29"/>
  <c r="U138" i="29" s="1"/>
  <c r="T137" i="29"/>
  <c r="T138" i="29" s="1"/>
  <c r="S137" i="29"/>
  <c r="R137" i="29"/>
  <c r="P137" i="29"/>
  <c r="P138" i="29" s="1"/>
  <c r="O137" i="29"/>
  <c r="N137" i="29"/>
  <c r="M137" i="29"/>
  <c r="M138" i="29" s="1"/>
  <c r="L137" i="29"/>
  <c r="L138" i="29" s="1"/>
  <c r="AJ136" i="29"/>
  <c r="AI136" i="29"/>
  <c r="AH136" i="29"/>
  <c r="AG136" i="29"/>
  <c r="AE136" i="29"/>
  <c r="AD136" i="29"/>
  <c r="AC136" i="29"/>
  <c r="AB136" i="29"/>
  <c r="Z136" i="29"/>
  <c r="Y136" i="29"/>
  <c r="X136" i="29"/>
  <c r="W136" i="29"/>
  <c r="U136" i="29"/>
  <c r="T136" i="29"/>
  <c r="S136" i="29"/>
  <c r="R136" i="29"/>
  <c r="Q136" i="29"/>
  <c r="P136" i="29"/>
  <c r="O136" i="29"/>
  <c r="N136" i="29"/>
  <c r="M136" i="29"/>
  <c r="L136" i="29"/>
  <c r="G136" i="29"/>
  <c r="F136" i="29"/>
  <c r="E136" i="29"/>
  <c r="D136" i="29"/>
  <c r="C136" i="29"/>
  <c r="BO135" i="29"/>
  <c r="BJ135" i="29"/>
  <c r="BJ136" i="29" s="1"/>
  <c r="BI135" i="29"/>
  <c r="BN136" i="29" s="1"/>
  <c r="AP135" i="29"/>
  <c r="AP141" i="29" s="1"/>
  <c r="AK135" i="29"/>
  <c r="AK136" i="29" s="1"/>
  <c r="AA135" i="29"/>
  <c r="AA136" i="29" s="1"/>
  <c r="V135" i="29"/>
  <c r="Q135" i="29"/>
  <c r="BD134" i="29"/>
  <c r="BC134" i="29"/>
  <c r="BB134" i="29"/>
  <c r="BA134" i="29"/>
  <c r="AY134" i="29"/>
  <c r="AX134" i="29"/>
  <c r="AW134" i="29"/>
  <c r="AV134" i="29"/>
  <c r="P134" i="29"/>
  <c r="O134" i="29"/>
  <c r="N134" i="29"/>
  <c r="M134" i="29"/>
  <c r="L134" i="29"/>
  <c r="K134" i="29"/>
  <c r="J134" i="29"/>
  <c r="I134" i="29"/>
  <c r="H134" i="29"/>
  <c r="G134" i="29"/>
  <c r="F134" i="29"/>
  <c r="E134" i="29"/>
  <c r="D134" i="29"/>
  <c r="C134" i="29"/>
  <c r="BM134" i="29"/>
  <c r="BL134" i="29"/>
  <c r="BK134" i="29"/>
  <c r="BH134" i="29"/>
  <c r="BG134" i="29"/>
  <c r="BF134" i="29"/>
  <c r="BK133" i="29"/>
  <c r="BF133" i="29"/>
  <c r="E133" i="29"/>
  <c r="BN132" i="29"/>
  <c r="BT133" i="29" s="1"/>
  <c r="BM132" i="29"/>
  <c r="BM133" i="29" s="1"/>
  <c r="BL132" i="29"/>
  <c r="BL133" i="29" s="1"/>
  <c r="BK132" i="29"/>
  <c r="BQ133" i="29" s="1"/>
  <c r="BH132" i="29"/>
  <c r="BH133" i="29" s="1"/>
  <c r="BG132" i="29"/>
  <c r="BF132" i="29"/>
  <c r="AJ134" i="29"/>
  <c r="AI134" i="29"/>
  <c r="AH134" i="29"/>
  <c r="AG134" i="29"/>
  <c r="AE134" i="29"/>
  <c r="AD134" i="29"/>
  <c r="AC134" i="29"/>
  <c r="AB134" i="29"/>
  <c r="AJ133" i="29"/>
  <c r="AI133" i="29"/>
  <c r="AE133" i="29"/>
  <c r="AB133" i="29"/>
  <c r="AJ132" i="29"/>
  <c r="AI132" i="29"/>
  <c r="AH132" i="29"/>
  <c r="AH133" i="29" s="1"/>
  <c r="AG132" i="29"/>
  <c r="AG133" i="29" s="1"/>
  <c r="AF132" i="29"/>
  <c r="AE132" i="29"/>
  <c r="AD132" i="29"/>
  <c r="AD133" i="29" s="1"/>
  <c r="AC132" i="29"/>
  <c r="AC133" i="29" s="1"/>
  <c r="AB132" i="29"/>
  <c r="Z134" i="29"/>
  <c r="Y134" i="29"/>
  <c r="X134" i="29"/>
  <c r="W134" i="29"/>
  <c r="Z132" i="29"/>
  <c r="Z133" i="29" s="1"/>
  <c r="Y132" i="29"/>
  <c r="Y133" i="29" s="1"/>
  <c r="X132" i="29"/>
  <c r="X133" i="29" s="1"/>
  <c r="W132" i="29"/>
  <c r="W133" i="29" s="1"/>
  <c r="U134" i="29"/>
  <c r="T134" i="29"/>
  <c r="S134" i="29"/>
  <c r="R134" i="29"/>
  <c r="U132" i="29"/>
  <c r="U133" i="29" s="1"/>
  <c r="T132" i="29"/>
  <c r="T133" i="29" s="1"/>
  <c r="S132" i="29"/>
  <c r="S133" i="29" s="1"/>
  <c r="R132" i="29"/>
  <c r="R133" i="29" s="1"/>
  <c r="N133" i="29"/>
  <c r="M133" i="29"/>
  <c r="P132" i="29"/>
  <c r="P133" i="29" s="1"/>
  <c r="O132" i="29"/>
  <c r="O133" i="29" s="1"/>
  <c r="N132" i="29"/>
  <c r="M132" i="29"/>
  <c r="L132" i="29"/>
  <c r="L133" i="29" s="1"/>
  <c r="K132" i="29"/>
  <c r="J132" i="29"/>
  <c r="I132" i="29"/>
  <c r="H132" i="29"/>
  <c r="G132" i="29"/>
  <c r="G133" i="29" s="1"/>
  <c r="F132" i="29"/>
  <c r="F133" i="29" s="1"/>
  <c r="E132" i="29"/>
  <c r="D132" i="29"/>
  <c r="D133" i="29" s="1"/>
  <c r="C132" i="29"/>
  <c r="C133" i="29" s="1"/>
  <c r="B132" i="29"/>
  <c r="BB133" i="29"/>
  <c r="BD132" i="29"/>
  <c r="BD133" i="29" s="1"/>
  <c r="BC132" i="29"/>
  <c r="BC133" i="29" s="1"/>
  <c r="BB132" i="29"/>
  <c r="BG133" i="29" s="1"/>
  <c r="BA132" i="29"/>
  <c r="AZ132" i="29"/>
  <c r="AT134" i="29"/>
  <c r="AS134" i="29"/>
  <c r="AR134" i="29"/>
  <c r="AQ134" i="29"/>
  <c r="AT132" i="29"/>
  <c r="AT133" i="29" s="1"/>
  <c r="AS132" i="29"/>
  <c r="AS133" i="29" s="1"/>
  <c r="AR132" i="29"/>
  <c r="AR133" i="29" s="1"/>
  <c r="AQ132" i="29"/>
  <c r="AQ133" i="29" s="1"/>
  <c r="AO134" i="29"/>
  <c r="AN134" i="29"/>
  <c r="AM134" i="29"/>
  <c r="AL134" i="29"/>
  <c r="AO132" i="29"/>
  <c r="AO133" i="29" s="1"/>
  <c r="AN132" i="29"/>
  <c r="AN133" i="29" s="1"/>
  <c r="AM132" i="29"/>
  <c r="AM133" i="29" s="1"/>
  <c r="AL132" i="29"/>
  <c r="AL133" i="29" s="1"/>
  <c r="BD130" i="29"/>
  <c r="BD128" i="29" s="1"/>
  <c r="BD124" i="29"/>
  <c r="BD125" i="29" s="1"/>
  <c r="BD123" i="29"/>
  <c r="AT130" i="29"/>
  <c r="AT128" i="29" s="1"/>
  <c r="AT124" i="29"/>
  <c r="AT125" i="29" s="1"/>
  <c r="AT123" i="29"/>
  <c r="AO130" i="29"/>
  <c r="AO128" i="29" s="1"/>
  <c r="AO126" i="29" s="1"/>
  <c r="BE123" i="29"/>
  <c r="BE122" i="29"/>
  <c r="AU122" i="29"/>
  <c r="AU121" i="29" s="1"/>
  <c r="AN128" i="29"/>
  <c r="AM128" i="29"/>
  <c r="AM126" i="29" s="1"/>
  <c r="AL128" i="29"/>
  <c r="G125" i="29"/>
  <c r="F125" i="29"/>
  <c r="C125" i="29"/>
  <c r="K124" i="29"/>
  <c r="J124" i="29"/>
  <c r="I124" i="29"/>
  <c r="H124" i="29"/>
  <c r="G124" i="29"/>
  <c r="F124" i="29"/>
  <c r="E124" i="29"/>
  <c r="E125" i="29" s="1"/>
  <c r="D124" i="29"/>
  <c r="D125" i="29" s="1"/>
  <c r="C124" i="29"/>
  <c r="B124" i="29"/>
  <c r="BF125" i="29"/>
  <c r="BN124" i="29"/>
  <c r="BM124" i="29"/>
  <c r="BL124" i="29"/>
  <c r="BL125" i="29" s="1"/>
  <c r="BK124" i="29"/>
  <c r="BK125" i="29" s="1"/>
  <c r="BH124" i="29"/>
  <c r="BH125" i="29" s="1"/>
  <c r="BG124" i="29"/>
  <c r="BG125" i="29" s="1"/>
  <c r="BF124" i="29"/>
  <c r="BM123" i="29"/>
  <c r="BL123" i="29"/>
  <c r="BK123" i="29"/>
  <c r="BH123" i="29"/>
  <c r="BG123" i="29"/>
  <c r="BF123" i="29"/>
  <c r="BC128" i="29"/>
  <c r="BC129" i="29" s="1"/>
  <c r="BB128" i="29"/>
  <c r="BB129" i="29" s="1"/>
  <c r="BA128" i="29"/>
  <c r="BA129" i="29" s="1"/>
  <c r="AZ128" i="29"/>
  <c r="BC126" i="29"/>
  <c r="BC127" i="29" s="1"/>
  <c r="BB126" i="29"/>
  <c r="BB127" i="29" s="1"/>
  <c r="BA126" i="29"/>
  <c r="BA127" i="29" s="1"/>
  <c r="AZ126" i="29"/>
  <c r="BC124" i="29"/>
  <c r="BC144" i="29" s="1"/>
  <c r="BB124" i="29"/>
  <c r="BB125" i="29" s="1"/>
  <c r="BA124" i="29"/>
  <c r="BA125" i="29" s="1"/>
  <c r="AZ124" i="29"/>
  <c r="AZ144" i="29" s="1"/>
  <c r="BC123" i="29"/>
  <c r="BB123" i="29"/>
  <c r="BA123" i="29"/>
  <c r="AZ123" i="29"/>
  <c r="AS128" i="29"/>
  <c r="AS129" i="29" s="1"/>
  <c r="AR128" i="29"/>
  <c r="AR129" i="29" s="1"/>
  <c r="AQ128" i="29"/>
  <c r="AQ129" i="29" s="1"/>
  <c r="AS126" i="29"/>
  <c r="AS127" i="29" s="1"/>
  <c r="AR126" i="29"/>
  <c r="AR127" i="29" s="1"/>
  <c r="AQ126" i="29"/>
  <c r="AQ127" i="29" s="1"/>
  <c r="AS124" i="29"/>
  <c r="AS144" i="29" s="1"/>
  <c r="AR124" i="29"/>
  <c r="AR125" i="29" s="1"/>
  <c r="AQ124" i="29"/>
  <c r="AQ144" i="29" s="1"/>
  <c r="AS123" i="29"/>
  <c r="AR123" i="29"/>
  <c r="AQ123" i="29"/>
  <c r="AN126" i="29"/>
  <c r="AL126" i="29"/>
  <c r="AO124" i="29"/>
  <c r="AO125" i="29" s="1"/>
  <c r="AN124" i="29"/>
  <c r="AN125" i="29" s="1"/>
  <c r="AM124" i="29"/>
  <c r="AM144" i="29" s="1"/>
  <c r="AL124" i="29"/>
  <c r="AL144" i="29" s="1"/>
  <c r="AO123" i="29"/>
  <c r="AN123" i="29"/>
  <c r="AM123" i="29"/>
  <c r="AL123" i="29"/>
  <c r="AK123" i="29"/>
  <c r="AJ125" i="29"/>
  <c r="AG125" i="29"/>
  <c r="AB125" i="29"/>
  <c r="Y125" i="29"/>
  <c r="U125" i="29"/>
  <c r="T125" i="29"/>
  <c r="P125" i="29"/>
  <c r="M125" i="29"/>
  <c r="AJ124" i="29"/>
  <c r="AI124" i="29"/>
  <c r="AI125" i="29" s="1"/>
  <c r="AH124" i="29"/>
  <c r="AH125" i="29" s="1"/>
  <c r="AG124" i="29"/>
  <c r="AL125" i="29" s="1"/>
  <c r="AF124" i="29"/>
  <c r="AE124" i="29"/>
  <c r="AE125" i="29" s="1"/>
  <c r="AD124" i="29"/>
  <c r="AD125" i="29" s="1"/>
  <c r="AC124" i="29"/>
  <c r="AB124" i="29"/>
  <c r="Z124" i="29"/>
  <c r="Z125" i="29" s="1"/>
  <c r="Y124" i="29"/>
  <c r="W124" i="29"/>
  <c r="W125" i="29" s="1"/>
  <c r="U124" i="29"/>
  <c r="T124" i="29"/>
  <c r="S124" i="29"/>
  <c r="S125" i="29" s="1"/>
  <c r="R124" i="29"/>
  <c r="R125" i="29" s="1"/>
  <c r="P124" i="29"/>
  <c r="O124" i="29"/>
  <c r="O125" i="29" s="1"/>
  <c r="N124" i="29"/>
  <c r="N125" i="29" s="1"/>
  <c r="M124" i="29"/>
  <c r="AJ123" i="29"/>
  <c r="AI123" i="29"/>
  <c r="AH123" i="29"/>
  <c r="AG123" i="29"/>
  <c r="AE123" i="29"/>
  <c r="AD123" i="29"/>
  <c r="AB123" i="29"/>
  <c r="Z123" i="29"/>
  <c r="Y123" i="29"/>
  <c r="W123" i="29"/>
  <c r="V123" i="29"/>
  <c r="U123" i="29"/>
  <c r="T123" i="29"/>
  <c r="S123" i="29"/>
  <c r="R123" i="29"/>
  <c r="P123" i="29"/>
  <c r="O123" i="29"/>
  <c r="N123" i="29"/>
  <c r="M123" i="29"/>
  <c r="G123" i="29"/>
  <c r="F123" i="29"/>
  <c r="E123" i="29"/>
  <c r="D123" i="29"/>
  <c r="C123" i="29"/>
  <c r="BP122" i="29"/>
  <c r="BO122" i="29"/>
  <c r="BI122" i="29"/>
  <c r="BJ122" i="29" s="1"/>
  <c r="AP122" i="29"/>
  <c r="AP121" i="29" s="1"/>
  <c r="AK122" i="29"/>
  <c r="AK128" i="29" s="1"/>
  <c r="AK121" i="29"/>
  <c r="X122" i="29"/>
  <c r="X121" i="29"/>
  <c r="V122" i="29"/>
  <c r="V121" i="29"/>
  <c r="Q122" i="29"/>
  <c r="Q123" i="29" s="1"/>
  <c r="Q121" i="29"/>
  <c r="L122" i="29"/>
  <c r="L121" i="29"/>
  <c r="BD121" i="29"/>
  <c r="BC121" i="29"/>
  <c r="BB121" i="29"/>
  <c r="BA121" i="29"/>
  <c r="AZ121" i="29"/>
  <c r="AX121" i="29"/>
  <c r="AW121" i="29"/>
  <c r="AV121" i="29"/>
  <c r="W121" i="29"/>
  <c r="W119" i="29"/>
  <c r="K121" i="29"/>
  <c r="J121" i="29"/>
  <c r="I121" i="29"/>
  <c r="H121" i="29"/>
  <c r="G121" i="29"/>
  <c r="F121" i="29"/>
  <c r="E121" i="29"/>
  <c r="D121" i="29"/>
  <c r="C121" i="29"/>
  <c r="BM121" i="29"/>
  <c r="BL121" i="29"/>
  <c r="BK121" i="29"/>
  <c r="BH121" i="29"/>
  <c r="BG121" i="29"/>
  <c r="BF121" i="29"/>
  <c r="BK120" i="29"/>
  <c r="BG120" i="29"/>
  <c r="BF120" i="29"/>
  <c r="E120" i="29"/>
  <c r="BN119" i="29"/>
  <c r="BT120" i="29" s="1"/>
  <c r="BM119" i="29"/>
  <c r="BM120" i="29" s="1"/>
  <c r="BL119" i="29"/>
  <c r="BL120" i="29" s="1"/>
  <c r="BK119" i="29"/>
  <c r="BQ120" i="29" s="1"/>
  <c r="BH119" i="29"/>
  <c r="BH120" i="29" s="1"/>
  <c r="BG119" i="29"/>
  <c r="BF119" i="29"/>
  <c r="AJ121" i="29"/>
  <c r="AI121" i="29"/>
  <c r="AH121" i="29"/>
  <c r="AG121" i="29"/>
  <c r="AE121" i="29"/>
  <c r="AD121" i="29"/>
  <c r="AC121" i="29"/>
  <c r="AB121" i="29"/>
  <c r="AJ120" i="29"/>
  <c r="AI120" i="29"/>
  <c r="AE120" i="29"/>
  <c r="AB120" i="29"/>
  <c r="AJ119" i="29"/>
  <c r="AI119" i="29"/>
  <c r="AH119" i="29"/>
  <c r="AH120" i="29" s="1"/>
  <c r="AG119" i="29"/>
  <c r="AG120" i="29" s="1"/>
  <c r="AF119" i="29"/>
  <c r="AE119" i="29"/>
  <c r="AD119" i="29"/>
  <c r="AD120" i="29" s="1"/>
  <c r="AC119" i="29"/>
  <c r="AB119" i="29"/>
  <c r="Z121" i="29"/>
  <c r="Y121" i="29"/>
  <c r="Z119" i="29"/>
  <c r="Y119" i="29"/>
  <c r="U121" i="29"/>
  <c r="T121" i="29"/>
  <c r="S121" i="29"/>
  <c r="R121" i="29"/>
  <c r="U119" i="29"/>
  <c r="Z120" i="29" s="1"/>
  <c r="T119" i="29"/>
  <c r="Y120" i="29" s="1"/>
  <c r="S119" i="29"/>
  <c r="S120" i="29" s="1"/>
  <c r="R119" i="29"/>
  <c r="R120" i="29" s="1"/>
  <c r="P121" i="29"/>
  <c r="O121" i="29"/>
  <c r="N121" i="29"/>
  <c r="M121" i="29"/>
  <c r="P119" i="29"/>
  <c r="P120" i="29" s="1"/>
  <c r="O119" i="29"/>
  <c r="O120" i="29" s="1"/>
  <c r="N119" i="29"/>
  <c r="N120" i="29" s="1"/>
  <c r="M119" i="29"/>
  <c r="M120" i="29" s="1"/>
  <c r="K119" i="29"/>
  <c r="J119" i="29"/>
  <c r="I119" i="29"/>
  <c r="H119" i="29"/>
  <c r="G119" i="29"/>
  <c r="G120" i="29" s="1"/>
  <c r="F119" i="29"/>
  <c r="F120" i="29" s="1"/>
  <c r="E119" i="29"/>
  <c r="D119" i="29"/>
  <c r="D120" i="29" s="1"/>
  <c r="C119" i="29"/>
  <c r="C120" i="29" s="1"/>
  <c r="B119" i="29"/>
  <c r="BB120" i="29"/>
  <c r="BD119" i="29"/>
  <c r="BD120" i="29" s="1"/>
  <c r="BC119" i="29"/>
  <c r="BC120" i="29" s="1"/>
  <c r="BB119" i="29"/>
  <c r="BA119" i="29"/>
  <c r="AZ119" i="29"/>
  <c r="AS121" i="29"/>
  <c r="AR121" i="29"/>
  <c r="AQ121" i="29"/>
  <c r="AT119" i="29"/>
  <c r="AT120" i="29" s="1"/>
  <c r="AS119" i="29"/>
  <c r="AS120" i="29" s="1"/>
  <c r="AR119" i="29"/>
  <c r="AR120" i="29" s="1"/>
  <c r="AQ119" i="29"/>
  <c r="AQ120" i="29" s="1"/>
  <c r="AN121" i="29"/>
  <c r="AM121" i="29"/>
  <c r="AL121" i="29"/>
  <c r="AO119" i="29"/>
  <c r="AO120" i="29" s="1"/>
  <c r="AN119" i="29"/>
  <c r="AN120" i="29" s="1"/>
  <c r="AM119" i="29"/>
  <c r="AM120" i="29" s="1"/>
  <c r="AL119" i="29"/>
  <c r="AL120" i="29" s="1"/>
  <c r="BD117" i="29"/>
  <c r="BD115" i="29" s="1"/>
  <c r="BD111" i="29"/>
  <c r="BD112" i="29" s="1"/>
  <c r="BD110" i="29"/>
  <c r="AT117" i="29"/>
  <c r="AO117" i="29"/>
  <c r="BE115" i="29"/>
  <c r="BE110" i="29"/>
  <c r="BE109" i="29"/>
  <c r="BE188" i="29" s="1"/>
  <c r="AU110" i="29"/>
  <c r="AU109" i="29"/>
  <c r="AS116" i="29"/>
  <c r="AT115" i="29"/>
  <c r="AS115" i="29"/>
  <c r="AR115" i="29"/>
  <c r="AR116" i="29" s="1"/>
  <c r="AQ115" i="29"/>
  <c r="AQ116" i="29" s="1"/>
  <c r="AO115" i="29"/>
  <c r="AN115" i="29"/>
  <c r="AM115" i="29"/>
  <c r="AM113" i="29" s="1"/>
  <c r="AL115" i="29"/>
  <c r="CJ107" i="29"/>
  <c r="CE107" i="29"/>
  <c r="G112" i="29"/>
  <c r="D112" i="29"/>
  <c r="C112" i="29"/>
  <c r="K111" i="29"/>
  <c r="J111" i="29"/>
  <c r="I111" i="29"/>
  <c r="H111" i="29"/>
  <c r="G111" i="29"/>
  <c r="F111" i="29"/>
  <c r="F112" i="29" s="1"/>
  <c r="E111" i="29"/>
  <c r="E112" i="29" s="1"/>
  <c r="D111" i="29"/>
  <c r="C111" i="29"/>
  <c r="B111" i="29"/>
  <c r="BK112" i="29"/>
  <c r="BG112" i="29"/>
  <c r="BN111" i="29"/>
  <c r="BM111" i="29"/>
  <c r="BM112" i="29" s="1"/>
  <c r="BL111" i="29"/>
  <c r="BL112" i="29" s="1"/>
  <c r="BK111" i="29"/>
  <c r="BH111" i="29"/>
  <c r="BH112" i="29" s="1"/>
  <c r="BG111" i="29"/>
  <c r="BF111" i="29"/>
  <c r="BM110" i="29"/>
  <c r="BL110" i="29"/>
  <c r="BK110" i="29"/>
  <c r="BH110" i="29"/>
  <c r="BG110" i="29"/>
  <c r="BF110" i="29"/>
  <c r="BC115" i="29"/>
  <c r="BC116" i="29" s="1"/>
  <c r="BB115" i="29"/>
  <c r="BB116" i="29" s="1"/>
  <c r="BA115" i="29"/>
  <c r="BA116" i="29" s="1"/>
  <c r="AZ115" i="29"/>
  <c r="BC113" i="29"/>
  <c r="BC114" i="29" s="1"/>
  <c r="BB113" i="29"/>
  <c r="BB114" i="29" s="1"/>
  <c r="BA113" i="29"/>
  <c r="BA114" i="29" s="1"/>
  <c r="AZ113" i="29"/>
  <c r="BC111" i="29"/>
  <c r="BC112" i="29" s="1"/>
  <c r="BB111" i="29"/>
  <c r="BB131" i="29" s="1"/>
  <c r="BA111" i="29"/>
  <c r="BA131" i="29" s="1"/>
  <c r="AZ111" i="29"/>
  <c r="AZ131" i="29" s="1"/>
  <c r="BC110" i="29"/>
  <c r="BB110" i="29"/>
  <c r="BA110" i="29"/>
  <c r="AZ110" i="29"/>
  <c r="AT113" i="29"/>
  <c r="AS113" i="29"/>
  <c r="AS114" i="29" s="1"/>
  <c r="AR113" i="29"/>
  <c r="AR114" i="29" s="1"/>
  <c r="AO113" i="29"/>
  <c r="AN113" i="29"/>
  <c r="AL113" i="29"/>
  <c r="AT112" i="29"/>
  <c r="AO112" i="29"/>
  <c r="AL112" i="29"/>
  <c r="AT111" i="29"/>
  <c r="AS111" i="29"/>
  <c r="AS131" i="29" s="1"/>
  <c r="AR111" i="29"/>
  <c r="AR112" i="29" s="1"/>
  <c r="AQ111" i="29"/>
  <c r="AQ112" i="29" s="1"/>
  <c r="AO111" i="29"/>
  <c r="AN111" i="29"/>
  <c r="AN131" i="29" s="1"/>
  <c r="AM111" i="29"/>
  <c r="AM131" i="29" s="1"/>
  <c r="AL111" i="29"/>
  <c r="AL131" i="29" s="1"/>
  <c r="AT110" i="29"/>
  <c r="AS110" i="29"/>
  <c r="AR110" i="29"/>
  <c r="AQ110" i="29"/>
  <c r="AP110" i="29"/>
  <c r="AO110" i="29"/>
  <c r="AN110" i="29"/>
  <c r="AM110" i="29"/>
  <c r="AL110" i="29"/>
  <c r="AK110" i="29"/>
  <c r="AH112" i="29"/>
  <c r="AG112" i="29"/>
  <c r="AD112" i="29"/>
  <c r="AC112" i="29"/>
  <c r="Z112" i="29"/>
  <c r="Y112" i="29"/>
  <c r="U112" i="29"/>
  <c r="R112" i="29"/>
  <c r="N112" i="29"/>
  <c r="M112" i="29"/>
  <c r="AJ111" i="29"/>
  <c r="AJ112" i="29" s="1"/>
  <c r="AI111" i="29"/>
  <c r="AI112" i="29" s="1"/>
  <c r="AH111" i="29"/>
  <c r="AG111" i="29"/>
  <c r="AF111" i="29"/>
  <c r="AE111" i="29"/>
  <c r="AE112" i="29" s="1"/>
  <c r="AD111" i="29"/>
  <c r="AC111" i="29"/>
  <c r="AB111" i="29"/>
  <c r="AB112" i="29" s="1"/>
  <c r="Z111" i="29"/>
  <c r="Y111" i="29"/>
  <c r="X111" i="29"/>
  <c r="X112" i="29" s="1"/>
  <c r="W111" i="29"/>
  <c r="W112" i="29" s="1"/>
  <c r="U111" i="29"/>
  <c r="T111" i="29"/>
  <c r="T112" i="29" s="1"/>
  <c r="S111" i="29"/>
  <c r="S112" i="29" s="1"/>
  <c r="R111" i="29"/>
  <c r="P111" i="29"/>
  <c r="P112" i="29" s="1"/>
  <c r="O111" i="29"/>
  <c r="O112" i="29" s="1"/>
  <c r="N111" i="29"/>
  <c r="M111" i="29"/>
  <c r="AJ110" i="29"/>
  <c r="AI110" i="29"/>
  <c r="AH110" i="29"/>
  <c r="AG110" i="29"/>
  <c r="AF110" i="29"/>
  <c r="AE110" i="29"/>
  <c r="AD110" i="29"/>
  <c r="AC110" i="29"/>
  <c r="AB110" i="29"/>
  <c r="AA110" i="29"/>
  <c r="Z110" i="29"/>
  <c r="Y110" i="29"/>
  <c r="X110" i="29"/>
  <c r="W110" i="29"/>
  <c r="U110" i="29"/>
  <c r="T110" i="29"/>
  <c r="S110" i="29"/>
  <c r="R110" i="29"/>
  <c r="P110" i="29"/>
  <c r="O110" i="29"/>
  <c r="N110" i="29"/>
  <c r="M110" i="29"/>
  <c r="L110" i="29"/>
  <c r="G110" i="29"/>
  <c r="F110" i="29"/>
  <c r="E110" i="29"/>
  <c r="D110" i="29"/>
  <c r="C110" i="29"/>
  <c r="BO109" i="29"/>
  <c r="BO188" i="29" s="1"/>
  <c r="BJ109" i="29"/>
  <c r="BJ110" i="29" s="1"/>
  <c r="BI109" i="29"/>
  <c r="BI188" i="29" s="1"/>
  <c r="AP109" i="29"/>
  <c r="AP115" i="29" s="1"/>
  <c r="AK109" i="29"/>
  <c r="AK188" i="29" s="1"/>
  <c r="AA109" i="29"/>
  <c r="V109" i="29"/>
  <c r="Q109" i="29"/>
  <c r="Q110" i="29" s="1"/>
  <c r="L109" i="29"/>
  <c r="BD108" i="29"/>
  <c r="BC108" i="29"/>
  <c r="BB108" i="29"/>
  <c r="BA108" i="29"/>
  <c r="AY108" i="29"/>
  <c r="AX108" i="29"/>
  <c r="AW108" i="29"/>
  <c r="AV108" i="29"/>
  <c r="K108" i="29"/>
  <c r="J108" i="29"/>
  <c r="I108" i="29"/>
  <c r="H108" i="29"/>
  <c r="G108" i="29"/>
  <c r="F108" i="29"/>
  <c r="E108" i="29"/>
  <c r="D108" i="29"/>
  <c r="C108" i="29"/>
  <c r="BM108" i="29"/>
  <c r="BL108" i="29"/>
  <c r="BK108" i="29"/>
  <c r="BH108" i="29"/>
  <c r="BG108" i="29"/>
  <c r="BF108" i="29"/>
  <c r="BK107" i="29"/>
  <c r="BG107" i="29"/>
  <c r="BF107" i="29"/>
  <c r="E107" i="29"/>
  <c r="BN106" i="29"/>
  <c r="BT107" i="29" s="1"/>
  <c r="BM106" i="29"/>
  <c r="BM107" i="29" s="1"/>
  <c r="BL106" i="29"/>
  <c r="BL107" i="29" s="1"/>
  <c r="BK106" i="29"/>
  <c r="BQ107" i="29" s="1"/>
  <c r="BH106" i="29"/>
  <c r="BH107" i="29" s="1"/>
  <c r="BG106" i="29"/>
  <c r="BF106" i="29"/>
  <c r="BC107" i="29"/>
  <c r="BB107" i="29"/>
  <c r="BD106" i="29"/>
  <c r="BD107" i="29" s="1"/>
  <c r="BC106" i="29"/>
  <c r="BB106" i="29"/>
  <c r="BA106" i="29"/>
  <c r="BA107" i="29" s="1"/>
  <c r="AZ106" i="29"/>
  <c r="AT108" i="29"/>
  <c r="AS108" i="29"/>
  <c r="AR108" i="29"/>
  <c r="AQ108" i="29"/>
  <c r="AT106" i="29"/>
  <c r="AT107" i="29" s="1"/>
  <c r="AS106" i="29"/>
  <c r="AS107" i="29" s="1"/>
  <c r="AR106" i="29"/>
  <c r="AR107" i="29" s="1"/>
  <c r="AQ106" i="29"/>
  <c r="AQ107" i="29" s="1"/>
  <c r="AO108" i="29"/>
  <c r="AN108" i="29"/>
  <c r="AM108" i="29"/>
  <c r="AL108" i="29"/>
  <c r="AO106" i="29"/>
  <c r="AO107" i="29" s="1"/>
  <c r="AN106" i="29"/>
  <c r="AN107" i="29" s="1"/>
  <c r="AM106" i="29"/>
  <c r="AM107" i="29" s="1"/>
  <c r="AL106" i="29"/>
  <c r="AL107" i="29" s="1"/>
  <c r="AJ108" i="29"/>
  <c r="AI108" i="29"/>
  <c r="AH108" i="29"/>
  <c r="AG108" i="29"/>
  <c r="AE108" i="29"/>
  <c r="AD108" i="29"/>
  <c r="AC108" i="29"/>
  <c r="AB108" i="29"/>
  <c r="AH107" i="29"/>
  <c r="AG107" i="29"/>
  <c r="AD107" i="29"/>
  <c r="AC107" i="29"/>
  <c r="AJ106" i="29"/>
  <c r="AJ107" i="29" s="1"/>
  <c r="AI106" i="29"/>
  <c r="AI107" i="29" s="1"/>
  <c r="AH106" i="29"/>
  <c r="AG106" i="29"/>
  <c r="AF106" i="29"/>
  <c r="AE106" i="29"/>
  <c r="AE107" i="29" s="1"/>
  <c r="AD106" i="29"/>
  <c r="AC106" i="29"/>
  <c r="AB106" i="29"/>
  <c r="AB107" i="29" s="1"/>
  <c r="Z108" i="29"/>
  <c r="Y108" i="29"/>
  <c r="X108" i="29"/>
  <c r="W108" i="29"/>
  <c r="Z106" i="29"/>
  <c r="Z107" i="29" s="1"/>
  <c r="Y106" i="29"/>
  <c r="Y107" i="29" s="1"/>
  <c r="X106" i="29"/>
  <c r="X107" i="29" s="1"/>
  <c r="W106" i="29"/>
  <c r="W107" i="29" s="1"/>
  <c r="U108" i="29"/>
  <c r="T108" i="29"/>
  <c r="S108" i="29"/>
  <c r="R108" i="29"/>
  <c r="U106" i="29"/>
  <c r="U107" i="29" s="1"/>
  <c r="T106" i="29"/>
  <c r="T107" i="29" s="1"/>
  <c r="S106" i="29"/>
  <c r="S107" i="29" s="1"/>
  <c r="R106" i="29"/>
  <c r="R107" i="29" s="1"/>
  <c r="P108" i="29"/>
  <c r="O108" i="29"/>
  <c r="N108" i="29"/>
  <c r="M108" i="29"/>
  <c r="P106" i="29"/>
  <c r="P107" i="29" s="1"/>
  <c r="O106" i="29"/>
  <c r="O107" i="29" s="1"/>
  <c r="N106" i="29"/>
  <c r="N107" i="29" s="1"/>
  <c r="M106" i="29"/>
  <c r="M107" i="29" s="1"/>
  <c r="K106" i="29"/>
  <c r="J106" i="29"/>
  <c r="I106" i="29"/>
  <c r="H106" i="29"/>
  <c r="G106" i="29"/>
  <c r="G107" i="29" s="1"/>
  <c r="F106" i="29"/>
  <c r="F107" i="29" s="1"/>
  <c r="E106" i="29"/>
  <c r="D106" i="29"/>
  <c r="D107" i="29" s="1"/>
  <c r="C106" i="29"/>
  <c r="C107" i="29" s="1"/>
  <c r="B106" i="29"/>
  <c r="BA102" i="29"/>
  <c r="AJ102" i="29"/>
  <c r="AG102" i="29"/>
  <c r="U102" i="29"/>
  <c r="Q102" i="29"/>
  <c r="BI101" i="29"/>
  <c r="BD101" i="29"/>
  <c r="BD99" i="29"/>
  <c r="BD100" i="29" s="1"/>
  <c r="BD98" i="29"/>
  <c r="BD118" i="29" s="1"/>
  <c r="AT101" i="29"/>
  <c r="AO101" i="29"/>
  <c r="AO96" i="29"/>
  <c r="AO90" i="29"/>
  <c r="AJ101" i="29"/>
  <c r="AJ100" i="29"/>
  <c r="AJ99" i="29"/>
  <c r="AJ98" i="29"/>
  <c r="AE101" i="29"/>
  <c r="AE102" i="29" s="1"/>
  <c r="AE100" i="29"/>
  <c r="AE99" i="29"/>
  <c r="AE98" i="29"/>
  <c r="Z101" i="29"/>
  <c r="Z102" i="29" s="1"/>
  <c r="Z100" i="29"/>
  <c r="Z99" i="29"/>
  <c r="Z98" i="29"/>
  <c r="U101" i="29"/>
  <c r="U100" i="29"/>
  <c r="U99" i="29"/>
  <c r="U98" i="29"/>
  <c r="AU98" i="29"/>
  <c r="AU102" i="29" s="1"/>
  <c r="AU96" i="29"/>
  <c r="AU89" i="29"/>
  <c r="Q99" i="29"/>
  <c r="Q100" i="29" s="1"/>
  <c r="BC98" i="29"/>
  <c r="BB98" i="29"/>
  <c r="BB118" i="29" s="1"/>
  <c r="BA98" i="29"/>
  <c r="BA99" i="29" s="1"/>
  <c r="AZ98" i="29"/>
  <c r="AZ99" i="29" s="1"/>
  <c r="AZ100" i="29" s="1"/>
  <c r="AI98" i="29"/>
  <c r="AI102" i="29" s="1"/>
  <c r="AH98" i="29"/>
  <c r="AH102" i="29" s="1"/>
  <c r="AG98" i="29"/>
  <c r="AF98" i="29"/>
  <c r="AD98" i="29"/>
  <c r="AD102" i="29" s="1"/>
  <c r="AC98" i="29"/>
  <c r="AB98" i="29"/>
  <c r="AB99" i="29" s="1"/>
  <c r="AB100" i="29" s="1"/>
  <c r="AA98" i="29"/>
  <c r="AA102" i="29" s="1"/>
  <c r="Y98" i="29"/>
  <c r="X98" i="29"/>
  <c r="W98" i="29"/>
  <c r="W102" i="29" s="1"/>
  <c r="V98" i="29"/>
  <c r="V102" i="29" s="1"/>
  <c r="T98" i="29"/>
  <c r="S98" i="29"/>
  <c r="S102" i="29" s="1"/>
  <c r="R98" i="29"/>
  <c r="R99" i="29" s="1"/>
  <c r="R100" i="29" s="1"/>
  <c r="O98" i="29"/>
  <c r="BH98" i="29"/>
  <c r="BH99" i="29" s="1"/>
  <c r="BH100" i="29" s="1"/>
  <c r="BG98" i="29"/>
  <c r="BF98" i="29"/>
  <c r="BF99" i="29" s="1"/>
  <c r="AS98" i="29"/>
  <c r="AS118" i="29" s="1"/>
  <c r="AR98" i="29"/>
  <c r="AR99" i="29" s="1"/>
  <c r="AR100" i="29" s="1"/>
  <c r="AQ98" i="29"/>
  <c r="AQ102" i="29" s="1"/>
  <c r="AP98" i="29"/>
  <c r="AP102" i="29" s="1"/>
  <c r="AN98" i="29"/>
  <c r="AN118" i="29" s="1"/>
  <c r="AM98" i="29"/>
  <c r="AM102" i="29" s="1"/>
  <c r="AL98" i="29"/>
  <c r="AL102" i="29" s="1"/>
  <c r="AK98" i="29"/>
  <c r="AK118" i="29" s="1"/>
  <c r="BH96" i="29"/>
  <c r="BG96" i="29"/>
  <c r="BG97" i="29" s="1"/>
  <c r="BF96" i="29"/>
  <c r="AR96" i="29"/>
  <c r="AQ96" i="29"/>
  <c r="AZ90" i="29"/>
  <c r="AZ89" i="29"/>
  <c r="AK89" i="29"/>
  <c r="AF90" i="29"/>
  <c r="AF89" i="29"/>
  <c r="AA90" i="29"/>
  <c r="V90" i="29"/>
  <c r="BK99" i="29"/>
  <c r="BK100" i="29" s="1"/>
  <c r="BK98" i="29"/>
  <c r="BJ96" i="29"/>
  <c r="BK96" i="29" s="1"/>
  <c r="AE93" i="29"/>
  <c r="AD93" i="29"/>
  <c r="AC93" i="29"/>
  <c r="AB93" i="29"/>
  <c r="AE92" i="29"/>
  <c r="AD92" i="29"/>
  <c r="AC92" i="29"/>
  <c r="AB92" i="29"/>
  <c r="AE91" i="29"/>
  <c r="AD91" i="29"/>
  <c r="AC91" i="29"/>
  <c r="AB91" i="29"/>
  <c r="Z93" i="29"/>
  <c r="Y93" i="29"/>
  <c r="X93" i="29"/>
  <c r="W93" i="29"/>
  <c r="Z92" i="29"/>
  <c r="Y92" i="29"/>
  <c r="X92" i="29"/>
  <c r="W92" i="29"/>
  <c r="Z91" i="29"/>
  <c r="Y91" i="29"/>
  <c r="X91" i="29"/>
  <c r="W91" i="29"/>
  <c r="U93" i="29"/>
  <c r="T93" i="29"/>
  <c r="S93" i="29"/>
  <c r="S92" i="29" s="1"/>
  <c r="R93" i="29"/>
  <c r="P93" i="29"/>
  <c r="O93" i="29"/>
  <c r="N93" i="29"/>
  <c r="M93" i="29"/>
  <c r="K93" i="29"/>
  <c r="J93" i="29"/>
  <c r="I93" i="29"/>
  <c r="H93" i="29"/>
  <c r="G93" i="29"/>
  <c r="F93" i="29"/>
  <c r="E93" i="29"/>
  <c r="D93" i="29"/>
  <c r="C93" i="29"/>
  <c r="B93" i="29"/>
  <c r="U92" i="29"/>
  <c r="T92" i="29"/>
  <c r="R92" i="29"/>
  <c r="P92" i="29"/>
  <c r="O92" i="29"/>
  <c r="N92" i="29"/>
  <c r="M92" i="29"/>
  <c r="K92" i="29"/>
  <c r="J92" i="29"/>
  <c r="I92" i="29"/>
  <c r="H92" i="29"/>
  <c r="G92" i="29"/>
  <c r="F92" i="29"/>
  <c r="E92" i="29"/>
  <c r="D92" i="29"/>
  <c r="C92" i="29"/>
  <c r="B92" i="29"/>
  <c r="U91" i="29"/>
  <c r="T91" i="29"/>
  <c r="S91" i="29"/>
  <c r="R91" i="29"/>
  <c r="P91" i="29"/>
  <c r="O91" i="29"/>
  <c r="N91" i="29"/>
  <c r="M91" i="29"/>
  <c r="K91" i="29"/>
  <c r="J91" i="29"/>
  <c r="I91" i="29"/>
  <c r="H91" i="29"/>
  <c r="G91" i="29"/>
  <c r="F91" i="29"/>
  <c r="E91" i="29"/>
  <c r="D91" i="29"/>
  <c r="C91" i="29"/>
  <c r="B91" i="29"/>
  <c r="BF93" i="29"/>
  <c r="BH90" i="29"/>
  <c r="BG90" i="29"/>
  <c r="BG93" i="29" s="1"/>
  <c r="BF90" i="29"/>
  <c r="BF91" i="29" s="1"/>
  <c r="BE90" i="29"/>
  <c r="BE93" i="29" s="1"/>
  <c r="AT90" i="29"/>
  <c r="AS90" i="29"/>
  <c r="AR90" i="29"/>
  <c r="AQ90" i="29"/>
  <c r="AM96" i="29"/>
  <c r="AM97" i="29" s="1"/>
  <c r="AL96" i="29"/>
  <c r="AL94" i="29"/>
  <c r="AL95" i="29" s="1"/>
  <c r="AM91" i="29"/>
  <c r="AN90" i="29"/>
  <c r="AM90" i="29"/>
  <c r="AL90" i="29"/>
  <c r="AL93" i="29" s="1"/>
  <c r="AJ93" i="29"/>
  <c r="AJ91" i="29"/>
  <c r="AJ90" i="29"/>
  <c r="AI90" i="29"/>
  <c r="AI93" i="29" s="1"/>
  <c r="AH90" i="29"/>
  <c r="AG90" i="29"/>
  <c r="AG93" i="29" s="1"/>
  <c r="AG92" i="29" s="1"/>
  <c r="Q90" i="29"/>
  <c r="L90" i="29"/>
  <c r="L93" i="29" s="1"/>
  <c r="BJ89" i="29"/>
  <c r="BE89" i="29"/>
  <c r="AP89" i="29"/>
  <c r="BE86" i="29"/>
  <c r="BE84" i="29"/>
  <c r="BE88" i="29" s="1"/>
  <c r="AZ84" i="29"/>
  <c r="AF84" i="29"/>
  <c r="AF86" i="29" s="1"/>
  <c r="AE85" i="29"/>
  <c r="AD85" i="29"/>
  <c r="AC85" i="29"/>
  <c r="AB85" i="29"/>
  <c r="Z85" i="29"/>
  <c r="Y85" i="29"/>
  <c r="X85" i="29"/>
  <c r="W85" i="29"/>
  <c r="U85" i="29"/>
  <c r="T85" i="29"/>
  <c r="S85" i="29"/>
  <c r="R85" i="29"/>
  <c r="P85" i="29"/>
  <c r="O85" i="29"/>
  <c r="N85" i="29"/>
  <c r="M85" i="29"/>
  <c r="L85" i="29"/>
  <c r="G85" i="29"/>
  <c r="F85" i="29"/>
  <c r="E85" i="29"/>
  <c r="D85" i="29"/>
  <c r="C85" i="29"/>
  <c r="AJ84" i="29"/>
  <c r="AJ92" i="29" s="1"/>
  <c r="AI84" i="29"/>
  <c r="AH84" i="29"/>
  <c r="AG84" i="29"/>
  <c r="AA84" i="29"/>
  <c r="V84" i="29"/>
  <c r="AA85" i="29" s="1"/>
  <c r="Q84" i="29"/>
  <c r="L84" i="29"/>
  <c r="BP84" i="29"/>
  <c r="BP85" i="29" s="1"/>
  <c r="BN84" i="29"/>
  <c r="BM84" i="29"/>
  <c r="BM85" i="29" s="1"/>
  <c r="BL84" i="29"/>
  <c r="BL85" i="29" s="1"/>
  <c r="BK84" i="29"/>
  <c r="BI84" i="29"/>
  <c r="BH84" i="29"/>
  <c r="BG84" i="29"/>
  <c r="BF84" i="29"/>
  <c r="BF92" i="29" s="1"/>
  <c r="AT84" i="29"/>
  <c r="AT93" i="29" s="1"/>
  <c r="AS84" i="29"/>
  <c r="AR84" i="29"/>
  <c r="AQ84" i="29"/>
  <c r="AT83" i="29"/>
  <c r="AT81" i="29" s="1"/>
  <c r="AO84" i="29"/>
  <c r="AN84" i="29"/>
  <c r="AM84" i="29"/>
  <c r="AL84" i="29"/>
  <c r="AO83" i="29"/>
  <c r="AO81" i="29" s="1"/>
  <c r="AJ83" i="29"/>
  <c r="AJ82" i="29"/>
  <c r="AJ80" i="29"/>
  <c r="AJ81" i="29" s="1"/>
  <c r="AJ77" i="29"/>
  <c r="AE77" i="29"/>
  <c r="AJ78" i="29" s="1"/>
  <c r="AE76" i="29"/>
  <c r="Z77" i="29"/>
  <c r="Z76" i="29"/>
  <c r="U77" i="29"/>
  <c r="U76" i="29"/>
  <c r="P77" i="29"/>
  <c r="P76" i="29"/>
  <c r="BI82" i="29"/>
  <c r="BJ82" i="29" s="1"/>
  <c r="BI75" i="29"/>
  <c r="BD82" i="29"/>
  <c r="BE82" i="29" s="1"/>
  <c r="BD77" i="29"/>
  <c r="BD80" i="29" s="1"/>
  <c r="BD76" i="29"/>
  <c r="AT82" i="29"/>
  <c r="AU82" i="29" s="1"/>
  <c r="AT80" i="29"/>
  <c r="AT77" i="29"/>
  <c r="AT76" i="29"/>
  <c r="AO82" i="29"/>
  <c r="AO80" i="29" s="1"/>
  <c r="AO78" i="29"/>
  <c r="AO77" i="29"/>
  <c r="AO76" i="29"/>
  <c r="BK77" i="29"/>
  <c r="BK80" i="29" s="1"/>
  <c r="BK76" i="29"/>
  <c r="BN82" i="29"/>
  <c r="BN83" i="29" s="1"/>
  <c r="BN81" i="29" s="1"/>
  <c r="BM82" i="29"/>
  <c r="BO82" i="29" s="1"/>
  <c r="BL82" i="29"/>
  <c r="BL83" i="29" s="1"/>
  <c r="BL81" i="29" s="1"/>
  <c r="BL80" i="29"/>
  <c r="AZ80" i="29"/>
  <c r="AZ81" i="29" s="1"/>
  <c r="AF80" i="29"/>
  <c r="AF81" i="29" s="1"/>
  <c r="BM78" i="29"/>
  <c r="BJ75" i="29"/>
  <c r="BJ74" i="29"/>
  <c r="BE75" i="29"/>
  <c r="BE74" i="29"/>
  <c r="AZ77" i="29"/>
  <c r="AZ76" i="29"/>
  <c r="AU75" i="29"/>
  <c r="AU74" i="29"/>
  <c r="AP75" i="29"/>
  <c r="AP76" i="29" s="1"/>
  <c r="AP74" i="29"/>
  <c r="AK75" i="29"/>
  <c r="AK76" i="29" s="1"/>
  <c r="AF77" i="29"/>
  <c r="AF83" i="29" s="1"/>
  <c r="AA75" i="29"/>
  <c r="V75" i="29"/>
  <c r="V76" i="29" s="1"/>
  <c r="Q75" i="29"/>
  <c r="Q76" i="29" s="1"/>
  <c r="BN77" i="29"/>
  <c r="BM77" i="29"/>
  <c r="BL77" i="29"/>
  <c r="BN76" i="29"/>
  <c r="BM76" i="29"/>
  <c r="BL76" i="29"/>
  <c r="BH80" i="29"/>
  <c r="BH81" i="29" s="1"/>
  <c r="BH78" i="29"/>
  <c r="BG78" i="29"/>
  <c r="BH77" i="29"/>
  <c r="BH83" i="29" s="1"/>
  <c r="BG77" i="29"/>
  <c r="BL78" i="29" s="1"/>
  <c r="BF77" i="29"/>
  <c r="BF78" i="29" s="1"/>
  <c r="BH76" i="29"/>
  <c r="BG76" i="29"/>
  <c r="BF76" i="29"/>
  <c r="BC78" i="29"/>
  <c r="BB78" i="29"/>
  <c r="BC77" i="29"/>
  <c r="BC83" i="29" s="1"/>
  <c r="BB77" i="29"/>
  <c r="BA77" i="29"/>
  <c r="BA78" i="29" s="1"/>
  <c r="BC76" i="29"/>
  <c r="BB76" i="29"/>
  <c r="BA76" i="29"/>
  <c r="AS78" i="29"/>
  <c r="AR78" i="29"/>
  <c r="AS77" i="29"/>
  <c r="AS83" i="29" s="1"/>
  <c r="AR77" i="29"/>
  <c r="AQ77" i="29"/>
  <c r="AQ78" i="29" s="1"/>
  <c r="AS76" i="29"/>
  <c r="AR76" i="29"/>
  <c r="AQ76" i="29"/>
  <c r="AN78" i="29"/>
  <c r="AM78" i="29"/>
  <c r="AN77" i="29"/>
  <c r="AN83" i="29" s="1"/>
  <c r="AM77" i="29"/>
  <c r="AL77" i="29"/>
  <c r="AL78" i="29" s="1"/>
  <c r="AN76" i="29"/>
  <c r="AM76" i="29"/>
  <c r="AL76" i="29"/>
  <c r="AI78" i="29"/>
  <c r="AH78" i="29"/>
  <c r="AI77" i="29"/>
  <c r="AI80" i="29" s="1"/>
  <c r="AI81" i="29" s="1"/>
  <c r="AH77" i="29"/>
  <c r="AH83" i="29" s="1"/>
  <c r="AG77" i="29"/>
  <c r="AG83" i="29" s="1"/>
  <c r="AI76" i="29"/>
  <c r="AH76" i="29"/>
  <c r="AG76" i="29"/>
  <c r="AD79" i="29"/>
  <c r="AD78" i="29"/>
  <c r="AD77" i="29"/>
  <c r="AD82" i="29" s="1"/>
  <c r="AC77" i="29"/>
  <c r="AC79" i="29" s="1"/>
  <c r="AB77" i="29"/>
  <c r="AB78" i="29" s="1"/>
  <c r="AD76" i="29"/>
  <c r="AC76" i="29"/>
  <c r="AB76" i="29"/>
  <c r="Y78" i="29"/>
  <c r="Y77" i="29"/>
  <c r="Y82" i="29" s="1"/>
  <c r="W77" i="29"/>
  <c r="W78" i="29" s="1"/>
  <c r="Y76" i="29"/>
  <c r="W76" i="29"/>
  <c r="T78" i="29"/>
  <c r="S78" i="29"/>
  <c r="T77" i="29"/>
  <c r="T82" i="29" s="1"/>
  <c r="S77" i="29"/>
  <c r="R77" i="29"/>
  <c r="R78" i="29" s="1"/>
  <c r="T76" i="29"/>
  <c r="S76" i="29"/>
  <c r="R76" i="29"/>
  <c r="O78" i="29"/>
  <c r="N78" i="29"/>
  <c r="O77" i="29"/>
  <c r="O82" i="29" s="1"/>
  <c r="N77" i="29"/>
  <c r="M77" i="29"/>
  <c r="M78" i="29" s="1"/>
  <c r="O76" i="29"/>
  <c r="N76" i="29"/>
  <c r="M76" i="29"/>
  <c r="K77" i="29"/>
  <c r="J77" i="29"/>
  <c r="I77" i="29"/>
  <c r="H77" i="29"/>
  <c r="G77" i="29"/>
  <c r="F77" i="29"/>
  <c r="D77" i="29"/>
  <c r="C77" i="29"/>
  <c r="K76" i="29"/>
  <c r="J76" i="29"/>
  <c r="I76" i="29"/>
  <c r="H76" i="29"/>
  <c r="G76" i="29"/>
  <c r="F76" i="29"/>
  <c r="E75" i="29"/>
  <c r="E77" i="29" s="1"/>
  <c r="D75" i="29"/>
  <c r="D76" i="29" s="1"/>
  <c r="C75" i="29"/>
  <c r="C76" i="29" s="1"/>
  <c r="B75" i="29"/>
  <c r="B76" i="29" s="1"/>
  <c r="BP75" i="29"/>
  <c r="BO75" i="29"/>
  <c r="BO76" i="29" s="1"/>
  <c r="BT74" i="29"/>
  <c r="BS74" i="29"/>
  <c r="BR74" i="29"/>
  <c r="BQ74" i="29"/>
  <c r="BU74" i="29" s="1"/>
  <c r="Q14" i="120" s="1"/>
  <c r="BO74" i="29"/>
  <c r="BP74" i="29" s="1"/>
  <c r="P14" i="120" s="1"/>
  <c r="BO73" i="29"/>
  <c r="BN73" i="29"/>
  <c r="BM73" i="29"/>
  <c r="BL73" i="29"/>
  <c r="BK73" i="29"/>
  <c r="BM72" i="29"/>
  <c r="BL72" i="29"/>
  <c r="BK72" i="29"/>
  <c r="BI73" i="29"/>
  <c r="BH73" i="29"/>
  <c r="BG73" i="29"/>
  <c r="BF73" i="29"/>
  <c r="BI72" i="29"/>
  <c r="BH72" i="29"/>
  <c r="BG72" i="29"/>
  <c r="BF72" i="29"/>
  <c r="BD72" i="29"/>
  <c r="BC72" i="29"/>
  <c r="BB72" i="29"/>
  <c r="BA72" i="29"/>
  <c r="BN71" i="29"/>
  <c r="BN72" i="29" s="1"/>
  <c r="BJ71" i="29"/>
  <c r="BE71" i="29"/>
  <c r="BE70" i="29"/>
  <c r="AQ71" i="29"/>
  <c r="AZ70" i="29"/>
  <c r="BN68" i="29"/>
  <c r="BM68" i="29"/>
  <c r="BL68" i="29"/>
  <c r="BK68" i="29"/>
  <c r="BJ68" i="29"/>
  <c r="BE68" i="29"/>
  <c r="AZ68" i="29"/>
  <c r="BO67" i="29"/>
  <c r="BO68" i="29" s="1"/>
  <c r="BO65" i="29"/>
  <c r="BO64" i="29"/>
  <c r="BJ67" i="29"/>
  <c r="BJ70" i="29" s="1"/>
  <c r="BJ64" i="29"/>
  <c r="BJ177" i="29" s="1"/>
  <c r="BJ178" i="29" s="1"/>
  <c r="AT66" i="29"/>
  <c r="AS66" i="29"/>
  <c r="AR66" i="29"/>
  <c r="AQ66" i="29"/>
  <c r="BN66" i="29"/>
  <c r="BM66" i="29"/>
  <c r="BL66" i="29"/>
  <c r="BK66" i="29"/>
  <c r="BN65" i="29"/>
  <c r="BM65" i="29"/>
  <c r="BL65" i="29"/>
  <c r="BK65" i="29"/>
  <c r="BH66" i="29"/>
  <c r="BG66" i="29"/>
  <c r="BD66" i="29"/>
  <c r="BC66" i="29"/>
  <c r="BB66" i="29"/>
  <c r="BA66" i="29"/>
  <c r="AZ66" i="29"/>
  <c r="BI65" i="29"/>
  <c r="BH65" i="29"/>
  <c r="BG65" i="29"/>
  <c r="BF65" i="29"/>
  <c r="BD65" i="29"/>
  <c r="BC65" i="29"/>
  <c r="BB65" i="29"/>
  <c r="BA65" i="29"/>
  <c r="AU64" i="29"/>
  <c r="BT64" i="29"/>
  <c r="BS64" i="29"/>
  <c r="BR64" i="29"/>
  <c r="BQ64" i="29"/>
  <c r="BP64" i="29"/>
  <c r="BE64" i="29"/>
  <c r="BE174" i="29" s="1"/>
  <c r="AL63" i="29"/>
  <c r="AK63" i="29"/>
  <c r="AI63" i="29"/>
  <c r="AH63" i="29"/>
  <c r="AG63" i="29"/>
  <c r="AE63" i="29"/>
  <c r="AD63" i="29"/>
  <c r="AC63" i="29"/>
  <c r="AB63" i="29"/>
  <c r="Y63" i="29"/>
  <c r="X63" i="29"/>
  <c r="W63" i="29"/>
  <c r="T63" i="29"/>
  <c r="S63" i="29"/>
  <c r="R63" i="29"/>
  <c r="Q63" i="29"/>
  <c r="P63" i="29"/>
  <c r="O63" i="29"/>
  <c r="N63" i="29"/>
  <c r="M63" i="29"/>
  <c r="L63" i="29"/>
  <c r="J63" i="29"/>
  <c r="I63" i="29"/>
  <c r="H63" i="29"/>
  <c r="G63" i="29"/>
  <c r="F63" i="29"/>
  <c r="E63" i="29"/>
  <c r="D63" i="29"/>
  <c r="C63" i="29"/>
  <c r="B63" i="29"/>
  <c r="AL62" i="29"/>
  <c r="AK62" i="29"/>
  <c r="AI62" i="29"/>
  <c r="AH62" i="29"/>
  <c r="AG62" i="29"/>
  <c r="AE62" i="29"/>
  <c r="AD62" i="29"/>
  <c r="AC62" i="29"/>
  <c r="AB62" i="29"/>
  <c r="Z62" i="29"/>
  <c r="Y62" i="29"/>
  <c r="X62" i="29"/>
  <c r="W62" i="29"/>
  <c r="U62" i="29"/>
  <c r="T62" i="29"/>
  <c r="S62" i="29"/>
  <c r="R62" i="29"/>
  <c r="Q62" i="29"/>
  <c r="P62" i="29"/>
  <c r="O62" i="29"/>
  <c r="N62" i="29"/>
  <c r="M62" i="29"/>
  <c r="L62" i="29"/>
  <c r="K62" i="29"/>
  <c r="J62" i="29"/>
  <c r="I62" i="29"/>
  <c r="H62" i="29"/>
  <c r="G62" i="29"/>
  <c r="F62" i="29"/>
  <c r="E62" i="29"/>
  <c r="D62" i="29"/>
  <c r="C62" i="29"/>
  <c r="B62" i="29"/>
  <c r="AJ61" i="29"/>
  <c r="AJ62" i="29" s="1"/>
  <c r="AJ59" i="29"/>
  <c r="AJ57" i="29"/>
  <c r="AJ58" i="29" s="1"/>
  <c r="AJ54" i="29"/>
  <c r="AJ170" i="29" s="1"/>
  <c r="AJ171" i="29" s="1"/>
  <c r="AJ53" i="29"/>
  <c r="AJ51" i="29"/>
  <c r="AJ49" i="29"/>
  <c r="AJ50" i="29" s="1"/>
  <c r="AJ48" i="29"/>
  <c r="AJ47" i="29"/>
  <c r="AJ46" i="29"/>
  <c r="AJ45" i="29"/>
  <c r="AJ44" i="29"/>
  <c r="AJ43" i="29"/>
  <c r="AJ42" i="29"/>
  <c r="AF61" i="29"/>
  <c r="AF62" i="29" s="1"/>
  <c r="AF59" i="29"/>
  <c r="AF57" i="29"/>
  <c r="AF58" i="29" s="1"/>
  <c r="AF54" i="29"/>
  <c r="AF170" i="29" s="1"/>
  <c r="AF53" i="29"/>
  <c r="AF51" i="29"/>
  <c r="AF49" i="29"/>
  <c r="AF50" i="29" s="1"/>
  <c r="AF48" i="29"/>
  <c r="AF47" i="29"/>
  <c r="AF46" i="29"/>
  <c r="AF45" i="29"/>
  <c r="AF44" i="29"/>
  <c r="AF43" i="29"/>
  <c r="AF42" i="29"/>
  <c r="AL60" i="29"/>
  <c r="AI60" i="29"/>
  <c r="AH60" i="29"/>
  <c r="AG60" i="29"/>
  <c r="AE60" i="29"/>
  <c r="AF60" i="29" s="1"/>
  <c r="AD60" i="29"/>
  <c r="AC60" i="29"/>
  <c r="AB60" i="29"/>
  <c r="AA60" i="29"/>
  <c r="Y60" i="29"/>
  <c r="X60" i="29"/>
  <c r="W60" i="29"/>
  <c r="V60" i="29"/>
  <c r="T60" i="29"/>
  <c r="S60" i="29"/>
  <c r="R60" i="29"/>
  <c r="Q60" i="29"/>
  <c r="O60" i="29"/>
  <c r="N60" i="29"/>
  <c r="M60" i="29"/>
  <c r="L60" i="29"/>
  <c r="J60" i="29"/>
  <c r="I60" i="29"/>
  <c r="H60" i="29"/>
  <c r="G60" i="29"/>
  <c r="F60" i="29"/>
  <c r="E60" i="29"/>
  <c r="D60" i="29"/>
  <c r="C60" i="29"/>
  <c r="Z59" i="29"/>
  <c r="Z60" i="29" s="1"/>
  <c r="Z57" i="29"/>
  <c r="Z63" i="29" s="1"/>
  <c r="Z56" i="29"/>
  <c r="Z55" i="29"/>
  <c r="U59" i="29"/>
  <c r="U60" i="29" s="1"/>
  <c r="U58" i="29"/>
  <c r="U57" i="29"/>
  <c r="U63" i="29" s="1"/>
  <c r="U56" i="29"/>
  <c r="U55" i="29"/>
  <c r="P59" i="29"/>
  <c r="P60" i="29" s="1"/>
  <c r="P57" i="29"/>
  <c r="P56" i="29"/>
  <c r="P55" i="29"/>
  <c r="K59" i="29"/>
  <c r="K60" i="29" s="1"/>
  <c r="AL58" i="29"/>
  <c r="AI58" i="29"/>
  <c r="AH58" i="29"/>
  <c r="AG58" i="29"/>
  <c r="AD58" i="29"/>
  <c r="AC58" i="29"/>
  <c r="AB58" i="29"/>
  <c r="AA58" i="29"/>
  <c r="Y58" i="29"/>
  <c r="X58" i="29"/>
  <c r="W58" i="29"/>
  <c r="V58" i="29"/>
  <c r="T58" i="29"/>
  <c r="S58" i="29"/>
  <c r="R58" i="29"/>
  <c r="Q58" i="29"/>
  <c r="O58" i="29"/>
  <c r="N58" i="29"/>
  <c r="M58" i="29"/>
  <c r="L58" i="29"/>
  <c r="G58" i="29"/>
  <c r="F58" i="29"/>
  <c r="E58" i="29"/>
  <c r="D58" i="29"/>
  <c r="C58" i="29"/>
  <c r="K57" i="29"/>
  <c r="K63" i="29" s="1"/>
  <c r="K56" i="29"/>
  <c r="J56" i="29"/>
  <c r="I56" i="29"/>
  <c r="H56" i="29"/>
  <c r="G56" i="29"/>
  <c r="F56" i="29"/>
  <c r="D56" i="29"/>
  <c r="C56" i="29"/>
  <c r="AL56" i="29"/>
  <c r="AL55" i="29"/>
  <c r="AK55" i="29"/>
  <c r="AI56" i="29"/>
  <c r="AH56" i="29"/>
  <c r="AG56" i="29"/>
  <c r="AI55" i="29"/>
  <c r="AH55" i="29"/>
  <c r="AG55" i="29"/>
  <c r="AE56" i="29"/>
  <c r="AD56" i="29"/>
  <c r="AC56" i="29"/>
  <c r="AB56" i="29"/>
  <c r="AE55" i="29"/>
  <c r="AD55" i="29"/>
  <c r="AC55" i="29"/>
  <c r="AB55" i="29"/>
  <c r="Y56" i="29"/>
  <c r="W56" i="29"/>
  <c r="Y55" i="29"/>
  <c r="X55" i="29"/>
  <c r="W55" i="29"/>
  <c r="T56" i="29"/>
  <c r="S56" i="29"/>
  <c r="R56" i="29"/>
  <c r="T55" i="29"/>
  <c r="S55" i="29"/>
  <c r="R55" i="29"/>
  <c r="Q55" i="29"/>
  <c r="O56" i="29"/>
  <c r="N56" i="29"/>
  <c r="M56" i="29"/>
  <c r="O55" i="29"/>
  <c r="N55" i="29"/>
  <c r="M55" i="29"/>
  <c r="L55" i="29"/>
  <c r="G55" i="29"/>
  <c r="F55" i="29"/>
  <c r="E55" i="29"/>
  <c r="D55" i="29"/>
  <c r="C55" i="29"/>
  <c r="AA54" i="29"/>
  <c r="V54" i="29"/>
  <c r="AL53" i="29"/>
  <c r="AK53" i="29"/>
  <c r="AL52" i="29"/>
  <c r="AK52" i="29"/>
  <c r="AI53" i="29"/>
  <c r="AH53" i="29"/>
  <c r="AG53" i="29"/>
  <c r="AI52" i="29"/>
  <c r="AH52" i="29"/>
  <c r="AG52" i="29"/>
  <c r="AE53" i="29"/>
  <c r="AD53" i="29"/>
  <c r="AC53" i="29"/>
  <c r="AB53" i="29"/>
  <c r="AE52" i="29"/>
  <c r="AD52" i="29"/>
  <c r="AC52" i="29"/>
  <c r="AB52" i="29"/>
  <c r="Y53" i="29"/>
  <c r="X53" i="29"/>
  <c r="W53" i="29"/>
  <c r="Z52" i="29"/>
  <c r="Y52" i="29"/>
  <c r="X52" i="29"/>
  <c r="W52" i="29"/>
  <c r="U53" i="29"/>
  <c r="T53" i="29"/>
  <c r="S53" i="29"/>
  <c r="R53" i="29"/>
  <c r="Q53" i="29"/>
  <c r="O53" i="29"/>
  <c r="N53" i="29"/>
  <c r="M53" i="29"/>
  <c r="L53" i="29"/>
  <c r="K53" i="29"/>
  <c r="J53" i="29"/>
  <c r="I53" i="29"/>
  <c r="H53" i="29"/>
  <c r="G53" i="29"/>
  <c r="F53" i="29"/>
  <c r="E53" i="29"/>
  <c r="D53" i="29"/>
  <c r="C53" i="29"/>
  <c r="B53" i="29"/>
  <c r="U52" i="29"/>
  <c r="T52" i="29"/>
  <c r="S52" i="29"/>
  <c r="R52" i="29"/>
  <c r="Q52" i="29"/>
  <c r="P52" i="29"/>
  <c r="O52" i="29"/>
  <c r="N52" i="29"/>
  <c r="M52" i="29"/>
  <c r="L52" i="29"/>
  <c r="K52" i="29"/>
  <c r="J52" i="29"/>
  <c r="I52" i="29"/>
  <c r="H52" i="29"/>
  <c r="G52" i="29"/>
  <c r="F52" i="29"/>
  <c r="E52" i="29"/>
  <c r="D52" i="29"/>
  <c r="C52" i="29"/>
  <c r="B52" i="29"/>
  <c r="AL50" i="29"/>
  <c r="AK50" i="29"/>
  <c r="AI50" i="29"/>
  <c r="AH50" i="29"/>
  <c r="AG50" i="29"/>
  <c r="AE50" i="29"/>
  <c r="AD50" i="29"/>
  <c r="AC50" i="29"/>
  <c r="AB50" i="29"/>
  <c r="AA50" i="29"/>
  <c r="Y50" i="29"/>
  <c r="X50" i="29"/>
  <c r="W50" i="29"/>
  <c r="V50" i="29"/>
  <c r="T50" i="29"/>
  <c r="S50" i="29"/>
  <c r="R50" i="29"/>
  <c r="Q50" i="29"/>
  <c r="O50" i="29"/>
  <c r="N50" i="29"/>
  <c r="M50" i="29"/>
  <c r="L50" i="29"/>
  <c r="J50" i="29"/>
  <c r="I50" i="29"/>
  <c r="H50" i="29"/>
  <c r="G50" i="29"/>
  <c r="F50" i="29"/>
  <c r="E50" i="29"/>
  <c r="D50" i="29"/>
  <c r="C50" i="29"/>
  <c r="Z49" i="29"/>
  <c r="Z50" i="29" s="1"/>
  <c r="Z48" i="29"/>
  <c r="Z47" i="29"/>
  <c r="Z53" i="29" s="1"/>
  <c r="Z46" i="29"/>
  <c r="Z45" i="29"/>
  <c r="U49" i="29"/>
  <c r="U50" i="29" s="1"/>
  <c r="U47" i="29"/>
  <c r="U46" i="29"/>
  <c r="U45" i="29"/>
  <c r="P49" i="29"/>
  <c r="P50" i="29" s="1"/>
  <c r="P47" i="29"/>
  <c r="P53" i="29" s="1"/>
  <c r="P46" i="29"/>
  <c r="P45" i="29"/>
  <c r="K49" i="29"/>
  <c r="K50" i="29" s="1"/>
  <c r="AL48" i="29"/>
  <c r="AK48" i="29"/>
  <c r="AI48" i="29"/>
  <c r="AH48" i="29"/>
  <c r="AG48" i="29"/>
  <c r="AE48" i="29"/>
  <c r="AD48" i="29"/>
  <c r="AC48" i="29"/>
  <c r="AB48" i="29"/>
  <c r="AA48" i="29"/>
  <c r="Y48" i="29"/>
  <c r="X48" i="29"/>
  <c r="W48" i="29"/>
  <c r="V48" i="29"/>
  <c r="T48" i="29"/>
  <c r="S48" i="29"/>
  <c r="R48" i="29"/>
  <c r="Q48" i="29"/>
  <c r="O48" i="29"/>
  <c r="N48" i="29"/>
  <c r="M48" i="29"/>
  <c r="L48" i="29"/>
  <c r="G48" i="29"/>
  <c r="F48" i="29"/>
  <c r="E48" i="29"/>
  <c r="D48" i="29"/>
  <c r="C48" i="29"/>
  <c r="K47" i="29"/>
  <c r="K46" i="29"/>
  <c r="J46" i="29"/>
  <c r="I46" i="29"/>
  <c r="H46" i="29"/>
  <c r="G46" i="29"/>
  <c r="F46" i="29"/>
  <c r="D46" i="29"/>
  <c r="C46" i="29"/>
  <c r="AL46" i="29"/>
  <c r="AL45" i="29"/>
  <c r="AK45" i="29"/>
  <c r="AI46" i="29"/>
  <c r="AH46" i="29"/>
  <c r="AG46" i="29"/>
  <c r="AI45" i="29"/>
  <c r="AH45" i="29"/>
  <c r="AG45" i="29"/>
  <c r="AE46" i="29"/>
  <c r="AD46" i="29"/>
  <c r="AC46" i="29"/>
  <c r="AB46" i="29"/>
  <c r="AE45" i="29"/>
  <c r="AD45" i="29"/>
  <c r="AC45" i="29"/>
  <c r="AB45" i="29"/>
  <c r="AA45" i="29"/>
  <c r="Y46" i="29"/>
  <c r="W46" i="29"/>
  <c r="Y45" i="29"/>
  <c r="X45" i="29"/>
  <c r="W45" i="29"/>
  <c r="V45" i="29"/>
  <c r="T46" i="29"/>
  <c r="S46" i="29"/>
  <c r="R46" i="29"/>
  <c r="T45" i="29"/>
  <c r="S45" i="29"/>
  <c r="R45" i="29"/>
  <c r="Q45" i="29"/>
  <c r="O46" i="29"/>
  <c r="N46" i="29"/>
  <c r="M46" i="29"/>
  <c r="O45" i="29"/>
  <c r="N45" i="29"/>
  <c r="M45" i="29"/>
  <c r="L45" i="29"/>
  <c r="G45" i="29"/>
  <c r="F45" i="29"/>
  <c r="E45" i="29"/>
  <c r="D45" i="29"/>
  <c r="C45" i="29"/>
  <c r="AA44" i="29"/>
  <c r="AA52" i="29" s="1"/>
  <c r="AA42" i="29"/>
  <c r="V44" i="29"/>
  <c r="AZ43" i="29"/>
  <c r="AZ42" i="29"/>
  <c r="BN43" i="29"/>
  <c r="BM43" i="29"/>
  <c r="BL43" i="29"/>
  <c r="BK43" i="29"/>
  <c r="BI43" i="29"/>
  <c r="BH43" i="29"/>
  <c r="BG43" i="29"/>
  <c r="BF43" i="29"/>
  <c r="BM42" i="29"/>
  <c r="BL42" i="29"/>
  <c r="BK42" i="29"/>
  <c r="BH42" i="29"/>
  <c r="BG42" i="29"/>
  <c r="BF42" i="29"/>
  <c r="BD42" i="29"/>
  <c r="BC42" i="29"/>
  <c r="BB42" i="29"/>
  <c r="BA42" i="29"/>
  <c r="AT43" i="29"/>
  <c r="AS43" i="29"/>
  <c r="AR43" i="29"/>
  <c r="AQ43" i="29"/>
  <c r="AO43" i="29"/>
  <c r="AN43" i="29"/>
  <c r="AM43" i="29"/>
  <c r="AL43" i="29"/>
  <c r="AT42" i="29"/>
  <c r="AS42" i="29"/>
  <c r="AR42" i="29"/>
  <c r="AQ42" i="29"/>
  <c r="AP42" i="29"/>
  <c r="AN42" i="29"/>
  <c r="AM42" i="29"/>
  <c r="AL42" i="29"/>
  <c r="AI43" i="29"/>
  <c r="AH43" i="29"/>
  <c r="AG43" i="29"/>
  <c r="AI42" i="29"/>
  <c r="AH42" i="29"/>
  <c r="AG42" i="29"/>
  <c r="AE43" i="29"/>
  <c r="AD43" i="29"/>
  <c r="AC43" i="29"/>
  <c r="AB43" i="29"/>
  <c r="AE42" i="29"/>
  <c r="AD42" i="29"/>
  <c r="AC42" i="29"/>
  <c r="AB42" i="29"/>
  <c r="Z43" i="29"/>
  <c r="Y43" i="29"/>
  <c r="X43" i="29"/>
  <c r="W43" i="29"/>
  <c r="Z42" i="29"/>
  <c r="Y42" i="29"/>
  <c r="X42" i="29"/>
  <c r="W42" i="29"/>
  <c r="U43" i="29"/>
  <c r="T43" i="29"/>
  <c r="S43" i="29"/>
  <c r="R43" i="29"/>
  <c r="P43" i="29"/>
  <c r="O43" i="29"/>
  <c r="N43" i="29"/>
  <c r="M43" i="29"/>
  <c r="L43" i="29"/>
  <c r="K43" i="29"/>
  <c r="J43" i="29"/>
  <c r="I43" i="29"/>
  <c r="H43" i="29"/>
  <c r="G43" i="29"/>
  <c r="F43" i="29"/>
  <c r="E43" i="29"/>
  <c r="D43" i="29"/>
  <c r="C43" i="29"/>
  <c r="B43" i="29"/>
  <c r="U42" i="29"/>
  <c r="T42" i="29"/>
  <c r="S42" i="29"/>
  <c r="R42" i="29"/>
  <c r="P42" i="29"/>
  <c r="O42" i="29"/>
  <c r="N42" i="29"/>
  <c r="M42" i="29"/>
  <c r="L42" i="29"/>
  <c r="K42" i="29"/>
  <c r="J42" i="29"/>
  <c r="I42" i="29"/>
  <c r="H42" i="29"/>
  <c r="G42" i="29"/>
  <c r="F42" i="29"/>
  <c r="E42" i="29"/>
  <c r="D42" i="29"/>
  <c r="C42" i="29"/>
  <c r="B42" i="29"/>
  <c r="BO41" i="29"/>
  <c r="BO42" i="29" s="1"/>
  <c r="BN41" i="29"/>
  <c r="BN42" i="29" s="1"/>
  <c r="BJ41" i="29"/>
  <c r="BE41" i="29"/>
  <c r="BE40" i="29"/>
  <c r="AT41" i="29"/>
  <c r="AT40" i="29"/>
  <c r="AO41" i="29"/>
  <c r="AO42" i="29" s="1"/>
  <c r="AO40" i="29"/>
  <c r="BH40" i="29"/>
  <c r="BG40" i="29"/>
  <c r="BF40" i="29"/>
  <c r="AZ40" i="29"/>
  <c r="AU39" i="29"/>
  <c r="AU37" i="29"/>
  <c r="AU38" i="29" s="1"/>
  <c r="AU34" i="29"/>
  <c r="AS40" i="29"/>
  <c r="AR40" i="29"/>
  <c r="AQ40" i="29"/>
  <c r="AN40" i="29"/>
  <c r="AM40" i="29"/>
  <c r="AL40" i="29"/>
  <c r="AJ40" i="29"/>
  <c r="AI40" i="29"/>
  <c r="AH40" i="29"/>
  <c r="AG40" i="29"/>
  <c r="AF40" i="29"/>
  <c r="AE40" i="29"/>
  <c r="AD40" i="29"/>
  <c r="AC40" i="29"/>
  <c r="AB40" i="29"/>
  <c r="AA40" i="29"/>
  <c r="Z40" i="29"/>
  <c r="Y40" i="29"/>
  <c r="X40" i="29"/>
  <c r="W40" i="29"/>
  <c r="V40" i="29"/>
  <c r="U40" i="29"/>
  <c r="T40" i="29"/>
  <c r="S40" i="29"/>
  <c r="R40" i="29"/>
  <c r="Q40" i="29"/>
  <c r="P40" i="29"/>
  <c r="O40" i="29"/>
  <c r="N40" i="29"/>
  <c r="M40" i="29"/>
  <c r="L40" i="29"/>
  <c r="K40" i="29"/>
  <c r="J40" i="29"/>
  <c r="I40" i="29"/>
  <c r="H40" i="29"/>
  <c r="G40" i="29"/>
  <c r="F40" i="29"/>
  <c r="E40" i="29"/>
  <c r="D40" i="29"/>
  <c r="C40" i="29"/>
  <c r="AP39" i="29"/>
  <c r="AP40" i="29" s="1"/>
  <c r="AP38" i="29"/>
  <c r="AP37" i="29"/>
  <c r="AP35" i="29"/>
  <c r="AP34" i="29"/>
  <c r="AK39" i="29"/>
  <c r="AK40" i="29" s="1"/>
  <c r="AK38" i="29"/>
  <c r="AK37" i="29"/>
  <c r="AK43" i="29" s="1"/>
  <c r="AK35" i="29"/>
  <c r="AK34" i="29"/>
  <c r="BO38" i="29"/>
  <c r="BN38" i="29"/>
  <c r="BM38" i="29"/>
  <c r="BL38" i="29"/>
  <c r="BK38" i="29"/>
  <c r="BE38" i="29"/>
  <c r="AT38" i="29"/>
  <c r="AS38" i="29"/>
  <c r="AR38" i="29"/>
  <c r="AQ38" i="29"/>
  <c r="AO38" i="29"/>
  <c r="AN38" i="29"/>
  <c r="AM38" i="29"/>
  <c r="AL38" i="29"/>
  <c r="AJ38" i="29"/>
  <c r="AI38" i="29"/>
  <c r="AH38" i="29"/>
  <c r="AG38" i="29"/>
  <c r="AF38" i="29"/>
  <c r="AE38" i="29"/>
  <c r="AD38" i="29"/>
  <c r="AC38" i="29"/>
  <c r="AB38" i="29"/>
  <c r="AA38" i="29"/>
  <c r="Z38" i="29"/>
  <c r="Y38" i="29"/>
  <c r="X38" i="29"/>
  <c r="W38" i="29"/>
  <c r="V38" i="29"/>
  <c r="U38" i="29"/>
  <c r="T38" i="29"/>
  <c r="S38" i="29"/>
  <c r="R38" i="29"/>
  <c r="Q38" i="29"/>
  <c r="P38" i="29"/>
  <c r="O38" i="29"/>
  <c r="N38" i="29"/>
  <c r="M38" i="29"/>
  <c r="L38" i="29"/>
  <c r="G38" i="29"/>
  <c r="F38" i="29"/>
  <c r="E38" i="29"/>
  <c r="D38" i="29"/>
  <c r="C38" i="29"/>
  <c r="BO37" i="29"/>
  <c r="BO43" i="29" s="1"/>
  <c r="BO34" i="29"/>
  <c r="BJ37" i="29"/>
  <c r="BJ43" i="29" s="1"/>
  <c r="BJ34" i="29"/>
  <c r="BJ31" i="29"/>
  <c r="AJ36" i="29"/>
  <c r="AI36" i="29"/>
  <c r="AH36" i="29"/>
  <c r="AG36" i="29"/>
  <c r="AF36" i="29"/>
  <c r="AE36" i="29"/>
  <c r="AD36" i="29"/>
  <c r="AC36" i="29"/>
  <c r="AB36" i="29"/>
  <c r="Z36" i="29"/>
  <c r="Y36" i="29"/>
  <c r="W36" i="29"/>
  <c r="U36" i="29"/>
  <c r="T36" i="29"/>
  <c r="S36" i="29"/>
  <c r="R36" i="29"/>
  <c r="P36" i="29"/>
  <c r="O36" i="29"/>
  <c r="N36" i="29"/>
  <c r="M36" i="29"/>
  <c r="K36" i="29"/>
  <c r="J36" i="29"/>
  <c r="I36" i="29"/>
  <c r="H36" i="29"/>
  <c r="G36" i="29"/>
  <c r="F36" i="29"/>
  <c r="D36" i="29"/>
  <c r="C36" i="29"/>
  <c r="BN36" i="29"/>
  <c r="BM36" i="29"/>
  <c r="BL36" i="29"/>
  <c r="BK36" i="29"/>
  <c r="BN35" i="29"/>
  <c r="BM35" i="29"/>
  <c r="BL35" i="29"/>
  <c r="BK35" i="29"/>
  <c r="BH36" i="29"/>
  <c r="BG36" i="29"/>
  <c r="BF36" i="29"/>
  <c r="BD36" i="29"/>
  <c r="BC36" i="29"/>
  <c r="BB36" i="29"/>
  <c r="BA36" i="29"/>
  <c r="AZ36" i="29"/>
  <c r="BI35" i="29"/>
  <c r="BH35" i="29"/>
  <c r="BG35" i="29"/>
  <c r="BF35" i="29"/>
  <c r="BD35" i="29"/>
  <c r="BC35" i="29"/>
  <c r="BB35" i="29"/>
  <c r="BA35" i="29"/>
  <c r="AZ35" i="29"/>
  <c r="AT36" i="29"/>
  <c r="AS36" i="29"/>
  <c r="AR36" i="29"/>
  <c r="AQ36" i="29"/>
  <c r="AT35" i="29"/>
  <c r="AS35" i="29"/>
  <c r="AR35" i="29"/>
  <c r="AQ35" i="29"/>
  <c r="AO36" i="29"/>
  <c r="AN36" i="29"/>
  <c r="AM36" i="29"/>
  <c r="AL36" i="29"/>
  <c r="AO35" i="29"/>
  <c r="AN35" i="29"/>
  <c r="AM35" i="29"/>
  <c r="AL35" i="29"/>
  <c r="AJ35" i="29"/>
  <c r="AI35" i="29"/>
  <c r="AH35" i="29"/>
  <c r="AG35" i="29"/>
  <c r="AE35" i="29"/>
  <c r="AD35" i="29"/>
  <c r="AC35" i="29"/>
  <c r="AB35" i="29"/>
  <c r="Z35" i="29"/>
  <c r="Y35" i="29"/>
  <c r="X35" i="29"/>
  <c r="W35" i="29"/>
  <c r="U35" i="29"/>
  <c r="T35" i="29"/>
  <c r="S35" i="29"/>
  <c r="R35" i="29"/>
  <c r="P35" i="29"/>
  <c r="O35" i="29"/>
  <c r="N35" i="29"/>
  <c r="M35" i="29"/>
  <c r="L35" i="29"/>
  <c r="G35" i="29"/>
  <c r="F35" i="29"/>
  <c r="E35" i="29"/>
  <c r="D35" i="29"/>
  <c r="C35" i="29"/>
  <c r="BT34" i="29"/>
  <c r="BS34" i="29"/>
  <c r="BR34" i="29"/>
  <c r="BQ34" i="29"/>
  <c r="BP34" i="29"/>
  <c r="BP145" i="29" s="1"/>
  <c r="BI34" i="29"/>
  <c r="BI150" i="29" s="1"/>
  <c r="BE34" i="29"/>
  <c r="BE150" i="29" s="1"/>
  <c r="BE151" i="29" s="1"/>
  <c r="BE31" i="29"/>
  <c r="BE32" i="29" s="1"/>
  <c r="BE30" i="29"/>
  <c r="AA34" i="29"/>
  <c r="AA43" i="29" s="1"/>
  <c r="V34" i="29"/>
  <c r="Q34" i="29"/>
  <c r="AZ33" i="29"/>
  <c r="AZ32" i="29"/>
  <c r="BN33" i="29"/>
  <c r="BM33" i="29"/>
  <c r="BL33" i="29"/>
  <c r="BK33" i="29"/>
  <c r="BM32" i="29"/>
  <c r="BL32" i="29"/>
  <c r="BK32" i="29"/>
  <c r="BH33" i="29"/>
  <c r="BG33" i="29"/>
  <c r="BF33" i="29"/>
  <c r="BH32" i="29"/>
  <c r="BG32" i="29"/>
  <c r="BF32" i="29"/>
  <c r="BD32" i="29"/>
  <c r="BC32" i="29"/>
  <c r="BB32" i="29"/>
  <c r="BA32" i="29"/>
  <c r="AT33" i="29"/>
  <c r="AS33" i="29"/>
  <c r="AR33" i="29"/>
  <c r="AQ33" i="29"/>
  <c r="AS32" i="29"/>
  <c r="AR32" i="29"/>
  <c r="AQ32" i="29"/>
  <c r="AO33" i="29"/>
  <c r="AN33" i="29"/>
  <c r="AM33" i="29"/>
  <c r="AL33" i="29"/>
  <c r="AO32" i="29"/>
  <c r="AN32" i="29"/>
  <c r="AM32" i="29"/>
  <c r="AL32" i="29"/>
  <c r="AJ33" i="29"/>
  <c r="AI33" i="29"/>
  <c r="AH33" i="29"/>
  <c r="AG33" i="29"/>
  <c r="AF33" i="29"/>
  <c r="AE33" i="29"/>
  <c r="AD33" i="29"/>
  <c r="AC33" i="29"/>
  <c r="AB33" i="29"/>
  <c r="AJ32" i="29"/>
  <c r="AI32" i="29"/>
  <c r="AH32" i="29"/>
  <c r="AG32" i="29"/>
  <c r="AF32" i="29"/>
  <c r="AE32" i="29"/>
  <c r="AD32" i="29"/>
  <c r="AC32" i="29"/>
  <c r="AB32" i="29"/>
  <c r="Z33" i="29"/>
  <c r="Y33" i="29"/>
  <c r="X33" i="29"/>
  <c r="W33" i="29"/>
  <c r="Z32" i="29"/>
  <c r="Y32" i="29"/>
  <c r="X32" i="29"/>
  <c r="W32" i="29"/>
  <c r="U33" i="29"/>
  <c r="T33" i="29"/>
  <c r="S33" i="29"/>
  <c r="R33" i="29"/>
  <c r="U32" i="29"/>
  <c r="T32" i="29"/>
  <c r="S32" i="29"/>
  <c r="R32" i="29"/>
  <c r="P33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P32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BN31" i="29"/>
  <c r="BO31" i="29" s="1"/>
  <c r="BO32" i="29" s="1"/>
  <c r="AT31" i="29"/>
  <c r="AT32" i="29" s="1"/>
  <c r="AT30" i="29"/>
  <c r="AO31" i="29"/>
  <c r="AO30" i="29"/>
  <c r="BH30" i="29"/>
  <c r="BG30" i="29"/>
  <c r="BF30" i="29"/>
  <c r="AZ30" i="29"/>
  <c r="AU30" i="29"/>
  <c r="AU29" i="29"/>
  <c r="AU27" i="29"/>
  <c r="AU28" i="29" s="1"/>
  <c r="AU24" i="29"/>
  <c r="AU32" i="29" s="1"/>
  <c r="AS30" i="29"/>
  <c r="AR30" i="29"/>
  <c r="AQ30" i="29"/>
  <c r="AP30" i="29"/>
  <c r="AN30" i="29"/>
  <c r="AM30" i="29"/>
  <c r="AL30" i="29"/>
  <c r="AK30" i="29"/>
  <c r="AJ30" i="29"/>
  <c r="AI30" i="29"/>
  <c r="AH30" i="29"/>
  <c r="AG30" i="29"/>
  <c r="AF30" i="29"/>
  <c r="AE30" i="29"/>
  <c r="AD30" i="29"/>
  <c r="AC30" i="29"/>
  <c r="AB30" i="29"/>
  <c r="AA30" i="29"/>
  <c r="Z30" i="29"/>
  <c r="Y30" i="29"/>
  <c r="X30" i="29"/>
  <c r="W30" i="29"/>
  <c r="V30" i="29"/>
  <c r="U30" i="29"/>
  <c r="T30" i="29"/>
  <c r="S30" i="29"/>
  <c r="R30" i="29"/>
  <c r="Q30" i="29"/>
  <c r="P30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AP29" i="29"/>
  <c r="AP28" i="29"/>
  <c r="AP27" i="29"/>
  <c r="AP33" i="29" s="1"/>
  <c r="AP24" i="29"/>
  <c r="AP137" i="29" s="1"/>
  <c r="AK29" i="29"/>
  <c r="AK28" i="29"/>
  <c r="AK27" i="29"/>
  <c r="AK33" i="29" s="1"/>
  <c r="AK24" i="29"/>
  <c r="AK137" i="29" s="1"/>
  <c r="BN28" i="29"/>
  <c r="BM28" i="29"/>
  <c r="BL28" i="29"/>
  <c r="BK28" i="29"/>
  <c r="BE28" i="29"/>
  <c r="AT28" i="29"/>
  <c r="AS28" i="29"/>
  <c r="AR28" i="29"/>
  <c r="AQ28" i="29"/>
  <c r="AO28" i="29"/>
  <c r="AN28" i="29"/>
  <c r="AM28" i="29"/>
  <c r="AL28" i="29"/>
  <c r="AJ28" i="29"/>
  <c r="AI28" i="29"/>
  <c r="AH28" i="29"/>
  <c r="AG28" i="29"/>
  <c r="AF28" i="29"/>
  <c r="AE28" i="29"/>
  <c r="AD28" i="29"/>
  <c r="AC28" i="29"/>
  <c r="AB28" i="29"/>
  <c r="AA28" i="29"/>
  <c r="Z28" i="29"/>
  <c r="Y28" i="29"/>
  <c r="X28" i="29"/>
  <c r="W28" i="29"/>
  <c r="V28" i="29"/>
  <c r="U28" i="29"/>
  <c r="T28" i="29"/>
  <c r="S28" i="29"/>
  <c r="R28" i="29"/>
  <c r="Q28" i="29"/>
  <c r="P28" i="29"/>
  <c r="O28" i="29"/>
  <c r="N28" i="29"/>
  <c r="M28" i="29"/>
  <c r="L28" i="29"/>
  <c r="G28" i="29"/>
  <c r="F28" i="29"/>
  <c r="E28" i="29"/>
  <c r="D28" i="29"/>
  <c r="C28" i="29"/>
  <c r="BO27" i="29"/>
  <c r="BO33" i="29" s="1"/>
  <c r="BO24" i="29"/>
  <c r="BO21" i="29"/>
  <c r="BO22" i="29" s="1"/>
  <c r="BJ27" i="29"/>
  <c r="BJ28" i="29" s="1"/>
  <c r="BJ21" i="29"/>
  <c r="AJ26" i="29"/>
  <c r="AI26" i="29"/>
  <c r="AH26" i="29"/>
  <c r="AG26" i="29"/>
  <c r="AF26" i="29"/>
  <c r="AE26" i="29"/>
  <c r="AD26" i="29"/>
  <c r="AC26" i="29"/>
  <c r="AB26" i="29"/>
  <c r="Z26" i="29"/>
  <c r="Y26" i="29"/>
  <c r="W26" i="29"/>
  <c r="U26" i="29"/>
  <c r="T26" i="29"/>
  <c r="S26" i="29"/>
  <c r="R26" i="29"/>
  <c r="P26" i="29"/>
  <c r="O26" i="29"/>
  <c r="N26" i="29"/>
  <c r="M26" i="29"/>
  <c r="K26" i="29"/>
  <c r="J26" i="29"/>
  <c r="I26" i="29"/>
  <c r="H26" i="29"/>
  <c r="G26" i="29"/>
  <c r="F26" i="29"/>
  <c r="D26" i="29"/>
  <c r="C26" i="29"/>
  <c r="BN26" i="29"/>
  <c r="BM26" i="29"/>
  <c r="BL26" i="29"/>
  <c r="BK26" i="29"/>
  <c r="BN25" i="29"/>
  <c r="BM25" i="29"/>
  <c r="BL25" i="29"/>
  <c r="BK25" i="29"/>
  <c r="BH26" i="29"/>
  <c r="BG26" i="29"/>
  <c r="BF26" i="29"/>
  <c r="BD26" i="29"/>
  <c r="BC26" i="29"/>
  <c r="BB26" i="29"/>
  <c r="BA26" i="29"/>
  <c r="AZ26" i="29"/>
  <c r="BH25" i="29"/>
  <c r="BG25" i="29"/>
  <c r="BF25" i="29"/>
  <c r="BD25" i="29"/>
  <c r="BC25" i="29"/>
  <c r="BB25" i="29"/>
  <c r="BA25" i="29"/>
  <c r="AZ25" i="29"/>
  <c r="AT26" i="29"/>
  <c r="AS26" i="29"/>
  <c r="AR26" i="29"/>
  <c r="AQ26" i="29"/>
  <c r="AT25" i="29"/>
  <c r="AS25" i="29"/>
  <c r="AR25" i="29"/>
  <c r="AQ25" i="29"/>
  <c r="AO26" i="29"/>
  <c r="AN26" i="29"/>
  <c r="AM26" i="29"/>
  <c r="AL26" i="29"/>
  <c r="AO25" i="29"/>
  <c r="AN25" i="29"/>
  <c r="AM25" i="29"/>
  <c r="AL25" i="29"/>
  <c r="AJ25" i="29"/>
  <c r="AI25" i="29"/>
  <c r="AH25" i="29"/>
  <c r="AG25" i="29"/>
  <c r="AE25" i="29"/>
  <c r="AD25" i="29"/>
  <c r="AC25" i="29"/>
  <c r="AB25" i="29"/>
  <c r="Z25" i="29"/>
  <c r="Y25" i="29"/>
  <c r="X25" i="29"/>
  <c r="W25" i="29"/>
  <c r="U25" i="29"/>
  <c r="T25" i="29"/>
  <c r="S25" i="29"/>
  <c r="R25" i="29"/>
  <c r="P25" i="29"/>
  <c r="O25" i="29"/>
  <c r="N25" i="29"/>
  <c r="M25" i="29"/>
  <c r="L25" i="29"/>
  <c r="G25" i="29"/>
  <c r="F25" i="29"/>
  <c r="E25" i="29"/>
  <c r="D25" i="29"/>
  <c r="C25" i="29"/>
  <c r="BT24" i="29"/>
  <c r="BS24" i="29"/>
  <c r="BR24" i="29"/>
  <c r="BQ24" i="29"/>
  <c r="BP24" i="29"/>
  <c r="BI24" i="29"/>
  <c r="BE24" i="29"/>
  <c r="BE21" i="29"/>
  <c r="BE22" i="29" s="1"/>
  <c r="BE20" i="29"/>
  <c r="AA24" i="29"/>
  <c r="V24" i="29"/>
  <c r="Q24" i="29"/>
  <c r="Q33" i="29" s="1"/>
  <c r="AZ23" i="29"/>
  <c r="AZ22" i="29"/>
  <c r="BN23" i="29"/>
  <c r="BM23" i="29"/>
  <c r="BL23" i="29"/>
  <c r="BK23" i="29"/>
  <c r="BN22" i="29"/>
  <c r="BM22" i="29"/>
  <c r="BL22" i="29"/>
  <c r="BK22" i="29"/>
  <c r="BH23" i="29"/>
  <c r="BG23" i="29"/>
  <c r="BF23" i="29"/>
  <c r="BH22" i="29"/>
  <c r="BG22" i="29"/>
  <c r="BF22" i="29"/>
  <c r="BD22" i="29"/>
  <c r="BC22" i="29"/>
  <c r="BB22" i="29"/>
  <c r="BA22" i="29"/>
  <c r="AT23" i="29"/>
  <c r="AS23" i="29"/>
  <c r="AR23" i="29"/>
  <c r="AQ23" i="29"/>
  <c r="AS22" i="29"/>
  <c r="AR22" i="29"/>
  <c r="AQ22" i="29"/>
  <c r="AO23" i="29"/>
  <c r="AN23" i="29"/>
  <c r="AM23" i="29"/>
  <c r="AL23" i="29"/>
  <c r="AN22" i="29"/>
  <c r="AM22" i="29"/>
  <c r="AL22" i="29"/>
  <c r="AJ23" i="29"/>
  <c r="AI23" i="29"/>
  <c r="AH23" i="29"/>
  <c r="AG23" i="29"/>
  <c r="AF23" i="29"/>
  <c r="AE23" i="29"/>
  <c r="AD23" i="29"/>
  <c r="AC23" i="29"/>
  <c r="AB23" i="29"/>
  <c r="AJ22" i="29"/>
  <c r="AI22" i="29"/>
  <c r="AH22" i="29"/>
  <c r="AG22" i="29"/>
  <c r="AF22" i="29"/>
  <c r="AE22" i="29"/>
  <c r="AD22" i="29"/>
  <c r="AC22" i="29"/>
  <c r="AB22" i="29"/>
  <c r="Z23" i="29"/>
  <c r="Y23" i="29"/>
  <c r="W23" i="29"/>
  <c r="Z22" i="29"/>
  <c r="Y22" i="29"/>
  <c r="W22" i="29"/>
  <c r="U23" i="29"/>
  <c r="T23" i="29"/>
  <c r="S23" i="29"/>
  <c r="R23" i="29"/>
  <c r="U22" i="29"/>
  <c r="T22" i="29"/>
  <c r="S22" i="29"/>
  <c r="R22" i="29"/>
  <c r="P23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P22" i="29"/>
  <c r="O22" i="29"/>
  <c r="N22" i="29"/>
  <c r="M22" i="29"/>
  <c r="K22" i="29"/>
  <c r="J22" i="29"/>
  <c r="I22" i="29"/>
  <c r="H22" i="29"/>
  <c r="G22" i="29"/>
  <c r="F22" i="29"/>
  <c r="E22" i="29"/>
  <c r="D22" i="29"/>
  <c r="C22" i="29"/>
  <c r="B22" i="29"/>
  <c r="BN21" i="29"/>
  <c r="AT21" i="29"/>
  <c r="AT22" i="29" s="1"/>
  <c r="AT20" i="29"/>
  <c r="AO21" i="29"/>
  <c r="AO22" i="29" s="1"/>
  <c r="AO20" i="29"/>
  <c r="BH20" i="29"/>
  <c r="BG20" i="29"/>
  <c r="BF20" i="29"/>
  <c r="AZ20" i="29"/>
  <c r="AU19" i="29"/>
  <c r="AU20" i="29" s="1"/>
  <c r="AU17" i="29"/>
  <c r="AU23" i="29" s="1"/>
  <c r="AU15" i="29"/>
  <c r="AU14" i="29"/>
  <c r="AS20" i="29"/>
  <c r="AR20" i="29"/>
  <c r="AQ20" i="29"/>
  <c r="AN20" i="29"/>
  <c r="AM20" i="29"/>
  <c r="AL20" i="29"/>
  <c r="AJ20" i="29"/>
  <c r="AI20" i="29"/>
  <c r="AH20" i="29"/>
  <c r="AG20" i="29"/>
  <c r="AF20" i="29"/>
  <c r="AE20" i="29"/>
  <c r="AD20" i="29"/>
  <c r="AC20" i="29"/>
  <c r="AB20" i="29"/>
  <c r="AA20" i="29"/>
  <c r="Z20" i="29"/>
  <c r="Y20" i="29"/>
  <c r="X20" i="29"/>
  <c r="W20" i="29"/>
  <c r="V20" i="29"/>
  <c r="U20" i="29"/>
  <c r="T20" i="29"/>
  <c r="S20" i="29"/>
  <c r="R20" i="29"/>
  <c r="Q20" i="29"/>
  <c r="P20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AP19" i="29"/>
  <c r="AP17" i="29"/>
  <c r="AP20" i="29" s="1"/>
  <c r="AP14" i="29"/>
  <c r="AK19" i="29"/>
  <c r="AK17" i="29"/>
  <c r="AK20" i="29" s="1"/>
  <c r="AK14" i="29"/>
  <c r="K19" i="29"/>
  <c r="BN18" i="29"/>
  <c r="BM18" i="29"/>
  <c r="BL18" i="29"/>
  <c r="BK18" i="29"/>
  <c r="BE18" i="29"/>
  <c r="AZ18" i="29"/>
  <c r="AT18" i="29"/>
  <c r="AS18" i="29"/>
  <c r="AR18" i="29"/>
  <c r="AQ18" i="29"/>
  <c r="AO18" i="29"/>
  <c r="AN18" i="29"/>
  <c r="AM18" i="29"/>
  <c r="AL18" i="29"/>
  <c r="AJ18" i="29"/>
  <c r="AI18" i="29"/>
  <c r="AH18" i="29"/>
  <c r="AG18" i="29"/>
  <c r="AF18" i="29"/>
  <c r="AE18" i="29"/>
  <c r="AD18" i="29"/>
  <c r="AC18" i="29"/>
  <c r="AB18" i="29"/>
  <c r="AA18" i="29"/>
  <c r="Z18" i="29"/>
  <c r="Y18" i="29"/>
  <c r="X18" i="29"/>
  <c r="W18" i="29"/>
  <c r="V18" i="29"/>
  <c r="U18" i="29"/>
  <c r="T18" i="29"/>
  <c r="S18" i="29"/>
  <c r="R18" i="29"/>
  <c r="Q18" i="29"/>
  <c r="P18" i="29"/>
  <c r="O18" i="29"/>
  <c r="N18" i="29"/>
  <c r="M18" i="29"/>
  <c r="L18" i="29"/>
  <c r="G18" i="29"/>
  <c r="F18" i="29"/>
  <c r="E18" i="29"/>
  <c r="D18" i="29"/>
  <c r="C18" i="29"/>
  <c r="BO17" i="29"/>
  <c r="BO18" i="29" s="1"/>
  <c r="BO14" i="29"/>
  <c r="BJ17" i="29"/>
  <c r="AJ16" i="29"/>
  <c r="AI16" i="29"/>
  <c r="AH16" i="29"/>
  <c r="AG16" i="29"/>
  <c r="AF16" i="29"/>
  <c r="AE16" i="29"/>
  <c r="AD16" i="29"/>
  <c r="AC16" i="29"/>
  <c r="AB16" i="29"/>
  <c r="Z16" i="29"/>
  <c r="Y16" i="29"/>
  <c r="W16" i="29"/>
  <c r="U16" i="29"/>
  <c r="T16" i="29"/>
  <c r="S16" i="29"/>
  <c r="R16" i="29"/>
  <c r="P16" i="29"/>
  <c r="O16" i="29"/>
  <c r="N16" i="29"/>
  <c r="M16" i="29"/>
  <c r="K16" i="29"/>
  <c r="J16" i="29"/>
  <c r="I16" i="29"/>
  <c r="H16" i="29"/>
  <c r="G16" i="29"/>
  <c r="F16" i="29"/>
  <c r="D16" i="29"/>
  <c r="C16" i="29"/>
  <c r="BN16" i="29"/>
  <c r="BM16" i="29"/>
  <c r="BL16" i="29"/>
  <c r="BK16" i="29"/>
  <c r="BN15" i="29"/>
  <c r="BM15" i="29"/>
  <c r="BL15" i="29"/>
  <c r="BK15" i="29"/>
  <c r="BH16" i="29"/>
  <c r="BG16" i="29"/>
  <c r="BF16" i="29"/>
  <c r="BD16" i="29"/>
  <c r="BC16" i="29"/>
  <c r="BB16" i="29"/>
  <c r="BA16" i="29"/>
  <c r="AZ16" i="29"/>
  <c r="BH15" i="29"/>
  <c r="BG15" i="29"/>
  <c r="BF15" i="29"/>
  <c r="BD15" i="29"/>
  <c r="BC15" i="29"/>
  <c r="BB15" i="29"/>
  <c r="BA15" i="29"/>
  <c r="AZ15" i="29"/>
  <c r="AT16" i="29"/>
  <c r="AS16" i="29"/>
  <c r="AR16" i="29"/>
  <c r="AQ16" i="29"/>
  <c r="AT15" i="29"/>
  <c r="AS15" i="29"/>
  <c r="AR15" i="29"/>
  <c r="AQ15" i="29"/>
  <c r="AO16" i="29"/>
  <c r="AN16" i="29"/>
  <c r="AM16" i="29"/>
  <c r="AL16" i="29"/>
  <c r="AO15" i="29"/>
  <c r="AN15" i="29"/>
  <c r="AM15" i="29"/>
  <c r="AL15" i="29"/>
  <c r="AJ15" i="29"/>
  <c r="AI15" i="29"/>
  <c r="AH15" i="29"/>
  <c r="AG15" i="29"/>
  <c r="AE15" i="29"/>
  <c r="AD15" i="29"/>
  <c r="AB15" i="29"/>
  <c r="Z15" i="29"/>
  <c r="Y15" i="29"/>
  <c r="W15" i="29"/>
  <c r="U15" i="29"/>
  <c r="T15" i="29"/>
  <c r="S15" i="29"/>
  <c r="R15" i="29"/>
  <c r="P15" i="29"/>
  <c r="O15" i="29"/>
  <c r="N15" i="29"/>
  <c r="M15" i="29"/>
  <c r="L15" i="29"/>
  <c r="G15" i="29"/>
  <c r="F15" i="29"/>
  <c r="E15" i="29"/>
  <c r="D15" i="29"/>
  <c r="C15" i="29"/>
  <c r="BT14" i="29"/>
  <c r="BS14" i="29"/>
  <c r="BR14" i="29"/>
  <c r="BQ14" i="29"/>
  <c r="BP14" i="29"/>
  <c r="BP119" i="29" s="1"/>
  <c r="BI14" i="29"/>
  <c r="BI124" i="29" s="1"/>
  <c r="BI11" i="29"/>
  <c r="BE14" i="29"/>
  <c r="BE11" i="29"/>
  <c r="BE12" i="29" s="1"/>
  <c r="BE10" i="29"/>
  <c r="X14" i="29"/>
  <c r="X124" i="29" s="1"/>
  <c r="X13" i="29"/>
  <c r="X12" i="29"/>
  <c r="V14" i="29"/>
  <c r="V124" i="29" s="1"/>
  <c r="V125" i="29" s="1"/>
  <c r="Q14" i="29"/>
  <c r="Q124" i="29" s="1"/>
  <c r="Q125" i="29" s="1"/>
  <c r="Q13" i="29"/>
  <c r="Q12" i="29"/>
  <c r="L14" i="29"/>
  <c r="L124" i="29" s="1"/>
  <c r="L125" i="29" s="1"/>
  <c r="AZ13" i="29"/>
  <c r="AZ12" i="29"/>
  <c r="W13" i="29"/>
  <c r="W12" i="29"/>
  <c r="BN13" i="29"/>
  <c r="BM13" i="29"/>
  <c r="BL13" i="29"/>
  <c r="BK13" i="29"/>
  <c r="BM12" i="29"/>
  <c r="BL12" i="29"/>
  <c r="BK12" i="29"/>
  <c r="BH13" i="29"/>
  <c r="BG13" i="29"/>
  <c r="BF13" i="29"/>
  <c r="BH12" i="29"/>
  <c r="BG12" i="29"/>
  <c r="BF12" i="29"/>
  <c r="BD12" i="29"/>
  <c r="BC12" i="29"/>
  <c r="BB12" i="29"/>
  <c r="BA12" i="29"/>
  <c r="AT13" i="29"/>
  <c r="AS13" i="29"/>
  <c r="AR13" i="29"/>
  <c r="AQ13" i="29"/>
  <c r="AT12" i="29"/>
  <c r="AS12" i="29"/>
  <c r="AR12" i="29"/>
  <c r="AQ12" i="29"/>
  <c r="AO13" i="29"/>
  <c r="AN13" i="29"/>
  <c r="AM13" i="29"/>
  <c r="AL13" i="29"/>
  <c r="AN12" i="29"/>
  <c r="AM12" i="29"/>
  <c r="AL12" i="29"/>
  <c r="AJ13" i="29"/>
  <c r="AI13" i="29"/>
  <c r="AH13" i="29"/>
  <c r="AG13" i="29"/>
  <c r="AF13" i="29"/>
  <c r="AE13" i="29"/>
  <c r="AD13" i="29"/>
  <c r="AC13" i="29"/>
  <c r="AB13" i="29"/>
  <c r="AJ12" i="29"/>
  <c r="AI12" i="29"/>
  <c r="AH12" i="29"/>
  <c r="AG12" i="29"/>
  <c r="AF12" i="29"/>
  <c r="AE12" i="29"/>
  <c r="AD12" i="29"/>
  <c r="AC12" i="29"/>
  <c r="AB12" i="29"/>
  <c r="Z13" i="29"/>
  <c r="Y13" i="29"/>
  <c r="Z12" i="29"/>
  <c r="Y12" i="29"/>
  <c r="U13" i="29"/>
  <c r="T13" i="29"/>
  <c r="S13" i="29"/>
  <c r="R13" i="29"/>
  <c r="U12" i="29"/>
  <c r="T12" i="29"/>
  <c r="S12" i="29"/>
  <c r="R12" i="29"/>
  <c r="P13" i="29"/>
  <c r="O13" i="29"/>
  <c r="N13" i="29"/>
  <c r="M13" i="29"/>
  <c r="P12" i="29"/>
  <c r="O12" i="29"/>
  <c r="N12" i="29"/>
  <c r="M12" i="29"/>
  <c r="K13" i="29"/>
  <c r="J13" i="29"/>
  <c r="I13" i="29"/>
  <c r="H13" i="29"/>
  <c r="G13" i="29"/>
  <c r="F13" i="29"/>
  <c r="E13" i="29"/>
  <c r="D13" i="29"/>
  <c r="C13" i="29"/>
  <c r="B13" i="29"/>
  <c r="K12" i="29"/>
  <c r="J12" i="29"/>
  <c r="I12" i="29"/>
  <c r="H12" i="29"/>
  <c r="G12" i="29"/>
  <c r="F12" i="29"/>
  <c r="E12" i="29"/>
  <c r="D12" i="29"/>
  <c r="C12" i="29"/>
  <c r="B12" i="29"/>
  <c r="BN11" i="29"/>
  <c r="BO11" i="29" s="1"/>
  <c r="BO12" i="29" s="1"/>
  <c r="AT11" i="29"/>
  <c r="AT10" i="29"/>
  <c r="AO11" i="29"/>
  <c r="AO121" i="29" s="1"/>
  <c r="AO10" i="29"/>
  <c r="BH10" i="29"/>
  <c r="BG10" i="29"/>
  <c r="BF10" i="29"/>
  <c r="AZ10" i="29"/>
  <c r="AU9" i="29"/>
  <c r="AU90" i="29" s="1"/>
  <c r="AU8" i="29"/>
  <c r="AU7" i="29"/>
  <c r="AU13" i="29" s="1"/>
  <c r="AU4" i="29"/>
  <c r="AU76" i="29" s="1"/>
  <c r="AS10" i="29"/>
  <c r="AR10" i="29"/>
  <c r="AQ10" i="29"/>
  <c r="AP10" i="29"/>
  <c r="AN10" i="29"/>
  <c r="AM10" i="29"/>
  <c r="AL10" i="29"/>
  <c r="AK10" i="29"/>
  <c r="AJ10" i="29"/>
  <c r="AI10" i="29"/>
  <c r="AH10" i="29"/>
  <c r="AG10" i="29"/>
  <c r="AF10" i="29"/>
  <c r="AE10" i="29"/>
  <c r="AD10" i="29"/>
  <c r="AC10" i="29"/>
  <c r="AB10" i="29"/>
  <c r="AA10" i="29"/>
  <c r="Z10" i="29"/>
  <c r="Y10" i="29"/>
  <c r="X10" i="29"/>
  <c r="W10" i="29"/>
  <c r="V10" i="29"/>
  <c r="U10" i="29"/>
  <c r="T10" i="29"/>
  <c r="S10" i="29"/>
  <c r="R10" i="29"/>
  <c r="Q10" i="29"/>
  <c r="P10" i="29"/>
  <c r="O10" i="29"/>
  <c r="N10" i="29"/>
  <c r="M10" i="29"/>
  <c r="L10" i="29"/>
  <c r="K10" i="29"/>
  <c r="J10" i="29"/>
  <c r="I10" i="29"/>
  <c r="H10" i="29"/>
  <c r="G10" i="29"/>
  <c r="F10" i="29"/>
  <c r="E10" i="29"/>
  <c r="D10" i="29"/>
  <c r="C10" i="29"/>
  <c r="AP9" i="29"/>
  <c r="AP90" i="29" s="1"/>
  <c r="AP8" i="29"/>
  <c r="AP7" i="29"/>
  <c r="AP13" i="29" s="1"/>
  <c r="AP4" i="29"/>
  <c r="AP77" i="29" s="1"/>
  <c r="AK9" i="29"/>
  <c r="AK90" i="29" s="1"/>
  <c r="AK7" i="29"/>
  <c r="AK8" i="29" s="1"/>
  <c r="AK5" i="29"/>
  <c r="AK4" i="29"/>
  <c r="AK12" i="29" s="1"/>
  <c r="BN8" i="29"/>
  <c r="BM8" i="29"/>
  <c r="BL8" i="29"/>
  <c r="BK8" i="29"/>
  <c r="BE8" i="29"/>
  <c r="AT8" i="29"/>
  <c r="AS8" i="29"/>
  <c r="AR8" i="29"/>
  <c r="AQ8" i="29"/>
  <c r="AO8" i="29"/>
  <c r="AN8" i="29"/>
  <c r="AM8" i="29"/>
  <c r="AL8" i="29"/>
  <c r="AJ8" i="29"/>
  <c r="AI8" i="29"/>
  <c r="AH8" i="29"/>
  <c r="AG8" i="29"/>
  <c r="AE8" i="29"/>
  <c r="AD8" i="29"/>
  <c r="AC8" i="29"/>
  <c r="AB8" i="29"/>
  <c r="AA8" i="29"/>
  <c r="Z8" i="29"/>
  <c r="Y8" i="29"/>
  <c r="X8" i="29"/>
  <c r="W8" i="29"/>
  <c r="V8" i="29"/>
  <c r="U8" i="29"/>
  <c r="T8" i="29"/>
  <c r="S8" i="29"/>
  <c r="R8" i="29"/>
  <c r="Q8" i="29"/>
  <c r="P8" i="29"/>
  <c r="O8" i="29"/>
  <c r="N8" i="29"/>
  <c r="M8" i="29"/>
  <c r="L8" i="29"/>
  <c r="G8" i="29"/>
  <c r="F8" i="29"/>
  <c r="E8" i="29"/>
  <c r="D8" i="29"/>
  <c r="C8" i="29"/>
  <c r="BO7" i="29"/>
  <c r="BO8" i="29" s="1"/>
  <c r="BO4" i="29"/>
  <c r="BJ7" i="29"/>
  <c r="BJ84" i="29" s="1"/>
  <c r="BJ4" i="29"/>
  <c r="BJ111" i="29" s="1"/>
  <c r="AJ6" i="29"/>
  <c r="AI6" i="29"/>
  <c r="AH6" i="29"/>
  <c r="AG6" i="29"/>
  <c r="AF6" i="29"/>
  <c r="AE6" i="29"/>
  <c r="AD6" i="29"/>
  <c r="AC6" i="29"/>
  <c r="AB6" i="29"/>
  <c r="Z6" i="29"/>
  <c r="Y6" i="29"/>
  <c r="W6" i="29"/>
  <c r="U6" i="29"/>
  <c r="T6" i="29"/>
  <c r="S6" i="29"/>
  <c r="R6" i="29"/>
  <c r="P6" i="29"/>
  <c r="O6" i="29"/>
  <c r="N6" i="29"/>
  <c r="M6" i="29"/>
  <c r="K6" i="29"/>
  <c r="J6" i="29"/>
  <c r="I6" i="29"/>
  <c r="H6" i="29"/>
  <c r="G6" i="29"/>
  <c r="F6" i="29"/>
  <c r="D6" i="29"/>
  <c r="C6" i="29"/>
  <c r="BN6" i="29"/>
  <c r="BM6" i="29"/>
  <c r="BL6" i="29"/>
  <c r="BK6" i="29"/>
  <c r="BN5" i="29"/>
  <c r="BM5" i="29"/>
  <c r="BL5" i="29"/>
  <c r="BK5" i="29"/>
  <c r="BH6" i="29"/>
  <c r="BG6" i="29"/>
  <c r="BF6" i="29"/>
  <c r="BD6" i="29"/>
  <c r="BC6" i="29"/>
  <c r="BB6" i="29"/>
  <c r="BA6" i="29"/>
  <c r="AZ6" i="29"/>
  <c r="BI5" i="29"/>
  <c r="BH5" i="29"/>
  <c r="BG5" i="29"/>
  <c r="BF5" i="29"/>
  <c r="BD5" i="29"/>
  <c r="BC5" i="29"/>
  <c r="BB5" i="29"/>
  <c r="BA5" i="29"/>
  <c r="AZ5" i="29"/>
  <c r="AT6" i="29"/>
  <c r="AS6" i="29"/>
  <c r="AR6" i="29"/>
  <c r="AQ6" i="29"/>
  <c r="AT5" i="29"/>
  <c r="AS5" i="29"/>
  <c r="AR5" i="29"/>
  <c r="AQ5" i="29"/>
  <c r="AO6" i="29"/>
  <c r="AN6" i="29"/>
  <c r="AM6" i="29"/>
  <c r="AL6" i="29"/>
  <c r="AO5" i="29"/>
  <c r="AN5" i="29"/>
  <c r="AM5" i="29"/>
  <c r="AL5" i="29"/>
  <c r="AJ5" i="29"/>
  <c r="AI5" i="29"/>
  <c r="AH5" i="29"/>
  <c r="AG5" i="29"/>
  <c r="AE5" i="29"/>
  <c r="AD5" i="29"/>
  <c r="AC5" i="29"/>
  <c r="AB5" i="29"/>
  <c r="Z5" i="29"/>
  <c r="Y5" i="29"/>
  <c r="X5" i="29"/>
  <c r="W5" i="29"/>
  <c r="U5" i="29"/>
  <c r="T5" i="29"/>
  <c r="S5" i="29"/>
  <c r="R5" i="29"/>
  <c r="P5" i="29"/>
  <c r="O5" i="29"/>
  <c r="N5" i="29"/>
  <c r="M5" i="29"/>
  <c r="L5" i="29"/>
  <c r="G5" i="29"/>
  <c r="F5" i="29"/>
  <c r="E5" i="29"/>
  <c r="D5" i="29"/>
  <c r="C5" i="29"/>
  <c r="BT4" i="29"/>
  <c r="BS4" i="29"/>
  <c r="BR4" i="29"/>
  <c r="BQ4" i="29"/>
  <c r="BQ75" i="29" s="1"/>
  <c r="BP4" i="29"/>
  <c r="BP77" i="29" s="1"/>
  <c r="BI4" i="29"/>
  <c r="BI77" i="29" s="1"/>
  <c r="BE4" i="29"/>
  <c r="BE77" i="29" s="1"/>
  <c r="AA4" i="29"/>
  <c r="V4" i="29"/>
  <c r="Q4" i="29"/>
  <c r="Q77" i="29" s="1"/>
  <c r="L4" i="29"/>
  <c r="L12" i="29" s="1"/>
  <c r="BO1" i="29"/>
  <c r="T67" i="120"/>
  <c r="S67" i="120"/>
  <c r="R67" i="120"/>
  <c r="Q67" i="120"/>
  <c r="P67" i="120"/>
  <c r="P68" i="120" s="1"/>
  <c r="O67" i="120"/>
  <c r="N67" i="120"/>
  <c r="P65" i="120"/>
  <c r="O56" i="120"/>
  <c r="N56" i="120"/>
  <c r="T54" i="120"/>
  <c r="S54" i="120"/>
  <c r="R54" i="120"/>
  <c r="Q54" i="120"/>
  <c r="P54" i="120"/>
  <c r="O54" i="120"/>
  <c r="N54" i="120"/>
  <c r="O53" i="120"/>
  <c r="N53" i="120"/>
  <c r="O52" i="120"/>
  <c r="O62" i="120" s="1"/>
  <c r="N52" i="120"/>
  <c r="O50" i="120"/>
  <c r="N50" i="120"/>
  <c r="O49" i="120"/>
  <c r="O48" i="120"/>
  <c r="N48" i="120"/>
  <c r="N49" i="120" s="1"/>
  <c r="O46" i="120"/>
  <c r="O58" i="120" s="1"/>
  <c r="N46" i="120"/>
  <c r="N58" i="120" s="1"/>
  <c r="P42" i="120"/>
  <c r="O42" i="120"/>
  <c r="N42" i="120"/>
  <c r="P39" i="120"/>
  <c r="O39" i="120"/>
  <c r="N39" i="120"/>
  <c r="P38" i="120"/>
  <c r="O38" i="120"/>
  <c r="N38" i="120"/>
  <c r="T37" i="120"/>
  <c r="S37" i="120"/>
  <c r="R37" i="120"/>
  <c r="Q37" i="120"/>
  <c r="P37" i="120"/>
  <c r="O37" i="120"/>
  <c r="N37" i="120"/>
  <c r="T36" i="120"/>
  <c r="S36" i="120"/>
  <c r="R36" i="120"/>
  <c r="P36" i="120"/>
  <c r="O36" i="120"/>
  <c r="N36" i="120"/>
  <c r="H29" i="120"/>
  <c r="G29" i="120"/>
  <c r="R30" i="120"/>
  <c r="P30" i="120"/>
  <c r="N30" i="120"/>
  <c r="T29" i="120"/>
  <c r="S29" i="120"/>
  <c r="R29" i="120"/>
  <c r="Q29" i="120"/>
  <c r="P29" i="120"/>
  <c r="O29" i="120"/>
  <c r="N29" i="120"/>
  <c r="Q28" i="120"/>
  <c r="P28" i="120"/>
  <c r="N28" i="120"/>
  <c r="Q25" i="120"/>
  <c r="P25" i="120"/>
  <c r="N25" i="120"/>
  <c r="P24" i="120"/>
  <c r="F48" i="120" s="1"/>
  <c r="O24" i="120"/>
  <c r="E48" i="120" s="1"/>
  <c r="N24" i="120"/>
  <c r="P23" i="120"/>
  <c r="N23" i="120"/>
  <c r="O22" i="120"/>
  <c r="N22" i="120"/>
  <c r="P21" i="120"/>
  <c r="F45" i="120" s="1"/>
  <c r="O21" i="120"/>
  <c r="N21" i="120"/>
  <c r="O20" i="120"/>
  <c r="N20" i="120"/>
  <c r="H10" i="120"/>
  <c r="F10" i="120"/>
  <c r="P15" i="120"/>
  <c r="O15" i="120"/>
  <c r="N15" i="120"/>
  <c r="T14" i="120"/>
  <c r="S14" i="120"/>
  <c r="R14" i="120"/>
  <c r="O14" i="120"/>
  <c r="N14" i="120"/>
  <c r="P13" i="120"/>
  <c r="O13" i="120"/>
  <c r="N13" i="120"/>
  <c r="P12" i="120"/>
  <c r="F40" i="120" s="1"/>
  <c r="O12" i="120"/>
  <c r="N12" i="120"/>
  <c r="P11" i="120"/>
  <c r="N11" i="120"/>
  <c r="P10" i="120"/>
  <c r="N10" i="120"/>
  <c r="O9" i="120"/>
  <c r="N9" i="120"/>
  <c r="N16" i="120" s="1"/>
  <c r="B2" i="120"/>
  <c r="C6" i="119"/>
  <c r="BP201" i="29" l="1"/>
  <c r="BE83" i="29"/>
  <c r="BJ85" i="29"/>
  <c r="BJ94" i="29"/>
  <c r="BJ95" i="29" s="1"/>
  <c r="BJ97" i="29"/>
  <c r="BJ88" i="29"/>
  <c r="BJ86" i="29"/>
  <c r="AP325" i="29"/>
  <c r="AP201" i="29"/>
  <c r="AP191" i="29"/>
  <c r="AP83" i="29"/>
  <c r="AO79" i="29"/>
  <c r="AP80" i="29"/>
  <c r="AP81" i="29" s="1"/>
  <c r="AN79" i="29"/>
  <c r="AP66" i="29"/>
  <c r="AP16" i="29"/>
  <c r="N79" i="29"/>
  <c r="BU82" i="29"/>
  <c r="BE201" i="29"/>
  <c r="BE78" i="29"/>
  <c r="BE66" i="29"/>
  <c r="BC79" i="29"/>
  <c r="BE16" i="29"/>
  <c r="BE80" i="29"/>
  <c r="BE81" i="29" s="1"/>
  <c r="BB79" i="29"/>
  <c r="Q325" i="29"/>
  <c r="Q201" i="29"/>
  <c r="Q103" i="29"/>
  <c r="Q56" i="29"/>
  <c r="Q6" i="29"/>
  <c r="Q82" i="29"/>
  <c r="O79" i="29"/>
  <c r="Q46" i="29"/>
  <c r="BI325" i="29"/>
  <c r="BI309" i="29"/>
  <c r="BI311" i="29"/>
  <c r="BI201" i="29"/>
  <c r="BI78" i="29"/>
  <c r="BI66" i="29"/>
  <c r="BI83" i="29"/>
  <c r="BI81" i="29" s="1"/>
  <c r="BI26" i="29"/>
  <c r="BI16" i="29"/>
  <c r="BI80" i="29"/>
  <c r="BI36" i="29"/>
  <c r="BI6" i="29"/>
  <c r="E325" i="29"/>
  <c r="E309" i="29"/>
  <c r="E311" i="29"/>
  <c r="E201" i="29"/>
  <c r="E103" i="29"/>
  <c r="E104" i="29"/>
  <c r="E82" i="29"/>
  <c r="E80" i="29" s="1"/>
  <c r="E81" i="29" s="1"/>
  <c r="E26" i="29"/>
  <c r="E16" i="29"/>
  <c r="E36" i="29"/>
  <c r="E6" i="29"/>
  <c r="F78" i="29"/>
  <c r="E56" i="29"/>
  <c r="E78" i="29"/>
  <c r="E46" i="29"/>
  <c r="AM79" i="29"/>
  <c r="N26" i="120"/>
  <c r="V108" i="29"/>
  <c r="V111" i="29"/>
  <c r="V106" i="29"/>
  <c r="BT109" i="29"/>
  <c r="AA5" i="29"/>
  <c r="BE6" i="29"/>
  <c r="BN12" i="29"/>
  <c r="V13" i="29"/>
  <c r="AC125" i="29"/>
  <c r="X125" i="29"/>
  <c r="BE124" i="29"/>
  <c r="BE119" i="29"/>
  <c r="BE120" i="29" s="1"/>
  <c r="BN125" i="29"/>
  <c r="BI125" i="29"/>
  <c r="BS122" i="29"/>
  <c r="V15" i="29"/>
  <c r="BO13" i="29"/>
  <c r="AP12" i="29"/>
  <c r="AU124" i="29"/>
  <c r="AU119" i="29"/>
  <c r="AU18" i="29"/>
  <c r="Q22" i="29"/>
  <c r="V23" i="29"/>
  <c r="AF134" i="29"/>
  <c r="AA132" i="29"/>
  <c r="AA137" i="29"/>
  <c r="BE23" i="29"/>
  <c r="BN134" i="29"/>
  <c r="BI132" i="29"/>
  <c r="BI134" i="29"/>
  <c r="BI137" i="29"/>
  <c r="BI138" i="29" s="1"/>
  <c r="BS135" i="29"/>
  <c r="V25" i="29"/>
  <c r="BO23" i="29"/>
  <c r="AK23" i="29"/>
  <c r="AP23" i="29"/>
  <c r="AU25" i="29"/>
  <c r="BN32" i="29"/>
  <c r="V145" i="29"/>
  <c r="V150" i="29"/>
  <c r="V147" i="29"/>
  <c r="BT148" i="29"/>
  <c r="AA35" i="29"/>
  <c r="BE36" i="29"/>
  <c r="BO150" i="29"/>
  <c r="BO145" i="29"/>
  <c r="BJ38" i="29"/>
  <c r="AK150" i="29"/>
  <c r="AK151" i="29" s="1"/>
  <c r="AK147" i="29"/>
  <c r="AK145" i="29"/>
  <c r="AK146" i="29" s="1"/>
  <c r="AP145" i="29"/>
  <c r="AP146" i="29" s="1"/>
  <c r="AP150" i="29"/>
  <c r="AP151" i="29" s="1"/>
  <c r="AU40" i="29"/>
  <c r="AT98" i="29"/>
  <c r="AK42" i="29"/>
  <c r="AP43" i="29"/>
  <c r="V163" i="29"/>
  <c r="V164" i="29" s="1"/>
  <c r="V160" i="29"/>
  <c r="V158" i="29"/>
  <c r="V159" i="29" s="1"/>
  <c r="U48" i="29"/>
  <c r="V53" i="29"/>
  <c r="AA165" i="29"/>
  <c r="AA170" i="29"/>
  <c r="P58" i="29"/>
  <c r="AF158" i="29"/>
  <c r="AF160" i="29"/>
  <c r="AF163" i="29"/>
  <c r="AK160" i="29"/>
  <c r="AF52" i="29"/>
  <c r="AF56" i="29"/>
  <c r="AJ163" i="29"/>
  <c r="AJ164" i="29" s="1"/>
  <c r="AJ160" i="29"/>
  <c r="AJ52" i="29"/>
  <c r="AJ56" i="29"/>
  <c r="AJ60" i="29"/>
  <c r="AK60" i="29" s="1"/>
  <c r="AA63" i="29"/>
  <c r="BS175" i="29"/>
  <c r="BE65" i="29"/>
  <c r="BJ65" i="29"/>
  <c r="BO70" i="29"/>
  <c r="BS75" i="29"/>
  <c r="BS77" i="29" s="1"/>
  <c r="B77" i="29"/>
  <c r="F311" i="29"/>
  <c r="F325" i="29"/>
  <c r="F309" i="29"/>
  <c r="F201" i="29"/>
  <c r="F186" i="29"/>
  <c r="F104" i="29"/>
  <c r="F103" i="29"/>
  <c r="J311" i="29"/>
  <c r="J309" i="29"/>
  <c r="J325" i="29"/>
  <c r="J201" i="29"/>
  <c r="J104" i="29"/>
  <c r="J103" i="29"/>
  <c r="AG78" i="29"/>
  <c r="BM323" i="29"/>
  <c r="BS323" i="29" s="1"/>
  <c r="BM311" i="29"/>
  <c r="BS311" i="29" s="1"/>
  <c r="BM309" i="29"/>
  <c r="BS309" i="29" s="1"/>
  <c r="BM201" i="29"/>
  <c r="BM186" i="29"/>
  <c r="BM191" i="29"/>
  <c r="BQ77" i="29"/>
  <c r="BQ6" i="29" s="1"/>
  <c r="L77" i="29"/>
  <c r="Q78" i="29" s="1"/>
  <c r="V77" i="29"/>
  <c r="V26" i="29" s="1"/>
  <c r="AZ325" i="29"/>
  <c r="AZ309" i="29"/>
  <c r="AZ311" i="29"/>
  <c r="AZ201" i="29"/>
  <c r="AZ186" i="29"/>
  <c r="BE76" i="29"/>
  <c r="H79" i="29"/>
  <c r="F82" i="29"/>
  <c r="J82" i="29"/>
  <c r="O80" i="29"/>
  <c r="O81" i="29" s="1"/>
  <c r="T80" i="29"/>
  <c r="T81" i="29" s="1"/>
  <c r="Y80" i="29"/>
  <c r="Y81" i="29" s="1"/>
  <c r="AD80" i="29"/>
  <c r="AD81" i="29" s="1"/>
  <c r="AN80" i="29"/>
  <c r="AN81" i="29" s="1"/>
  <c r="AS80" i="29"/>
  <c r="AS81" i="29" s="1"/>
  <c r="BC80" i="29"/>
  <c r="BC81" i="29" s="1"/>
  <c r="BI76" i="29"/>
  <c r="AN91" i="29"/>
  <c r="AN104" i="29"/>
  <c r="AN85" i="29"/>
  <c r="AS104" i="29"/>
  <c r="AS85" i="29"/>
  <c r="BH94" i="29"/>
  <c r="BH95" i="29" s="1"/>
  <c r="BH104" i="29"/>
  <c r="BM83" i="29"/>
  <c r="BM81" i="29" s="1"/>
  <c r="BK104" i="29"/>
  <c r="BK94" i="29"/>
  <c r="BK95" i="29" s="1"/>
  <c r="BO84" i="29"/>
  <c r="BO85" i="29" s="1"/>
  <c r="L92" i="29"/>
  <c r="L104" i="29"/>
  <c r="AG104" i="29"/>
  <c r="AG85" i="29"/>
  <c r="AZ83" i="29"/>
  <c r="AH93" i="29"/>
  <c r="AL91" i="29"/>
  <c r="AN93" i="29"/>
  <c r="AL97" i="29"/>
  <c r="AR93" i="29"/>
  <c r="AR91" i="29"/>
  <c r="BK97" i="29"/>
  <c r="AA91" i="29"/>
  <c r="BF97" i="29"/>
  <c r="BG103" i="29"/>
  <c r="AC103" i="29"/>
  <c r="AP113" i="29"/>
  <c r="AF112" i="29"/>
  <c r="AA145" i="29"/>
  <c r="BE152" i="29"/>
  <c r="BE153" i="29" s="1"/>
  <c r="BE155" i="29"/>
  <c r="AA108" i="29"/>
  <c r="AA111" i="29"/>
  <c r="AA112" i="29" s="1"/>
  <c r="AA106" i="29"/>
  <c r="AA107" i="29" s="1"/>
  <c r="AF108" i="29"/>
  <c r="BU4" i="29"/>
  <c r="AP111" i="29"/>
  <c r="AP108" i="29"/>
  <c r="AP106" i="29"/>
  <c r="AZ108" i="29"/>
  <c r="AU111" i="29"/>
  <c r="AU106" i="29"/>
  <c r="AA12" i="29"/>
  <c r="BI121" i="29"/>
  <c r="BI98" i="29"/>
  <c r="BT122" i="29"/>
  <c r="BJ13" i="29"/>
  <c r="BO124" i="29"/>
  <c r="BO119" i="29"/>
  <c r="BJ18" i="29"/>
  <c r="AK13" i="29"/>
  <c r="Q23" i="29"/>
  <c r="V137" i="29"/>
  <c r="V132" i="29"/>
  <c r="BE134" i="29"/>
  <c r="BE137" i="29"/>
  <c r="BT135" i="29"/>
  <c r="AA25" i="29"/>
  <c r="BE26" i="29"/>
  <c r="BO137" i="29"/>
  <c r="BO132" i="29"/>
  <c r="AK157" i="29"/>
  <c r="AK138" i="29"/>
  <c r="AP138" i="29"/>
  <c r="AP157" i="29"/>
  <c r="AU22" i="29"/>
  <c r="Q145" i="29"/>
  <c r="Q146" i="29" s="1"/>
  <c r="Q147" i="29"/>
  <c r="Q150" i="29"/>
  <c r="Q151" i="29" s="1"/>
  <c r="AA32" i="29"/>
  <c r="BI32" i="29"/>
  <c r="BQ148" i="29"/>
  <c r="BQ150" i="29" s="1"/>
  <c r="BQ151" i="29" s="1"/>
  <c r="BU34" i="29"/>
  <c r="BO35" i="29"/>
  <c r="AU33" i="29"/>
  <c r="Q42" i="29"/>
  <c r="Q43" i="29"/>
  <c r="AU43" i="29"/>
  <c r="BE43" i="29"/>
  <c r="V170" i="29"/>
  <c r="V171" i="29" s="1"/>
  <c r="V165" i="29"/>
  <c r="V166" i="29" s="1"/>
  <c r="AF63" i="29"/>
  <c r="AJ63" i="29"/>
  <c r="BT175" i="29"/>
  <c r="AU174" i="29"/>
  <c r="AZ174" i="29"/>
  <c r="AU172" i="29"/>
  <c r="BT75" i="29"/>
  <c r="BT77" i="29" s="1"/>
  <c r="BT26" i="29" s="1"/>
  <c r="E76" i="29"/>
  <c r="C325" i="29"/>
  <c r="C311" i="29"/>
  <c r="C309" i="29"/>
  <c r="C201" i="29"/>
  <c r="C104" i="29"/>
  <c r="C103" i="29"/>
  <c r="G325" i="29"/>
  <c r="G311" i="29"/>
  <c r="G309" i="29"/>
  <c r="G201" i="29"/>
  <c r="G104" i="29"/>
  <c r="G103" i="29"/>
  <c r="K325" i="29"/>
  <c r="K311" i="29"/>
  <c r="K309" i="29"/>
  <c r="K201" i="29"/>
  <c r="K186" i="29"/>
  <c r="K104" i="29"/>
  <c r="K103" i="29"/>
  <c r="M325" i="29"/>
  <c r="M311" i="29"/>
  <c r="M309" i="29"/>
  <c r="M201" i="29"/>
  <c r="M103" i="29"/>
  <c r="M104" i="29"/>
  <c r="R325" i="29"/>
  <c r="R309" i="29"/>
  <c r="R311" i="29"/>
  <c r="R201" i="29"/>
  <c r="R186" i="29"/>
  <c r="R104" i="29"/>
  <c r="W325" i="29"/>
  <c r="W311" i="29"/>
  <c r="W309" i="29"/>
  <c r="W201" i="29"/>
  <c r="W186" i="29"/>
  <c r="W104" i="29"/>
  <c r="AB325" i="29"/>
  <c r="AB309" i="29"/>
  <c r="AB311" i="29"/>
  <c r="AB201" i="29"/>
  <c r="AB186" i="29"/>
  <c r="AB187" i="29" s="1"/>
  <c r="AB191" i="29"/>
  <c r="AB104" i="29"/>
  <c r="AG325" i="29"/>
  <c r="AG311" i="29"/>
  <c r="AG309" i="29"/>
  <c r="AG201" i="29"/>
  <c r="AG186" i="29"/>
  <c r="AG187" i="29" s="1"/>
  <c r="AG191" i="29"/>
  <c r="AL325" i="29"/>
  <c r="AL309" i="29"/>
  <c r="AL311" i="29"/>
  <c r="AL201" i="29"/>
  <c r="AL186" i="29"/>
  <c r="AL191" i="29"/>
  <c r="AQ325" i="29"/>
  <c r="AQ311" i="29"/>
  <c r="AQ309" i="29"/>
  <c r="AQ201" i="29"/>
  <c r="BA325" i="29"/>
  <c r="BA309" i="29"/>
  <c r="BA311" i="29"/>
  <c r="BA186" i="29"/>
  <c r="BA201" i="29"/>
  <c r="BA104" i="29"/>
  <c r="BA103" i="29"/>
  <c r="BF325" i="29"/>
  <c r="BF309" i="29"/>
  <c r="BF311" i="29"/>
  <c r="BF201" i="29"/>
  <c r="BN323" i="29"/>
  <c r="BT323" i="29" s="1"/>
  <c r="BN309" i="29"/>
  <c r="BT309" i="29" s="1"/>
  <c r="BN311" i="29"/>
  <c r="BT311" i="29" s="1"/>
  <c r="BN201" i="29"/>
  <c r="AU77" i="29"/>
  <c r="C82" i="29"/>
  <c r="G82" i="29"/>
  <c r="BK323" i="29"/>
  <c r="BQ323" i="29" s="1"/>
  <c r="BK309" i="29"/>
  <c r="BQ309" i="29" s="1"/>
  <c r="BK311" i="29"/>
  <c r="BQ311" i="29" s="1"/>
  <c r="BK186" i="29"/>
  <c r="BK191" i="29"/>
  <c r="BK201" i="29"/>
  <c r="BD325" i="29"/>
  <c r="BD311" i="29"/>
  <c r="BD309" i="29"/>
  <c r="BD201" i="29"/>
  <c r="BD104" i="29"/>
  <c r="P325" i="29"/>
  <c r="P311" i="29"/>
  <c r="P309" i="29"/>
  <c r="P201" i="29"/>
  <c r="P186" i="29"/>
  <c r="P187" i="29" s="1"/>
  <c r="P103" i="29"/>
  <c r="P104" i="29"/>
  <c r="U325" i="29"/>
  <c r="U311" i="29"/>
  <c r="U309" i="29"/>
  <c r="U201" i="29"/>
  <c r="U186" i="29"/>
  <c r="U187" i="29" s="1"/>
  <c r="U104" i="29"/>
  <c r="Z325" i="29"/>
  <c r="Z311" i="29"/>
  <c r="Z309" i="29"/>
  <c r="Z201" i="29"/>
  <c r="Z186" i="29"/>
  <c r="Z187" i="29" s="1"/>
  <c r="Z104" i="29"/>
  <c r="AE325" i="29"/>
  <c r="AE311" i="29"/>
  <c r="AE309" i="29"/>
  <c r="AE201" i="29"/>
  <c r="AE191" i="29"/>
  <c r="AE186" i="29"/>
  <c r="AE187" i="29" s="1"/>
  <c r="AE104" i="29"/>
  <c r="AE103" i="29"/>
  <c r="AO94" i="29"/>
  <c r="AO95" i="29" s="1"/>
  <c r="AO104" i="29"/>
  <c r="AO91" i="29"/>
  <c r="AO85" i="29"/>
  <c r="AT97" i="29"/>
  <c r="AT104" i="29"/>
  <c r="AT94" i="29"/>
  <c r="AT95" i="29" s="1"/>
  <c r="AT92" i="29"/>
  <c r="AU92" i="29" s="1"/>
  <c r="AU84" i="29" s="1"/>
  <c r="AT85" i="29"/>
  <c r="BD83" i="29"/>
  <c r="BD81" i="29" s="1"/>
  <c r="BI104" i="29"/>
  <c r="BI97" i="29"/>
  <c r="BI94" i="29"/>
  <c r="BI95" i="29" s="1"/>
  <c r="BN85" i="29"/>
  <c r="Q104" i="29"/>
  <c r="AH104" i="29"/>
  <c r="AH92" i="29"/>
  <c r="AH85" i="29"/>
  <c r="AZ94" i="29"/>
  <c r="AZ95" i="29" s="1"/>
  <c r="AZ97" i="29"/>
  <c r="AZ93" i="29"/>
  <c r="AZ104" i="29"/>
  <c r="AZ92" i="29"/>
  <c r="AZ88" i="29"/>
  <c r="BE85" i="29"/>
  <c r="AS91" i="29"/>
  <c r="AS93" i="29"/>
  <c r="AS92" i="29" s="1"/>
  <c r="BK103" i="29"/>
  <c r="AZ91" i="29"/>
  <c r="T103" i="29"/>
  <c r="Y103" i="29"/>
  <c r="BC103" i="29"/>
  <c r="AT102" i="29"/>
  <c r="AF107" i="29"/>
  <c r="BE113" i="29"/>
  <c r="BE114" i="29" s="1"/>
  <c r="AZ120" i="29"/>
  <c r="BJ123" i="29"/>
  <c r="Q134" i="29"/>
  <c r="AP139" i="29"/>
  <c r="AU142" i="29"/>
  <c r="AF138" i="29"/>
  <c r="BE139" i="29"/>
  <c r="BE140" i="29" s="1"/>
  <c r="AK152" i="29"/>
  <c r="BJ8" i="29"/>
  <c r="E41" i="120"/>
  <c r="L111" i="29"/>
  <c r="L112" i="29" s="1"/>
  <c r="L108" i="29"/>
  <c r="L106" i="29"/>
  <c r="L107" i="29" s="1"/>
  <c r="BE108" i="29"/>
  <c r="BE111" i="29"/>
  <c r="BE106" i="29"/>
  <c r="BE107" i="29" s="1"/>
  <c r="BR109" i="29"/>
  <c r="Q5" i="29"/>
  <c r="BE5" i="29"/>
  <c r="BO111" i="29"/>
  <c r="BO112" i="29" s="1"/>
  <c r="BO106" i="29"/>
  <c r="AP5" i="29"/>
  <c r="AU5" i="29"/>
  <c r="AO12" i="29"/>
  <c r="L13" i="29"/>
  <c r="AA13" i="29"/>
  <c r="BI12" i="29"/>
  <c r="BQ122" i="29"/>
  <c r="BQ124" i="29" s="1"/>
  <c r="BQ125" i="29" s="1"/>
  <c r="X15" i="29"/>
  <c r="BU14" i="29"/>
  <c r="BJ14" i="29"/>
  <c r="BJ119" i="29" s="1"/>
  <c r="BJ120" i="29" s="1"/>
  <c r="BO15" i="29"/>
  <c r="AK124" i="29"/>
  <c r="AK119" i="29"/>
  <c r="AK120" i="29" s="1"/>
  <c r="AK18" i="29"/>
  <c r="AP124" i="29"/>
  <c r="AP119" i="29"/>
  <c r="AP18" i="29"/>
  <c r="AU12" i="29"/>
  <c r="AU16" i="29"/>
  <c r="L22" i="29"/>
  <c r="Q137" i="29"/>
  <c r="Q138" i="29" s="1"/>
  <c r="Q132" i="29"/>
  <c r="Q133" i="29" s="1"/>
  <c r="BI22" i="29"/>
  <c r="BQ135" i="29"/>
  <c r="BQ137" i="29" s="1"/>
  <c r="BQ138" i="29" s="1"/>
  <c r="BU24" i="29"/>
  <c r="BJ24" i="29"/>
  <c r="BJ32" i="29" s="1"/>
  <c r="BO25" i="29"/>
  <c r="BO28" i="29"/>
  <c r="AK25" i="29"/>
  <c r="AP25" i="29"/>
  <c r="V32" i="29"/>
  <c r="AA33" i="29"/>
  <c r="BI33" i="29"/>
  <c r="BR148" i="29"/>
  <c r="Q35" i="29"/>
  <c r="BE35" i="29"/>
  <c r="Q36" i="29"/>
  <c r="BQ36" i="29"/>
  <c r="BJ35" i="29"/>
  <c r="BO36" i="29"/>
  <c r="AZ38" i="29"/>
  <c r="AK32" i="29"/>
  <c r="AP32" i="29"/>
  <c r="AP36" i="29"/>
  <c r="AU150" i="29"/>
  <c r="AU151" i="29" s="1"/>
  <c r="AZ147" i="29"/>
  <c r="AO98" i="29"/>
  <c r="BE98" i="29"/>
  <c r="AU42" i="29"/>
  <c r="BE42" i="29"/>
  <c r="BI42" i="29"/>
  <c r="V42" i="29"/>
  <c r="V55" i="29"/>
  <c r="V56" i="29"/>
  <c r="AA55" i="29"/>
  <c r="AE58" i="29"/>
  <c r="AK58" i="29"/>
  <c r="Z58" i="29"/>
  <c r="AK171" i="29"/>
  <c r="AF171" i="29"/>
  <c r="V62" i="29"/>
  <c r="BQ175" i="29"/>
  <c r="AU65" i="29"/>
  <c r="AU66" i="29"/>
  <c r="D325" i="29"/>
  <c r="D311" i="29"/>
  <c r="D309" i="29"/>
  <c r="D201" i="29"/>
  <c r="D103" i="29"/>
  <c r="D104" i="29"/>
  <c r="H325" i="29"/>
  <c r="H309" i="29"/>
  <c r="H311" i="29"/>
  <c r="H201" i="29"/>
  <c r="H103" i="29"/>
  <c r="H104" i="29"/>
  <c r="N325" i="29"/>
  <c r="N309" i="29"/>
  <c r="N311" i="29"/>
  <c r="N201" i="29"/>
  <c r="N104" i="29"/>
  <c r="N103" i="29"/>
  <c r="S325" i="29"/>
  <c r="S309" i="29"/>
  <c r="S311" i="29"/>
  <c r="S201" i="29"/>
  <c r="S104" i="29"/>
  <c r="X77" i="29"/>
  <c r="X103" i="29" s="1"/>
  <c r="AC325" i="29"/>
  <c r="AC309" i="29"/>
  <c r="AC311" i="29"/>
  <c r="AC201" i="29"/>
  <c r="AC186" i="29"/>
  <c r="AC191" i="29"/>
  <c r="AC104" i="29"/>
  <c r="AH325" i="29"/>
  <c r="AH309" i="29"/>
  <c r="AH311" i="29"/>
  <c r="AH201" i="29"/>
  <c r="AH186" i="29"/>
  <c r="AH187" i="29" s="1"/>
  <c r="AH191" i="29"/>
  <c r="AM325" i="29"/>
  <c r="AM309" i="29"/>
  <c r="AM311" i="29"/>
  <c r="AM201" i="29"/>
  <c r="AM191" i="29"/>
  <c r="AM186" i="29"/>
  <c r="AM187" i="29" s="1"/>
  <c r="AR325" i="29"/>
  <c r="AR309" i="29"/>
  <c r="AR311" i="29"/>
  <c r="AR201" i="29"/>
  <c r="AR186" i="29"/>
  <c r="AR187" i="29" s="1"/>
  <c r="BB311" i="29"/>
  <c r="BB309" i="29"/>
  <c r="BB325" i="29"/>
  <c r="BB201" i="29"/>
  <c r="BB186" i="29"/>
  <c r="BB104" i="29"/>
  <c r="BG311" i="29"/>
  <c r="BG325" i="29"/>
  <c r="BG309" i="29"/>
  <c r="BG201" i="29"/>
  <c r="BF80" i="29"/>
  <c r="BO77" i="29"/>
  <c r="BN79" i="29" s="1"/>
  <c r="C78" i="29"/>
  <c r="G78" i="29"/>
  <c r="AF76" i="29"/>
  <c r="BJ77" i="29"/>
  <c r="BI79" i="29" s="1"/>
  <c r="BN78" i="29"/>
  <c r="J79" i="29"/>
  <c r="F80" i="29"/>
  <c r="F81" i="29" s="1"/>
  <c r="J80" i="29"/>
  <c r="J81" i="29" s="1"/>
  <c r="D82" i="29"/>
  <c r="D80" i="29" s="1"/>
  <c r="D81" i="29" s="1"/>
  <c r="H82" i="29"/>
  <c r="H80" i="29" s="1"/>
  <c r="H81" i="29" s="1"/>
  <c r="M80" i="29"/>
  <c r="M81" i="29" s="1"/>
  <c r="M82" i="29"/>
  <c r="R82" i="29"/>
  <c r="R80" i="29" s="1"/>
  <c r="R81" i="29" s="1"/>
  <c r="W80" i="29"/>
  <c r="W81" i="29" s="1"/>
  <c r="W82" i="29"/>
  <c r="AB82" i="29"/>
  <c r="AG80" i="29"/>
  <c r="AG81" i="29" s="1"/>
  <c r="AL80" i="29"/>
  <c r="AL81" i="29" s="1"/>
  <c r="AQ80" i="29"/>
  <c r="BA80" i="29"/>
  <c r="BM80" i="29"/>
  <c r="BK78" i="29"/>
  <c r="AT349" i="29"/>
  <c r="AT325" i="29"/>
  <c r="AT311" i="29"/>
  <c r="AT309" i="29"/>
  <c r="AT186" i="29"/>
  <c r="AT201" i="29"/>
  <c r="AT191" i="29"/>
  <c r="AT195" i="29"/>
  <c r="BD78" i="29"/>
  <c r="P78" i="29"/>
  <c r="U78" i="29"/>
  <c r="Z78" i="29"/>
  <c r="AE78" i="29"/>
  <c r="AJ76" i="29"/>
  <c r="AL83" i="29"/>
  <c r="AL92" i="29"/>
  <c r="AL104" i="29"/>
  <c r="AL85" i="29"/>
  <c r="AQ83" i="29"/>
  <c r="AQ81" i="29" s="1"/>
  <c r="AQ104" i="29"/>
  <c r="AQ94" i="29"/>
  <c r="AQ95" i="29" s="1"/>
  <c r="AQ85" i="29"/>
  <c r="BA83" i="29"/>
  <c r="BA81" i="29" s="1"/>
  <c r="BF83" i="29"/>
  <c r="BF81" i="29" s="1"/>
  <c r="BF104" i="29"/>
  <c r="BF94" i="29"/>
  <c r="BF95" i="29" s="1"/>
  <c r="BK83" i="29"/>
  <c r="BK81" i="29" s="1"/>
  <c r="BK85" i="29"/>
  <c r="V104" i="29"/>
  <c r="V97" i="29"/>
  <c r="V91" i="29"/>
  <c r="V94" i="29"/>
  <c r="V95" i="29" s="1"/>
  <c r="AI104" i="29"/>
  <c r="AI92" i="29"/>
  <c r="AI85" i="29"/>
  <c r="Q85" i="29"/>
  <c r="AF94" i="29"/>
  <c r="AF95" i="29" s="1"/>
  <c r="AF93" i="29"/>
  <c r="AF92" i="29" s="1"/>
  <c r="AF104" i="29"/>
  <c r="AF97" i="29"/>
  <c r="AF88" i="29"/>
  <c r="AK84" i="29"/>
  <c r="AK91" i="29" s="1"/>
  <c r="Q93" i="29"/>
  <c r="Q92" i="29" s="1"/>
  <c r="Q91" i="29"/>
  <c r="AM93" i="29"/>
  <c r="AM92" i="29" s="1"/>
  <c r="AN96" i="29"/>
  <c r="AN97" i="29" s="1"/>
  <c r="AT91" i="29"/>
  <c r="BH93" i="29"/>
  <c r="BH92" i="29" s="1"/>
  <c r="AF91" i="29"/>
  <c r="AQ97" i="29"/>
  <c r="BH97" i="29"/>
  <c r="O103" i="29"/>
  <c r="AF103" i="29"/>
  <c r="U103" i="29"/>
  <c r="Z103" i="29"/>
  <c r="AJ103" i="29"/>
  <c r="AO93" i="29"/>
  <c r="AO92" i="29" s="1"/>
  <c r="AP92" i="29" s="1"/>
  <c r="AP84" i="29" s="1"/>
  <c r="AZ107" i="29"/>
  <c r="AZ114" i="29"/>
  <c r="BD116" i="29"/>
  <c r="BD113" i="29"/>
  <c r="BD114" i="29" s="1"/>
  <c r="BO123" i="29"/>
  <c r="BE121" i="29"/>
  <c r="BD129" i="29"/>
  <c r="BD126" i="29"/>
  <c r="BD127" i="29" s="1"/>
  <c r="V134" i="29"/>
  <c r="AP147" i="29"/>
  <c r="BQ109" i="29"/>
  <c r="E37" i="120"/>
  <c r="P9" i="120"/>
  <c r="F37" i="120" s="1"/>
  <c r="E40" i="120"/>
  <c r="F41" i="120"/>
  <c r="F47" i="120"/>
  <c r="F29" i="120"/>
  <c r="Q111" i="29"/>
  <c r="Q112" i="29" s="1"/>
  <c r="Q108" i="29"/>
  <c r="Q106" i="29"/>
  <c r="Q107" i="29" s="1"/>
  <c r="BN108" i="29"/>
  <c r="BI106" i="29"/>
  <c r="BI111" i="29"/>
  <c r="BI108" i="29"/>
  <c r="BS109" i="29"/>
  <c r="V5" i="29"/>
  <c r="V6" i="29"/>
  <c r="BJ5" i="29"/>
  <c r="BO5" i="29"/>
  <c r="AZ8" i="29"/>
  <c r="AK111" i="29"/>
  <c r="AK108" i="29"/>
  <c r="AK106" i="29"/>
  <c r="AK107" i="29" s="1"/>
  <c r="AP6" i="29"/>
  <c r="AU6" i="29"/>
  <c r="AU10" i="29"/>
  <c r="AY121" i="29"/>
  <c r="AT121" i="29"/>
  <c r="V12" i="29"/>
  <c r="AA14" i="29"/>
  <c r="BE13" i="29"/>
  <c r="BI13" i="29"/>
  <c r="BR122" i="29"/>
  <c r="BR124" i="29"/>
  <c r="BR125" i="29" s="1"/>
  <c r="Q15" i="29"/>
  <c r="AC15" i="29"/>
  <c r="BE15" i="29"/>
  <c r="BI15" i="29"/>
  <c r="Q16" i="29"/>
  <c r="BJ11" i="29"/>
  <c r="BJ12" i="29" s="1"/>
  <c r="BO16" i="29"/>
  <c r="AK15" i="29"/>
  <c r="AP15" i="29"/>
  <c r="X22" i="29"/>
  <c r="X23" i="29"/>
  <c r="V22" i="29"/>
  <c r="BI23" i="29"/>
  <c r="BR135" i="29"/>
  <c r="BR137" i="29"/>
  <c r="BR138" i="29" s="1"/>
  <c r="Q25" i="29"/>
  <c r="BE25" i="29"/>
  <c r="BI25" i="29"/>
  <c r="Q26" i="29"/>
  <c r="BO26" i="29"/>
  <c r="AZ28" i="29"/>
  <c r="AK22" i="29"/>
  <c r="AP22" i="29"/>
  <c r="AP26" i="29"/>
  <c r="AU137" i="29"/>
  <c r="AZ134" i="29"/>
  <c r="Q32" i="29"/>
  <c r="V33" i="29"/>
  <c r="AA150" i="29"/>
  <c r="AF147" i="29"/>
  <c r="AA147" i="29"/>
  <c r="BE33" i="29"/>
  <c r="BN151" i="29"/>
  <c r="BI151" i="29"/>
  <c r="BS148" i="29"/>
  <c r="V35" i="29"/>
  <c r="V36" i="29"/>
  <c r="BJ36" i="29"/>
  <c r="AU35" i="29"/>
  <c r="BJ98" i="29"/>
  <c r="BJ42" i="29"/>
  <c r="V43" i="29"/>
  <c r="AA163" i="29"/>
  <c r="AA164" i="29" s="1"/>
  <c r="AA158" i="29"/>
  <c r="AA159" i="29" s="1"/>
  <c r="P48" i="29"/>
  <c r="V52" i="29"/>
  <c r="AA53" i="29"/>
  <c r="AK167" i="29"/>
  <c r="AF167" i="29"/>
  <c r="AF55" i="29"/>
  <c r="AJ55" i="29"/>
  <c r="AA62" i="29"/>
  <c r="V63" i="29"/>
  <c r="BR175" i="29"/>
  <c r="AZ65" i="29"/>
  <c r="BF66" i="29"/>
  <c r="BU64" i="29"/>
  <c r="BO177" i="29"/>
  <c r="BO178" i="29" s="1"/>
  <c r="BO172" i="29"/>
  <c r="BO174" i="29"/>
  <c r="BO71" i="29"/>
  <c r="BO72" i="29" s="1"/>
  <c r="BR75" i="29"/>
  <c r="BU75" i="29" s="1"/>
  <c r="I325" i="29"/>
  <c r="I309" i="29"/>
  <c r="I311" i="29"/>
  <c r="I201" i="29"/>
  <c r="I103" i="29"/>
  <c r="I104" i="29"/>
  <c r="O311" i="29"/>
  <c r="O325" i="29"/>
  <c r="O309" i="29"/>
  <c r="O201" i="29"/>
  <c r="O186" i="29"/>
  <c r="O104" i="29"/>
  <c r="M79" i="29"/>
  <c r="T325" i="29"/>
  <c r="T311" i="29"/>
  <c r="T309" i="29"/>
  <c r="T201" i="29"/>
  <c r="T104" i="29"/>
  <c r="R79" i="29"/>
  <c r="X76" i="29"/>
  <c r="Y311" i="29"/>
  <c r="Y325" i="29"/>
  <c r="Y309" i="29"/>
  <c r="Y201" i="29"/>
  <c r="Y186" i="29"/>
  <c r="Y104" i="29"/>
  <c r="AD311" i="29"/>
  <c r="AD309" i="29"/>
  <c r="AD325" i="29"/>
  <c r="AD201" i="29"/>
  <c r="AD186" i="29"/>
  <c r="AD187" i="29" s="1"/>
  <c r="AD191" i="29"/>
  <c r="AD104" i="29"/>
  <c r="AB79" i="29"/>
  <c r="AI311" i="29"/>
  <c r="AI325" i="29"/>
  <c r="AI309" i="29"/>
  <c r="AI201" i="29"/>
  <c r="AI191" i="29"/>
  <c r="AI186" i="29"/>
  <c r="AI187" i="29" s="1"/>
  <c r="AN325" i="29"/>
  <c r="AN311" i="29"/>
  <c r="AN309" i="29"/>
  <c r="AN186" i="29"/>
  <c r="AN201" i="29"/>
  <c r="AN191" i="29"/>
  <c r="AL79" i="29"/>
  <c r="AS311" i="29"/>
  <c r="AS325" i="29"/>
  <c r="AS309" i="29"/>
  <c r="AS201" i="29"/>
  <c r="AS186" i="29"/>
  <c r="AS187" i="29" s="1"/>
  <c r="AQ79" i="29"/>
  <c r="BC325" i="29"/>
  <c r="BC311" i="29"/>
  <c r="BC309" i="29"/>
  <c r="BC201" i="29"/>
  <c r="BC186" i="29"/>
  <c r="BC104" i="29"/>
  <c r="BA79" i="29"/>
  <c r="BH325" i="29"/>
  <c r="BH311" i="29"/>
  <c r="BH309" i="29"/>
  <c r="BH201" i="29"/>
  <c r="BH186" i="29"/>
  <c r="BH187" i="29" s="1"/>
  <c r="BF79" i="29"/>
  <c r="BG80" i="29"/>
  <c r="BG81" i="29" s="1"/>
  <c r="BL311" i="29"/>
  <c r="BR311" i="29" s="1"/>
  <c r="BL309" i="29"/>
  <c r="BR309" i="29" s="1"/>
  <c r="BL323" i="29"/>
  <c r="BR323" i="29" s="1"/>
  <c r="BL201" i="29"/>
  <c r="BL186" i="29"/>
  <c r="D78" i="29"/>
  <c r="L76" i="29"/>
  <c r="AF325" i="29"/>
  <c r="AF201" i="29"/>
  <c r="AF186" i="29"/>
  <c r="AF187" i="29" s="1"/>
  <c r="AF191" i="29"/>
  <c r="AK77" i="29"/>
  <c r="AH79" i="29" s="1"/>
  <c r="BL79" i="29"/>
  <c r="C80" i="29"/>
  <c r="C81" i="29" s="1"/>
  <c r="G80" i="29"/>
  <c r="G81" i="29" s="1"/>
  <c r="I82" i="29"/>
  <c r="I80" i="29" s="1"/>
  <c r="I81" i="29" s="1"/>
  <c r="N80" i="29"/>
  <c r="N81" i="29" s="1"/>
  <c r="N82" i="29"/>
  <c r="S82" i="29"/>
  <c r="S80" i="29" s="1"/>
  <c r="S81" i="29" s="1"/>
  <c r="AC80" i="29"/>
  <c r="AC81" i="29" s="1"/>
  <c r="AC82" i="29"/>
  <c r="AH80" i="29"/>
  <c r="AH81" i="29" s="1"/>
  <c r="AM80" i="29"/>
  <c r="AM81" i="29" s="1"/>
  <c r="AR80" i="29"/>
  <c r="AR81" i="29" s="1"/>
  <c r="BB80" i="29"/>
  <c r="BB81" i="29" s="1"/>
  <c r="BN80" i="29"/>
  <c r="BP82" i="29"/>
  <c r="BP83" i="29" s="1"/>
  <c r="BP81" i="29" s="1"/>
  <c r="BK79" i="29"/>
  <c r="AO325" i="29"/>
  <c r="AO311" i="29"/>
  <c r="AO309" i="29"/>
  <c r="AO201" i="29"/>
  <c r="AO191" i="29"/>
  <c r="AT78" i="29"/>
  <c r="BD79" i="29"/>
  <c r="K79" i="29"/>
  <c r="P79" i="29"/>
  <c r="U79" i="29"/>
  <c r="AE79" i="29"/>
  <c r="AJ311" i="29"/>
  <c r="AJ309" i="29"/>
  <c r="AJ201" i="29"/>
  <c r="AJ186" i="29"/>
  <c r="AJ187" i="29" s="1"/>
  <c r="AJ191" i="29"/>
  <c r="AM83" i="29"/>
  <c r="AM104" i="29"/>
  <c r="AM94" i="29"/>
  <c r="AM95" i="29" s="1"/>
  <c r="AM85" i="29"/>
  <c r="AR83" i="29"/>
  <c r="AR92" i="29"/>
  <c r="AR104" i="29"/>
  <c r="AR94" i="29"/>
  <c r="AR95" i="29" s="1"/>
  <c r="AR85" i="29"/>
  <c r="BB83" i="29"/>
  <c r="BG83" i="29"/>
  <c r="BG104" i="29"/>
  <c r="BG94" i="29"/>
  <c r="BG95" i="29" s="1"/>
  <c r="BG92" i="29"/>
  <c r="AA97" i="29"/>
  <c r="AA94" i="29"/>
  <c r="AA95" i="29" s="1"/>
  <c r="AA93" i="29"/>
  <c r="AA92" i="29"/>
  <c r="AJ104" i="29"/>
  <c r="AJ85" i="29"/>
  <c r="V85" i="29"/>
  <c r="AF85" i="29"/>
  <c r="AZ86" i="29"/>
  <c r="AG91" i="29"/>
  <c r="AN92" i="29"/>
  <c r="AQ93" i="29"/>
  <c r="AQ92" i="29" s="1"/>
  <c r="AQ91" i="29"/>
  <c r="V93" i="29"/>
  <c r="V92" i="29" s="1"/>
  <c r="AR97" i="29"/>
  <c r="BF100" i="29"/>
  <c r="AG103" i="29"/>
  <c r="BA100" i="29"/>
  <c r="AO97" i="29"/>
  <c r="AT118" i="29"/>
  <c r="L119" i="29"/>
  <c r="L120" i="29" s="1"/>
  <c r="V119" i="29"/>
  <c r="AK126" i="29"/>
  <c r="AZ127" i="29"/>
  <c r="AT129" i="29"/>
  <c r="AT126" i="29"/>
  <c r="AT127" i="29" s="1"/>
  <c r="AZ138" i="29"/>
  <c r="BN138" i="29"/>
  <c r="AU139" i="29"/>
  <c r="BN147" i="29"/>
  <c r="AU152" i="29"/>
  <c r="AU153" i="29" s="1"/>
  <c r="AK159" i="29"/>
  <c r="AJ167" i="29"/>
  <c r="BE91" i="29"/>
  <c r="BE92" i="29"/>
  <c r="BE94" i="29"/>
  <c r="BE95" i="29" s="1"/>
  <c r="AN99" i="29"/>
  <c r="AN100" i="29" s="1"/>
  <c r="AS99" i="29"/>
  <c r="AS100" i="29" s="1"/>
  <c r="BG99" i="29"/>
  <c r="BG100" i="29" s="1"/>
  <c r="X99" i="29"/>
  <c r="X100" i="29" s="1"/>
  <c r="AC99" i="29"/>
  <c r="AC100" i="29" s="1"/>
  <c r="AH99" i="29"/>
  <c r="AH100" i="29" s="1"/>
  <c r="BB99" i="29"/>
  <c r="BB100" i="29" s="1"/>
  <c r="S99" i="29"/>
  <c r="S100" i="29" s="1"/>
  <c r="T102" i="29"/>
  <c r="X102" i="29"/>
  <c r="AB102" i="29"/>
  <c r="AF102" i="29"/>
  <c r="AN102" i="29"/>
  <c r="AR102" i="29"/>
  <c r="AZ102" i="29"/>
  <c r="BD102" i="29"/>
  <c r="BH102" i="29"/>
  <c r="AZ103" i="29"/>
  <c r="BD103" i="29"/>
  <c r="BH103" i="29"/>
  <c r="R103" i="29"/>
  <c r="V103" i="29"/>
  <c r="AD103" i="29"/>
  <c r="AH103" i="29"/>
  <c r="AL103" i="29"/>
  <c r="AP103" i="29"/>
  <c r="BI186" i="29"/>
  <c r="BI189" i="29"/>
  <c r="BI199" i="29"/>
  <c r="AS112" i="29"/>
  <c r="AQ113" i="29"/>
  <c r="AQ114" i="29" s="1"/>
  <c r="AZ112" i="29"/>
  <c r="BN110" i="29"/>
  <c r="BF112" i="29"/>
  <c r="AU188" i="29"/>
  <c r="AU181" i="29"/>
  <c r="BC118" i="29"/>
  <c r="BA120" i="29"/>
  <c r="T120" i="29"/>
  <c r="W120" i="29"/>
  <c r="AP118" i="29"/>
  <c r="AS125" i="29"/>
  <c r="BC125" i="29"/>
  <c r="BI123" i="29"/>
  <c r="BM125" i="29"/>
  <c r="AU118" i="29"/>
  <c r="AO131" i="29"/>
  <c r="AT131" i="29"/>
  <c r="BC131" i="29"/>
  <c r="BA133" i="29"/>
  <c r="AK134" i="29"/>
  <c r="AF136" i="29"/>
  <c r="AQ138" i="29"/>
  <c r="BA138" i="29"/>
  <c r="BO136" i="29"/>
  <c r="BG138" i="29"/>
  <c r="BK138" i="29"/>
  <c r="AR144" i="29"/>
  <c r="BA144" i="29"/>
  <c r="BC146" i="29"/>
  <c r="D146" i="29"/>
  <c r="BM146" i="29"/>
  <c r="V149" i="29"/>
  <c r="AN151" i="29"/>
  <c r="AR151" i="29"/>
  <c r="BI149" i="29"/>
  <c r="BM151" i="29"/>
  <c r="AP154" i="29"/>
  <c r="AU155" i="29" s="1"/>
  <c r="AU147" i="29"/>
  <c r="BE147" i="29"/>
  <c r="AL157" i="29"/>
  <c r="BB157" i="29"/>
  <c r="O159" i="29"/>
  <c r="S159" i="29"/>
  <c r="E159" i="29"/>
  <c r="M164" i="29"/>
  <c r="U164" i="29"/>
  <c r="O166" i="29"/>
  <c r="S166" i="29"/>
  <c r="L171" i="29"/>
  <c r="P171" i="29"/>
  <c r="T171" i="29"/>
  <c r="X171" i="29"/>
  <c r="AB171" i="29"/>
  <c r="BS181" i="29"/>
  <c r="BP172" i="29"/>
  <c r="BE181" i="29"/>
  <c r="H221" i="29"/>
  <c r="H223" i="29" s="1"/>
  <c r="H199" i="29"/>
  <c r="H349" i="29" s="1"/>
  <c r="H186" i="29"/>
  <c r="BG191" i="29"/>
  <c r="BD191" i="29"/>
  <c r="AK99" i="29"/>
  <c r="AK100" i="29" s="1"/>
  <c r="Y99" i="29"/>
  <c r="Y100" i="29" s="1"/>
  <c r="AD99" i="29"/>
  <c r="AD100" i="29" s="1"/>
  <c r="AI99" i="29"/>
  <c r="AI100" i="29" s="1"/>
  <c r="BC99" i="29"/>
  <c r="BC100" i="29" s="1"/>
  <c r="T99" i="29"/>
  <c r="T100" i="29" s="1"/>
  <c r="Y102" i="29"/>
  <c r="AC102" i="29"/>
  <c r="AK102" i="29"/>
  <c r="AS102" i="29"/>
  <c r="BE104" i="29"/>
  <c r="S103" i="29"/>
  <c r="W103" i="29"/>
  <c r="AI103" i="29"/>
  <c r="AM103" i="29"/>
  <c r="AQ103" i="29"/>
  <c r="AU103" i="29"/>
  <c r="BR107" i="29"/>
  <c r="BA112" i="29"/>
  <c r="BO110" i="29"/>
  <c r="AL118" i="29"/>
  <c r="AQ118" i="29"/>
  <c r="AZ118" i="29"/>
  <c r="U120" i="29"/>
  <c r="BR120" i="29"/>
  <c r="AM125" i="29"/>
  <c r="AP123" i="29"/>
  <c r="AP128" i="29"/>
  <c r="AZ125" i="29"/>
  <c r="BN123" i="29"/>
  <c r="AU123" i="29"/>
  <c r="AQ131" i="29"/>
  <c r="BD131" i="29"/>
  <c r="BR133" i="29"/>
  <c r="AP134" i="29"/>
  <c r="AO138" i="29"/>
  <c r="AR138" i="29"/>
  <c r="AK141" i="29"/>
  <c r="AK139" i="29" s="1"/>
  <c r="AU134" i="29"/>
  <c r="AT142" i="29"/>
  <c r="AN144" i="29"/>
  <c r="BB144" i="29"/>
  <c r="BF146" i="29"/>
  <c r="BN149" i="29"/>
  <c r="BD151" i="29"/>
  <c r="AM157" i="29"/>
  <c r="BC157" i="29"/>
  <c r="L159" i="29"/>
  <c r="AD166" i="29"/>
  <c r="AJ165" i="29"/>
  <c r="AJ166" i="29" s="1"/>
  <c r="BI181" i="29"/>
  <c r="AU183" i="29"/>
  <c r="BE183" i="29"/>
  <c r="D221" i="29"/>
  <c r="D199" i="29"/>
  <c r="D186" i="29"/>
  <c r="I221" i="29"/>
  <c r="I223" i="29" s="1"/>
  <c r="I199" i="29"/>
  <c r="I186" i="29"/>
  <c r="BH191" i="29"/>
  <c r="AH91" i="29"/>
  <c r="BG91" i="29"/>
  <c r="L91" i="29"/>
  <c r="AS96" i="29"/>
  <c r="AL99" i="29"/>
  <c r="AQ99" i="29"/>
  <c r="BE97" i="29"/>
  <c r="V99" i="29"/>
  <c r="V100" i="29" s="1"/>
  <c r="AA99" i="29"/>
  <c r="AA100" i="29" s="1"/>
  <c r="AF99" i="29"/>
  <c r="AF100" i="29" s="1"/>
  <c r="R102" i="29"/>
  <c r="BB102" i="29"/>
  <c r="BF102" i="29"/>
  <c r="BB103" i="29"/>
  <c r="BF103" i="29"/>
  <c r="AB103" i="29"/>
  <c r="AN103" i="29"/>
  <c r="AR103" i="29"/>
  <c r="BJ108" i="29"/>
  <c r="BS107" i="29"/>
  <c r="BO195" i="29"/>
  <c r="BO186" i="29"/>
  <c r="AM112" i="29"/>
  <c r="BB112" i="29"/>
  <c r="AU115" i="29"/>
  <c r="BE116" i="29"/>
  <c r="AM118" i="29"/>
  <c r="AR118" i="29"/>
  <c r="BA118" i="29"/>
  <c r="BI119" i="29"/>
  <c r="BN121" i="29"/>
  <c r="BS120" i="29"/>
  <c r="X188" i="29"/>
  <c r="X185" i="29"/>
  <c r="AA122" i="29"/>
  <c r="L123" i="29"/>
  <c r="X123" i="29"/>
  <c r="AQ125" i="29"/>
  <c r="AU128" i="29"/>
  <c r="BE128" i="29"/>
  <c r="AR131" i="29"/>
  <c r="BS133" i="29"/>
  <c r="AK132" i="29"/>
  <c r="AK133" i="29" s="1"/>
  <c r="BP135" i="29"/>
  <c r="V136" i="29"/>
  <c r="AS138" i="29"/>
  <c r="BI136" i="29"/>
  <c r="BI145" i="29"/>
  <c r="BI147" i="29"/>
  <c r="BR146" i="29"/>
  <c r="BJ148" i="29"/>
  <c r="AF149" i="29"/>
  <c r="AP149" i="29"/>
  <c r="AU145" i="29"/>
  <c r="AU149" i="29"/>
  <c r="BE145" i="29"/>
  <c r="BE146" i="29" s="1"/>
  <c r="BE149" i="29"/>
  <c r="AZ157" i="29"/>
  <c r="AG159" i="29"/>
  <c r="AA160" i="29"/>
  <c r="AF165" i="29"/>
  <c r="AJ158" i="29"/>
  <c r="AJ159" i="29" s="1"/>
  <c r="AF169" i="29"/>
  <c r="AJ169" i="29"/>
  <c r="BB173" i="29"/>
  <c r="BF173" i="29"/>
  <c r="BI183" i="29"/>
  <c r="T221" i="29"/>
  <c r="T199" i="29"/>
  <c r="T189" i="29"/>
  <c r="T186" i="29"/>
  <c r="T187" i="29" s="1"/>
  <c r="BL191" i="29"/>
  <c r="AI91" i="29"/>
  <c r="BH91" i="29"/>
  <c r="AM99" i="29"/>
  <c r="AM100" i="29" s="1"/>
  <c r="W99" i="29"/>
  <c r="W100" i="29" s="1"/>
  <c r="AG99" i="29"/>
  <c r="AG100" i="29" s="1"/>
  <c r="BC102" i="29"/>
  <c r="BG102" i="29"/>
  <c r="BK102" i="29"/>
  <c r="AK103" i="29"/>
  <c r="AS103" i="29"/>
  <c r="BJ106" i="29"/>
  <c r="BJ107" i="29" s="1"/>
  <c r="BO108" i="29"/>
  <c r="L188" i="29"/>
  <c r="L185" i="29"/>
  <c r="Q185" i="29"/>
  <c r="Q188" i="29"/>
  <c r="V185" i="29"/>
  <c r="V188" i="29"/>
  <c r="AA188" i="29"/>
  <c r="AK199" i="29"/>
  <c r="AK195" i="29"/>
  <c r="AK192" i="29"/>
  <c r="AK186" i="29"/>
  <c r="AK187" i="29" s="1"/>
  <c r="AK189" i="29"/>
  <c r="AP185" i="29"/>
  <c r="AP188" i="29"/>
  <c r="BP109" i="29"/>
  <c r="V110" i="29"/>
  <c r="AN112" i="29"/>
  <c r="BI110" i="29"/>
  <c r="AK115" i="29"/>
  <c r="AK113" i="29" s="1"/>
  <c r="AU108" i="29"/>
  <c r="BE221" i="29"/>
  <c r="BE189" i="29"/>
  <c r="BE199" i="29"/>
  <c r="BE186" i="29"/>
  <c r="BE187" i="29" s="1"/>
  <c r="Q119" i="29"/>
  <c r="Q120" i="29" s="1"/>
  <c r="X119" i="29"/>
  <c r="X120" i="29" s="1"/>
  <c r="AC123" i="29"/>
  <c r="AA134" i="29"/>
  <c r="AP132" i="29"/>
  <c r="AP133" i="29" s="1"/>
  <c r="AP136" i="29"/>
  <c r="AU132" i="29"/>
  <c r="AU133" i="29" s="1"/>
  <c r="BE132" i="29"/>
  <c r="BE133" i="29" s="1"/>
  <c r="AO154" i="29"/>
  <c r="AO152" i="29" s="1"/>
  <c r="BC173" i="29"/>
  <c r="BT173" i="29"/>
  <c r="BR181" i="29"/>
  <c r="BJ174" i="29"/>
  <c r="BJ176" i="29"/>
  <c r="BJ172" i="29"/>
  <c r="BJ173" i="29" s="1"/>
  <c r="BO183" i="29"/>
  <c r="AK185" i="29"/>
  <c r="BF191" i="29"/>
  <c r="AO186" i="29"/>
  <c r="AO187" i="29" s="1"/>
  <c r="BO181" i="29"/>
  <c r="T185" i="29"/>
  <c r="BB221" i="29"/>
  <c r="BB199" i="29"/>
  <c r="BB195" i="29"/>
  <c r="BB189" i="29"/>
  <c r="BB191" i="29"/>
  <c r="BF223" i="29"/>
  <c r="BG189" i="29"/>
  <c r="BF192" i="29"/>
  <c r="BK189" i="29"/>
  <c r="M188" i="29"/>
  <c r="U199" i="29"/>
  <c r="Y199" i="29"/>
  <c r="Y221" i="29"/>
  <c r="AC221" i="29"/>
  <c r="AC199" i="29"/>
  <c r="AC349" i="29" s="1"/>
  <c r="AC195" i="29"/>
  <c r="AC196" i="29" s="1"/>
  <c r="AG221" i="29"/>
  <c r="AG199" i="29"/>
  <c r="AG349" i="29" s="1"/>
  <c r="AG195" i="29"/>
  <c r="E188" i="29"/>
  <c r="AQ191" i="29"/>
  <c r="AO189" i="29"/>
  <c r="BD192" i="29"/>
  <c r="BO191" i="29"/>
  <c r="BO192" i="29"/>
  <c r="AE195" i="29"/>
  <c r="AE196" i="29" s="1"/>
  <c r="AM195" i="29"/>
  <c r="BD199" i="29"/>
  <c r="BD349" i="29" s="1"/>
  <c r="BF195" i="29"/>
  <c r="BF196" i="29" s="1"/>
  <c r="BF199" i="29"/>
  <c r="BK195" i="29"/>
  <c r="BK199" i="29"/>
  <c r="BP193" i="29"/>
  <c r="BP190" i="29" s="1"/>
  <c r="AJ199" i="29"/>
  <c r="AT211" i="29"/>
  <c r="AP216" i="29"/>
  <c r="AK216" i="29"/>
  <c r="BM173" i="29"/>
  <c r="BQ173" i="29"/>
  <c r="BI176" i="29"/>
  <c r="BN176" i="29"/>
  <c r="BI177" i="29"/>
  <c r="BI178" i="29" s="1"/>
  <c r="BJ180" i="29"/>
  <c r="AQ223" i="29"/>
  <c r="AR189" i="29"/>
  <c r="BC189" i="29"/>
  <c r="BC191" i="29"/>
  <c r="BG221" i="29"/>
  <c r="BG199" i="29"/>
  <c r="BG195" i="29"/>
  <c r="BG196" i="29" s="1"/>
  <c r="BG192" i="29"/>
  <c r="BK223" i="29"/>
  <c r="BK224" i="29" s="1"/>
  <c r="BK222" i="29"/>
  <c r="N188" i="29"/>
  <c r="R221" i="29"/>
  <c r="R199" i="29"/>
  <c r="Z199" i="29"/>
  <c r="Z221" i="29"/>
  <c r="AD199" i="29"/>
  <c r="AD195" i="29"/>
  <c r="AD196" i="29" s="1"/>
  <c r="AD221" i="29"/>
  <c r="AH221" i="29"/>
  <c r="AH199" i="29"/>
  <c r="AH349" i="29" s="1"/>
  <c r="AH195" i="29"/>
  <c r="AH196" i="29" s="1"/>
  <c r="AL221" i="29"/>
  <c r="AL199" i="29"/>
  <c r="AL195" i="29"/>
  <c r="U189" i="29"/>
  <c r="Y189" i="29"/>
  <c r="AC189" i="29"/>
  <c r="AG189" i="29"/>
  <c r="B188" i="29"/>
  <c r="F221" i="29"/>
  <c r="F199" i="29"/>
  <c r="J188" i="29"/>
  <c r="AR191" i="29"/>
  <c r="BD189" i="29"/>
  <c r="BE190" i="29"/>
  <c r="BJ190" i="29"/>
  <c r="BN189" i="29"/>
  <c r="AF195" i="29"/>
  <c r="AN195" i="29"/>
  <c r="BC195" i="29"/>
  <c r="BN199" i="29"/>
  <c r="AN199" i="29"/>
  <c r="AT236" i="29"/>
  <c r="AT219" i="29"/>
  <c r="AT197" i="29"/>
  <c r="BE211" i="29"/>
  <c r="BJ211" i="29" s="1"/>
  <c r="BO211" i="29" s="1"/>
  <c r="BU211" i="29" s="1"/>
  <c r="BZ211" i="29" s="1"/>
  <c r="CE211" i="29" s="1"/>
  <c r="CJ211" i="29" s="1"/>
  <c r="CJ212" i="29"/>
  <c r="BI172" i="29"/>
  <c r="BI173" i="29" s="1"/>
  <c r="BO176" i="29"/>
  <c r="BE172" i="29"/>
  <c r="BE173" i="29" s="1"/>
  <c r="BJ182" i="29"/>
  <c r="AR223" i="29"/>
  <c r="AZ223" i="29"/>
  <c r="AZ189" i="29"/>
  <c r="AZ191" i="29"/>
  <c r="BF186" i="29"/>
  <c r="BF187" i="29" s="1"/>
  <c r="BH221" i="29"/>
  <c r="BH199" i="29"/>
  <c r="BH195" i="29"/>
  <c r="BH196" i="29" s="1"/>
  <c r="BH192" i="29"/>
  <c r="BL221" i="29"/>
  <c r="BL199" i="29"/>
  <c r="BL195" i="29"/>
  <c r="BL196" i="29" s="1"/>
  <c r="BL192" i="29"/>
  <c r="O199" i="29"/>
  <c r="O221" i="29"/>
  <c r="S188" i="29"/>
  <c r="W221" i="29"/>
  <c r="W199" i="29"/>
  <c r="W349" i="29" s="1"/>
  <c r="AE199" i="29"/>
  <c r="AE349" i="29" s="1"/>
  <c r="AE221" i="29"/>
  <c r="AI199" i="29"/>
  <c r="AI349" i="29" s="1"/>
  <c r="AM221" i="29"/>
  <c r="AR222" i="29" s="1"/>
  <c r="AM199" i="29"/>
  <c r="R189" i="29"/>
  <c r="Z189" i="29"/>
  <c r="AD189" i="29"/>
  <c r="AH189" i="29"/>
  <c r="AL189" i="29"/>
  <c r="C188" i="29"/>
  <c r="G188" i="29"/>
  <c r="K221" i="29"/>
  <c r="K223" i="29" s="1"/>
  <c r="K199" i="29"/>
  <c r="K349" i="29" s="1"/>
  <c r="AB192" i="29"/>
  <c r="AN192" i="29"/>
  <c r="AS191" i="29"/>
  <c r="BD186" i="29"/>
  <c r="BD187" i="29" s="1"/>
  <c r="BN190" i="29"/>
  <c r="AI195" i="29"/>
  <c r="AI196" i="29" s="1"/>
  <c r="AQ195" i="29"/>
  <c r="AQ196" i="29" s="1"/>
  <c r="AQ199" i="29"/>
  <c r="AT205" i="29"/>
  <c r="AU205" i="29" s="1"/>
  <c r="BD195" i="29"/>
  <c r="BD196" i="29" s="1"/>
  <c r="AB199" i="29"/>
  <c r="AB349" i="29" s="1"/>
  <c r="AA205" i="29"/>
  <c r="AZ195" i="29"/>
  <c r="BJ214" i="29"/>
  <c r="BO214" i="29"/>
  <c r="BA178" i="29"/>
  <c r="AQ186" i="29"/>
  <c r="AQ187" i="29" s="1"/>
  <c r="AS221" i="29"/>
  <c r="AS199" i="29"/>
  <c r="AS195" i="29"/>
  <c r="AS196" i="29" s="1"/>
  <c r="BA221" i="29"/>
  <c r="BA199" i="29"/>
  <c r="BA349" i="29" s="1"/>
  <c r="BA195" i="29"/>
  <c r="BA189" i="29"/>
  <c r="BA191" i="29"/>
  <c r="BG186" i="29"/>
  <c r="BG187" i="29" s="1"/>
  <c r="BF189" i="29"/>
  <c r="BM199" i="29"/>
  <c r="BM195" i="29"/>
  <c r="BM196" i="29" s="1"/>
  <c r="BM221" i="29"/>
  <c r="AB223" i="29"/>
  <c r="AB222" i="29"/>
  <c r="AN223" i="29"/>
  <c r="O189" i="29"/>
  <c r="W189" i="29"/>
  <c r="AE189" i="29"/>
  <c r="AI189" i="29"/>
  <c r="AM189" i="29"/>
  <c r="F189" i="29"/>
  <c r="AC192" i="29"/>
  <c r="AG192" i="29"/>
  <c r="AT189" i="29"/>
  <c r="AO199" i="29"/>
  <c r="AT200" i="29" s="1"/>
  <c r="AO195" i="29"/>
  <c r="AO196" i="29" s="1"/>
  <c r="AO221" i="29"/>
  <c r="AO192" i="29"/>
  <c r="BI190" i="29"/>
  <c r="BI195" i="29" s="1"/>
  <c r="BI196" i="29" s="1"/>
  <c r="BN186" i="29"/>
  <c r="BN187" i="29" s="1"/>
  <c r="AB195" i="29"/>
  <c r="AB196" i="29" s="1"/>
  <c r="AJ195" i="29"/>
  <c r="AR195" i="29"/>
  <c r="AR196" i="29" s="1"/>
  <c r="AR199" i="29"/>
  <c r="BC199" i="29"/>
  <c r="P199" i="29"/>
  <c r="P349" i="29" s="1"/>
  <c r="AF199" i="29"/>
  <c r="Q205" i="29"/>
  <c r="P205" i="29"/>
  <c r="AZ199" i="29"/>
  <c r="AZ349" i="29" s="1"/>
  <c r="BM247" i="29"/>
  <c r="BO212" i="29"/>
  <c r="BO247" i="29" s="1"/>
  <c r="BU216" i="29"/>
  <c r="BZ216" i="29"/>
  <c r="AU192" i="29"/>
  <c r="BJ216" i="29"/>
  <c r="AA216" i="29"/>
  <c r="BU218" i="29"/>
  <c r="V228" i="29"/>
  <c r="V234" i="29"/>
  <c r="BD247" i="29"/>
  <c r="BE247" i="29" s="1"/>
  <c r="AB277" i="29"/>
  <c r="AF277" i="29" s="1"/>
  <c r="AF255" i="29"/>
  <c r="AF257" i="29" s="1"/>
  <c r="AB257" i="29"/>
  <c r="BR262" i="29"/>
  <c r="BS261" i="29"/>
  <c r="AJ205" i="29"/>
  <c r="AK205" i="29" s="1"/>
  <c r="AT223" i="29"/>
  <c r="AT222" i="29"/>
  <c r="BN212" i="29"/>
  <c r="BN247" i="29" s="1"/>
  <c r="F216" i="29"/>
  <c r="AU191" i="29"/>
  <c r="BJ212" i="29"/>
  <c r="CJ216" i="29"/>
  <c r="AK234" i="29"/>
  <c r="AA247" i="29"/>
  <c r="AK247" i="29"/>
  <c r="L277" i="29"/>
  <c r="L257" i="29"/>
  <c r="X277" i="29"/>
  <c r="AA255" i="29"/>
  <c r="X257" i="29"/>
  <c r="U205" i="29"/>
  <c r="V205" i="29" s="1"/>
  <c r="BU213" i="29"/>
  <c r="BU214" i="29" s="1"/>
  <c r="AU212" i="29"/>
  <c r="AP228" i="29"/>
  <c r="AP234" i="29"/>
  <c r="BP228" i="29"/>
  <c r="AP237" i="29"/>
  <c r="AF247" i="29"/>
  <c r="AU247" i="29"/>
  <c r="CE212" i="29"/>
  <c r="BU212" i="29"/>
  <c r="BR228" i="29"/>
  <c r="BS228" i="29" s="1"/>
  <c r="BQ226" i="29"/>
  <c r="AF234" i="29"/>
  <c r="BU240" i="29"/>
  <c r="V237" i="29"/>
  <c r="AK237" i="29"/>
  <c r="AG277" i="29"/>
  <c r="AG257" i="29"/>
  <c r="AK255" i="29"/>
  <c r="AK257" i="29" s="1"/>
  <c r="BJ277" i="29"/>
  <c r="BJ257" i="29"/>
  <c r="BU277" i="29"/>
  <c r="U278" i="29"/>
  <c r="V278" i="29" s="1"/>
  <c r="O281" i="29"/>
  <c r="Q281" i="29"/>
  <c r="P281" i="29"/>
  <c r="AU228" i="29"/>
  <c r="V247" i="29"/>
  <c r="V277" i="29"/>
  <c r="V257" i="29"/>
  <c r="AH277" i="29"/>
  <c r="AH257" i="29"/>
  <c r="AL277" i="29"/>
  <c r="AL257" i="29"/>
  <c r="AP255" i="29"/>
  <c r="K257" i="29"/>
  <c r="BO266" i="29"/>
  <c r="AT263" i="29"/>
  <c r="BE263" i="29"/>
  <c r="BO262" i="29"/>
  <c r="BP262" i="29" s="1"/>
  <c r="BL263" i="29"/>
  <c r="BR263" i="29" s="1"/>
  <c r="BO263" i="29"/>
  <c r="BP263" i="29" s="1"/>
  <c r="AU268" i="29"/>
  <c r="AZ268" i="29" s="1"/>
  <c r="BN270" i="29"/>
  <c r="AZ273" i="29"/>
  <c r="AU273" i="29"/>
  <c r="BT272" i="29"/>
  <c r="BU272" i="29" s="1"/>
  <c r="BN273" i="29"/>
  <c r="BO272" i="29"/>
  <c r="AF281" i="29"/>
  <c r="AD281" i="29"/>
  <c r="AE281" i="29" s="1"/>
  <c r="K281" i="29"/>
  <c r="L281" i="29"/>
  <c r="AA279" i="29"/>
  <c r="Z279" i="29"/>
  <c r="AU280" i="29"/>
  <c r="Z257" i="29"/>
  <c r="AD257" i="29"/>
  <c r="BQ263" i="29"/>
  <c r="AQ262" i="29"/>
  <c r="AL263" i="29"/>
  <c r="AP263" i="29" s="1"/>
  <c r="BK270" i="29"/>
  <c r="BR269" i="29"/>
  <c r="AM273" i="29"/>
  <c r="AH273" i="29"/>
  <c r="AI272" i="29"/>
  <c r="BG300" i="29"/>
  <c r="BG289" i="29"/>
  <c r="BH283" i="29"/>
  <c r="BO278" i="29"/>
  <c r="BP278" i="29" s="1"/>
  <c r="BL300" i="29"/>
  <c r="BL289" i="29"/>
  <c r="BL285" i="29"/>
  <c r="BM283" i="29"/>
  <c r="AF278" i="29"/>
  <c r="AF221" i="29" s="1"/>
  <c r="T284" i="29"/>
  <c r="T285" i="29" s="1"/>
  <c r="S285" i="29"/>
  <c r="AF295" i="29"/>
  <c r="AD295" i="29"/>
  <c r="AE295" i="29" s="1"/>
  <c r="AZ288" i="29"/>
  <c r="BA288" i="29"/>
  <c r="E257" i="29"/>
  <c r="AI257" i="29"/>
  <c r="AU257" i="29"/>
  <c r="BR294" i="29"/>
  <c r="BR265" i="29"/>
  <c r="BS267" i="29"/>
  <c r="BR257" i="29"/>
  <c r="BC279" i="29"/>
  <c r="BD279" i="29" s="1"/>
  <c r="BD295" i="29"/>
  <c r="BC295" i="29"/>
  <c r="T281" i="29"/>
  <c r="U281" i="29" s="1"/>
  <c r="V281" i="29" s="1"/>
  <c r="AI297" i="29"/>
  <c r="AK297" i="29"/>
  <c r="AJ297" i="29"/>
  <c r="BQ262" i="29"/>
  <c r="BE262" i="29"/>
  <c r="BE261" i="29" s="1"/>
  <c r="BP266" i="29"/>
  <c r="AZ267" i="29"/>
  <c r="BJ269" i="29"/>
  <c r="BJ270" i="29" s="1"/>
  <c r="AT300" i="29"/>
  <c r="AT352" i="29"/>
  <c r="AT298" i="29"/>
  <c r="BC293" i="29"/>
  <c r="BI279" i="29"/>
  <c r="BI281" i="29"/>
  <c r="BG292" i="29"/>
  <c r="BI292" i="29" s="1"/>
  <c r="AI279" i="29"/>
  <c r="AI281" i="29"/>
  <c r="AJ281" i="29" s="1"/>
  <c r="BO281" i="29"/>
  <c r="BP281" i="29" s="1"/>
  <c r="BM281" i="29"/>
  <c r="BN281" i="29" s="1"/>
  <c r="I302" i="29"/>
  <c r="I287" i="29"/>
  <c r="AD284" i="29"/>
  <c r="AD285" i="29" s="1"/>
  <c r="AC285" i="29"/>
  <c r="BS293" i="29"/>
  <c r="AS286" i="29"/>
  <c r="AR289" i="29"/>
  <c r="AR287" i="29"/>
  <c r="AK299" i="29"/>
  <c r="AU264" i="29"/>
  <c r="AZ264" i="29" s="1"/>
  <c r="BO269" i="29"/>
  <c r="AU270" i="29"/>
  <c r="AZ270" i="29" s="1"/>
  <c r="AA273" i="29"/>
  <c r="U279" i="29"/>
  <c r="V279" i="29" s="1"/>
  <c r="AD280" i="29"/>
  <c r="AE280" i="29" s="1"/>
  <c r="AF280" i="29"/>
  <c r="AU294" i="29"/>
  <c r="BC277" i="29"/>
  <c r="BC280" i="29"/>
  <c r="BD280" i="29" s="1"/>
  <c r="BB300" i="29"/>
  <c r="BC283" i="29"/>
  <c r="BD291" i="29"/>
  <c r="BC291" i="29"/>
  <c r="BB352" i="29"/>
  <c r="BB298" i="29"/>
  <c r="BC296" i="29"/>
  <c r="BD296" i="29" s="1"/>
  <c r="BH279" i="29"/>
  <c r="BH281" i="29"/>
  <c r="BH293" i="29"/>
  <c r="BH292" i="29" s="1"/>
  <c r="BH295" i="29"/>
  <c r="BH298" i="29" s="1"/>
  <c r="BI298" i="29" s="1"/>
  <c r="BN278" i="29"/>
  <c r="BT278" i="29" s="1"/>
  <c r="BS278" i="29"/>
  <c r="BU278" i="29" s="1"/>
  <c r="BZ278" i="29" s="1"/>
  <c r="CE278" i="29" s="1"/>
  <c r="CJ278" i="29" s="1"/>
  <c r="L278" i="29"/>
  <c r="AJ279" i="29"/>
  <c r="AK279" i="29" s="1"/>
  <c r="AP278" i="29"/>
  <c r="L280" i="29"/>
  <c r="J292" i="29"/>
  <c r="S287" i="29"/>
  <c r="AI284" i="29"/>
  <c r="AI285" i="29" s="1"/>
  <c r="AH285" i="29"/>
  <c r="BP286" i="29"/>
  <c r="BO288" i="29"/>
  <c r="Z292" i="29"/>
  <c r="Z287" i="29"/>
  <c r="Z289" i="29"/>
  <c r="Z288" i="29"/>
  <c r="BO352" i="29"/>
  <c r="BP294" i="29"/>
  <c r="BL273" i="29"/>
  <c r="P278" i="29"/>
  <c r="Q278" i="29" s="1"/>
  <c r="AF279" i="29"/>
  <c r="BC278" i="29"/>
  <c r="BD278" i="29" s="1"/>
  <c r="BD221" i="29" s="1"/>
  <c r="BC281" i="29"/>
  <c r="BD281" i="29" s="1"/>
  <c r="BD284" i="29"/>
  <c r="BC286" i="29"/>
  <c r="BB289" i="29"/>
  <c r="BB292" i="29"/>
  <c r="BC294" i="29"/>
  <c r="BG298" i="29"/>
  <c r="BO279" i="29"/>
  <c r="AI278" i="29"/>
  <c r="AJ278" i="29" s="1"/>
  <c r="AJ221" i="29" s="1"/>
  <c r="AK280" i="29"/>
  <c r="AI280" i="29"/>
  <c r="AJ280" i="29" s="1"/>
  <c r="P280" i="29"/>
  <c r="Q280" i="29"/>
  <c r="BO280" i="29"/>
  <c r="BP280" i="29" s="1"/>
  <c r="Z281" i="29"/>
  <c r="O284" i="29"/>
  <c r="O285" i="29" s="1"/>
  <c r="N285" i="29"/>
  <c r="AA286" i="29"/>
  <c r="X292" i="29"/>
  <c r="X289" i="29"/>
  <c r="X288" i="29"/>
  <c r="AN281" i="29"/>
  <c r="AO281" i="29"/>
  <c r="AM318" i="29"/>
  <c r="AN288" i="29"/>
  <c r="AN293" i="29"/>
  <c r="AM292" i="29"/>
  <c r="AP297" i="29"/>
  <c r="AO297" i="29"/>
  <c r="AM298" i="29"/>
  <c r="H306" i="29"/>
  <c r="H313" i="29" s="1"/>
  <c r="H314" i="29" s="1"/>
  <c r="I301" i="29"/>
  <c r="V280" i="29"/>
  <c r="I285" i="29"/>
  <c r="BQ316" i="29"/>
  <c r="BR316" i="29" s="1"/>
  <c r="BS316" i="29" s="1"/>
  <c r="AH287" i="29"/>
  <c r="AH289" i="29"/>
  <c r="L291" i="29"/>
  <c r="Z284" i="29"/>
  <c r="Z285" i="29" s="1"/>
  <c r="BM287" i="29"/>
  <c r="S292" i="29"/>
  <c r="BM292" i="29"/>
  <c r="N352" i="29"/>
  <c r="O294" i="29"/>
  <c r="N298" i="29"/>
  <c r="S352" i="29"/>
  <c r="T294" i="29"/>
  <c r="S298" i="29"/>
  <c r="AI295" i="29"/>
  <c r="AJ295" i="29"/>
  <c r="AK295" i="29" s="1"/>
  <c r="AF297" i="29"/>
  <c r="BD277" i="29"/>
  <c r="BU286" i="29"/>
  <c r="BM299" i="29"/>
  <c r="BL298" i="29"/>
  <c r="J283" i="29"/>
  <c r="AA281" i="29"/>
  <c r="AK283" i="29"/>
  <c r="K286" i="29"/>
  <c r="O286" i="29"/>
  <c r="N289" i="29"/>
  <c r="T286" i="29"/>
  <c r="S289" i="29"/>
  <c r="AD286" i="29"/>
  <c r="AC289" i="29"/>
  <c r="AI286" i="29"/>
  <c r="J287" i="29"/>
  <c r="J291" i="29"/>
  <c r="K291" i="29" s="1"/>
  <c r="AI291" i="29"/>
  <c r="BM288" i="29"/>
  <c r="N292" i="29"/>
  <c r="AH292" i="29"/>
  <c r="BN292" i="29"/>
  <c r="J295" i="29"/>
  <c r="K295" i="29" s="1"/>
  <c r="P295" i="29"/>
  <c r="V297" i="29"/>
  <c r="AI296" i="29"/>
  <c r="AJ296" i="29" s="1"/>
  <c r="AK296" i="29" s="1"/>
  <c r="AP296" i="29"/>
  <c r="BL287" i="29"/>
  <c r="BL288" i="29"/>
  <c r="Q285" i="29"/>
  <c r="AA291" i="29"/>
  <c r="AA292" i="29" s="1"/>
  <c r="AO298" i="29"/>
  <c r="BK314" i="29"/>
  <c r="BQ314" i="29" s="1"/>
  <c r="BI278" i="29"/>
  <c r="BI221" i="29" s="1"/>
  <c r="BI280" i="29"/>
  <c r="BI284" i="29"/>
  <c r="BI286" i="29"/>
  <c r="BG288" i="29"/>
  <c r="BI294" i="29"/>
  <c r="BI296" i="29"/>
  <c r="V285" i="29"/>
  <c r="V300" i="29"/>
  <c r="AA300" i="29"/>
  <c r="AA289" i="29"/>
  <c r="AA285" i="29"/>
  <c r="AF285" i="29"/>
  <c r="BD283" i="29"/>
  <c r="N287" i="29"/>
  <c r="Q291" i="29"/>
  <c r="V291" i="29"/>
  <c r="AC287" i="29"/>
  <c r="AF291" i="29"/>
  <c r="BR288" i="29"/>
  <c r="AS300" i="29"/>
  <c r="AS289" i="29"/>
  <c r="AS285" i="29"/>
  <c r="BE289" i="29"/>
  <c r="BO292" i="29"/>
  <c r="BP292" i="29" s="1"/>
  <c r="BN295" i="29"/>
  <c r="BO295" i="29" s="1"/>
  <c r="I352" i="29"/>
  <c r="J294" i="29"/>
  <c r="I298" i="29"/>
  <c r="Q296" i="29"/>
  <c r="AH352" i="29"/>
  <c r="AI294" i="29"/>
  <c r="AH298" i="29"/>
  <c r="AJ294" i="29"/>
  <c r="AJ352" i="29" s="1"/>
  <c r="AP288" i="29"/>
  <c r="AP287" i="29"/>
  <c r="AR292" i="29"/>
  <c r="C301" i="29"/>
  <c r="C302" i="29" s="1"/>
  <c r="B306" i="29"/>
  <c r="B313" i="29" s="1"/>
  <c r="AF300" i="29"/>
  <c r="AR300" i="29"/>
  <c r="L330" i="29"/>
  <c r="Z297" i="29"/>
  <c r="AA297" i="29" s="1"/>
  <c r="AE297" i="29"/>
  <c r="AS298" i="29"/>
  <c r="Q295" i="29"/>
  <c r="V296" i="29"/>
  <c r="BP311" i="29"/>
  <c r="L309" i="29"/>
  <c r="BJ309" i="29"/>
  <c r="AN287" i="29"/>
  <c r="Z294" i="29"/>
  <c r="X298" i="29"/>
  <c r="AC298" i="29"/>
  <c r="AM300" i="29"/>
  <c r="BP307" i="29"/>
  <c r="BP315" i="29" s="1"/>
  <c r="BP319" i="29" s="1"/>
  <c r="BP345" i="29" s="1"/>
  <c r="BQ307" i="29"/>
  <c r="BP309" i="29"/>
  <c r="BP313" i="29"/>
  <c r="BP314" i="29" s="1"/>
  <c r="V311" i="29"/>
  <c r="BE309" i="29"/>
  <c r="AF327" i="29"/>
  <c r="AF330" i="29"/>
  <c r="U295" i="29"/>
  <c r="V295" i="29" s="1"/>
  <c r="AD294" i="29"/>
  <c r="AN285" i="29"/>
  <c r="Z296" i="29"/>
  <c r="AA296" i="29" s="1"/>
  <c r="AN298" i="29"/>
  <c r="AP298" i="29" s="1"/>
  <c r="AP299" i="29" s="1"/>
  <c r="AR298" i="29"/>
  <c r="AU298" i="29" s="1"/>
  <c r="BL314" i="29"/>
  <c r="BR314" i="29" s="1"/>
  <c r="AK309" i="29"/>
  <c r="BP329" i="29"/>
  <c r="Q311" i="29"/>
  <c r="V309" i="29"/>
  <c r="AF311" i="29"/>
  <c r="BP327" i="29"/>
  <c r="BR330" i="29"/>
  <c r="BN314" i="29"/>
  <c r="BT314" i="29" s="1"/>
  <c r="L311" i="29"/>
  <c r="AK311" i="29"/>
  <c r="AP309" i="29"/>
  <c r="AU309" i="29"/>
  <c r="BE311" i="29"/>
  <c r="BJ311" i="29"/>
  <c r="AJ325" i="29"/>
  <c r="AA334" i="29"/>
  <c r="AA330" i="29"/>
  <c r="Q309" i="29"/>
  <c r="AF309" i="29"/>
  <c r="AP311" i="29"/>
  <c r="AU311" i="29"/>
  <c r="BP322" i="29"/>
  <c r="BP323" i="29" s="1"/>
  <c r="BO323" i="29"/>
  <c r="BP331" i="29"/>
  <c r="BP335" i="29" s="1"/>
  <c r="BP344" i="29" s="1"/>
  <c r="AU325" i="29"/>
  <c r="AU331" i="29"/>
  <c r="AU335" i="29" s="1"/>
  <c r="AU344" i="29" s="1"/>
  <c r="BP333" i="29"/>
  <c r="BQ333" i="29"/>
  <c r="BR333" i="29" s="1"/>
  <c r="BS333" i="29" s="1"/>
  <c r="BT333" i="29" s="1"/>
  <c r="BU333" i="29" s="1"/>
  <c r="BZ333" i="29" s="1"/>
  <c r="CE333" i="29" s="1"/>
  <c r="CJ333" i="29" s="1"/>
  <c r="BJ344" i="29"/>
  <c r="L334" i="29"/>
  <c r="Q330" i="29"/>
  <c r="Q334" i="29"/>
  <c r="BE329" i="29"/>
  <c r="BP342" i="29"/>
  <c r="V325" i="29"/>
  <c r="V330" i="29"/>
  <c r="BE325" i="29"/>
  <c r="BT337" i="29"/>
  <c r="BP351" i="29"/>
  <c r="AJ334" i="29"/>
  <c r="AK334" i="29" s="1"/>
  <c r="AN334" i="29"/>
  <c r="BE331" i="29"/>
  <c r="BE335" i="29" s="1"/>
  <c r="V344" i="29"/>
  <c r="V345" i="29" s="1"/>
  <c r="Q351" i="29"/>
  <c r="BJ351" i="29"/>
  <c r="AG351" i="29"/>
  <c r="AE351" i="29"/>
  <c r="L351" i="29"/>
  <c r="Q342" i="29"/>
  <c r="Q344" i="29" s="1"/>
  <c r="Q345" i="29" s="1"/>
  <c r="AF337" i="29"/>
  <c r="AK342" i="29"/>
  <c r="BE351" i="29"/>
  <c r="BJ342" i="29"/>
  <c r="AL334" i="29"/>
  <c r="AK335" i="29"/>
  <c r="AK344" i="29" s="1"/>
  <c r="AK345" i="29" s="1"/>
  <c r="BO351" i="29"/>
  <c r="L342" i="29"/>
  <c r="L344" i="29" s="1"/>
  <c r="L345" i="29" s="1"/>
  <c r="AA351" i="29"/>
  <c r="AU351" i="29"/>
  <c r="BE342" i="29"/>
  <c r="AZ351" i="29"/>
  <c r="N60" i="120"/>
  <c r="N18" i="120"/>
  <c r="N31" i="120" s="1"/>
  <c r="N33" i="120" s="1"/>
  <c r="N41" i="120" s="1"/>
  <c r="N43" i="120" s="1"/>
  <c r="E57" i="120"/>
  <c r="O60" i="120"/>
  <c r="N62" i="120"/>
  <c r="P16" i="120"/>
  <c r="E44" i="120"/>
  <c r="N55" i="120"/>
  <c r="O55" i="120"/>
  <c r="BQ26" i="29" l="1"/>
  <c r="BQ308" i="29"/>
  <c r="BQ66" i="29"/>
  <c r="BQ16" i="29"/>
  <c r="BT181" i="29"/>
  <c r="BQ322" i="29"/>
  <c r="BQ181" i="29"/>
  <c r="BQ111" i="29"/>
  <c r="BQ112" i="29" s="1"/>
  <c r="D301" i="29"/>
  <c r="D302" i="29" s="1"/>
  <c r="C306" i="29"/>
  <c r="C313" i="29" s="1"/>
  <c r="C314" i="29" s="1"/>
  <c r="BP295" i="29"/>
  <c r="P52" i="120" s="1"/>
  <c r="BI222" i="29"/>
  <c r="BI223" i="29"/>
  <c r="BU76" i="29"/>
  <c r="BZ76" i="29" s="1"/>
  <c r="Q15" i="120"/>
  <c r="AU104" i="29"/>
  <c r="AU97" i="29"/>
  <c r="AU88" i="29"/>
  <c r="AU94" i="29"/>
  <c r="AU95" i="29" s="1"/>
  <c r="AU86" i="29"/>
  <c r="AU85" i="29"/>
  <c r="AU93" i="29"/>
  <c r="AZ85" i="29"/>
  <c r="AU91" i="29"/>
  <c r="BS201" i="29"/>
  <c r="BS78" i="29"/>
  <c r="BS66" i="29"/>
  <c r="BS26" i="29"/>
  <c r="BS16" i="29"/>
  <c r="BS36" i="29"/>
  <c r="BS6" i="29"/>
  <c r="AJ223" i="29"/>
  <c r="AJ222" i="29"/>
  <c r="BD223" i="29"/>
  <c r="BD224" i="29" s="1"/>
  <c r="BD222" i="29"/>
  <c r="AF223" i="29"/>
  <c r="AP104" i="29"/>
  <c r="AP94" i="29"/>
  <c r="AP95" i="29" s="1"/>
  <c r="AP97" i="29"/>
  <c r="AP85" i="29"/>
  <c r="AP88" i="29"/>
  <c r="AP86" i="29"/>
  <c r="AP91" i="29"/>
  <c r="AP93" i="29"/>
  <c r="BD285" i="29"/>
  <c r="K292" i="29"/>
  <c r="L292" i="29" s="1"/>
  <c r="K287" i="29"/>
  <c r="L295" i="29"/>
  <c r="BT316" i="29"/>
  <c r="BU316" i="29" s="1"/>
  <c r="BT288" i="29"/>
  <c r="BQ279" i="29"/>
  <c r="BP279" i="29"/>
  <c r="BP293" i="29"/>
  <c r="P50" i="120" s="1"/>
  <c r="P49" i="120" s="1"/>
  <c r="BP288" i="29"/>
  <c r="BP287" i="29"/>
  <c r="P48" i="120"/>
  <c r="AU352" i="29"/>
  <c r="AU299" i="29"/>
  <c r="BP269" i="29"/>
  <c r="BP270" i="29" s="1"/>
  <c r="BO270" i="29"/>
  <c r="AJ298" i="29"/>
  <c r="BC292" i="29"/>
  <c r="BD292" i="29" s="1"/>
  <c r="BM285" i="29"/>
  <c r="BM300" i="29"/>
  <c r="BM289" i="29"/>
  <c r="BN283" i="29"/>
  <c r="BQ234" i="29"/>
  <c r="CE247" i="29"/>
  <c r="S30" i="120"/>
  <c r="BJ247" i="29"/>
  <c r="O30" i="120"/>
  <c r="BC219" i="29"/>
  <c r="BC236" i="29"/>
  <c r="BC200" i="29"/>
  <c r="BC197" i="29"/>
  <c r="AO222" i="29"/>
  <c r="AO223" i="29"/>
  <c r="AO224" i="29" s="1"/>
  <c r="BA222" i="29"/>
  <c r="BA223" i="29"/>
  <c r="BA224" i="29" s="1"/>
  <c r="AM236" i="29"/>
  <c r="AM197" i="29"/>
  <c r="AM219" i="29"/>
  <c r="AM200" i="29"/>
  <c r="AE223" i="29"/>
  <c r="AE222" i="29"/>
  <c r="S199" i="29"/>
  <c r="S221" i="29"/>
  <c r="S189" i="29"/>
  <c r="S186" i="29"/>
  <c r="AN236" i="29"/>
  <c r="AN219" i="29"/>
  <c r="AN200" i="29"/>
  <c r="AN197" i="29"/>
  <c r="AN196" i="29"/>
  <c r="BE192" i="29"/>
  <c r="BE191" i="29"/>
  <c r="F236" i="29"/>
  <c r="F197" i="29"/>
  <c r="F219" i="29"/>
  <c r="AL236" i="29"/>
  <c r="AL197" i="29"/>
  <c r="AL219" i="29"/>
  <c r="AL200" i="29"/>
  <c r="AH223" i="29"/>
  <c r="AH222" i="29"/>
  <c r="Z223" i="29"/>
  <c r="N199" i="29"/>
  <c r="N221" i="29"/>
  <c r="N189" i="29"/>
  <c r="N186" i="29"/>
  <c r="N187" i="29" s="1"/>
  <c r="AJ236" i="29"/>
  <c r="AJ219" i="29"/>
  <c r="AJ200" i="29"/>
  <c r="AJ197" i="29"/>
  <c r="BF236" i="29"/>
  <c r="BF219" i="29"/>
  <c r="BF200" i="29"/>
  <c r="BF197" i="29"/>
  <c r="E221" i="29"/>
  <c r="E199" i="29"/>
  <c r="E189" i="29"/>
  <c r="E186" i="29"/>
  <c r="E187" i="29" s="1"/>
  <c r="Y236" i="29"/>
  <c r="Y200" i="29"/>
  <c r="Y219" i="29"/>
  <c r="Y197" i="29"/>
  <c r="BF222" i="29"/>
  <c r="BB236" i="29"/>
  <c r="BB219" i="29"/>
  <c r="BB200" i="29"/>
  <c r="BB197" i="29"/>
  <c r="BE195" i="29"/>
  <c r="BE196" i="29" s="1"/>
  <c r="AK200" i="29"/>
  <c r="AK236" i="29"/>
  <c r="AK239" i="29" s="1"/>
  <c r="AK241" i="29" s="1"/>
  <c r="AK197" i="29"/>
  <c r="V221" i="29"/>
  <c r="V199" i="29"/>
  <c r="V195" i="29"/>
  <c r="V189" i="29"/>
  <c r="V186" i="29"/>
  <c r="V192" i="29"/>
  <c r="BJ147" i="29"/>
  <c r="BJ145" i="29"/>
  <c r="BJ146" i="29" s="1"/>
  <c r="BJ149" i="29"/>
  <c r="BO147" i="29"/>
  <c r="O23" i="120"/>
  <c r="AU129" i="29"/>
  <c r="AU126" i="29"/>
  <c r="AU127" i="29" s="1"/>
  <c r="AA119" i="29"/>
  <c r="AF123" i="29"/>
  <c r="AF121" i="29"/>
  <c r="AA123" i="29"/>
  <c r="AA121" i="29"/>
  <c r="BO199" i="29"/>
  <c r="AQ100" i="29"/>
  <c r="I236" i="29"/>
  <c r="I219" i="29"/>
  <c r="I197" i="29"/>
  <c r="D236" i="29"/>
  <c r="D219" i="29"/>
  <c r="D197" i="29"/>
  <c r="BN173" i="29"/>
  <c r="AF329" i="29"/>
  <c r="AF211" i="29"/>
  <c r="AF203" i="29"/>
  <c r="BR176" i="29"/>
  <c r="BR174" i="29"/>
  <c r="BJ103" i="29"/>
  <c r="BJ102" i="29"/>
  <c r="AK26" i="29"/>
  <c r="BI112" i="29"/>
  <c r="BN112" i="29"/>
  <c r="BB329" i="29"/>
  <c r="BB327" i="29"/>
  <c r="BB287" i="29"/>
  <c r="BB203" i="29"/>
  <c r="BB211" i="29"/>
  <c r="BB202" i="29"/>
  <c r="BB349" i="29"/>
  <c r="AH329" i="29"/>
  <c r="AH327" i="29"/>
  <c r="AH211" i="29"/>
  <c r="AH203" i="29"/>
  <c r="AH202" i="29"/>
  <c r="AC327" i="29"/>
  <c r="AC329" i="29"/>
  <c r="AC203" i="29"/>
  <c r="D329" i="29"/>
  <c r="D327" i="29"/>
  <c r="D287" i="29"/>
  <c r="D202" i="29"/>
  <c r="D203" i="29"/>
  <c r="D349" i="29"/>
  <c r="BQ176" i="29"/>
  <c r="BQ174" i="29"/>
  <c r="BU175" i="29"/>
  <c r="AO103" i="29"/>
  <c r="AO102" i="29"/>
  <c r="AO118" i="29"/>
  <c r="AO99" i="29"/>
  <c r="AO100" i="29" s="1"/>
  <c r="AP125" i="29"/>
  <c r="AP144" i="29"/>
  <c r="BU15" i="29"/>
  <c r="Q10" i="120"/>
  <c r="G38" i="120" s="1"/>
  <c r="BZ14" i="29"/>
  <c r="BR188" i="29"/>
  <c r="BR183" i="29"/>
  <c r="BR108" i="29"/>
  <c r="BR110" i="29"/>
  <c r="AP142" i="29"/>
  <c r="AE329" i="29"/>
  <c r="AE327" i="29"/>
  <c r="AE203" i="29"/>
  <c r="AE202" i="29"/>
  <c r="BD329" i="29"/>
  <c r="BD327" i="29"/>
  <c r="BD211" i="29"/>
  <c r="BD202" i="29"/>
  <c r="BD203" i="29"/>
  <c r="AU201" i="29"/>
  <c r="AU78" i="29"/>
  <c r="AU80" i="29"/>
  <c r="AU81" i="29" s="1"/>
  <c r="AZ78" i="29"/>
  <c r="AS79" i="29"/>
  <c r="AU26" i="29"/>
  <c r="AT79" i="29"/>
  <c r="AR79" i="29"/>
  <c r="BT322" i="29"/>
  <c r="BU322" i="29" s="1"/>
  <c r="W329" i="29"/>
  <c r="W327" i="29"/>
  <c r="W287" i="29"/>
  <c r="W203" i="29"/>
  <c r="W202" i="29"/>
  <c r="C327" i="29"/>
  <c r="C329" i="29"/>
  <c r="C287" i="29"/>
  <c r="BT136" i="29"/>
  <c r="BT134" i="29"/>
  <c r="V133" i="29"/>
  <c r="BT123" i="29"/>
  <c r="BT121" i="29"/>
  <c r="AP107" i="29"/>
  <c r="AZ151" i="29"/>
  <c r="BQ201" i="29"/>
  <c r="BQ78" i="29"/>
  <c r="BS308" i="29"/>
  <c r="J329" i="29"/>
  <c r="J327" i="29"/>
  <c r="F329" i="29"/>
  <c r="F327" i="29"/>
  <c r="F287" i="29"/>
  <c r="F203" i="29"/>
  <c r="F202" i="29"/>
  <c r="F349" i="29"/>
  <c r="BJ33" i="29"/>
  <c r="BT149" i="29"/>
  <c r="BT147" i="29"/>
  <c r="AU125" i="29"/>
  <c r="AU144" i="29"/>
  <c r="BT188" i="29"/>
  <c r="BT183" i="29"/>
  <c r="BT110" i="29"/>
  <c r="BT108" i="29"/>
  <c r="P82" i="29"/>
  <c r="Q329" i="29"/>
  <c r="Q327" i="29"/>
  <c r="BJ83" i="29"/>
  <c r="BJ81" i="29" s="1"/>
  <c r="AF351" i="29"/>
  <c r="AF342" i="29"/>
  <c r="AF344" i="29" s="1"/>
  <c r="AF345" i="29" s="1"/>
  <c r="AK351" i="29"/>
  <c r="Z352" i="29"/>
  <c r="Z298" i="29"/>
  <c r="AK294" i="29"/>
  <c r="AK352" i="29" s="1"/>
  <c r="J352" i="29"/>
  <c r="J298" i="29"/>
  <c r="AI288" i="29"/>
  <c r="AI289" i="29"/>
  <c r="AI287" i="29"/>
  <c r="AI292" i="29"/>
  <c r="AJ286" i="29"/>
  <c r="T288" i="29"/>
  <c r="T292" i="29"/>
  <c r="T287" i="29"/>
  <c r="U286" i="29"/>
  <c r="T289" i="29"/>
  <c r="AK300" i="29"/>
  <c r="AK285" i="29"/>
  <c r="T352" i="29"/>
  <c r="T298" i="29"/>
  <c r="O352" i="29"/>
  <c r="O298" i="29"/>
  <c r="BC287" i="29"/>
  <c r="BC288" i="29"/>
  <c r="BI295" i="29"/>
  <c r="BF262" i="29"/>
  <c r="BH300" i="29"/>
  <c r="BH285" i="29"/>
  <c r="BH289" i="29"/>
  <c r="AQ263" i="29"/>
  <c r="AU263" i="29" s="1"/>
  <c r="AZ263" i="29" s="1"/>
  <c r="AU262" i="29"/>
  <c r="BO273" i="29"/>
  <c r="BP272" i="29"/>
  <c r="AP277" i="29"/>
  <c r="AP257" i="29"/>
  <c r="BT228" i="29"/>
  <c r="BT226" i="29" s="1"/>
  <c r="BT234" i="29" s="1"/>
  <c r="BS226" i="29"/>
  <c r="BS234" i="29" s="1"/>
  <c r="BR226" i="29"/>
  <c r="BR234" i="29" s="1"/>
  <c r="AT224" i="29"/>
  <c r="AR219" i="29"/>
  <c r="AR220" i="29" s="1"/>
  <c r="AR236" i="29"/>
  <c r="AR197" i="29"/>
  <c r="AR198" i="29" s="1"/>
  <c r="AR200" i="29"/>
  <c r="BM236" i="29"/>
  <c r="BM219" i="29"/>
  <c r="BM200" i="29"/>
  <c r="BM197" i="29"/>
  <c r="G221" i="29"/>
  <c r="G199" i="29"/>
  <c r="G186" i="29"/>
  <c r="G187" i="29" s="1"/>
  <c r="G189" i="29"/>
  <c r="AM223" i="29"/>
  <c r="AM224" i="29" s="1"/>
  <c r="AM222" i="29"/>
  <c r="AE219" i="29"/>
  <c r="AE197" i="29"/>
  <c r="AE200" i="29"/>
  <c r="AE236" i="29"/>
  <c r="O223" i="29"/>
  <c r="BL236" i="29"/>
  <c r="BL219" i="29"/>
  <c r="BL200" i="29"/>
  <c r="BL197" i="29"/>
  <c r="BH219" i="29"/>
  <c r="BH220" i="29" s="1"/>
  <c r="BH200" i="29"/>
  <c r="BH197" i="29"/>
  <c r="BH198" i="29" s="1"/>
  <c r="BH236" i="29"/>
  <c r="AR224" i="29"/>
  <c r="BN219" i="29"/>
  <c r="BN236" i="29"/>
  <c r="BN200" i="29"/>
  <c r="BN197" i="29"/>
  <c r="BN198" i="29" s="1"/>
  <c r="F223" i="29"/>
  <c r="F222" i="29"/>
  <c r="AL223" i="29"/>
  <c r="AL222" i="29"/>
  <c r="AD223" i="29"/>
  <c r="AD222" i="29"/>
  <c r="Z236" i="29"/>
  <c r="Z219" i="29"/>
  <c r="Z197" i="29"/>
  <c r="Z200" i="29"/>
  <c r="BG236" i="29"/>
  <c r="BG219" i="29"/>
  <c r="BG220" i="29" s="1"/>
  <c r="BG200" i="29"/>
  <c r="BG197" i="29"/>
  <c r="BG198" i="29" s="1"/>
  <c r="BC221" i="29"/>
  <c r="BJ181" i="29"/>
  <c r="O25" i="120"/>
  <c r="AG196" i="29"/>
  <c r="AC236" i="29"/>
  <c r="AC219" i="29"/>
  <c r="AC197" i="29"/>
  <c r="U219" i="29"/>
  <c r="U200" i="29"/>
  <c r="U236" i="29"/>
  <c r="U197" i="29"/>
  <c r="BB222" i="29"/>
  <c r="BB223" i="29"/>
  <c r="BB224" i="29" s="1"/>
  <c r="BE236" i="29"/>
  <c r="BE197" i="29"/>
  <c r="BE200" i="29"/>
  <c r="BE219" i="29"/>
  <c r="BP188" i="29"/>
  <c r="BP106" i="29"/>
  <c r="P20" i="120"/>
  <c r="L221" i="29"/>
  <c r="L199" i="29"/>
  <c r="L189" i="29"/>
  <c r="L186" i="29"/>
  <c r="L187" i="29" s="1"/>
  <c r="T236" i="29"/>
  <c r="T219" i="29"/>
  <c r="T200" i="29"/>
  <c r="T197" i="29"/>
  <c r="AU146" i="29"/>
  <c r="AZ146" i="29"/>
  <c r="BI120" i="29"/>
  <c r="BN120" i="29"/>
  <c r="BO221" i="29"/>
  <c r="AL100" i="29"/>
  <c r="AP99" i="29"/>
  <c r="AP100" i="29" s="1"/>
  <c r="D223" i="29"/>
  <c r="AP129" i="29"/>
  <c r="AP126" i="29"/>
  <c r="AP127" i="29" s="1"/>
  <c r="BN178" i="29"/>
  <c r="AP155" i="29"/>
  <c r="AP152" i="29"/>
  <c r="AP153" i="29" s="1"/>
  <c r="BI236" i="29"/>
  <c r="BI219" i="29"/>
  <c r="BI200" i="29"/>
  <c r="BI197" i="29"/>
  <c r="AZ140" i="29"/>
  <c r="V120" i="29"/>
  <c r="BE99" i="29"/>
  <c r="BE100" i="29" s="1"/>
  <c r="AK349" i="29"/>
  <c r="AK325" i="29"/>
  <c r="AK201" i="29"/>
  <c r="AK191" i="29"/>
  <c r="AK46" i="29"/>
  <c r="AK83" i="29"/>
  <c r="AJ79" i="29"/>
  <c r="AK80" i="29"/>
  <c r="AK81" i="29" s="1"/>
  <c r="AI79" i="29"/>
  <c r="AK6" i="29"/>
  <c r="AK78" i="29"/>
  <c r="AK56" i="29"/>
  <c r="AK16" i="29"/>
  <c r="BT201" i="29"/>
  <c r="BT313" i="29" s="1"/>
  <c r="BU313" i="29" s="1"/>
  <c r="BT6" i="29"/>
  <c r="BT36" i="29"/>
  <c r="BT78" i="29"/>
  <c r="AN329" i="29"/>
  <c r="AN327" i="29"/>
  <c r="AN202" i="29"/>
  <c r="AN203" i="29"/>
  <c r="BU177" i="29"/>
  <c r="BU178" i="29" s="1"/>
  <c r="BZ64" i="29"/>
  <c r="BU65" i="29"/>
  <c r="Q13" i="120"/>
  <c r="G41" i="120" s="1"/>
  <c r="BR177" i="29"/>
  <c r="BR178" i="29" s="1"/>
  <c r="AA151" i="29"/>
  <c r="AF151" i="29"/>
  <c r="AU157" i="29"/>
  <c r="AU138" i="29"/>
  <c r="AA124" i="29"/>
  <c r="AA23" i="29"/>
  <c r="AA22" i="29"/>
  <c r="AA15" i="29"/>
  <c r="BS188" i="29"/>
  <c r="BS183" i="29"/>
  <c r="BS108" i="29"/>
  <c r="BS110" i="29"/>
  <c r="BI107" i="29"/>
  <c r="BN107" i="29"/>
  <c r="AT327" i="29"/>
  <c r="AT329" i="29"/>
  <c r="AT202" i="29"/>
  <c r="AT203" i="29"/>
  <c r="AE82" i="29"/>
  <c r="BG327" i="29"/>
  <c r="BG329" i="29"/>
  <c r="BG287" i="29"/>
  <c r="BG203" i="29"/>
  <c r="BG204" i="29" s="1"/>
  <c r="BG202" i="29"/>
  <c r="BG349" i="29"/>
  <c r="AM327" i="29"/>
  <c r="AM329" i="29"/>
  <c r="AM287" i="29"/>
  <c r="AM203" i="29"/>
  <c r="AM202" i="29"/>
  <c r="AM349" i="29"/>
  <c r="X325" i="29"/>
  <c r="X309" i="29"/>
  <c r="X311" i="29"/>
  <c r="X201" i="29"/>
  <c r="X104" i="29"/>
  <c r="X82" i="29"/>
  <c r="X80" i="29"/>
  <c r="X81" i="29" s="1"/>
  <c r="X46" i="29"/>
  <c r="X26" i="29"/>
  <c r="AC78" i="29"/>
  <c r="X78" i="29"/>
  <c r="X36" i="29"/>
  <c r="X6" i="29"/>
  <c r="X56" i="29"/>
  <c r="H329" i="29"/>
  <c r="H327" i="29"/>
  <c r="H287" i="29"/>
  <c r="L287" i="29" s="1"/>
  <c r="H203" i="29"/>
  <c r="H206" i="29" s="1"/>
  <c r="BT66" i="29"/>
  <c r="BQ177" i="29"/>
  <c r="BQ178" i="29" s="1"/>
  <c r="AK36" i="29"/>
  <c r="BU25" i="29"/>
  <c r="Q11" i="120"/>
  <c r="G39" i="120" s="1"/>
  <c r="BZ24" i="29"/>
  <c r="BJ124" i="29"/>
  <c r="BJ125" i="29" s="1"/>
  <c r="BJ15" i="29"/>
  <c r="O10" i="120"/>
  <c r="BJ22" i="29"/>
  <c r="BJ16" i="29"/>
  <c r="BO107" i="29"/>
  <c r="BO121" i="29"/>
  <c r="BK329" i="29"/>
  <c r="BQ329" i="29" s="1"/>
  <c r="BK327" i="29"/>
  <c r="BQ327" i="29" s="1"/>
  <c r="BQ326" i="29" s="1"/>
  <c r="BK287" i="29"/>
  <c r="BK202" i="29"/>
  <c r="BK203" i="29"/>
  <c r="BN329" i="29"/>
  <c r="BT329" i="29" s="1"/>
  <c r="BT328" i="29" s="1"/>
  <c r="BU328" i="29" s="1"/>
  <c r="BN327" i="29"/>
  <c r="BT327" i="29" s="1"/>
  <c r="BT326" i="29" s="1"/>
  <c r="BU326" i="29" s="1"/>
  <c r="BN287" i="29"/>
  <c r="BN202" i="29"/>
  <c r="BN203" i="29"/>
  <c r="BN349" i="29"/>
  <c r="BA327" i="29"/>
  <c r="BA329" i="29"/>
  <c r="BA287" i="29"/>
  <c r="BA203" i="29"/>
  <c r="BA202" i="29"/>
  <c r="BA211" i="29"/>
  <c r="AL187" i="29"/>
  <c r="AG329" i="29"/>
  <c r="AG327" i="29"/>
  <c r="AG287" i="29"/>
  <c r="AG202" i="29"/>
  <c r="AG211" i="29"/>
  <c r="AG203" i="29"/>
  <c r="AB329" i="29"/>
  <c r="AB327" i="29"/>
  <c r="AB287" i="29"/>
  <c r="AB202" i="29"/>
  <c r="AB203" i="29"/>
  <c r="G327" i="29"/>
  <c r="G329" i="29"/>
  <c r="G287" i="29"/>
  <c r="G203" i="29"/>
  <c r="G202" i="29"/>
  <c r="BU148" i="29"/>
  <c r="BU150" i="29" s="1"/>
  <c r="BU151" i="29" s="1"/>
  <c r="BQ147" i="29"/>
  <c r="BQ149" i="29"/>
  <c r="BT137" i="29"/>
  <c r="BT138" i="29" s="1"/>
  <c r="V138" i="29"/>
  <c r="BO120" i="29"/>
  <c r="BT124" i="29"/>
  <c r="BT125" i="29" s="1"/>
  <c r="AU107" i="29"/>
  <c r="BO149" i="29"/>
  <c r="AP116" i="29"/>
  <c r="AN94" i="29"/>
  <c r="AN95" i="29" s="1"/>
  <c r="BM79" i="29"/>
  <c r="AZ329" i="29"/>
  <c r="AZ327" i="29"/>
  <c r="AZ287" i="29"/>
  <c r="AZ211" i="29"/>
  <c r="AZ202" i="29"/>
  <c r="AZ203" i="29"/>
  <c r="B325" i="29"/>
  <c r="B311" i="29"/>
  <c r="B309" i="29"/>
  <c r="B201" i="29"/>
  <c r="B104" i="29"/>
  <c r="B103" i="29"/>
  <c r="B36" i="29"/>
  <c r="B6" i="29"/>
  <c r="B56" i="29"/>
  <c r="B46" i="29"/>
  <c r="B82" i="29"/>
  <c r="B80" i="29" s="1"/>
  <c r="B81" i="29" s="1"/>
  <c r="B26" i="29"/>
  <c r="B16" i="29"/>
  <c r="AF164" i="29"/>
  <c r="AK164" i="29"/>
  <c r="AA171" i="29"/>
  <c r="AA138" i="29"/>
  <c r="BS121" i="29"/>
  <c r="BS123" i="29"/>
  <c r="BT111" i="29"/>
  <c r="BT112" i="29" s="1"/>
  <c r="BE327" i="29"/>
  <c r="BE287" i="29"/>
  <c r="BE203" i="29"/>
  <c r="BE202" i="29"/>
  <c r="BO83" i="29"/>
  <c r="BO81" i="29" s="1"/>
  <c r="AP78" i="29"/>
  <c r="BR77" i="29"/>
  <c r="BP80" i="29"/>
  <c r="BS330" i="29"/>
  <c r="AD352" i="29"/>
  <c r="AE294" i="29"/>
  <c r="AD298" i="29"/>
  <c r="AA294" i="29"/>
  <c r="BQ313" i="29"/>
  <c r="AN300" i="29"/>
  <c r="AO293" i="29"/>
  <c r="AN292" i="29"/>
  <c r="AP281" i="29"/>
  <c r="BC352" i="29"/>
  <c r="BC298" i="29"/>
  <c r="BD298" i="29" s="1"/>
  <c r="BO293" i="29"/>
  <c r="BD294" i="29"/>
  <c r="BD352" i="29" s="1"/>
  <c r="BD286" i="29"/>
  <c r="AS287" i="29"/>
  <c r="AS288" i="29"/>
  <c r="AS292" i="29"/>
  <c r="AU286" i="29"/>
  <c r="AT286" i="29"/>
  <c r="AE284" i="29"/>
  <c r="AE285" i="29" s="1"/>
  <c r="I306" i="29"/>
  <c r="I313" i="29" s="1"/>
  <c r="I314" i="29" s="1"/>
  <c r="J301" i="29"/>
  <c r="AK281" i="29"/>
  <c r="BS294" i="29"/>
  <c r="BT267" i="29"/>
  <c r="BS257" i="29"/>
  <c r="BS265" i="29"/>
  <c r="AK277" i="29"/>
  <c r="BZ272" i="29"/>
  <c r="BU273" i="29"/>
  <c r="BZ240" i="29"/>
  <c r="Q39" i="120"/>
  <c r="AA277" i="29"/>
  <c r="AA257" i="29"/>
  <c r="AZ236" i="29"/>
  <c r="AZ219" i="29"/>
  <c r="AZ197" i="29"/>
  <c r="AZ200" i="29"/>
  <c r="AF236" i="29"/>
  <c r="AF219" i="29"/>
  <c r="AF197" i="29"/>
  <c r="BI192" i="29"/>
  <c r="BI191" i="29"/>
  <c r="AO236" i="29"/>
  <c r="AO200" i="29"/>
  <c r="AO219" i="29"/>
  <c r="AO220" i="29" s="1"/>
  <c r="AO197" i="29"/>
  <c r="AO198" i="29" s="1"/>
  <c r="P221" i="29"/>
  <c r="BA196" i="29"/>
  <c r="AS236" i="29"/>
  <c r="AS219" i="29"/>
  <c r="AS220" i="29" s="1"/>
  <c r="AS200" i="29"/>
  <c r="AS197" i="29"/>
  <c r="AS198" i="29" s="1"/>
  <c r="BN191" i="29"/>
  <c r="BN192" i="29"/>
  <c r="C221" i="29"/>
  <c r="C199" i="29"/>
  <c r="C186" i="29"/>
  <c r="C189" i="29"/>
  <c r="AI221" i="29"/>
  <c r="W236" i="29"/>
  <c r="W197" i="29"/>
  <c r="W219" i="29"/>
  <c r="W200" i="29"/>
  <c r="O219" i="29"/>
  <c r="O197" i="29"/>
  <c r="O236" i="29"/>
  <c r="BL223" i="29"/>
  <c r="BL224" i="29" s="1"/>
  <c r="BL222" i="29"/>
  <c r="BH223" i="29"/>
  <c r="BH222" i="29"/>
  <c r="BJ183" i="29"/>
  <c r="O28" i="120"/>
  <c r="CJ247" i="29"/>
  <c r="T30" i="120"/>
  <c r="AT220" i="29"/>
  <c r="BN195" i="29"/>
  <c r="BN196" i="29" s="1"/>
  <c r="B199" i="29"/>
  <c r="B349" i="29" s="1"/>
  <c r="B221" i="29"/>
  <c r="B223" i="29" s="1"/>
  <c r="B186" i="29"/>
  <c r="R236" i="29"/>
  <c r="R197" i="29"/>
  <c r="R219" i="29"/>
  <c r="BG223" i="29"/>
  <c r="BG224" i="29" s="1"/>
  <c r="BG222" i="29"/>
  <c r="BK236" i="29"/>
  <c r="BK219" i="29"/>
  <c r="BK220" i="29" s="1"/>
  <c r="BK200" i="29"/>
  <c r="BK197" i="29"/>
  <c r="BK198" i="29" s="1"/>
  <c r="BD219" i="29"/>
  <c r="BD220" i="29" s="1"/>
  <c r="BD236" i="29"/>
  <c r="BD197" i="29"/>
  <c r="BD198" i="29" s="1"/>
  <c r="BD200" i="29"/>
  <c r="AG236" i="29"/>
  <c r="AG200" i="29"/>
  <c r="AG197" i="29"/>
  <c r="AG219" i="29"/>
  <c r="AC223" i="29"/>
  <c r="U221" i="29"/>
  <c r="AP199" i="29"/>
  <c r="AP195" i="29"/>
  <c r="AP196" i="29" s="1"/>
  <c r="AP221" i="29"/>
  <c r="AP192" i="29"/>
  <c r="AP186" i="29"/>
  <c r="AP187" i="29" s="1"/>
  <c r="AP189" i="29"/>
  <c r="AA199" i="29"/>
  <c r="AA221" i="29"/>
  <c r="AF222" i="29" s="1"/>
  <c r="AA189" i="29"/>
  <c r="AA192" i="29"/>
  <c r="AF189" i="29"/>
  <c r="Q221" i="29"/>
  <c r="Q199" i="29"/>
  <c r="Q189" i="29"/>
  <c r="Q186" i="29"/>
  <c r="Q187" i="29" s="1"/>
  <c r="T223" i="29"/>
  <c r="T224" i="29" s="1"/>
  <c r="T222" i="29"/>
  <c r="AF166" i="29"/>
  <c r="AK166" i="29"/>
  <c r="X221" i="29"/>
  <c r="AC222" i="29" s="1"/>
  <c r="X199" i="29"/>
  <c r="AC200" i="29" s="1"/>
  <c r="X189" i="29"/>
  <c r="X186" i="29"/>
  <c r="X187" i="29" s="1"/>
  <c r="AU116" i="29"/>
  <c r="AU113" i="29"/>
  <c r="AU114" i="29" s="1"/>
  <c r="AS97" i="29"/>
  <c r="AS94" i="29"/>
  <c r="AS95" i="29" s="1"/>
  <c r="D187" i="29"/>
  <c r="H236" i="29"/>
  <c r="H219" i="29"/>
  <c r="H197" i="29"/>
  <c r="AU221" i="29"/>
  <c r="AU189" i="29"/>
  <c r="AU199" i="29"/>
  <c r="AU349" i="29" s="1"/>
  <c r="AU195" i="29"/>
  <c r="AU196" i="29" s="1"/>
  <c r="AU186" i="29"/>
  <c r="AU187" i="29" s="1"/>
  <c r="AZ129" i="29"/>
  <c r="AJ349" i="29"/>
  <c r="AF349" i="29"/>
  <c r="BL187" i="29"/>
  <c r="BC187" i="29"/>
  <c r="AS329" i="29"/>
  <c r="AS327" i="29"/>
  <c r="AS208" i="29"/>
  <c r="AS203" i="29"/>
  <c r="AS204" i="29" s="1"/>
  <c r="AS202" i="29"/>
  <c r="AS211" i="29"/>
  <c r="AS349" i="29"/>
  <c r="AN187" i="29"/>
  <c r="AN349" i="29"/>
  <c r="AI329" i="29"/>
  <c r="AI327" i="29"/>
  <c r="AI211" i="29"/>
  <c r="AI203" i="29"/>
  <c r="AI202" i="29"/>
  <c r="Y187" i="29"/>
  <c r="I327" i="29"/>
  <c r="I329" i="29"/>
  <c r="I203" i="29"/>
  <c r="I206" i="29" s="1"/>
  <c r="I208" i="29" s="1"/>
  <c r="I349" i="29"/>
  <c r="BO173" i="29"/>
  <c r="BS149" i="29"/>
  <c r="BS147" i="29"/>
  <c r="BR134" i="29"/>
  <c r="BR136" i="29"/>
  <c r="BR121" i="29"/>
  <c r="BR123" i="29"/>
  <c r="AK131" i="29"/>
  <c r="AK112" i="29"/>
  <c r="BS111" i="29"/>
  <c r="BS112" i="29" s="1"/>
  <c r="BQ188" i="29"/>
  <c r="BQ183" i="29"/>
  <c r="BQ110" i="29"/>
  <c r="BU109" i="29"/>
  <c r="BQ108" i="29"/>
  <c r="AZ116" i="29"/>
  <c r="AT187" i="29"/>
  <c r="AB80" i="29"/>
  <c r="AB81" i="29" s="1"/>
  <c r="AR329" i="29"/>
  <c r="AR327" i="29"/>
  <c r="AR211" i="29"/>
  <c r="AR203" i="29"/>
  <c r="AR202" i="29"/>
  <c r="AR349" i="29"/>
  <c r="N327" i="29"/>
  <c r="N329" i="29"/>
  <c r="N203" i="29"/>
  <c r="N202" i="29"/>
  <c r="BR147" i="29"/>
  <c r="BR149" i="29"/>
  <c r="BT16" i="29"/>
  <c r="BE131" i="29"/>
  <c r="BE112" i="29"/>
  <c r="U327" i="29"/>
  <c r="U329" i="29"/>
  <c r="U202" i="29"/>
  <c r="U203" i="29"/>
  <c r="U349" i="29"/>
  <c r="P327" i="29"/>
  <c r="P329" i="29"/>
  <c r="P202" i="29"/>
  <c r="P203" i="29"/>
  <c r="BF329" i="29"/>
  <c r="BF327" i="29"/>
  <c r="BF287" i="29"/>
  <c r="BF202" i="29"/>
  <c r="BF203" i="29"/>
  <c r="BF204" i="29" s="1"/>
  <c r="BF349" i="29"/>
  <c r="BA187" i="29"/>
  <c r="AL329" i="29"/>
  <c r="AL327" i="29"/>
  <c r="AL287" i="29"/>
  <c r="AL203" i="29"/>
  <c r="AL202" i="29"/>
  <c r="AL349" i="29"/>
  <c r="M329" i="29"/>
  <c r="M327" i="29"/>
  <c r="M287" i="29"/>
  <c r="M202" i="29"/>
  <c r="K327" i="29"/>
  <c r="K329" i="29"/>
  <c r="K203" i="29"/>
  <c r="K206" i="29" s="1"/>
  <c r="K208" i="29" s="1"/>
  <c r="BT176" i="29"/>
  <c r="BT174" i="29"/>
  <c r="BJ150" i="29"/>
  <c r="BJ151" i="29" s="1"/>
  <c r="BE157" i="29"/>
  <c r="BE138" i="29"/>
  <c r="BO125" i="29"/>
  <c r="BI99" i="29"/>
  <c r="BI100" i="29" s="1"/>
  <c r="BI103" i="29"/>
  <c r="BI102" i="29"/>
  <c r="AU112" i="29"/>
  <c r="AU131" i="29"/>
  <c r="AP131" i="29"/>
  <c r="AP112" i="29"/>
  <c r="AF146" i="29"/>
  <c r="AA146" i="29"/>
  <c r="AP114" i="29"/>
  <c r="V349" i="29"/>
  <c r="V201" i="29"/>
  <c r="V191" i="29"/>
  <c r="V82" i="29"/>
  <c r="U82" i="29" s="1"/>
  <c r="V80" i="29"/>
  <c r="V81" i="29" s="1"/>
  <c r="V78" i="29"/>
  <c r="T79" i="29"/>
  <c r="V46" i="29"/>
  <c r="BM187" i="29"/>
  <c r="BS322" i="29"/>
  <c r="BS176" i="29"/>
  <c r="BS174" i="29"/>
  <c r="AA166" i="29"/>
  <c r="AT99" i="29"/>
  <c r="AT100" i="29" s="1"/>
  <c r="AT103" i="29"/>
  <c r="BO146" i="29"/>
  <c r="V151" i="29"/>
  <c r="BS134" i="29"/>
  <c r="BS136" i="29"/>
  <c r="BI133" i="29"/>
  <c r="BN133" i="29"/>
  <c r="AA133" i="29"/>
  <c r="AF133" i="29"/>
  <c r="BS124" i="29"/>
  <c r="BS125" i="29" s="1"/>
  <c r="BE125" i="29"/>
  <c r="BE144" i="29"/>
  <c r="V107" i="29"/>
  <c r="BE349" i="29"/>
  <c r="BZ82" i="29"/>
  <c r="AP327" i="29"/>
  <c r="AP329" i="29"/>
  <c r="AP203" i="29"/>
  <c r="AP202" i="29"/>
  <c r="AP211" i="29"/>
  <c r="BJ23" i="29"/>
  <c r="AA77" i="29"/>
  <c r="AA76" i="29"/>
  <c r="BP206" i="29"/>
  <c r="BP207" i="29" s="1"/>
  <c r="BP209" i="29"/>
  <c r="BP210" i="29" s="1"/>
  <c r="BU337" i="29"/>
  <c r="K294" i="29"/>
  <c r="BI288" i="29"/>
  <c r="BI287" i="29"/>
  <c r="BE344" i="29"/>
  <c r="BR307" i="29"/>
  <c r="AF294" i="29"/>
  <c r="B314" i="29"/>
  <c r="AI352" i="29"/>
  <c r="AI298" i="29"/>
  <c r="L286" i="29"/>
  <c r="AD292" i="29"/>
  <c r="AD288" i="29"/>
  <c r="AD287" i="29"/>
  <c r="AD289" i="29"/>
  <c r="AE286" i="29"/>
  <c r="O288" i="29"/>
  <c r="O287" i="29"/>
  <c r="P286" i="29"/>
  <c r="O292" i="29"/>
  <c r="O289" i="29"/>
  <c r="J300" i="29"/>
  <c r="J302" i="29" s="1"/>
  <c r="J289" i="29"/>
  <c r="J285" i="29"/>
  <c r="K283" i="29"/>
  <c r="BN299" i="29"/>
  <c r="BN298" i="29" s="1"/>
  <c r="BM298" i="29"/>
  <c r="BO298" i="29" s="1"/>
  <c r="BU293" i="29"/>
  <c r="Q50" i="120" s="1"/>
  <c r="BU288" i="29"/>
  <c r="Q48" i="120"/>
  <c r="U294" i="29"/>
  <c r="P294" i="29"/>
  <c r="AJ291" i="29"/>
  <c r="AK291" i="29" s="1"/>
  <c r="AA288" i="29"/>
  <c r="P284" i="29"/>
  <c r="P285" i="29" s="1"/>
  <c r="AK278" i="29"/>
  <c r="AK221" i="29" s="1"/>
  <c r="BP352" i="29"/>
  <c r="P53" i="120"/>
  <c r="BC300" i="29"/>
  <c r="BC289" i="29"/>
  <c r="BC285" i="29"/>
  <c r="BS288" i="29"/>
  <c r="BI293" i="29"/>
  <c r="BD293" i="29"/>
  <c r="BD300" i="29" s="1"/>
  <c r="AZ257" i="29"/>
  <c r="BE268" i="29"/>
  <c r="U284" i="29"/>
  <c r="U285" i="29" s="1"/>
  <c r="BI283" i="29"/>
  <c r="AN273" i="29"/>
  <c r="AI273" i="29"/>
  <c r="BS269" i="29"/>
  <c r="BQ264" i="29"/>
  <c r="BU263" i="29"/>
  <c r="BZ263" i="29" s="1"/>
  <c r="BR264" i="29"/>
  <c r="BR295" i="29" s="1"/>
  <c r="BR299" i="29" s="1"/>
  <c r="BU247" i="29"/>
  <c r="Q30" i="120"/>
  <c r="BS262" i="29"/>
  <c r="BS264" i="29" s="1"/>
  <c r="BT261" i="29"/>
  <c r="BT262" i="29" s="1"/>
  <c r="BT264" i="29" s="1"/>
  <c r="P236" i="29"/>
  <c r="P219" i="29"/>
  <c r="P200" i="29"/>
  <c r="P197" i="29"/>
  <c r="AJ196" i="29"/>
  <c r="BM222" i="29"/>
  <c r="BM223" i="29"/>
  <c r="BM224" i="29" s="1"/>
  <c r="BA236" i="29"/>
  <c r="BA219" i="29"/>
  <c r="BA200" i="29"/>
  <c r="BA197" i="29"/>
  <c r="AS223" i="29"/>
  <c r="AS224" i="29" s="1"/>
  <c r="AS222" i="29"/>
  <c r="AB236" i="29"/>
  <c r="AB219" i="29"/>
  <c r="AB220" i="29" s="1"/>
  <c r="AB200" i="29"/>
  <c r="AB197" i="29"/>
  <c r="AB198" i="29" s="1"/>
  <c r="AQ236" i="29"/>
  <c r="AQ219" i="29"/>
  <c r="AQ220" i="29" s="1"/>
  <c r="AQ197" i="29"/>
  <c r="AQ198" i="29" s="1"/>
  <c r="AQ200" i="29"/>
  <c r="K236" i="29"/>
  <c r="K197" i="29"/>
  <c r="K219" i="29"/>
  <c r="AI236" i="29"/>
  <c r="AI197" i="29"/>
  <c r="AI219" i="29"/>
  <c r="AI220" i="29" s="1"/>
  <c r="AI200" i="29"/>
  <c r="W223" i="29"/>
  <c r="W222" i="29"/>
  <c r="AT238" i="29"/>
  <c r="AT239" i="29"/>
  <c r="AT241" i="29" s="1"/>
  <c r="BC196" i="29"/>
  <c r="BJ191" i="29"/>
  <c r="J221" i="29"/>
  <c r="J223" i="29" s="1"/>
  <c r="J199" i="29"/>
  <c r="J203" i="29" s="1"/>
  <c r="J206" i="29" s="1"/>
  <c r="J208" i="29" s="1"/>
  <c r="J186" i="29"/>
  <c r="O187" i="29" s="1"/>
  <c r="AL196" i="29"/>
  <c r="AH236" i="29"/>
  <c r="AH197" i="29"/>
  <c r="AH198" i="29" s="1"/>
  <c r="AH219" i="29"/>
  <c r="AH220" i="29" s="1"/>
  <c r="AH200" i="29"/>
  <c r="AD236" i="29"/>
  <c r="AD219" i="29"/>
  <c r="AD220" i="29" s="1"/>
  <c r="AD197" i="29"/>
  <c r="AD198" i="29" s="1"/>
  <c r="AD200" i="29"/>
  <c r="R223" i="29"/>
  <c r="AQ222" i="29"/>
  <c r="BK196" i="29"/>
  <c r="AM196" i="29"/>
  <c r="BN221" i="29"/>
  <c r="AG223" i="29"/>
  <c r="AG224" i="29" s="1"/>
  <c r="AG222" i="29"/>
  <c r="Y222" i="29"/>
  <c r="Y223" i="29"/>
  <c r="Y224" i="29" s="1"/>
  <c r="M221" i="29"/>
  <c r="M199" i="29"/>
  <c r="R200" i="29" s="1"/>
  <c r="M189" i="29"/>
  <c r="M186" i="29"/>
  <c r="M187" i="29" s="1"/>
  <c r="BF224" i="29"/>
  <c r="BB196" i="29"/>
  <c r="BE222" i="29"/>
  <c r="BE223" i="29"/>
  <c r="BE224" i="29" s="1"/>
  <c r="AK196" i="29"/>
  <c r="AA185" i="29"/>
  <c r="BN146" i="29"/>
  <c r="BI146" i="29"/>
  <c r="BP132" i="29"/>
  <c r="P22" i="120"/>
  <c r="F46" i="120" s="1"/>
  <c r="BE129" i="29"/>
  <c r="BE126" i="29"/>
  <c r="BE127" i="29" s="1"/>
  <c r="D189" i="29"/>
  <c r="BJ188" i="29"/>
  <c r="BI187" i="29"/>
  <c r="AU140" i="29"/>
  <c r="AZ133" i="29"/>
  <c r="AJ327" i="29"/>
  <c r="AJ329" i="29"/>
  <c r="AJ202" i="29"/>
  <c r="AJ211" i="29"/>
  <c r="AJ203" i="29"/>
  <c r="AO327" i="29"/>
  <c r="AO329" i="29"/>
  <c r="AO287" i="29"/>
  <c r="AO202" i="29"/>
  <c r="AO203" i="29"/>
  <c r="AO349" i="29"/>
  <c r="BL329" i="29"/>
  <c r="BR329" i="29" s="1"/>
  <c r="BL327" i="29"/>
  <c r="BR327" i="29" s="1"/>
  <c r="BL203" i="29"/>
  <c r="BL204" i="29" s="1"/>
  <c r="BL202" i="29"/>
  <c r="BL349" i="29"/>
  <c r="BH329" i="29"/>
  <c r="BH327" i="29"/>
  <c r="BH287" i="29"/>
  <c r="BH203" i="29"/>
  <c r="BH204" i="29" s="1"/>
  <c r="BH202" i="29"/>
  <c r="BH349" i="29"/>
  <c r="BC329" i="29"/>
  <c r="BC327" i="29"/>
  <c r="BC211" i="29"/>
  <c r="BC203" i="29"/>
  <c r="BC202" i="29"/>
  <c r="BC349" i="29"/>
  <c r="AG79" i="29"/>
  <c r="AD329" i="29"/>
  <c r="AD327" i="29"/>
  <c r="AD203" i="29"/>
  <c r="AD202" i="29"/>
  <c r="AD349" i="29"/>
  <c r="Y329" i="29"/>
  <c r="Y327" i="29"/>
  <c r="Y287" i="29"/>
  <c r="Y202" i="29"/>
  <c r="Y203" i="29"/>
  <c r="Y349" i="29"/>
  <c r="T329" i="29"/>
  <c r="T327" i="29"/>
  <c r="T202" i="29"/>
  <c r="T203" i="29"/>
  <c r="T349" i="29"/>
  <c r="O329" i="29"/>
  <c r="O327" i="29"/>
  <c r="O203" i="29"/>
  <c r="O202" i="29"/>
  <c r="O349" i="29"/>
  <c r="BS150" i="29"/>
  <c r="BS151" i="29" s="1"/>
  <c r="AC120" i="29"/>
  <c r="AK94" i="29"/>
  <c r="AK95" i="29" s="1"/>
  <c r="AK104" i="29"/>
  <c r="AK97" i="29"/>
  <c r="AK92" i="29"/>
  <c r="AK88" i="29"/>
  <c r="AK85" i="29"/>
  <c r="AK86" i="29"/>
  <c r="AT196" i="29"/>
  <c r="BJ325" i="29"/>
  <c r="BJ201" i="29"/>
  <c r="BJ80" i="29"/>
  <c r="BJ78" i="29"/>
  <c r="BH79" i="29"/>
  <c r="BJ66" i="29"/>
  <c r="BG79" i="29"/>
  <c r="BJ6" i="29"/>
  <c r="BO349" i="29"/>
  <c r="BO311" i="29"/>
  <c r="BO309" i="29"/>
  <c r="BO201" i="29"/>
  <c r="BO78" i="29"/>
  <c r="BO66" i="29"/>
  <c r="BO80" i="29"/>
  <c r="BO6" i="29"/>
  <c r="BB187" i="29"/>
  <c r="AC187" i="29"/>
  <c r="S327" i="29"/>
  <c r="S329" i="29"/>
  <c r="S203" i="29"/>
  <c r="S202" i="29"/>
  <c r="BE103" i="29"/>
  <c r="BE102" i="29"/>
  <c r="BE118" i="29"/>
  <c r="BR150" i="29"/>
  <c r="BR151" i="29" s="1"/>
  <c r="BJ132" i="29"/>
  <c r="BJ133" i="29" s="1"/>
  <c r="BJ134" i="29"/>
  <c r="BJ137" i="29"/>
  <c r="BJ138" i="29" s="1"/>
  <c r="BJ25" i="29"/>
  <c r="BJ26" i="29"/>
  <c r="O11" i="120"/>
  <c r="BQ136" i="29"/>
  <c r="BU135" i="29"/>
  <c r="BQ134" i="29"/>
  <c r="AP120" i="29"/>
  <c r="AK144" i="29"/>
  <c r="AK125" i="29"/>
  <c r="X16" i="29"/>
  <c r="BQ123" i="29"/>
  <c r="BU122" i="29"/>
  <c r="BU124" i="29" s="1"/>
  <c r="BU125" i="29" s="1"/>
  <c r="BQ121" i="29"/>
  <c r="BJ112" i="29"/>
  <c r="BR111" i="29"/>
  <c r="BR112" i="29" s="1"/>
  <c r="AP140" i="29"/>
  <c r="BJ121" i="29"/>
  <c r="Z327" i="29"/>
  <c r="Z329" i="29"/>
  <c r="Z203" i="29"/>
  <c r="Z202" i="29"/>
  <c r="Z349" i="29"/>
  <c r="BK187" i="29"/>
  <c r="BK349" i="29"/>
  <c r="BJ76" i="29"/>
  <c r="BT308" i="29"/>
  <c r="BU308" i="29" s="1"/>
  <c r="AQ327" i="29"/>
  <c r="AQ329" i="29"/>
  <c r="AQ287" i="29"/>
  <c r="AQ211" i="29"/>
  <c r="AQ203" i="29"/>
  <c r="AQ202" i="29"/>
  <c r="AQ349" i="29"/>
  <c r="W187" i="29"/>
  <c r="R329" i="29"/>
  <c r="R327" i="29"/>
  <c r="R287" i="29"/>
  <c r="R203" i="29"/>
  <c r="R202" i="29"/>
  <c r="R349" i="29"/>
  <c r="BT177" i="29"/>
  <c r="BT178" i="29" s="1"/>
  <c r="BU35" i="29"/>
  <c r="BZ34" i="29"/>
  <c r="Q12" i="120"/>
  <c r="G40" i="120" s="1"/>
  <c r="BU111" i="29"/>
  <c r="BU112" i="29" s="1"/>
  <c r="BU5" i="29"/>
  <c r="BZ4" i="29"/>
  <c r="BU77" i="29"/>
  <c r="Q9" i="120"/>
  <c r="AZ153" i="29"/>
  <c r="BO134" i="29"/>
  <c r="L349" i="29"/>
  <c r="L325" i="29"/>
  <c r="L201" i="29"/>
  <c r="L103" i="29"/>
  <c r="L56" i="29"/>
  <c r="L26" i="29"/>
  <c r="L16" i="29"/>
  <c r="L82" i="29"/>
  <c r="K82" i="29" s="1"/>
  <c r="I79" i="29"/>
  <c r="L78" i="29"/>
  <c r="L46" i="29"/>
  <c r="L36" i="29"/>
  <c r="L6" i="29"/>
  <c r="BM327" i="29"/>
  <c r="BS327" i="29" s="1"/>
  <c r="BS326" i="29" s="1"/>
  <c r="BM329" i="29"/>
  <c r="BS329" i="29" s="1"/>
  <c r="BS328" i="29" s="1"/>
  <c r="BM314" i="29"/>
  <c r="BS314" i="29" s="1"/>
  <c r="BS313" i="29" s="1"/>
  <c r="BM203" i="29"/>
  <c r="BM202" i="29"/>
  <c r="BM349" i="29"/>
  <c r="F187" i="29"/>
  <c r="BS177" i="29"/>
  <c r="BS178" i="29" s="1"/>
  <c r="AF159" i="29"/>
  <c r="BO151" i="29"/>
  <c r="BT150" i="29"/>
  <c r="BT151" i="29" s="1"/>
  <c r="V146" i="29"/>
  <c r="BS137" i="29"/>
  <c r="BS138" i="29" s="1"/>
  <c r="AU120" i="29"/>
  <c r="V16" i="29"/>
  <c r="AK93" i="29"/>
  <c r="V112" i="29"/>
  <c r="E327" i="29"/>
  <c r="E329" i="29"/>
  <c r="E287" i="29"/>
  <c r="E202" i="29"/>
  <c r="E203" i="29"/>
  <c r="BI329" i="29"/>
  <c r="BI327" i="29"/>
  <c r="BI202" i="29"/>
  <c r="BI203" i="29"/>
  <c r="BI204" i="29" s="1"/>
  <c r="BI349" i="29"/>
  <c r="Q80" i="29"/>
  <c r="Q81" i="29" s="1"/>
  <c r="S79" i="29"/>
  <c r="AU83" i="29"/>
  <c r="BJ104" i="29"/>
  <c r="AU36" i="29"/>
  <c r="N59" i="120"/>
  <c r="BQ328" i="29" l="1"/>
  <c r="BT194" i="29"/>
  <c r="BT193" i="29"/>
  <c r="BQ193" i="29"/>
  <c r="BU193" i="29" s="1"/>
  <c r="BQ194" i="29"/>
  <c r="BP298" i="29"/>
  <c r="BP299" i="29" s="1"/>
  <c r="P56" i="120" s="1"/>
  <c r="P55" i="120" s="1"/>
  <c r="BO299" i="29"/>
  <c r="L80" i="29"/>
  <c r="L81" i="29" s="1"/>
  <c r="BU201" i="29"/>
  <c r="BU329" i="29" s="1"/>
  <c r="BZ329" i="29" s="1"/>
  <c r="BU78" i="29"/>
  <c r="BU80" i="29"/>
  <c r="BU36" i="29"/>
  <c r="AQ206" i="29"/>
  <c r="AQ204" i="29"/>
  <c r="E39" i="120"/>
  <c r="E46" i="120"/>
  <c r="F39" i="120"/>
  <c r="BO327" i="29"/>
  <c r="BO203" i="29"/>
  <c r="BO202" i="29"/>
  <c r="BO209" i="29"/>
  <c r="BO287" i="29"/>
  <c r="BO314" i="29"/>
  <c r="BO329" i="29"/>
  <c r="AJ206" i="29"/>
  <c r="AJ204" i="29"/>
  <c r="BJ221" i="29"/>
  <c r="BJ186" i="29"/>
  <c r="BJ189" i="29"/>
  <c r="BJ199" i="29"/>
  <c r="BJ195" i="29"/>
  <c r="BO189" i="29"/>
  <c r="AD239" i="29"/>
  <c r="AD241" i="29" s="1"/>
  <c r="AD238" i="29"/>
  <c r="AH239" i="29"/>
  <c r="AH241" i="29" s="1"/>
  <c r="AH238" i="29"/>
  <c r="AT350" i="29"/>
  <c r="AT256" i="29"/>
  <c r="AT252" i="29"/>
  <c r="AT253" i="29" s="1"/>
  <c r="AT248" i="29"/>
  <c r="AT249" i="29" s="1"/>
  <c r="AT245" i="29"/>
  <c r="AT242" i="29"/>
  <c r="W224" i="29"/>
  <c r="AI239" i="29"/>
  <c r="AI241" i="29" s="1"/>
  <c r="AI238" i="29"/>
  <c r="BA220" i="29"/>
  <c r="P239" i="29"/>
  <c r="P241" i="29" s="1"/>
  <c r="P238" i="29"/>
  <c r="BU264" i="29"/>
  <c r="BQ295" i="29"/>
  <c r="P352" i="29"/>
  <c r="P298" i="29"/>
  <c r="K300" i="29"/>
  <c r="K289" i="29"/>
  <c r="K285" i="29"/>
  <c r="L283" i="29"/>
  <c r="J306" i="29"/>
  <c r="J313" i="29" s="1"/>
  <c r="J314" i="29" s="1"/>
  <c r="K301" i="29"/>
  <c r="K302" i="29" s="1"/>
  <c r="AF352" i="29"/>
  <c r="AF298" i="29"/>
  <c r="BZ337" i="29"/>
  <c r="CE82" i="29"/>
  <c r="V327" i="29"/>
  <c r="V203" i="29"/>
  <c r="V202" i="29"/>
  <c r="V329" i="29"/>
  <c r="N206" i="29"/>
  <c r="N204" i="29"/>
  <c r="BQ221" i="29"/>
  <c r="BQ199" i="29"/>
  <c r="BQ203" i="29" s="1"/>
  <c r="BQ189" i="29"/>
  <c r="BQ186" i="29"/>
  <c r="BQ187" i="29" s="1"/>
  <c r="H238" i="29"/>
  <c r="H239" i="29"/>
  <c r="H241" i="29" s="1"/>
  <c r="AA236" i="29"/>
  <c r="AA197" i="29"/>
  <c r="AA200" i="29"/>
  <c r="AA219" i="29"/>
  <c r="AP223" i="29"/>
  <c r="AP222" i="29"/>
  <c r="BD239" i="29"/>
  <c r="BD241" i="29" s="1"/>
  <c r="BD238" i="29"/>
  <c r="W238" i="29"/>
  <c r="W239" i="29"/>
  <c r="W241" i="29" s="1"/>
  <c r="C236" i="29"/>
  <c r="C197" i="29"/>
  <c r="C219" i="29"/>
  <c r="C200" i="29"/>
  <c r="C349" i="29"/>
  <c r="AF198" i="29"/>
  <c r="BT294" i="29"/>
  <c r="BT257" i="29"/>
  <c r="BT265" i="29"/>
  <c r="BU265" i="29" s="1"/>
  <c r="BU267" i="29"/>
  <c r="AU287" i="29"/>
  <c r="AU288" i="29"/>
  <c r="BD288" i="29"/>
  <c r="BD287" i="29"/>
  <c r="AA352" i="29"/>
  <c r="AA298" i="29"/>
  <c r="BR201" i="29"/>
  <c r="BR326" i="29" s="1"/>
  <c r="BR79" i="29"/>
  <c r="BR78" i="29"/>
  <c r="BR66" i="29"/>
  <c r="BR26" i="29"/>
  <c r="BR16" i="29"/>
  <c r="BR36" i="29"/>
  <c r="BR6" i="29"/>
  <c r="BE204" i="29"/>
  <c r="BE206" i="29"/>
  <c r="B329" i="29"/>
  <c r="B327" i="29"/>
  <c r="B287" i="29"/>
  <c r="B203" i="29"/>
  <c r="B206" i="29" s="1"/>
  <c r="B208" i="29" s="1"/>
  <c r="BU147" i="29"/>
  <c r="BU145" i="29"/>
  <c r="BU149" i="29"/>
  <c r="Q23" i="120"/>
  <c r="G47" i="120" s="1"/>
  <c r="BA204" i="29"/>
  <c r="BA206" i="29"/>
  <c r="BU327" i="29"/>
  <c r="BZ327" i="29" s="1"/>
  <c r="AM206" i="29"/>
  <c r="AM204" i="29"/>
  <c r="BS221" i="29"/>
  <c r="BS199" i="29"/>
  <c r="BS189" i="29"/>
  <c r="BS186" i="29"/>
  <c r="BS187" i="29" s="1"/>
  <c r="AN206" i="29"/>
  <c r="AN204" i="29"/>
  <c r="BR308" i="29"/>
  <c r="BO223" i="29"/>
  <c r="BO222" i="29"/>
  <c r="T238" i="29"/>
  <c r="T239" i="29"/>
  <c r="T241" i="29" s="1"/>
  <c r="L223" i="29"/>
  <c r="L222" i="29"/>
  <c r="BE220" i="29"/>
  <c r="N34" i="120"/>
  <c r="N71" i="120" s="1"/>
  <c r="Z220" i="29"/>
  <c r="BN220" i="29"/>
  <c r="O224" i="29"/>
  <c r="AE220" i="29"/>
  <c r="BM198" i="29"/>
  <c r="AB224" i="29"/>
  <c r="AR239" i="29"/>
  <c r="AR241" i="29" s="1"/>
  <c r="AR238" i="29"/>
  <c r="AZ262" i="29"/>
  <c r="AU261" i="29"/>
  <c r="BQ202" i="29"/>
  <c r="BQ287" i="29"/>
  <c r="C203" i="29"/>
  <c r="BD206" i="29"/>
  <c r="BD204" i="29"/>
  <c r="D198" i="29"/>
  <c r="AK198" i="29"/>
  <c r="BB239" i="29"/>
  <c r="BB241" i="29" s="1"/>
  <c r="BB238" i="29"/>
  <c r="E236" i="29"/>
  <c r="E219" i="29"/>
  <c r="E220" i="29" s="1"/>
  <c r="E200" i="29"/>
  <c r="E197" i="29"/>
  <c r="E198" i="29" s="1"/>
  <c r="E349" i="29"/>
  <c r="BF220" i="29"/>
  <c r="AJ220" i="29"/>
  <c r="AL220" i="29"/>
  <c r="F220" i="29"/>
  <c r="AN220" i="29"/>
  <c r="S223" i="29"/>
  <c r="S222" i="29"/>
  <c r="BC198" i="29"/>
  <c r="BR279" i="29"/>
  <c r="BS279" i="29" s="1"/>
  <c r="BT279" i="29" s="1"/>
  <c r="BI224" i="29"/>
  <c r="E204" i="29"/>
  <c r="E206" i="29"/>
  <c r="K83" i="29"/>
  <c r="K80" i="29"/>
  <c r="K81" i="29" s="1"/>
  <c r="BZ109" i="29"/>
  <c r="BZ111" i="29" s="1"/>
  <c r="BZ112" i="29" s="1"/>
  <c r="CE4" i="29"/>
  <c r="R9" i="120"/>
  <c r="R206" i="29"/>
  <c r="BU309" i="29"/>
  <c r="BZ309" i="29" s="1"/>
  <c r="O206" i="29"/>
  <c r="O204" i="29"/>
  <c r="T206" i="29"/>
  <c r="T204" i="29"/>
  <c r="AD206" i="29"/>
  <c r="AD204" i="29"/>
  <c r="BR328" i="29"/>
  <c r="M236" i="29"/>
  <c r="M200" i="29"/>
  <c r="M219" i="29"/>
  <c r="M220" i="29" s="1"/>
  <c r="M197" i="29"/>
  <c r="M198" i="29" s="1"/>
  <c r="M349" i="29"/>
  <c r="BA238" i="29"/>
  <c r="BA239" i="29"/>
  <c r="BA241" i="29" s="1"/>
  <c r="P198" i="29"/>
  <c r="U352" i="29"/>
  <c r="U298" i="29"/>
  <c r="K352" i="29"/>
  <c r="K298" i="29"/>
  <c r="AA349" i="29"/>
  <c r="AA325" i="29"/>
  <c r="AA201" i="29"/>
  <c r="AA191" i="29"/>
  <c r="AA46" i="29"/>
  <c r="AA82" i="29"/>
  <c r="Z82" i="29" s="1"/>
  <c r="AA78" i="29"/>
  <c r="Y79" i="29"/>
  <c r="AA26" i="29"/>
  <c r="AF78" i="29"/>
  <c r="AA36" i="29"/>
  <c r="AA309" i="29"/>
  <c r="AA311" i="29"/>
  <c r="AA104" i="29"/>
  <c r="AA6" i="29"/>
  <c r="AA103" i="29"/>
  <c r="AA56" i="29"/>
  <c r="W79" i="29"/>
  <c r="Z79" i="29"/>
  <c r="AP206" i="29"/>
  <c r="BU83" i="29"/>
  <c r="BU81" i="29" s="1"/>
  <c r="M203" i="29"/>
  <c r="AL206" i="29"/>
  <c r="AL204" i="29"/>
  <c r="P206" i="29"/>
  <c r="P204" i="29"/>
  <c r="AR206" i="29"/>
  <c r="AR204" i="29"/>
  <c r="BU188" i="29"/>
  <c r="BU110" i="29"/>
  <c r="BU106" i="29"/>
  <c r="BU108" i="29"/>
  <c r="Q20" i="120"/>
  <c r="BU183" i="29"/>
  <c r="BZ183" i="29" s="1"/>
  <c r="BU181" i="29"/>
  <c r="BZ181" i="29" s="1"/>
  <c r="AU223" i="29"/>
  <c r="AU222" i="29"/>
  <c r="AZ222" i="29"/>
  <c r="X236" i="29"/>
  <c r="X219" i="29"/>
  <c r="X200" i="29"/>
  <c r="X197" i="29"/>
  <c r="Q236" i="29"/>
  <c r="Q200" i="29"/>
  <c r="Q197" i="29"/>
  <c r="Q219" i="29"/>
  <c r="Q349" i="29"/>
  <c r="AA195" i="29"/>
  <c r="AG239" i="29"/>
  <c r="AG241" i="29" s="1"/>
  <c r="AG238" i="29"/>
  <c r="BK238" i="29"/>
  <c r="BK239" i="29"/>
  <c r="BK241" i="29" s="1"/>
  <c r="R220" i="29"/>
  <c r="O200" i="29"/>
  <c r="AI223" i="29"/>
  <c r="AI222" i="29"/>
  <c r="AN222" i="29"/>
  <c r="C222" i="29"/>
  <c r="C223" i="29"/>
  <c r="C224" i="29" s="1"/>
  <c r="P223" i="29"/>
  <c r="P224" i="29" s="1"/>
  <c r="P222" i="29"/>
  <c r="AO239" i="29"/>
  <c r="AO241" i="29" s="1"/>
  <c r="AO238" i="29"/>
  <c r="AF200" i="29"/>
  <c r="BT330" i="29"/>
  <c r="BS331" i="29"/>
  <c r="BO138" i="29"/>
  <c r="BN204" i="29"/>
  <c r="BU26" i="29"/>
  <c r="X327" i="29"/>
  <c r="X329" i="29"/>
  <c r="X202" i="29"/>
  <c r="X203" i="29"/>
  <c r="X287" i="29"/>
  <c r="X349" i="29"/>
  <c r="AA125" i="29"/>
  <c r="AF125" i="29"/>
  <c r="CE64" i="29"/>
  <c r="R13" i="120"/>
  <c r="H41" i="120" s="1"/>
  <c r="BT287" i="29"/>
  <c r="BT202" i="29"/>
  <c r="AK329" i="29"/>
  <c r="AK202" i="29"/>
  <c r="AK203" i="29"/>
  <c r="AP204" i="29" s="1"/>
  <c r="AK211" i="29"/>
  <c r="AK327" i="29"/>
  <c r="BI220" i="29"/>
  <c r="D222" i="29"/>
  <c r="T198" i="29"/>
  <c r="F44" i="120"/>
  <c r="P26" i="120"/>
  <c r="U220" i="29"/>
  <c r="AC239" i="29"/>
  <c r="AC241" i="29" s="1"/>
  <c r="AC238" i="29"/>
  <c r="BC223" i="29"/>
  <c r="BC224" i="29" s="1"/>
  <c r="BC222" i="29"/>
  <c r="BG238" i="29"/>
  <c r="BG239" i="29"/>
  <c r="BG241" i="29" s="1"/>
  <c r="Z239" i="29"/>
  <c r="Z241" i="29" s="1"/>
  <c r="Z238" i="29"/>
  <c r="AL224" i="29"/>
  <c r="AT198" i="29"/>
  <c r="BL220" i="29"/>
  <c r="AE238" i="29"/>
  <c r="AE239" i="29"/>
  <c r="AE241" i="29" s="1"/>
  <c r="G236" i="29"/>
  <c r="G197" i="29"/>
  <c r="G198" i="29" s="1"/>
  <c r="G219" i="29"/>
  <c r="G220" i="29" s="1"/>
  <c r="G200" i="29"/>
  <c r="G349" i="29"/>
  <c r="U292" i="29"/>
  <c r="U289" i="29"/>
  <c r="U287" i="29"/>
  <c r="U288" i="29"/>
  <c r="AJ288" i="29"/>
  <c r="AJ289" i="29"/>
  <c r="AJ287" i="29"/>
  <c r="AJ292" i="29"/>
  <c r="W206" i="29"/>
  <c r="W204" i="29"/>
  <c r="BU323" i="29"/>
  <c r="BZ323" i="29" s="1"/>
  <c r="AU327" i="29"/>
  <c r="AU203" i="29"/>
  <c r="AU202" i="29"/>
  <c r="AU329" i="29"/>
  <c r="AU211" i="29"/>
  <c r="BR221" i="29"/>
  <c r="BR199" i="29"/>
  <c r="BR189" i="29"/>
  <c r="BR186" i="29"/>
  <c r="BR187" i="29" s="1"/>
  <c r="BU16" i="29"/>
  <c r="BU174" i="29"/>
  <c r="BU176" i="29"/>
  <c r="BU172" i="29"/>
  <c r="Q24" i="120"/>
  <c r="G48" i="120" s="1"/>
  <c r="D206" i="29"/>
  <c r="D204" i="29"/>
  <c r="BR322" i="29"/>
  <c r="D200" i="29"/>
  <c r="BO219" i="29"/>
  <c r="BO236" i="29"/>
  <c r="BO197" i="29"/>
  <c r="BO200" i="29"/>
  <c r="E47" i="120"/>
  <c r="O26" i="120"/>
  <c r="AK252" i="29"/>
  <c r="AK253" i="29" s="1"/>
  <c r="AK248" i="29"/>
  <c r="AK249" i="29" s="1"/>
  <c r="AK256" i="29"/>
  <c r="AK245" i="29"/>
  <c r="AK242" i="29"/>
  <c r="AK350" i="29"/>
  <c r="BB198" i="29"/>
  <c r="Y238" i="29"/>
  <c r="Y239" i="29"/>
  <c r="Y241" i="29" s="1"/>
  <c r="E223" i="29"/>
  <c r="E224" i="29" s="1"/>
  <c r="E222" i="29"/>
  <c r="BF238" i="29"/>
  <c r="BF239" i="29"/>
  <c r="BF241" i="29" s="1"/>
  <c r="AJ239" i="29"/>
  <c r="AJ241" i="29" s="1"/>
  <c r="AJ238" i="29"/>
  <c r="N223" i="29"/>
  <c r="N224" i="29" s="1"/>
  <c r="N222" i="29"/>
  <c r="AL198" i="29"/>
  <c r="F198" i="29"/>
  <c r="AN238" i="29"/>
  <c r="AN239" i="29"/>
  <c r="AN241" i="29" s="1"/>
  <c r="S236" i="29"/>
  <c r="S197" i="29"/>
  <c r="S219" i="29"/>
  <c r="S200" i="29"/>
  <c r="S349" i="29"/>
  <c r="AM220" i="29"/>
  <c r="BU234" i="29"/>
  <c r="Q36" i="120" s="1"/>
  <c r="BN300" i="29"/>
  <c r="BN285" i="29"/>
  <c r="BN289" i="29"/>
  <c r="L202" i="29"/>
  <c r="L203" i="29"/>
  <c r="L204" i="29" s="1"/>
  <c r="L329" i="29"/>
  <c r="L327" i="29"/>
  <c r="R12" i="120"/>
  <c r="H40" i="120" s="1"/>
  <c r="CE34" i="29"/>
  <c r="BU136" i="29"/>
  <c r="BU132" i="29"/>
  <c r="BU134" i="29"/>
  <c r="Q22" i="120"/>
  <c r="G46" i="120" s="1"/>
  <c r="BJ329" i="29"/>
  <c r="BJ327" i="29"/>
  <c r="BJ287" i="29"/>
  <c r="BJ202" i="29"/>
  <c r="BJ209" i="29"/>
  <c r="BJ210" i="29" s="1"/>
  <c r="BJ203" i="29"/>
  <c r="Y204" i="29"/>
  <c r="Y206" i="29"/>
  <c r="M223" i="29"/>
  <c r="M224" i="29" s="1"/>
  <c r="M222" i="29"/>
  <c r="BJ192" i="29"/>
  <c r="BA198" i="29"/>
  <c r="BS295" i="29"/>
  <c r="BS299" i="29" s="1"/>
  <c r="BT269" i="29"/>
  <c r="Q49" i="120"/>
  <c r="AE292" i="29"/>
  <c r="AE289" i="29"/>
  <c r="AE287" i="29"/>
  <c r="AE288" i="29"/>
  <c r="AF286" i="29"/>
  <c r="BS307" i="29"/>
  <c r="U83" i="29"/>
  <c r="U80" i="29"/>
  <c r="U81" i="29" s="1"/>
  <c r="R187" i="29"/>
  <c r="U204" i="29"/>
  <c r="U206" i="29"/>
  <c r="AI206" i="29"/>
  <c r="AI204" i="29"/>
  <c r="X223" i="29"/>
  <c r="X224" i="29" s="1"/>
  <c r="X222" i="29"/>
  <c r="Q223" i="29"/>
  <c r="Q224" i="29" s="1"/>
  <c r="Q222" i="29"/>
  <c r="AP236" i="29"/>
  <c r="AP219" i="29"/>
  <c r="AP200" i="29"/>
  <c r="AP197" i="29"/>
  <c r="AP198" i="29" s="1"/>
  <c r="AP349" i="29"/>
  <c r="AG220" i="29"/>
  <c r="R198" i="29"/>
  <c r="B236" i="29"/>
  <c r="B197" i="29"/>
  <c r="B219" i="29"/>
  <c r="BH224" i="29"/>
  <c r="O238" i="29"/>
  <c r="O239" i="29"/>
  <c r="O241" i="29" s="1"/>
  <c r="W220" i="29"/>
  <c r="AF220" i="29"/>
  <c r="CE272" i="29"/>
  <c r="BU262" i="29"/>
  <c r="Q294" i="29"/>
  <c r="AZ206" i="29"/>
  <c r="AZ204" i="29"/>
  <c r="G206" i="29"/>
  <c r="G204" i="29"/>
  <c r="AB206" i="29"/>
  <c r="AB204" i="29"/>
  <c r="BK204" i="29"/>
  <c r="BQ331" i="29"/>
  <c r="CE24" i="29"/>
  <c r="R11" i="120"/>
  <c r="H39" i="120" s="1"/>
  <c r="BU137" i="29"/>
  <c r="BU138" i="29" s="1"/>
  <c r="L206" i="29"/>
  <c r="H208" i="29"/>
  <c r="AE83" i="29"/>
  <c r="AE80" i="29"/>
  <c r="AE81" i="29" s="1"/>
  <c r="AA16" i="29"/>
  <c r="BU66" i="29"/>
  <c r="BI239" i="29"/>
  <c r="BI241" i="29" s="1"/>
  <c r="BI238" i="29"/>
  <c r="BE198" i="29"/>
  <c r="U198" i="29"/>
  <c r="AC198" i="29"/>
  <c r="BL239" i="29"/>
  <c r="BL241" i="29" s="1"/>
  <c r="BL238" i="29"/>
  <c r="G222" i="29"/>
  <c r="G223" i="29"/>
  <c r="G224" i="29" s="1"/>
  <c r="BM220" i="29"/>
  <c r="BP273" i="29"/>
  <c r="Q203" i="29"/>
  <c r="Q204" i="29" s="1"/>
  <c r="P83" i="29"/>
  <c r="P80" i="29"/>
  <c r="P81" i="29" s="1"/>
  <c r="BT221" i="29"/>
  <c r="BT199" i="29"/>
  <c r="BT203" i="29" s="1"/>
  <c r="BT189" i="29"/>
  <c r="BT186" i="29"/>
  <c r="BT187" i="29" s="1"/>
  <c r="F206" i="29"/>
  <c r="F204" i="29"/>
  <c r="AZ187" i="29"/>
  <c r="BO133" i="29"/>
  <c r="AE206" i="29"/>
  <c r="AE204" i="29"/>
  <c r="CE14" i="29"/>
  <c r="R10" i="120"/>
  <c r="H38" i="120" s="1"/>
  <c r="AC204" i="29"/>
  <c r="AC206" i="29"/>
  <c r="BB206" i="29"/>
  <c r="BB204" i="29"/>
  <c r="AF206" i="29"/>
  <c r="BJ99" i="29"/>
  <c r="BJ100" i="29" s="1"/>
  <c r="D220" i="29"/>
  <c r="I238" i="29"/>
  <c r="I239" i="29"/>
  <c r="I241" i="29" s="1"/>
  <c r="AF120" i="29"/>
  <c r="AA120" i="29"/>
  <c r="V236" i="29"/>
  <c r="V197" i="29"/>
  <c r="V198" i="29" s="1"/>
  <c r="V219" i="29"/>
  <c r="V220" i="29" s="1"/>
  <c r="V200" i="29"/>
  <c r="Y198" i="29"/>
  <c r="BF198" i="29"/>
  <c r="AJ198" i="29"/>
  <c r="AQ224" i="29"/>
  <c r="N236" i="29"/>
  <c r="N219" i="29"/>
  <c r="N220" i="29" s="1"/>
  <c r="N197" i="29"/>
  <c r="N198" i="29" s="1"/>
  <c r="N200" i="29"/>
  <c r="N349" i="29"/>
  <c r="AH224" i="29"/>
  <c r="AL239" i="29"/>
  <c r="AL241" i="29" s="1"/>
  <c r="AL238" i="29"/>
  <c r="F239" i="29"/>
  <c r="F241" i="29" s="1"/>
  <c r="F238" i="29"/>
  <c r="AN198" i="29"/>
  <c r="S187" i="29"/>
  <c r="AM198" i="29"/>
  <c r="BC239" i="29"/>
  <c r="BC241" i="29" s="1"/>
  <c r="BC238" i="29"/>
  <c r="BU226" i="29"/>
  <c r="BU228" i="29" s="1"/>
  <c r="BD289" i="29"/>
  <c r="AJ224" i="29"/>
  <c r="BS79" i="29"/>
  <c r="BM204" i="29"/>
  <c r="G37" i="120"/>
  <c r="Q16" i="120"/>
  <c r="BU6" i="29"/>
  <c r="Z206" i="29"/>
  <c r="Z204" i="29"/>
  <c r="BU123" i="29"/>
  <c r="BU119" i="29"/>
  <c r="BU121" i="29"/>
  <c r="Q21" i="120"/>
  <c r="G45" i="120" s="1"/>
  <c r="S206" i="29"/>
  <c r="S204" i="29"/>
  <c r="BC206" i="29"/>
  <c r="BC204" i="29"/>
  <c r="AO204" i="29"/>
  <c r="AO206" i="29"/>
  <c r="BN222" i="29"/>
  <c r="BN223" i="29"/>
  <c r="BN224" i="29" s="1"/>
  <c r="R222" i="29"/>
  <c r="J219" i="29"/>
  <c r="O220" i="29" s="1"/>
  <c r="J197" i="29"/>
  <c r="J236" i="29"/>
  <c r="J349" i="29"/>
  <c r="AI198" i="29"/>
  <c r="K239" i="29"/>
  <c r="K241" i="29" s="1"/>
  <c r="K238" i="29"/>
  <c r="AQ239" i="29"/>
  <c r="AQ241" i="29" s="1"/>
  <c r="AQ238" i="29"/>
  <c r="AB239" i="29"/>
  <c r="AB241" i="29" s="1"/>
  <c r="AB238" i="29"/>
  <c r="P220" i="29"/>
  <c r="CE263" i="29"/>
  <c r="BI289" i="29"/>
  <c r="BI285" i="29"/>
  <c r="BI300" i="29"/>
  <c r="AK223" i="29"/>
  <c r="AK224" i="29" s="1"/>
  <c r="AK222" i="29"/>
  <c r="L289" i="29"/>
  <c r="P292" i="29"/>
  <c r="P289" i="29"/>
  <c r="P287" i="29"/>
  <c r="P288" i="29"/>
  <c r="Q286" i="29"/>
  <c r="V294" i="29"/>
  <c r="L294" i="29"/>
  <c r="AU236" i="29"/>
  <c r="AU219" i="29"/>
  <c r="AU220" i="29" s="1"/>
  <c r="AU197" i="29"/>
  <c r="AU198" i="29" s="1"/>
  <c r="AU200" i="29"/>
  <c r="AA223" i="29"/>
  <c r="AA222" i="29"/>
  <c r="U223" i="29"/>
  <c r="U224" i="29" s="1"/>
  <c r="U222" i="29"/>
  <c r="AG198" i="29"/>
  <c r="R239" i="29"/>
  <c r="R241" i="29" s="1"/>
  <c r="R238" i="29"/>
  <c r="O198" i="29"/>
  <c r="W198" i="29"/>
  <c r="C187" i="29"/>
  <c r="AS238" i="29"/>
  <c r="AS239" i="29"/>
  <c r="AS241" i="29" s="1"/>
  <c r="AF239" i="29"/>
  <c r="AF241" i="29" s="1"/>
  <c r="AF238" i="29"/>
  <c r="AZ239" i="29"/>
  <c r="AZ241" i="29" s="1"/>
  <c r="AZ238" i="29"/>
  <c r="CE240" i="29"/>
  <c r="R39" i="120"/>
  <c r="AT287" i="29"/>
  <c r="AT288" i="29"/>
  <c r="AT292" i="29"/>
  <c r="AU292" i="29" s="1"/>
  <c r="AU293" i="29" s="1"/>
  <c r="AT289" i="29"/>
  <c r="AO300" i="29"/>
  <c r="AO292" i="29"/>
  <c r="AP292" i="29" s="1"/>
  <c r="AP293" i="29" s="1"/>
  <c r="AP300" i="29" s="1"/>
  <c r="AE352" i="29"/>
  <c r="AE298" i="29"/>
  <c r="AG204" i="29"/>
  <c r="AG206" i="29"/>
  <c r="E38" i="120"/>
  <c r="O16" i="120"/>
  <c r="E45" i="120"/>
  <c r="F38" i="120"/>
  <c r="X79" i="29"/>
  <c r="AT206" i="29"/>
  <c r="AT204" i="29"/>
  <c r="BT79" i="29"/>
  <c r="BI198" i="29"/>
  <c r="T220" i="29"/>
  <c r="L236" i="29"/>
  <c r="L219" i="29"/>
  <c r="L220" i="29" s="1"/>
  <c r="L200" i="29"/>
  <c r="L197" i="29"/>
  <c r="L198" i="29" s="1"/>
  <c r="BP221" i="29"/>
  <c r="BP195" i="29"/>
  <c r="BP199" i="29"/>
  <c r="BP186" i="29"/>
  <c r="BE239" i="29"/>
  <c r="BE241" i="29" s="1"/>
  <c r="BE238" i="29"/>
  <c r="U239" i="29"/>
  <c r="U241" i="29" s="1"/>
  <c r="U238" i="29"/>
  <c r="AC220" i="29"/>
  <c r="Z198" i="29"/>
  <c r="AD224" i="29"/>
  <c r="F224" i="29"/>
  <c r="BN239" i="29"/>
  <c r="BN241" i="29" s="1"/>
  <c r="BN238" i="29"/>
  <c r="BH238" i="29"/>
  <c r="BH239" i="29"/>
  <c r="BH241" i="29" s="1"/>
  <c r="BL198" i="29"/>
  <c r="O222" i="29"/>
  <c r="AE198" i="29"/>
  <c r="AZ196" i="29"/>
  <c r="BM239" i="29"/>
  <c r="BM241" i="29" s="1"/>
  <c r="BM238" i="29"/>
  <c r="BF263" i="29"/>
  <c r="BJ263" i="29" s="1"/>
  <c r="BJ262" i="29"/>
  <c r="BJ261" i="29" s="1"/>
  <c r="BO261" i="29" s="1"/>
  <c r="AK298" i="29"/>
  <c r="V286" i="29"/>
  <c r="Q202" i="29"/>
  <c r="BQ79" i="29"/>
  <c r="C202" i="29"/>
  <c r="AC202" i="29"/>
  <c r="AH206" i="29"/>
  <c r="AH204" i="29"/>
  <c r="D238" i="29"/>
  <c r="D239" i="29"/>
  <c r="D241" i="29" s="1"/>
  <c r="AU99" i="29"/>
  <c r="AU100" i="29" s="1"/>
  <c r="AA187" i="29"/>
  <c r="V187" i="29"/>
  <c r="V223" i="29"/>
  <c r="V224" i="29" s="1"/>
  <c r="V222" i="29"/>
  <c r="AK219" i="29"/>
  <c r="AK220" i="29" s="1"/>
  <c r="BB220" i="29"/>
  <c r="Y220" i="29"/>
  <c r="Z222" i="29"/>
  <c r="F200" i="29"/>
  <c r="AE224" i="29"/>
  <c r="AM239" i="29"/>
  <c r="AM241" i="29" s="1"/>
  <c r="AM238" i="29"/>
  <c r="BC220" i="29"/>
  <c r="AK238" i="29"/>
  <c r="BS203" i="29"/>
  <c r="BS202" i="29"/>
  <c r="BS287" i="29"/>
  <c r="CE76" i="29"/>
  <c r="BZ75" i="29"/>
  <c r="R15" i="120" s="1"/>
  <c r="AK286" i="29"/>
  <c r="D306" i="29"/>
  <c r="D313" i="29" s="1"/>
  <c r="D314" i="29" s="1"/>
  <c r="E301" i="29"/>
  <c r="E302" i="29" s="1"/>
  <c r="BU194" i="29" l="1"/>
  <c r="BU314" i="29"/>
  <c r="BZ314" i="29" s="1"/>
  <c r="BT204" i="29"/>
  <c r="BT310" i="29"/>
  <c r="BU310" i="29" s="1"/>
  <c r="BU311" i="29" s="1"/>
  <c r="BZ311" i="29" s="1"/>
  <c r="BS204" i="29"/>
  <c r="BS310" i="29"/>
  <c r="BP261" i="29"/>
  <c r="BU261" i="29"/>
  <c r="BZ261" i="29" s="1"/>
  <c r="BM256" i="29"/>
  <c r="BM242" i="29"/>
  <c r="BM252" i="29"/>
  <c r="BM253" i="29" s="1"/>
  <c r="BM248" i="29"/>
  <c r="BM249" i="29" s="1"/>
  <c r="BM245" i="29"/>
  <c r="BN256" i="29"/>
  <c r="BN252" i="29"/>
  <c r="BN253" i="29" s="1"/>
  <c r="BN248" i="29"/>
  <c r="BN249" i="29" s="1"/>
  <c r="BN242" i="29"/>
  <c r="BN245" i="29"/>
  <c r="BE242" i="29"/>
  <c r="BE248" i="29"/>
  <c r="BE249" i="29" s="1"/>
  <c r="BE250" i="29" s="1"/>
  <c r="BE256" i="29"/>
  <c r="BE252" i="29"/>
  <c r="BE253" i="29" s="1"/>
  <c r="BE245" i="29"/>
  <c r="BE246" i="29" s="1"/>
  <c r="BE350" i="29"/>
  <c r="BP223" i="29"/>
  <c r="BP222" i="29"/>
  <c r="L239" i="29"/>
  <c r="L241" i="29" s="1"/>
  <c r="L238" i="29"/>
  <c r="AZ248" i="29"/>
  <c r="AZ249" i="29" s="1"/>
  <c r="AZ252" i="29"/>
  <c r="AZ253" i="29" s="1"/>
  <c r="AZ256" i="29"/>
  <c r="AZ242" i="29"/>
  <c r="AZ245" i="29"/>
  <c r="AZ350" i="29"/>
  <c r="L352" i="29"/>
  <c r="L298" i="29"/>
  <c r="AO208" i="29"/>
  <c r="AO207" i="29"/>
  <c r="BZ119" i="29"/>
  <c r="BU120" i="29"/>
  <c r="BS190" i="29"/>
  <c r="BC350" i="29"/>
  <c r="BC256" i="29"/>
  <c r="BC252" i="29"/>
  <c r="BC253" i="29" s="1"/>
  <c r="BC245" i="29"/>
  <c r="BC248" i="29"/>
  <c r="BC249" i="29" s="1"/>
  <c r="BC242" i="29"/>
  <c r="I350" i="29"/>
  <c r="I252" i="29"/>
  <c r="I253" i="29" s="1"/>
  <c r="I248" i="29"/>
  <c r="I249" i="29" s="1"/>
  <c r="I256" i="29"/>
  <c r="I245" i="29"/>
  <c r="I242" i="29"/>
  <c r="AC208" i="29"/>
  <c r="S10" i="120"/>
  <c r="I38" i="120" s="1"/>
  <c r="CJ14" i="29"/>
  <c r="AE207" i="29"/>
  <c r="AE208" i="29"/>
  <c r="BI256" i="29"/>
  <c r="BI242" i="29"/>
  <c r="BI248" i="29"/>
  <c r="BI249" i="29" s="1"/>
  <c r="BI245" i="29"/>
  <c r="BI252" i="29"/>
  <c r="BI253" i="29" s="1"/>
  <c r="Q352" i="29"/>
  <c r="Q298" i="29"/>
  <c r="O350" i="29"/>
  <c r="O256" i="29"/>
  <c r="O242" i="29"/>
  <c r="O248" i="29"/>
  <c r="O249" i="29" s="1"/>
  <c r="O252" i="29"/>
  <c r="O253" i="29" s="1"/>
  <c r="O245" i="29"/>
  <c r="AP239" i="29"/>
  <c r="AP241" i="29" s="1"/>
  <c r="AP238" i="29"/>
  <c r="CJ34" i="29"/>
  <c r="S12" i="120"/>
  <c r="I40" i="120" s="1"/>
  <c r="S198" i="29"/>
  <c r="AK276" i="29"/>
  <c r="AK282" i="29" s="1"/>
  <c r="AK258" i="29"/>
  <c r="D208" i="29"/>
  <c r="CE323" i="29"/>
  <c r="AE350" i="29"/>
  <c r="AE256" i="29"/>
  <c r="AE248" i="29"/>
  <c r="AE249" i="29" s="1"/>
  <c r="AE242" i="29"/>
  <c r="AE245" i="29"/>
  <c r="AE252" i="29"/>
  <c r="AE253" i="29" s="1"/>
  <c r="AC350" i="29"/>
  <c r="AC252" i="29"/>
  <c r="AC253" i="29" s="1"/>
  <c r="AC242" i="29"/>
  <c r="AC248" i="29"/>
  <c r="AC249" i="29" s="1"/>
  <c r="AC256" i="29"/>
  <c r="AC245" i="29"/>
  <c r="AO350" i="29"/>
  <c r="AO252" i="29"/>
  <c r="AO253" i="29" s="1"/>
  <c r="AO256" i="29"/>
  <c r="AO248" i="29"/>
  <c r="AO249" i="29" s="1"/>
  <c r="AO245" i="29"/>
  <c r="AO242" i="29"/>
  <c r="Q239" i="29"/>
  <c r="Q241" i="29" s="1"/>
  <c r="Q238" i="29"/>
  <c r="X239" i="29"/>
  <c r="X241" i="29" s="1"/>
  <c r="X238" i="29"/>
  <c r="CE181" i="29"/>
  <c r="BZ107" i="29"/>
  <c r="BU107" i="29"/>
  <c r="AR208" i="29"/>
  <c r="AR207" i="29"/>
  <c r="AL208" i="29"/>
  <c r="AL207" i="29"/>
  <c r="BA350" i="29"/>
  <c r="BA242" i="29"/>
  <c r="BA256" i="29"/>
  <c r="BA248" i="29"/>
  <c r="BA249" i="29" s="1"/>
  <c r="BA245" i="29"/>
  <c r="BA252" i="29"/>
  <c r="BA253" i="29" s="1"/>
  <c r="R208" i="29"/>
  <c r="V206" i="29"/>
  <c r="E238" i="29"/>
  <c r="E239" i="29"/>
  <c r="E241" i="29" s="1"/>
  <c r="AR350" i="29"/>
  <c r="AR252" i="29"/>
  <c r="AR253" i="29" s="1"/>
  <c r="AR248" i="29"/>
  <c r="AR249" i="29" s="1"/>
  <c r="AR245" i="29"/>
  <c r="AR242" i="29"/>
  <c r="AR256" i="29"/>
  <c r="BU268" i="29"/>
  <c r="BU266" i="29"/>
  <c r="BZ266" i="29" s="1"/>
  <c r="CE266" i="29" s="1"/>
  <c r="CJ266" i="29" s="1"/>
  <c r="BZ267" i="29"/>
  <c r="Q42" i="120"/>
  <c r="BU257" i="29"/>
  <c r="C198" i="29"/>
  <c r="AP224" i="29"/>
  <c r="AA239" i="29"/>
  <c r="AA241" i="29" s="1"/>
  <c r="AA238" i="29"/>
  <c r="V204" i="29"/>
  <c r="AI350" i="29"/>
  <c r="AI256" i="29"/>
  <c r="AI248" i="29"/>
  <c r="AI249" i="29" s="1"/>
  <c r="AI242" i="29"/>
  <c r="AI245" i="29"/>
  <c r="AI252" i="29"/>
  <c r="AI253" i="29" s="1"/>
  <c r="AT250" i="29"/>
  <c r="R224" i="29"/>
  <c r="AJ208" i="29"/>
  <c r="AJ207" i="29"/>
  <c r="BO204" i="29"/>
  <c r="E306" i="29"/>
  <c r="E313" i="29" s="1"/>
  <c r="E314" i="29" s="1"/>
  <c r="F301" i="29"/>
  <c r="F302" i="29" s="1"/>
  <c r="CJ76" i="29"/>
  <c r="CE75" i="29"/>
  <c r="S15" i="120" s="1"/>
  <c r="AH208" i="29"/>
  <c r="AH207" i="29"/>
  <c r="BH256" i="29"/>
  <c r="BH252" i="29"/>
  <c r="BH253" i="29" s="1"/>
  <c r="BH242" i="29"/>
  <c r="BH248" i="29"/>
  <c r="BH249" i="29" s="1"/>
  <c r="BH250" i="29" s="1"/>
  <c r="BH245" i="29"/>
  <c r="BH246" i="29" s="1"/>
  <c r="AT208" i="29"/>
  <c r="AT207" i="29"/>
  <c r="E49" i="120"/>
  <c r="O18" i="120"/>
  <c r="O31" i="120" s="1"/>
  <c r="F42" i="120"/>
  <c r="E42" i="120"/>
  <c r="O33" i="120"/>
  <c r="R350" i="29"/>
  <c r="R256" i="29"/>
  <c r="R248" i="29"/>
  <c r="R249" i="29" s="1"/>
  <c r="R242" i="29"/>
  <c r="R252" i="29"/>
  <c r="R253" i="29" s="1"/>
  <c r="R245" i="29"/>
  <c r="V352" i="29"/>
  <c r="V298" i="29"/>
  <c r="AQ350" i="29"/>
  <c r="AQ256" i="29"/>
  <c r="AQ242" i="29"/>
  <c r="AQ245" i="29"/>
  <c r="AQ252" i="29"/>
  <c r="AQ253" i="29" s="1"/>
  <c r="AQ248" i="29"/>
  <c r="AQ249" i="29" s="1"/>
  <c r="S208" i="29"/>
  <c r="S207" i="29"/>
  <c r="G42" i="120"/>
  <c r="F350" i="29"/>
  <c r="F256" i="29"/>
  <c r="F252" i="29"/>
  <c r="F253" i="29" s="1"/>
  <c r="F245" i="29"/>
  <c r="F242" i="29"/>
  <c r="F248" i="29"/>
  <c r="F249" i="29" s="1"/>
  <c r="N239" i="29"/>
  <c r="N241" i="29" s="1"/>
  <c r="N238" i="29"/>
  <c r="V239" i="29"/>
  <c r="V241" i="29" s="1"/>
  <c r="V238" i="29"/>
  <c r="AF208" i="29"/>
  <c r="G207" i="29"/>
  <c r="G208" i="29"/>
  <c r="AZ220" i="29"/>
  <c r="B239" i="29"/>
  <c r="B241" i="29" s="1"/>
  <c r="B238" i="29"/>
  <c r="BT307" i="29"/>
  <c r="BU307" i="29" s="1"/>
  <c r="BT295" i="29"/>
  <c r="BU269" i="29"/>
  <c r="BJ204" i="29"/>
  <c r="S239" i="29"/>
  <c r="S241" i="29" s="1"/>
  <c r="S238" i="29"/>
  <c r="AJ350" i="29"/>
  <c r="AJ252" i="29"/>
  <c r="AJ253" i="29" s="1"/>
  <c r="AJ248" i="29"/>
  <c r="AJ249" i="29" s="1"/>
  <c r="AJ250" i="29" s="1"/>
  <c r="AJ256" i="29"/>
  <c r="AJ245" i="29"/>
  <c r="AJ246" i="29" s="1"/>
  <c r="AJ242" i="29"/>
  <c r="BR236" i="29"/>
  <c r="BR219" i="29"/>
  <c r="BR220" i="29" s="1"/>
  <c r="BR200" i="29"/>
  <c r="BR197" i="29"/>
  <c r="BR198" i="29" s="1"/>
  <c r="AK204" i="29"/>
  <c r="AK206" i="29"/>
  <c r="X206" i="29"/>
  <c r="AC207" i="29" s="1"/>
  <c r="X204" i="29"/>
  <c r="AZ198" i="29"/>
  <c r="AG350" i="29"/>
  <c r="AG252" i="29"/>
  <c r="AG253" i="29" s="1"/>
  <c r="AG256" i="29"/>
  <c r="AG245" i="29"/>
  <c r="AG242" i="29"/>
  <c r="AG248" i="29"/>
  <c r="AG249" i="29" s="1"/>
  <c r="Q220" i="29"/>
  <c r="X198" i="29"/>
  <c r="CE183" i="29"/>
  <c r="M204" i="29"/>
  <c r="M206" i="29"/>
  <c r="R207" i="29" s="1"/>
  <c r="AD208" i="29"/>
  <c r="AD207" i="29"/>
  <c r="O207" i="29"/>
  <c r="O208" i="29"/>
  <c r="H37" i="120"/>
  <c r="R16" i="120"/>
  <c r="E208" i="29"/>
  <c r="E207" i="29"/>
  <c r="BU279" i="29"/>
  <c r="BZ279" i="29" s="1"/>
  <c r="CE279" i="29" s="1"/>
  <c r="CJ279" i="29" s="1"/>
  <c r="S224" i="29"/>
  <c r="Z224" i="29"/>
  <c r="AM207" i="29"/>
  <c r="AM208" i="29"/>
  <c r="BE208" i="29"/>
  <c r="BJ208" i="29" s="1"/>
  <c r="BE207" i="29"/>
  <c r="C238" i="29"/>
  <c r="C239" i="29"/>
  <c r="C241" i="29" s="1"/>
  <c r="AA220" i="29"/>
  <c r="H350" i="29"/>
  <c r="H252" i="29"/>
  <c r="H253" i="29" s="1"/>
  <c r="H248" i="29"/>
  <c r="H249" i="29" s="1"/>
  <c r="H256" i="29"/>
  <c r="H242" i="29"/>
  <c r="H245" i="29"/>
  <c r="N208" i="29"/>
  <c r="N207" i="29"/>
  <c r="M301" i="29"/>
  <c r="M302" i="29" s="1"/>
  <c r="K306" i="29"/>
  <c r="K313" i="29" s="1"/>
  <c r="K314" i="29" s="1"/>
  <c r="P350" i="29"/>
  <c r="P252" i="29"/>
  <c r="P253" i="29" s="1"/>
  <c r="P248" i="29"/>
  <c r="P249" i="29" s="1"/>
  <c r="P256" i="29"/>
  <c r="P245" i="29"/>
  <c r="P242" i="29"/>
  <c r="AH350" i="29"/>
  <c r="AH256" i="29"/>
  <c r="AH245" i="29"/>
  <c r="AH246" i="29" s="1"/>
  <c r="AH242" i="29"/>
  <c r="AH252" i="29"/>
  <c r="AH253" i="29" s="1"/>
  <c r="AH248" i="29"/>
  <c r="AH249" i="29" s="1"/>
  <c r="AH250" i="29" s="1"/>
  <c r="BJ187" i="29"/>
  <c r="BO187" i="29"/>
  <c r="BO210" i="29"/>
  <c r="AM350" i="29"/>
  <c r="AM256" i="29"/>
  <c r="AM248" i="29"/>
  <c r="AM249" i="29" s="1"/>
  <c r="AM250" i="29" s="1"/>
  <c r="AM242" i="29"/>
  <c r="AM245" i="29"/>
  <c r="AM246" i="29" s="1"/>
  <c r="AM252" i="29"/>
  <c r="AM253" i="29" s="1"/>
  <c r="D350" i="29"/>
  <c r="D252" i="29"/>
  <c r="D253" i="29" s="1"/>
  <c r="D248" i="29"/>
  <c r="D249" i="29" s="1"/>
  <c r="D256" i="29"/>
  <c r="D245" i="29"/>
  <c r="D242" i="29"/>
  <c r="V287" i="29"/>
  <c r="V288" i="29"/>
  <c r="V292" i="29"/>
  <c r="V289" i="29"/>
  <c r="U350" i="29"/>
  <c r="U252" i="29"/>
  <c r="U253" i="29" s="1"/>
  <c r="U245" i="29"/>
  <c r="U246" i="29" s="1"/>
  <c r="U256" i="29"/>
  <c r="U248" i="29"/>
  <c r="U249" i="29" s="1"/>
  <c r="U250" i="29" s="1"/>
  <c r="U242" i="29"/>
  <c r="BP236" i="29"/>
  <c r="BP219" i="29"/>
  <c r="BP197" i="29"/>
  <c r="BP349" i="29"/>
  <c r="BP203" i="29"/>
  <c r="BP205" i="29" s="1"/>
  <c r="CJ240" i="29"/>
  <c r="T39" i="120" s="1"/>
  <c r="S39" i="120"/>
  <c r="AF252" i="29"/>
  <c r="AF253" i="29" s="1"/>
  <c r="AF245" i="29"/>
  <c r="AF256" i="29"/>
  <c r="AF242" i="29"/>
  <c r="AF248" i="29"/>
  <c r="AF249" i="29" s="1"/>
  <c r="AF350" i="29"/>
  <c r="AA224" i="29"/>
  <c r="AU239" i="29"/>
  <c r="AU241" i="29" s="1"/>
  <c r="AU238" i="29"/>
  <c r="J239" i="29"/>
  <c r="J241" i="29" s="1"/>
  <c r="J238" i="29"/>
  <c r="BZ228" i="29"/>
  <c r="BU229" i="29"/>
  <c r="F208" i="29"/>
  <c r="F207" i="29"/>
  <c r="BT236" i="29"/>
  <c r="BT219" i="29"/>
  <c r="BT220" i="29" s="1"/>
  <c r="BT200" i="29"/>
  <c r="BT197" i="29"/>
  <c r="BT198" i="29" s="1"/>
  <c r="BT349" i="29"/>
  <c r="L208" i="29"/>
  <c r="L207" i="29"/>
  <c r="CJ24" i="29"/>
  <c r="S11" i="120"/>
  <c r="I39" i="120" s="1"/>
  <c r="AI208" i="29"/>
  <c r="AI207" i="29"/>
  <c r="AF287" i="29"/>
  <c r="AF288" i="29"/>
  <c r="AF292" i="29"/>
  <c r="AF289" i="29"/>
  <c r="BZ132" i="29"/>
  <c r="BU133" i="29"/>
  <c r="AF224" i="29"/>
  <c r="AN350" i="29"/>
  <c r="AN252" i="29"/>
  <c r="AN253" i="29" s="1"/>
  <c r="AN245" i="29"/>
  <c r="AN246" i="29" s="1"/>
  <c r="AN242" i="29"/>
  <c r="AN256" i="29"/>
  <c r="AN248" i="29"/>
  <c r="AN249" i="29" s="1"/>
  <c r="AN250" i="29" s="1"/>
  <c r="BF252" i="29"/>
  <c r="BF253" i="29" s="1"/>
  <c r="BF256" i="29"/>
  <c r="BF245" i="29"/>
  <c r="BF246" i="29" s="1"/>
  <c r="BF248" i="29"/>
  <c r="BF249" i="29" s="1"/>
  <c r="BF250" i="29" s="1"/>
  <c r="BF242" i="29"/>
  <c r="Y350" i="29"/>
  <c r="Y252" i="29"/>
  <c r="Y253" i="29" s="1"/>
  <c r="Y256" i="29"/>
  <c r="Y248" i="29"/>
  <c r="Y249" i="29" s="1"/>
  <c r="Y245" i="29"/>
  <c r="Y242" i="29"/>
  <c r="AK274" i="29"/>
  <c r="AK243" i="29"/>
  <c r="BU173" i="29"/>
  <c r="BZ172" i="29"/>
  <c r="BR222" i="29"/>
  <c r="BR223" i="29"/>
  <c r="BR224" i="29" s="1"/>
  <c r="AU204" i="29"/>
  <c r="AU206" i="29"/>
  <c r="AA206" i="29"/>
  <c r="AF207" i="29" s="1"/>
  <c r="W207" i="29"/>
  <c r="W208" i="29"/>
  <c r="Z350" i="29"/>
  <c r="Z256" i="29"/>
  <c r="Z245" i="29"/>
  <c r="Z246" i="29" s="1"/>
  <c r="Z252" i="29"/>
  <c r="Z253" i="29" s="1"/>
  <c r="Z242" i="29"/>
  <c r="Z248" i="29"/>
  <c r="Z249" i="29" s="1"/>
  <c r="Z250" i="29" s="1"/>
  <c r="P18" i="120"/>
  <c r="P31" i="120" s="1"/>
  <c r="P33" i="120" s="1"/>
  <c r="F49" i="120"/>
  <c r="CE329" i="29"/>
  <c r="BU330" i="29"/>
  <c r="BT331" i="29"/>
  <c r="BK256" i="29"/>
  <c r="BK252" i="29"/>
  <c r="BK253" i="29" s="1"/>
  <c r="BK248" i="29"/>
  <c r="BK249" i="29" s="1"/>
  <c r="BK250" i="29" s="1"/>
  <c r="BK242" i="29"/>
  <c r="BK245" i="29"/>
  <c r="BK246" i="29" s="1"/>
  <c r="AC224" i="29"/>
  <c r="Q198" i="29"/>
  <c r="G44" i="120"/>
  <c r="Q26" i="120"/>
  <c r="G49" i="120" s="1"/>
  <c r="BU221" i="29"/>
  <c r="BU199" i="29"/>
  <c r="BU203" i="29" s="1"/>
  <c r="BU186" i="29"/>
  <c r="BU187" i="29" s="1"/>
  <c r="BU189" i="29"/>
  <c r="P208" i="29"/>
  <c r="P207" i="29"/>
  <c r="AA80" i="29"/>
  <c r="AA81" i="29" s="1"/>
  <c r="AA329" i="29"/>
  <c r="AA203" i="29"/>
  <c r="AA202" i="29"/>
  <c r="AA327" i="29"/>
  <c r="AA287" i="29"/>
  <c r="AF202" i="29"/>
  <c r="M238" i="29"/>
  <c r="M239" i="29"/>
  <c r="M241" i="29" s="1"/>
  <c r="CE309" i="29"/>
  <c r="CE109" i="29"/>
  <c r="CE111" i="29" s="1"/>
  <c r="CE112" i="29" s="1"/>
  <c r="CJ4" i="29"/>
  <c r="S9" i="120"/>
  <c r="CE77" i="29"/>
  <c r="CE83" i="29" s="1"/>
  <c r="CE81" i="29" s="1"/>
  <c r="BZ108" i="29"/>
  <c r="BZ110" i="29"/>
  <c r="R20" i="120"/>
  <c r="BB350" i="29"/>
  <c r="BB256" i="29"/>
  <c r="BB252" i="29"/>
  <c r="BB253" i="29" s="1"/>
  <c r="BB248" i="29"/>
  <c r="BB249" i="29" s="1"/>
  <c r="BB250" i="29" s="1"/>
  <c r="BB245" i="29"/>
  <c r="BB246" i="29" s="1"/>
  <c r="BB242" i="29"/>
  <c r="BD208" i="29"/>
  <c r="BD207" i="29"/>
  <c r="BQ204" i="29"/>
  <c r="BQ310" i="29"/>
  <c r="L224" i="29"/>
  <c r="AS207" i="29"/>
  <c r="AN208" i="29"/>
  <c r="AN207" i="29"/>
  <c r="BS219" i="29"/>
  <c r="BS220" i="29" s="1"/>
  <c r="BS236" i="29"/>
  <c r="BS200" i="29"/>
  <c r="BS197" i="29"/>
  <c r="BS198" i="29" s="1"/>
  <c r="BS349" i="29"/>
  <c r="CE327" i="29"/>
  <c r="BR287" i="29"/>
  <c r="BR203" i="29"/>
  <c r="BR202" i="29"/>
  <c r="BR313" i="29"/>
  <c r="W350" i="29"/>
  <c r="W256" i="29"/>
  <c r="W248" i="29"/>
  <c r="W249" i="29" s="1"/>
  <c r="W250" i="29" s="1"/>
  <c r="W242" i="29"/>
  <c r="W245" i="29"/>
  <c r="W246" i="29" s="1"/>
  <c r="W252" i="29"/>
  <c r="W253" i="29" s="1"/>
  <c r="BD350" i="29"/>
  <c r="BD256" i="29"/>
  <c r="BD248" i="29"/>
  <c r="BD249" i="29" s="1"/>
  <c r="BD250" i="29" s="1"/>
  <c r="BD245" i="29"/>
  <c r="BD246" i="29" s="1"/>
  <c r="BD252" i="29"/>
  <c r="BD253" i="29" s="1"/>
  <c r="BD242" i="29"/>
  <c r="BQ236" i="29"/>
  <c r="BQ219" i="29"/>
  <c r="BQ220" i="29" s="1"/>
  <c r="BQ200" i="29"/>
  <c r="BQ197" i="29"/>
  <c r="BQ198" i="29" s="1"/>
  <c r="BQ349" i="29"/>
  <c r="CJ82" i="29"/>
  <c r="CE337" i="29"/>
  <c r="BQ340" i="29"/>
  <c r="BR340" i="29" s="1"/>
  <c r="BS340" i="29" s="1"/>
  <c r="BT340" i="29" s="1"/>
  <c r="BU340" i="29" s="1"/>
  <c r="BU295" i="29"/>
  <c r="Q52" i="120" s="1"/>
  <c r="BQ299" i="29"/>
  <c r="AT274" i="29"/>
  <c r="AT243" i="29"/>
  <c r="AT276" i="29"/>
  <c r="AT282" i="29" s="1"/>
  <c r="AT258" i="29"/>
  <c r="BJ196" i="29"/>
  <c r="BO196" i="29"/>
  <c r="BJ222" i="29"/>
  <c r="BJ223" i="29"/>
  <c r="BJ224" i="29" s="1"/>
  <c r="AQ207" i="29"/>
  <c r="AQ208" i="29"/>
  <c r="BU209" i="29"/>
  <c r="BU210" i="29" s="1"/>
  <c r="BU202" i="29"/>
  <c r="BU287" i="29"/>
  <c r="AK287" i="29"/>
  <c r="AK288" i="29"/>
  <c r="AK292" i="29"/>
  <c r="AK289" i="29"/>
  <c r="AK290" i="29" s="1"/>
  <c r="AG208" i="29"/>
  <c r="AG207" i="29"/>
  <c r="AS350" i="29"/>
  <c r="AS252" i="29"/>
  <c r="AS253" i="29" s="1"/>
  <c r="AS242" i="29"/>
  <c r="AS256" i="29"/>
  <c r="AS248" i="29"/>
  <c r="AS249" i="29" s="1"/>
  <c r="AS250" i="29" s="1"/>
  <c r="AS245" i="29"/>
  <c r="AS246" i="29" s="1"/>
  <c r="Q288" i="29"/>
  <c r="Q287" i="29"/>
  <c r="Q289" i="29"/>
  <c r="Q292" i="29"/>
  <c r="CJ263" i="29"/>
  <c r="AB350" i="29"/>
  <c r="AB252" i="29"/>
  <c r="AB253" i="29" s="1"/>
  <c r="AB245" i="29"/>
  <c r="AB246" i="29" s="1"/>
  <c r="AB242" i="29"/>
  <c r="AB248" i="29"/>
  <c r="AB249" i="29" s="1"/>
  <c r="AB250" i="29" s="1"/>
  <c r="AB256" i="29"/>
  <c r="K350" i="29"/>
  <c r="K256" i="29"/>
  <c r="K245" i="29"/>
  <c r="K242" i="29"/>
  <c r="K252" i="29"/>
  <c r="K253" i="29" s="1"/>
  <c r="K248" i="29"/>
  <c r="K249" i="29" s="1"/>
  <c r="BC208" i="29"/>
  <c r="BC207" i="29"/>
  <c r="Z208" i="29"/>
  <c r="Z207" i="29"/>
  <c r="AL350" i="29"/>
  <c r="AL256" i="29"/>
  <c r="AL245" i="29"/>
  <c r="AL246" i="29" s="1"/>
  <c r="AL252" i="29"/>
  <c r="AL253" i="29" s="1"/>
  <c r="AL242" i="29"/>
  <c r="AL248" i="29"/>
  <c r="AL249" i="29" s="1"/>
  <c r="AL250" i="29" s="1"/>
  <c r="BB208" i="29"/>
  <c r="BB207" i="29"/>
  <c r="BQ190" i="29"/>
  <c r="BT223" i="29"/>
  <c r="BT224" i="29" s="1"/>
  <c r="BT222" i="29"/>
  <c r="BL256" i="29"/>
  <c r="BL245" i="29"/>
  <c r="BL246" i="29" s="1"/>
  <c r="BL242" i="29"/>
  <c r="BL252" i="29"/>
  <c r="BL253" i="29" s="1"/>
  <c r="BL248" i="29"/>
  <c r="BL249" i="29" s="1"/>
  <c r="AB208" i="29"/>
  <c r="AB207" i="29"/>
  <c r="AZ208" i="29"/>
  <c r="AZ207" i="29"/>
  <c r="CJ272" i="29"/>
  <c r="AP220" i="29"/>
  <c r="U208" i="29"/>
  <c r="U207" i="29"/>
  <c r="Y208" i="29"/>
  <c r="Y207" i="29"/>
  <c r="S220" i="29"/>
  <c r="AK246" i="29"/>
  <c r="BO239" i="29"/>
  <c r="BO241" i="29" s="1"/>
  <c r="BO238" i="29"/>
  <c r="G238" i="29"/>
  <c r="G239" i="29"/>
  <c r="G241" i="29" s="1"/>
  <c r="BG252" i="29"/>
  <c r="BG253" i="29" s="1"/>
  <c r="BG256" i="29"/>
  <c r="BG248" i="29"/>
  <c r="BG249" i="29" s="1"/>
  <c r="BG250" i="29" s="1"/>
  <c r="BG245" i="29"/>
  <c r="BG246" i="29" s="1"/>
  <c r="BG242" i="29"/>
  <c r="BT190" i="29"/>
  <c r="S13" i="120"/>
  <c r="I41" i="120" s="1"/>
  <c r="CJ64" i="29"/>
  <c r="AI224" i="29"/>
  <c r="AN224" i="29"/>
  <c r="AA196" i="29"/>
  <c r="AF196" i="29"/>
  <c r="X220" i="29"/>
  <c r="AU224" i="29"/>
  <c r="AZ224" i="29"/>
  <c r="AP208" i="29"/>
  <c r="AP207" i="29"/>
  <c r="Z83" i="29"/>
  <c r="Z80" i="29"/>
  <c r="Z81" i="29" s="1"/>
  <c r="BR331" i="29"/>
  <c r="T208" i="29"/>
  <c r="T207" i="29"/>
  <c r="R204" i="29"/>
  <c r="BZ77" i="29"/>
  <c r="BZ322" i="29" s="1"/>
  <c r="C206" i="29"/>
  <c r="C204" i="29"/>
  <c r="T350" i="29"/>
  <c r="T252" i="29"/>
  <c r="T253" i="29" s="1"/>
  <c r="T245" i="29"/>
  <c r="T246" i="29" s="1"/>
  <c r="T248" i="29"/>
  <c r="T249" i="29" s="1"/>
  <c r="T250" i="29" s="1"/>
  <c r="T242" i="29"/>
  <c r="T256" i="29"/>
  <c r="D224" i="29"/>
  <c r="BS223" i="29"/>
  <c r="BS224" i="29" s="1"/>
  <c r="BS222" i="29"/>
  <c r="BA207" i="29"/>
  <c r="BA208" i="29"/>
  <c r="BZ145" i="29"/>
  <c r="BU146" i="29"/>
  <c r="BR349" i="29"/>
  <c r="BT299" i="29"/>
  <c r="BU294" i="29"/>
  <c r="C220" i="29"/>
  <c r="AA198" i="29"/>
  <c r="BQ222" i="29"/>
  <c r="BQ223" i="29"/>
  <c r="BQ224" i="29" s="1"/>
  <c r="L285" i="29"/>
  <c r="L300" i="29"/>
  <c r="AT246" i="29"/>
  <c r="AD350" i="29"/>
  <c r="AD256" i="29"/>
  <c r="AD245" i="29"/>
  <c r="AD246" i="29" s="1"/>
  <c r="AD252" i="29"/>
  <c r="AD253" i="29" s="1"/>
  <c r="AD248" i="29"/>
  <c r="AD249" i="29" s="1"/>
  <c r="AD250" i="29" s="1"/>
  <c r="AD242" i="29"/>
  <c r="BJ236" i="29"/>
  <c r="BJ219" i="29"/>
  <c r="BO220" i="29" s="1"/>
  <c r="BJ197" i="29"/>
  <c r="BJ198" i="29" s="1"/>
  <c r="BJ200" i="29"/>
  <c r="BJ349" i="29"/>
  <c r="CE66" i="29" l="1"/>
  <c r="BT282" i="29"/>
  <c r="BJ239" i="29"/>
  <c r="BJ241" i="29" s="1"/>
  <c r="BJ238" i="29"/>
  <c r="C208" i="29"/>
  <c r="C207" i="29"/>
  <c r="G350" i="29"/>
  <c r="G256" i="29"/>
  <c r="G245" i="29"/>
  <c r="G246" i="29" s="1"/>
  <c r="G242" i="29"/>
  <c r="G248" i="29"/>
  <c r="G249" i="29" s="1"/>
  <c r="G250" i="29" s="1"/>
  <c r="G252" i="29"/>
  <c r="G253" i="29" s="1"/>
  <c r="BL243" i="29"/>
  <c r="BL274" i="29"/>
  <c r="AS274" i="29"/>
  <c r="AS243" i="29"/>
  <c r="BU204" i="29"/>
  <c r="CJ327" i="29"/>
  <c r="BS237" i="29"/>
  <c r="BS239" i="29"/>
  <c r="BS241" i="29" s="1"/>
  <c r="CE201" i="29"/>
  <c r="CE326" i="29" s="1"/>
  <c r="CE190" i="29"/>
  <c r="CE78" i="29"/>
  <c r="CE80" i="29"/>
  <c r="BK274" i="29"/>
  <c r="BK243" i="29"/>
  <c r="Y274" i="29"/>
  <c r="Y243" i="29"/>
  <c r="AN276" i="29"/>
  <c r="AN258" i="29"/>
  <c r="BZ135" i="29"/>
  <c r="BZ133" i="29"/>
  <c r="T11" i="120"/>
  <c r="J39" i="120" s="1"/>
  <c r="AF276" i="29"/>
  <c r="AF282" i="29" s="1"/>
  <c r="AF258" i="29"/>
  <c r="BP220" i="29"/>
  <c r="P34" i="120"/>
  <c r="U276" i="29"/>
  <c r="U258" i="29"/>
  <c r="D274" i="29"/>
  <c r="AM274" i="29"/>
  <c r="AM243" i="29"/>
  <c r="P250" i="29"/>
  <c r="M306" i="29"/>
  <c r="M313" i="29" s="1"/>
  <c r="M314" i="29" s="1"/>
  <c r="N301" i="29"/>
  <c r="N302" i="29" s="1"/>
  <c r="H274" i="29"/>
  <c r="AG276" i="29"/>
  <c r="AG258" i="29"/>
  <c r="AJ274" i="29"/>
  <c r="AJ243" i="29"/>
  <c r="AJ244" i="29"/>
  <c r="B256" i="29"/>
  <c r="B252" i="29"/>
  <c r="B253" i="29" s="1"/>
  <c r="B245" i="29"/>
  <c r="B248" i="29"/>
  <c r="B249" i="29" s="1"/>
  <c r="B242" i="29"/>
  <c r="B274" i="29" s="1"/>
  <c r="Q18" i="120"/>
  <c r="Q31" i="120" s="1"/>
  <c r="Q33" i="120" s="1"/>
  <c r="AQ250" i="29"/>
  <c r="AQ276" i="29"/>
  <c r="AQ258" i="29"/>
  <c r="R276" i="29"/>
  <c r="R258" i="29"/>
  <c r="BH274" i="29"/>
  <c r="BH243" i="29"/>
  <c r="AI246" i="29"/>
  <c r="BZ294" i="29"/>
  <c r="BZ265" i="29"/>
  <c r="BZ257" i="29"/>
  <c r="CE267" i="29"/>
  <c r="R42" i="120"/>
  <c r="AR250" i="29"/>
  <c r="BA274" i="29"/>
  <c r="BA243" i="29"/>
  <c r="BA244" i="29"/>
  <c r="AO250" i="29"/>
  <c r="AE274" i="29"/>
  <c r="AE243" i="29"/>
  <c r="AE244" i="29"/>
  <c r="CE36" i="29"/>
  <c r="BI276" i="29"/>
  <c r="BI290" i="29" s="1"/>
  <c r="BI258" i="29"/>
  <c r="T10" i="120"/>
  <c r="J38" i="120" s="1"/>
  <c r="BS192" i="29"/>
  <c r="BS191" i="29"/>
  <c r="BS195" i="29"/>
  <c r="BS196" i="29" s="1"/>
  <c r="AZ276" i="29"/>
  <c r="AZ258" i="29"/>
  <c r="BN250" i="29"/>
  <c r="BM250" i="29"/>
  <c r="CE261" i="29"/>
  <c r="BZ262" i="29"/>
  <c r="BZ264" i="29" s="1"/>
  <c r="AD274" i="29"/>
  <c r="AD243" i="29"/>
  <c r="AD244" i="29"/>
  <c r="AD276" i="29"/>
  <c r="AD258" i="29"/>
  <c r="T276" i="29"/>
  <c r="T258" i="29"/>
  <c r="BZ201" i="29"/>
  <c r="BZ190" i="29"/>
  <c r="BZ78" i="29"/>
  <c r="BZ80" i="29"/>
  <c r="BZ83" i="29"/>
  <c r="BZ81" i="29" s="1"/>
  <c r="BZ16" i="29"/>
  <c r="BZ66" i="29"/>
  <c r="BZ36" i="29"/>
  <c r="BZ6" i="29"/>
  <c r="BZ26" i="29"/>
  <c r="BQ192" i="29"/>
  <c r="BQ191" i="29"/>
  <c r="BQ195" i="29"/>
  <c r="BQ196" i="29" s="1"/>
  <c r="AL276" i="29"/>
  <c r="AL258" i="29"/>
  <c r="AL259" i="29" s="1"/>
  <c r="K274" i="29"/>
  <c r="AB276" i="29"/>
  <c r="AB258" i="29"/>
  <c r="AB259" i="29" s="1"/>
  <c r="CJ337" i="29"/>
  <c r="W276" i="29"/>
  <c r="W258" i="29"/>
  <c r="W259" i="29" s="1"/>
  <c r="BR204" i="29"/>
  <c r="BR310" i="29"/>
  <c r="BS282" i="29" s="1"/>
  <c r="BO224" i="29"/>
  <c r="I37" i="120"/>
  <c r="S16" i="120"/>
  <c r="CE308" i="29"/>
  <c r="CJ309" i="29"/>
  <c r="AA204" i="29"/>
  <c r="AF204" i="29"/>
  <c r="BU197" i="29"/>
  <c r="BU198" i="29" s="1"/>
  <c r="BU236" i="29"/>
  <c r="BU219" i="29"/>
  <c r="BU200" i="29"/>
  <c r="BU349" i="29"/>
  <c r="BU331" i="29"/>
  <c r="BZ330" i="29"/>
  <c r="P41" i="120"/>
  <c r="P43" i="120" s="1"/>
  <c r="F55" i="120" s="1"/>
  <c r="F51" i="120"/>
  <c r="BO198" i="29"/>
  <c r="Y246" i="29"/>
  <c r="BF276" i="29"/>
  <c r="BF258" i="29"/>
  <c r="AN243" i="29"/>
  <c r="AN274" i="29"/>
  <c r="AF290" i="29"/>
  <c r="CE26" i="29"/>
  <c r="BT237" i="29"/>
  <c r="BT239" i="29" s="1"/>
  <c r="BT241" i="29" s="1"/>
  <c r="CE228" i="29"/>
  <c r="BZ229" i="29"/>
  <c r="BP239" i="29"/>
  <c r="BP241" i="29" s="1"/>
  <c r="BP238" i="29"/>
  <c r="AH244" i="29"/>
  <c r="AH243" i="29"/>
  <c r="AH274" i="29"/>
  <c r="P274" i="29"/>
  <c r="P243" i="29"/>
  <c r="H276" i="29"/>
  <c r="H258" i="29"/>
  <c r="BO208" i="29"/>
  <c r="BJ206" i="29"/>
  <c r="H42" i="120"/>
  <c r="AG250" i="29"/>
  <c r="N350" i="29"/>
  <c r="N256" i="29"/>
  <c r="N248" i="29"/>
  <c r="N249" i="29" s="1"/>
  <c r="N250" i="29" s="1"/>
  <c r="N245" i="29"/>
  <c r="N246" i="29" s="1"/>
  <c r="N252" i="29"/>
  <c r="N253" i="29" s="1"/>
  <c r="N242" i="29"/>
  <c r="AI243" i="29"/>
  <c r="AI244" i="29"/>
  <c r="AI274" i="29"/>
  <c r="AR276" i="29"/>
  <c r="AR258" i="29"/>
  <c r="V208" i="29"/>
  <c r="BA246" i="29"/>
  <c r="CJ181" i="29"/>
  <c r="Q252" i="29"/>
  <c r="Q253" i="29" s="1"/>
  <c r="Q245" i="29"/>
  <c r="Q256" i="29"/>
  <c r="Q248" i="29"/>
  <c r="Q249" i="29" s="1"/>
  <c r="Q242" i="29"/>
  <c r="Q350" i="29"/>
  <c r="AO276" i="29"/>
  <c r="AO258" i="29"/>
  <c r="AT259" i="29" s="1"/>
  <c r="AC276" i="29"/>
  <c r="AC258" i="29"/>
  <c r="AE250" i="29"/>
  <c r="CJ323" i="29"/>
  <c r="CE322" i="29"/>
  <c r="AK259" i="29"/>
  <c r="BI246" i="29"/>
  <c r="CE16" i="29"/>
  <c r="I276" i="29"/>
  <c r="I258" i="29"/>
  <c r="BC274" i="29"/>
  <c r="BC243" i="29"/>
  <c r="BC244" i="29"/>
  <c r="BC276" i="29"/>
  <c r="BC290" i="29" s="1"/>
  <c r="BC258" i="29"/>
  <c r="L245" i="29"/>
  <c r="L246" i="29" s="1"/>
  <c r="L252" i="29"/>
  <c r="L253" i="29" s="1"/>
  <c r="L248" i="29"/>
  <c r="L249" i="29" s="1"/>
  <c r="L250" i="29" s="1"/>
  <c r="L242" i="29"/>
  <c r="K244" i="29" s="1"/>
  <c r="L256" i="29"/>
  <c r="L350" i="29"/>
  <c r="BE274" i="29"/>
  <c r="BE243" i="29"/>
  <c r="CE311" i="29"/>
  <c r="T274" i="29"/>
  <c r="T243" i="29"/>
  <c r="CJ175" i="29"/>
  <c r="T13" i="120"/>
  <c r="J41" i="120" s="1"/>
  <c r="BT192" i="29"/>
  <c r="BT191" i="29"/>
  <c r="BT195" i="29"/>
  <c r="BT196" i="29" s="1"/>
  <c r="BG276" i="29"/>
  <c r="BG258" i="29"/>
  <c r="BL250" i="29"/>
  <c r="BL258" i="29"/>
  <c r="BL276" i="29"/>
  <c r="BU190" i="29"/>
  <c r="AL274" i="29"/>
  <c r="AL243" i="29"/>
  <c r="BQ237" i="29"/>
  <c r="CJ109" i="29"/>
  <c r="CJ111" i="29" s="1"/>
  <c r="CJ112" i="29" s="1"/>
  <c r="T9" i="120"/>
  <c r="BZ308" i="29"/>
  <c r="BU222" i="29"/>
  <c r="BU223" i="29"/>
  <c r="BU224" i="29" s="1"/>
  <c r="CJ329" i="29"/>
  <c r="Z276" i="29"/>
  <c r="Z258" i="29"/>
  <c r="Z259" i="29" s="1"/>
  <c r="AA207" i="29"/>
  <c r="AA208" i="29"/>
  <c r="Y250" i="29"/>
  <c r="BF274" i="29"/>
  <c r="BF243" i="29"/>
  <c r="U274" i="29"/>
  <c r="U243" i="29"/>
  <c r="D276" i="29"/>
  <c r="D258" i="29"/>
  <c r="AM276" i="29"/>
  <c r="AM258" i="29"/>
  <c r="P246" i="29"/>
  <c r="C350" i="29"/>
  <c r="C256" i="29"/>
  <c r="C245" i="29"/>
  <c r="C246" i="29" s="1"/>
  <c r="C242" i="29"/>
  <c r="D243" i="29" s="1"/>
  <c r="C252" i="29"/>
  <c r="C253" i="29" s="1"/>
  <c r="C248" i="29"/>
  <c r="C249" i="29" s="1"/>
  <c r="C250" i="29" s="1"/>
  <c r="CJ183" i="29"/>
  <c r="AG274" i="29"/>
  <c r="AG244" i="29"/>
  <c r="AG243" i="29"/>
  <c r="X208" i="29"/>
  <c r="X207" i="29"/>
  <c r="BR237" i="29"/>
  <c r="BR239" i="29" s="1"/>
  <c r="BR241" i="29" s="1"/>
  <c r="AJ276" i="29"/>
  <c r="AJ258" i="29"/>
  <c r="AJ259" i="29" s="1"/>
  <c r="BU270" i="29"/>
  <c r="BZ269" i="29"/>
  <c r="BZ307" i="29"/>
  <c r="BU282" i="29"/>
  <c r="F276" i="29"/>
  <c r="F258" i="29"/>
  <c r="AQ246" i="29"/>
  <c r="R274" i="29"/>
  <c r="AT290" i="29"/>
  <c r="BH258" i="29"/>
  <c r="BH259" i="29" s="1"/>
  <c r="BH276" i="29"/>
  <c r="CJ75" i="29"/>
  <c r="T15" i="120" s="1"/>
  <c r="AI250" i="29"/>
  <c r="AR274" i="29"/>
  <c r="AR243" i="29"/>
  <c r="BA250" i="29"/>
  <c r="AO274" i="29"/>
  <c r="AO244" i="29"/>
  <c r="AO243" i="29"/>
  <c r="AE258" i="29"/>
  <c r="AE259" i="29" s="1"/>
  <c r="AE276" i="29"/>
  <c r="D207" i="29"/>
  <c r="T12" i="120"/>
  <c r="J40" i="120" s="1"/>
  <c r="AP245" i="29"/>
  <c r="AP246" i="29" s="1"/>
  <c r="AP256" i="29"/>
  <c r="AP248" i="29"/>
  <c r="AP249" i="29" s="1"/>
  <c r="AP250" i="29" s="1"/>
  <c r="AP252" i="29"/>
  <c r="AP253" i="29" s="1"/>
  <c r="AP242" i="29"/>
  <c r="AM244" i="29" s="1"/>
  <c r="AP350" i="29"/>
  <c r="O274" i="29"/>
  <c r="O244" i="29"/>
  <c r="BI250" i="29"/>
  <c r="BC250" i="29"/>
  <c r="BZ120" i="29"/>
  <c r="CE119" i="29"/>
  <c r="BZ122" i="29"/>
  <c r="BN246" i="29"/>
  <c r="BN276" i="29"/>
  <c r="BN258" i="29"/>
  <c r="BN259" i="29" s="1"/>
  <c r="BM274" i="29"/>
  <c r="BM243" i="29"/>
  <c r="BJ220" i="29"/>
  <c r="O34" i="120"/>
  <c r="BU352" i="29"/>
  <c r="BU299" i="29"/>
  <c r="Q56" i="120" s="1"/>
  <c r="Q53" i="120"/>
  <c r="BZ146" i="29"/>
  <c r="CE145" i="29"/>
  <c r="BZ148" i="29"/>
  <c r="BG274" i="29"/>
  <c r="BG243" i="29"/>
  <c r="BO252" i="29"/>
  <c r="BO253" i="29" s="1"/>
  <c r="BO248" i="29"/>
  <c r="BO249" i="29" s="1"/>
  <c r="BO256" i="29"/>
  <c r="BO245" i="29"/>
  <c r="BO242" i="29"/>
  <c r="BK244" i="29" s="1"/>
  <c r="BO350" i="29"/>
  <c r="K276" i="29"/>
  <c r="K258" i="29"/>
  <c r="AB274" i="29"/>
  <c r="AB244" i="29"/>
  <c r="AB243" i="29"/>
  <c r="AS276" i="29"/>
  <c r="AS258" i="29"/>
  <c r="AS259" i="29" s="1"/>
  <c r="BU351" i="29"/>
  <c r="BD274" i="29"/>
  <c r="BD244" i="29"/>
  <c r="BD243" i="29"/>
  <c r="BD276" i="29"/>
  <c r="BD290" i="29" s="1"/>
  <c r="BD258" i="29"/>
  <c r="BD259" i="29" s="1"/>
  <c r="W274" i="29"/>
  <c r="W243" i="29"/>
  <c r="W244" i="29"/>
  <c r="BQ282" i="29"/>
  <c r="BR282" i="29"/>
  <c r="BB274" i="29"/>
  <c r="BB244" i="29"/>
  <c r="BB243" i="29"/>
  <c r="BB276" i="29"/>
  <c r="BB258" i="29"/>
  <c r="BB259" i="29" s="1"/>
  <c r="H44" i="120"/>
  <c r="CE6" i="29"/>
  <c r="CE110" i="29"/>
  <c r="CE108" i="29"/>
  <c r="S20" i="120"/>
  <c r="M350" i="29"/>
  <c r="M252" i="29"/>
  <c r="M253" i="29" s="1"/>
  <c r="M245" i="29"/>
  <c r="M246" i="29" s="1"/>
  <c r="M242" i="29"/>
  <c r="R243" i="29" s="1"/>
  <c r="M256" i="29"/>
  <c r="M248" i="29"/>
  <c r="M249" i="29" s="1"/>
  <c r="M250" i="29" s="1"/>
  <c r="BK276" i="29"/>
  <c r="BK258" i="29"/>
  <c r="BK259" i="29" s="1"/>
  <c r="Z274" i="29"/>
  <c r="Z244" i="29"/>
  <c r="Z243" i="29"/>
  <c r="AU208" i="29"/>
  <c r="AU207" i="29"/>
  <c r="BZ173" i="29"/>
  <c r="CE172" i="29"/>
  <c r="BZ175" i="29"/>
  <c r="Y276" i="29"/>
  <c r="Y258" i="29"/>
  <c r="Y259" i="29" s="1"/>
  <c r="J350" i="29"/>
  <c r="J256" i="29"/>
  <c r="J245" i="29"/>
  <c r="J242" i="29"/>
  <c r="J252" i="29"/>
  <c r="J253" i="29" s="1"/>
  <c r="J248" i="29"/>
  <c r="J249" i="29" s="1"/>
  <c r="O250" i="29" s="1"/>
  <c r="AU256" i="29"/>
  <c r="AU245" i="29"/>
  <c r="AU246" i="29" s="1"/>
  <c r="AU242" i="29"/>
  <c r="AR244" i="29" s="1"/>
  <c r="AU248" i="29"/>
  <c r="AU249" i="29" s="1"/>
  <c r="AU250" i="29" s="1"/>
  <c r="AU252" i="29"/>
  <c r="AU253" i="29" s="1"/>
  <c r="AU350" i="29"/>
  <c r="AF274" i="29"/>
  <c r="AF243" i="29"/>
  <c r="D250" i="29"/>
  <c r="AH276" i="29"/>
  <c r="AH258" i="29"/>
  <c r="AH259" i="29" s="1"/>
  <c r="P276" i="29"/>
  <c r="P258" i="29"/>
  <c r="P259" i="29" s="1"/>
  <c r="M208" i="29"/>
  <c r="M207" i="29"/>
  <c r="Q206" i="29"/>
  <c r="AG246" i="29"/>
  <c r="AK208" i="29"/>
  <c r="AK207" i="29"/>
  <c r="AK250" i="29"/>
  <c r="S350" i="29"/>
  <c r="S256" i="29"/>
  <c r="S248" i="29"/>
  <c r="S249" i="29" s="1"/>
  <c r="S250" i="29" s="1"/>
  <c r="S245" i="29"/>
  <c r="S246" i="29" s="1"/>
  <c r="S242" i="29"/>
  <c r="S252" i="29"/>
  <c r="S253" i="29" s="1"/>
  <c r="V256" i="29"/>
  <c r="V252" i="29"/>
  <c r="V253" i="29" s="1"/>
  <c r="V248" i="29"/>
  <c r="V249" i="29" s="1"/>
  <c r="V250" i="29" s="1"/>
  <c r="V242" i="29"/>
  <c r="V245" i="29"/>
  <c r="V246" i="29" s="1"/>
  <c r="V350" i="29"/>
  <c r="F274" i="29"/>
  <c r="AQ274" i="29"/>
  <c r="AQ243" i="29"/>
  <c r="AQ244" i="29"/>
  <c r="R250" i="29"/>
  <c r="E51" i="120"/>
  <c r="O41" i="120"/>
  <c r="F306" i="29"/>
  <c r="F313" i="29" s="1"/>
  <c r="F314" i="29" s="1"/>
  <c r="G301" i="29"/>
  <c r="G302" i="29" s="1"/>
  <c r="AI258" i="29"/>
  <c r="AI259" i="29" s="1"/>
  <c r="AI276" i="29"/>
  <c r="AA256" i="29"/>
  <c r="AA248" i="29"/>
  <c r="AA249" i="29" s="1"/>
  <c r="AA250" i="29" s="1"/>
  <c r="AA242" i="29"/>
  <c r="Y244" i="29" s="1"/>
  <c r="AA252" i="29"/>
  <c r="AA253" i="29" s="1"/>
  <c r="AA245" i="29"/>
  <c r="AA246" i="29" s="1"/>
  <c r="AA350" i="29"/>
  <c r="BR190" i="29"/>
  <c r="AR246" i="29"/>
  <c r="E350" i="29"/>
  <c r="E252" i="29"/>
  <c r="E253" i="29" s="1"/>
  <c r="E248" i="29"/>
  <c r="E249" i="29" s="1"/>
  <c r="E250" i="29" s="1"/>
  <c r="E245" i="29"/>
  <c r="E246" i="29" s="1"/>
  <c r="E242" i="29"/>
  <c r="E256" i="29"/>
  <c r="BA258" i="29"/>
  <c r="BA259" i="29" s="1"/>
  <c r="BA276" i="29"/>
  <c r="X350" i="29"/>
  <c r="X252" i="29"/>
  <c r="X253" i="29" s="1"/>
  <c r="X242" i="29"/>
  <c r="X256" i="29"/>
  <c r="X248" i="29"/>
  <c r="X249" i="29" s="1"/>
  <c r="X250" i="29" s="1"/>
  <c r="X245" i="29"/>
  <c r="AO246" i="29"/>
  <c r="AC274" i="29"/>
  <c r="AC244" i="29"/>
  <c r="AE246" i="29"/>
  <c r="O246" i="29"/>
  <c r="O258" i="29"/>
  <c r="O276" i="29"/>
  <c r="BI274" i="29"/>
  <c r="BI243" i="29"/>
  <c r="I274" i="29"/>
  <c r="I244" i="29"/>
  <c r="BC246" i="29"/>
  <c r="AZ274" i="29"/>
  <c r="AZ243" i="29"/>
  <c r="BP224" i="29"/>
  <c r="BE276" i="29"/>
  <c r="BE258" i="29"/>
  <c r="BE259" i="29" s="1"/>
  <c r="BN244" i="29"/>
  <c r="BN243" i="29"/>
  <c r="BN274" i="29"/>
  <c r="BM246" i="29"/>
  <c r="BM258" i="29"/>
  <c r="BM259" i="29" s="1"/>
  <c r="BM276" i="29"/>
  <c r="CE328" i="29" l="1"/>
  <c r="BR256" i="29"/>
  <c r="BR252" i="29"/>
  <c r="BR253" i="29" s="1"/>
  <c r="BR248" i="29"/>
  <c r="BR249" i="29" s="1"/>
  <c r="BR250" i="29" s="1"/>
  <c r="BR242" i="29"/>
  <c r="BR245" i="29"/>
  <c r="BR246" i="29" s="1"/>
  <c r="E274" i="29"/>
  <c r="E243" i="29"/>
  <c r="L301" i="29"/>
  <c r="L302" i="29" s="1"/>
  <c r="G306" i="29"/>
  <c r="G313" i="29" s="1"/>
  <c r="G314" i="29" s="1"/>
  <c r="F243" i="29"/>
  <c r="V243" i="29"/>
  <c r="V274" i="29"/>
  <c r="S276" i="29"/>
  <c r="S258" i="29"/>
  <c r="AH282" i="29"/>
  <c r="AH290" i="29"/>
  <c r="J274" i="29"/>
  <c r="J244" i="29"/>
  <c r="K282" i="29"/>
  <c r="K290" i="29"/>
  <c r="BO276" i="29"/>
  <c r="BO258" i="29"/>
  <c r="O71" i="120"/>
  <c r="E52" i="120"/>
  <c r="AZ250" i="29"/>
  <c r="O243" i="29"/>
  <c r="CJ77" i="29"/>
  <c r="CJ308" i="29" s="1"/>
  <c r="T24" i="120"/>
  <c r="J48" i="120" s="1"/>
  <c r="AO282" i="29"/>
  <c r="AO290" i="29"/>
  <c r="Q276" i="29"/>
  <c r="Q258" i="29"/>
  <c r="AR259" i="29"/>
  <c r="D246" i="29"/>
  <c r="AN244" i="29"/>
  <c r="W282" i="29"/>
  <c r="W290" i="29"/>
  <c r="AD282" i="29"/>
  <c r="AD290" i="29"/>
  <c r="R246" i="29"/>
  <c r="G51" i="120"/>
  <c r="H244" i="29"/>
  <c r="U282" i="29"/>
  <c r="U290" i="29"/>
  <c r="AN290" i="29"/>
  <c r="AN282" i="29"/>
  <c r="AA276" i="29"/>
  <c r="AA258" i="29"/>
  <c r="S274" i="29"/>
  <c r="S244" i="29"/>
  <c r="S243" i="29"/>
  <c r="AU276" i="29"/>
  <c r="AU258" i="29"/>
  <c r="AZ259" i="29" s="1"/>
  <c r="Y282" i="29"/>
  <c r="Y290" i="29"/>
  <c r="M276" i="29"/>
  <c r="M258" i="29"/>
  <c r="M259" i="29" s="1"/>
  <c r="AZ246" i="29"/>
  <c r="AE282" i="29"/>
  <c r="AE290" i="29"/>
  <c r="BH282" i="29"/>
  <c r="BH290" i="29"/>
  <c r="R244" i="29"/>
  <c r="F282" i="29"/>
  <c r="F290" i="29"/>
  <c r="CE307" i="29"/>
  <c r="AJ282" i="29"/>
  <c r="AJ290" i="29"/>
  <c r="C274" i="29"/>
  <c r="C243" i="29"/>
  <c r="D282" i="29"/>
  <c r="D290" i="29"/>
  <c r="AF250" i="29"/>
  <c r="Z282" i="29"/>
  <c r="Z290" i="29"/>
  <c r="J37" i="120"/>
  <c r="T16" i="120"/>
  <c r="BU191" i="29"/>
  <c r="BU192" i="29"/>
  <c r="BU195" i="29"/>
  <c r="BU196" i="29" s="1"/>
  <c r="BG259" i="29"/>
  <c r="CJ177" i="29"/>
  <c r="CJ311" i="29"/>
  <c r="I282" i="29"/>
  <c r="I290" i="29"/>
  <c r="Q246" i="29"/>
  <c r="AR282" i="29"/>
  <c r="AR290" i="29"/>
  <c r="N274" i="29"/>
  <c r="N244" i="29"/>
  <c r="N243" i="29"/>
  <c r="N276" i="29"/>
  <c r="N258" i="29"/>
  <c r="N259" i="29" s="1"/>
  <c r="H282" i="29"/>
  <c r="H290" i="29"/>
  <c r="CJ228" i="29"/>
  <c r="CJ229" i="29" s="1"/>
  <c r="CE229" i="29"/>
  <c r="BF259" i="29"/>
  <c r="AB290" i="29"/>
  <c r="AB282" i="29"/>
  <c r="AL282" i="29"/>
  <c r="AL290" i="29"/>
  <c r="T259" i="29"/>
  <c r="CE262" i="29"/>
  <c r="CE264" i="29" s="1"/>
  <c r="CJ261" i="29"/>
  <c r="CJ262" i="29" s="1"/>
  <c r="CJ264" i="29" s="1"/>
  <c r="AZ282" i="29"/>
  <c r="AZ290" i="29"/>
  <c r="BI259" i="29"/>
  <c r="G34" i="120"/>
  <c r="BZ352" i="29"/>
  <c r="R53" i="120"/>
  <c r="AQ259" i="29"/>
  <c r="F246" i="29"/>
  <c r="P71" i="120"/>
  <c r="P70" i="120"/>
  <c r="F56" i="120"/>
  <c r="F52" i="120"/>
  <c r="BZ134" i="29"/>
  <c r="BZ136" i="29"/>
  <c r="R22" i="120"/>
  <c r="H46" i="120" s="1"/>
  <c r="BZ137" i="29"/>
  <c r="BZ138" i="29" s="1"/>
  <c r="BS252" i="29"/>
  <c r="BS253" i="29" s="1"/>
  <c r="BS248" i="29"/>
  <c r="BS249" i="29" s="1"/>
  <c r="BS250" i="29" s="1"/>
  <c r="BS256" i="29"/>
  <c r="BS242" i="29"/>
  <c r="BS245" i="29"/>
  <c r="BS246" i="29" s="1"/>
  <c r="AS244" i="29"/>
  <c r="G276" i="29"/>
  <c r="G258" i="29"/>
  <c r="G259" i="29" s="1"/>
  <c r="BE282" i="29"/>
  <c r="BE290" i="29"/>
  <c r="X276" i="29"/>
  <c r="X258" i="29"/>
  <c r="X259" i="29" s="1"/>
  <c r="BR192" i="29"/>
  <c r="BR191" i="29"/>
  <c r="BR195" i="29"/>
  <c r="BR196" i="29" s="1"/>
  <c r="AI282" i="29"/>
  <c r="AI290" i="29"/>
  <c r="Q208" i="29"/>
  <c r="Q207" i="29"/>
  <c r="P282" i="29"/>
  <c r="P290" i="29"/>
  <c r="J276" i="29"/>
  <c r="J258" i="29"/>
  <c r="O259" i="29" s="1"/>
  <c r="BZ176" i="29"/>
  <c r="BZ174" i="29"/>
  <c r="R24" i="120"/>
  <c r="H48" i="120" s="1"/>
  <c r="BZ177" i="29"/>
  <c r="BZ178" i="29" s="1"/>
  <c r="M274" i="29"/>
  <c r="M243" i="29"/>
  <c r="M244" i="29"/>
  <c r="I44" i="120"/>
  <c r="BB282" i="29"/>
  <c r="BB290" i="29"/>
  <c r="BO274" i="29"/>
  <c r="BZ149" i="29"/>
  <c r="BZ147" i="29"/>
  <c r="R23" i="120"/>
  <c r="H47" i="120" s="1"/>
  <c r="BZ150" i="29"/>
  <c r="BZ151" i="29" s="1"/>
  <c r="BZ182" i="29"/>
  <c r="R28" i="120" s="1"/>
  <c r="BZ180" i="29"/>
  <c r="R25" i="120" s="1"/>
  <c r="Q55" i="120"/>
  <c r="BN282" i="29"/>
  <c r="BN290" i="29"/>
  <c r="BZ123" i="29"/>
  <c r="BZ121" i="29"/>
  <c r="R21" i="120"/>
  <c r="BZ124" i="29"/>
  <c r="BZ125" i="29" s="1"/>
  <c r="BZ188" i="29"/>
  <c r="BZ192" i="29" s="1"/>
  <c r="AP258" i="29"/>
  <c r="AP259" i="29" s="1"/>
  <c r="AP276" i="29"/>
  <c r="AP290" i="29" s="1"/>
  <c r="F250" i="29"/>
  <c r="BZ295" i="29"/>
  <c r="CE269" i="29"/>
  <c r="AM259" i="29"/>
  <c r="U244" i="29"/>
  <c r="BU237" i="29"/>
  <c r="BL282" i="29"/>
  <c r="BL290" i="29"/>
  <c r="BG282" i="29"/>
  <c r="BG290" i="29"/>
  <c r="L276" i="29"/>
  <c r="L258" i="29"/>
  <c r="L259" i="29" s="1"/>
  <c r="AC282" i="29"/>
  <c r="AC290" i="29"/>
  <c r="Q274" i="29"/>
  <c r="Q243" i="29"/>
  <c r="V207" i="29"/>
  <c r="BJ207" i="29"/>
  <c r="BJ205" i="29"/>
  <c r="BP256" i="29"/>
  <c r="BP258" i="29" s="1"/>
  <c r="BP245" i="29"/>
  <c r="BP252" i="29"/>
  <c r="BP253" i="29" s="1"/>
  <c r="BP248" i="29"/>
  <c r="BP249" i="29" s="1"/>
  <c r="BP242" i="29"/>
  <c r="BP350" i="29"/>
  <c r="BT256" i="29"/>
  <c r="BT245" i="29"/>
  <c r="BT246" i="29" s="1"/>
  <c r="BT252" i="29"/>
  <c r="BT253" i="29" s="1"/>
  <c r="BT242" i="29"/>
  <c r="BT248" i="29"/>
  <c r="BT249" i="29" s="1"/>
  <c r="BT250" i="29" s="1"/>
  <c r="BF282" i="29"/>
  <c r="BF290" i="29"/>
  <c r="I42" i="120"/>
  <c r="T282" i="29"/>
  <c r="T290" i="29"/>
  <c r="CE294" i="29"/>
  <c r="CJ267" i="29"/>
  <c r="CE257" i="29"/>
  <c r="CE265" i="29"/>
  <c r="S42" i="120"/>
  <c r="R259" i="29"/>
  <c r="AQ290" i="29"/>
  <c r="AQ282" i="29"/>
  <c r="B276" i="29"/>
  <c r="B258" i="29"/>
  <c r="AG259" i="29"/>
  <c r="N306" i="29"/>
  <c r="N313" i="29" s="1"/>
  <c r="N314" i="29" s="1"/>
  <c r="O301" i="29"/>
  <c r="O302" i="29" s="1"/>
  <c r="CE135" i="29"/>
  <c r="CE133" i="29"/>
  <c r="BA282" i="29"/>
  <c r="BA290" i="29"/>
  <c r="BM282" i="29"/>
  <c r="BM290" i="29"/>
  <c r="X244" i="29"/>
  <c r="X243" i="29"/>
  <c r="X274" i="29"/>
  <c r="O43" i="120"/>
  <c r="E55" i="120" s="1"/>
  <c r="O59" i="120"/>
  <c r="O282" i="29"/>
  <c r="O290" i="29"/>
  <c r="AC243" i="29"/>
  <c r="X246" i="29"/>
  <c r="E276" i="29"/>
  <c r="E258" i="29"/>
  <c r="E259" i="29" s="1"/>
  <c r="AA274" i="29"/>
  <c r="AA243" i="29"/>
  <c r="V276" i="29"/>
  <c r="V258" i="29"/>
  <c r="V259" i="29" s="1"/>
  <c r="AU243" i="29"/>
  <c r="AU274" i="29"/>
  <c r="AT244" i="29"/>
  <c r="CJ173" i="29"/>
  <c r="CE173" i="29"/>
  <c r="CE175" i="29"/>
  <c r="BK282" i="29"/>
  <c r="BK290" i="29"/>
  <c r="AS282" i="29"/>
  <c r="AS290" i="29"/>
  <c r="CE146" i="29"/>
  <c r="CJ145" i="29"/>
  <c r="CE148" i="29"/>
  <c r="BM244" i="29"/>
  <c r="CE120" i="29"/>
  <c r="CJ119" i="29"/>
  <c r="CE122" i="29"/>
  <c r="AP243" i="29"/>
  <c r="AP274" i="29"/>
  <c r="AC250" i="29"/>
  <c r="C276" i="29"/>
  <c r="C258" i="29"/>
  <c r="D259" i="29" s="1"/>
  <c r="AM290" i="29"/>
  <c r="AM282" i="29"/>
  <c r="CJ108" i="29"/>
  <c r="CJ110" i="29"/>
  <c r="T20" i="120"/>
  <c r="BQ239" i="29"/>
  <c r="BQ241" i="29" s="1"/>
  <c r="AL244" i="29"/>
  <c r="BL259" i="29"/>
  <c r="T244" i="29"/>
  <c r="L274" i="29"/>
  <c r="L243" i="29"/>
  <c r="BC259" i="29"/>
  <c r="AO259" i="29"/>
  <c r="Q250" i="29"/>
  <c r="BU208" i="29"/>
  <c r="BO206" i="29"/>
  <c r="P244" i="29"/>
  <c r="AF246" i="29"/>
  <c r="CE330" i="29"/>
  <c r="BZ298" i="29"/>
  <c r="BU220" i="29"/>
  <c r="Q34" i="120"/>
  <c r="BZ286" i="29"/>
  <c r="BZ202" i="29"/>
  <c r="BZ209" i="29"/>
  <c r="BZ210" i="29" s="1"/>
  <c r="BZ328" i="29"/>
  <c r="BZ326" i="29"/>
  <c r="BZ313" i="29"/>
  <c r="AD259" i="29"/>
  <c r="AC246" i="29"/>
  <c r="R290" i="29"/>
  <c r="R282" i="29"/>
  <c r="AG290" i="29"/>
  <c r="AG282" i="29"/>
  <c r="U259" i="29"/>
  <c r="AF259" i="29"/>
  <c r="AN259" i="29"/>
  <c r="CE313" i="29"/>
  <c r="CE286" i="29"/>
  <c r="CE202" i="29"/>
  <c r="CE209" i="29"/>
  <c r="CE210" i="29" s="1"/>
  <c r="BL244" i="29"/>
  <c r="G274" i="29"/>
  <c r="G243" i="29"/>
  <c r="BJ256" i="29"/>
  <c r="BJ248" i="29"/>
  <c r="BJ249" i="29" s="1"/>
  <c r="BJ250" i="29" s="1"/>
  <c r="BJ252" i="29"/>
  <c r="BJ253" i="29" s="1"/>
  <c r="BJ245" i="29"/>
  <c r="BJ246" i="29" s="1"/>
  <c r="BJ242" i="29"/>
  <c r="BJ350" i="29"/>
  <c r="CJ322" i="29" l="1"/>
  <c r="BZ331" i="29"/>
  <c r="BZ288" i="29"/>
  <c r="BZ293" i="29"/>
  <c r="R50" i="120" s="1"/>
  <c r="R48" i="120"/>
  <c r="BZ316" i="29"/>
  <c r="CE316" i="29" s="1"/>
  <c r="BO207" i="29"/>
  <c r="BO205" i="29"/>
  <c r="J44" i="120"/>
  <c r="C290" i="29"/>
  <c r="C282" i="29"/>
  <c r="CE121" i="29"/>
  <c r="CE123" i="29"/>
  <c r="S21" i="120"/>
  <c r="CE124" i="29"/>
  <c r="CE125" i="29" s="1"/>
  <c r="CE147" i="29"/>
  <c r="CE149" i="29"/>
  <c r="S23" i="120"/>
  <c r="I47" i="120" s="1"/>
  <c r="CE150" i="29"/>
  <c r="CE151" i="29" s="1"/>
  <c r="CE180" i="29"/>
  <c r="S25" i="120" s="1"/>
  <c r="CE182" i="29"/>
  <c r="S28" i="120" s="1"/>
  <c r="CE174" i="29"/>
  <c r="CE176" i="29"/>
  <c r="S24" i="120"/>
  <c r="I48" i="120" s="1"/>
  <c r="CE177" i="29"/>
  <c r="CE178" i="29" s="1"/>
  <c r="CJ133" i="29"/>
  <c r="CJ135" i="29"/>
  <c r="CJ294" i="29"/>
  <c r="CJ257" i="29"/>
  <c r="CJ265" i="29"/>
  <c r="T42" i="120"/>
  <c r="BT243" i="29"/>
  <c r="BT274" i="29"/>
  <c r="BP246" i="29"/>
  <c r="R52" i="120"/>
  <c r="BZ340" i="29"/>
  <c r="BZ199" i="29"/>
  <c r="BZ195" i="29"/>
  <c r="BZ196" i="29" s="1"/>
  <c r="BZ221" i="29"/>
  <c r="BZ189" i="29"/>
  <c r="BZ186" i="29"/>
  <c r="BZ187" i="29" s="1"/>
  <c r="J282" i="29"/>
  <c r="J290" i="29"/>
  <c r="AP282" i="29"/>
  <c r="AC259" i="29"/>
  <c r="J42" i="120"/>
  <c r="CJ307" i="29"/>
  <c r="AA282" i="29"/>
  <c r="AA290" i="29"/>
  <c r="CJ201" i="29"/>
  <c r="CJ190" i="29"/>
  <c r="CJ78" i="29"/>
  <c r="CJ80" i="29"/>
  <c r="CJ6" i="29"/>
  <c r="CJ66" i="29"/>
  <c r="CJ83" i="29"/>
  <c r="CJ81" i="29" s="1"/>
  <c r="CJ26" i="29"/>
  <c r="CJ16" i="29"/>
  <c r="CJ36" i="29"/>
  <c r="S259" i="29"/>
  <c r="BJ258" i="29"/>
  <c r="BJ259" i="29" s="1"/>
  <c r="BJ276" i="29"/>
  <c r="Q71" i="120"/>
  <c r="G52" i="120"/>
  <c r="CE331" i="29"/>
  <c r="CJ330" i="29"/>
  <c r="CE298" i="29"/>
  <c r="BZ208" i="29"/>
  <c r="BU206" i="29"/>
  <c r="CJ120" i="29"/>
  <c r="CJ122" i="29"/>
  <c r="CJ146" i="29"/>
  <c r="CJ148" i="29"/>
  <c r="O306" i="29"/>
  <c r="O313" i="29" s="1"/>
  <c r="O314" i="29" s="1"/>
  <c r="P301" i="29"/>
  <c r="P302" i="29" s="1"/>
  <c r="B282" i="29"/>
  <c r="B290" i="29"/>
  <c r="CE352" i="29"/>
  <c r="S53" i="120"/>
  <c r="BP243" i="29"/>
  <c r="BP274" i="29"/>
  <c r="BP259" i="29"/>
  <c r="BZ299" i="29"/>
  <c r="R56" i="120" s="1"/>
  <c r="R55" i="120" s="1"/>
  <c r="N282" i="29"/>
  <c r="N290" i="29"/>
  <c r="CJ178" i="29"/>
  <c r="BO250" i="29"/>
  <c r="Q259" i="29"/>
  <c r="BP276" i="29"/>
  <c r="S282" i="29"/>
  <c r="S290" i="29"/>
  <c r="CE293" i="29"/>
  <c r="S50" i="120" s="1"/>
  <c r="S48" i="120"/>
  <c r="AU282" i="29"/>
  <c r="BP250" i="29"/>
  <c r="L290" i="29"/>
  <c r="L282" i="29"/>
  <c r="H45" i="120"/>
  <c r="R26" i="120"/>
  <c r="BS243" i="29"/>
  <c r="BS274" i="29"/>
  <c r="AU259" i="29"/>
  <c r="Q282" i="29"/>
  <c r="Q290" i="29"/>
  <c r="CJ176" i="29"/>
  <c r="F259" i="29"/>
  <c r="L306" i="29"/>
  <c r="Q301" i="29"/>
  <c r="Q302" i="29" s="1"/>
  <c r="BR276" i="29"/>
  <c r="BR258" i="29"/>
  <c r="BR259" i="29" s="1"/>
  <c r="BJ274" i="29"/>
  <c r="BJ243" i="29"/>
  <c r="BH244" i="29"/>
  <c r="BF244" i="29"/>
  <c r="BI244" i="29"/>
  <c r="BG244" i="29"/>
  <c r="BQ256" i="29"/>
  <c r="BQ245" i="29"/>
  <c r="BQ246" i="29" s="1"/>
  <c r="BQ242" i="29"/>
  <c r="BQ248" i="29"/>
  <c r="BQ249" i="29" s="1"/>
  <c r="BQ250" i="29" s="1"/>
  <c r="BQ252" i="29"/>
  <c r="BQ253" i="29" s="1"/>
  <c r="C259" i="29"/>
  <c r="BO246" i="29"/>
  <c r="BO282" i="29"/>
  <c r="BP282" i="29" s="1"/>
  <c r="V282" i="29"/>
  <c r="V290" i="29"/>
  <c r="E282" i="29"/>
  <c r="E290" i="29"/>
  <c r="CE136" i="29"/>
  <c r="CE134" i="29"/>
  <c r="S22" i="120"/>
  <c r="I46" i="120" s="1"/>
  <c r="CE137" i="29"/>
  <c r="CE138" i="29" s="1"/>
  <c r="BT276" i="29"/>
  <c r="BT258" i="29"/>
  <c r="BT259" i="29" s="1"/>
  <c r="BU238" i="29"/>
  <c r="Q38" i="120"/>
  <c r="Q41" i="120" s="1"/>
  <c r="Q43" i="120" s="1"/>
  <c r="G55" i="120" s="1"/>
  <c r="CE295" i="29"/>
  <c r="S52" i="120" s="1"/>
  <c r="CJ269" i="29"/>
  <c r="CJ295" i="29" s="1"/>
  <c r="T52" i="120" s="1"/>
  <c r="BO243" i="29"/>
  <c r="X282" i="29"/>
  <c r="X290" i="29"/>
  <c r="G290" i="29"/>
  <c r="G282" i="29"/>
  <c r="BS276" i="29"/>
  <c r="BS258" i="29"/>
  <c r="BS259" i="29" s="1"/>
  <c r="F34" i="120"/>
  <c r="H34" i="120"/>
  <c r="M290" i="29"/>
  <c r="M282" i="29"/>
  <c r="AU283" i="29"/>
  <c r="AA259" i="29"/>
  <c r="BU239" i="29"/>
  <c r="BU241" i="29" s="1"/>
  <c r="CJ174" i="29"/>
  <c r="BR243" i="29"/>
  <c r="BR274" i="29"/>
  <c r="CE288" i="29" l="1"/>
  <c r="R49" i="120"/>
  <c r="H49" i="120"/>
  <c r="R18" i="120"/>
  <c r="R31" i="120" s="1"/>
  <c r="R33" i="120" s="1"/>
  <c r="S49" i="120"/>
  <c r="BO283" i="29"/>
  <c r="CE299" i="29"/>
  <c r="S56" i="120" s="1"/>
  <c r="S55" i="120" s="1"/>
  <c r="CE208" i="29"/>
  <c r="BZ206" i="29"/>
  <c r="BZ207" i="29" s="1"/>
  <c r="CJ136" i="29"/>
  <c r="CJ134" i="29"/>
  <c r="T22" i="120"/>
  <c r="J46" i="120" s="1"/>
  <c r="CJ137" i="29"/>
  <c r="CJ138" i="29" s="1"/>
  <c r="CE188" i="29"/>
  <c r="AU300" i="29"/>
  <c r="AU289" i="29"/>
  <c r="AU290" i="29" s="1"/>
  <c r="AU285" i="29"/>
  <c r="BQ258" i="29"/>
  <c r="BQ259" i="29" s="1"/>
  <c r="BQ276" i="29"/>
  <c r="R301" i="29"/>
  <c r="R302" i="29" s="1"/>
  <c r="P306" i="29"/>
  <c r="P313" i="29" s="1"/>
  <c r="P314" i="29" s="1"/>
  <c r="CJ121" i="29"/>
  <c r="CJ123" i="29"/>
  <c r="T21" i="120"/>
  <c r="CJ124" i="29"/>
  <c r="CJ125" i="29" s="1"/>
  <c r="BO259" i="29"/>
  <c r="BZ219" i="29"/>
  <c r="BZ236" i="29"/>
  <c r="BZ197" i="29"/>
  <c r="BZ198" i="29" s="1"/>
  <c r="BZ200" i="29"/>
  <c r="BZ349" i="29"/>
  <c r="BZ203" i="29"/>
  <c r="Q306" i="29"/>
  <c r="V301" i="29"/>
  <c r="V302" i="29" s="1"/>
  <c r="CJ298" i="29"/>
  <c r="BJ290" i="29"/>
  <c r="BJ282" i="29"/>
  <c r="BI282" i="29" s="1"/>
  <c r="CE340" i="29"/>
  <c r="BZ351" i="29"/>
  <c r="I45" i="120"/>
  <c r="S26" i="120"/>
  <c r="BU256" i="29"/>
  <c r="BU242" i="29"/>
  <c r="BQ244" i="29" s="1"/>
  <c r="BU252" i="29"/>
  <c r="BU253" i="29" s="1"/>
  <c r="BU248" i="29"/>
  <c r="BU249" i="29" s="1"/>
  <c r="BU250" i="29" s="1"/>
  <c r="BU245" i="29"/>
  <c r="BU246" i="29" s="1"/>
  <c r="BQ243" i="29"/>
  <c r="BQ274" i="29"/>
  <c r="L313" i="29"/>
  <c r="L314" i="29" s="1"/>
  <c r="Q231" i="29"/>
  <c r="Q232" i="29" s="1"/>
  <c r="BP283" i="29"/>
  <c r="CJ147" i="29"/>
  <c r="CJ149" i="29"/>
  <c r="T23" i="120"/>
  <c r="J47" i="120" s="1"/>
  <c r="CJ150" i="29"/>
  <c r="CJ151" i="29" s="1"/>
  <c r="CJ182" i="29"/>
  <c r="T28" i="120" s="1"/>
  <c r="CJ180" i="29"/>
  <c r="T25" i="120" s="1"/>
  <c r="BU207" i="29"/>
  <c r="BU205" i="29"/>
  <c r="CJ313" i="29"/>
  <c r="CJ286" i="29"/>
  <c r="CJ316" i="29" s="1"/>
  <c r="CJ209" i="29"/>
  <c r="CJ210" i="29" s="1"/>
  <c r="CJ202" i="29"/>
  <c r="CJ326" i="29"/>
  <c r="CJ328" i="29"/>
  <c r="BZ223" i="29"/>
  <c r="BZ224" i="29" s="1"/>
  <c r="BZ222" i="29"/>
  <c r="CJ352" i="29"/>
  <c r="CJ299" i="29"/>
  <c r="T56" i="120" s="1"/>
  <c r="T53" i="120"/>
  <c r="T55" i="120" l="1"/>
  <c r="CJ331" i="29"/>
  <c r="V306" i="29"/>
  <c r="AA301" i="29"/>
  <c r="AA302" i="29" s="1"/>
  <c r="BZ205" i="29"/>
  <c r="BZ204" i="29"/>
  <c r="BZ310" i="29"/>
  <c r="BZ237" i="29"/>
  <c r="R38" i="120" s="1"/>
  <c r="R41" i="120" s="1"/>
  <c r="CJ208" i="29"/>
  <c r="CJ206" i="29" s="1"/>
  <c r="CE206" i="29"/>
  <c r="CE207" i="29" s="1"/>
  <c r="H51" i="120"/>
  <c r="BP300" i="29"/>
  <c r="BP289" i="29"/>
  <c r="BP290" i="29" s="1"/>
  <c r="BP285" i="29"/>
  <c r="P46" i="120"/>
  <c r="P58" i="120" s="1"/>
  <c r="V231" i="29"/>
  <c r="V232" i="29" s="1"/>
  <c r="Q313" i="29"/>
  <c r="Q314" i="29" s="1"/>
  <c r="BZ220" i="29"/>
  <c r="R34" i="120"/>
  <c r="J45" i="120"/>
  <c r="T26" i="120"/>
  <c r="R306" i="29"/>
  <c r="R313" i="29" s="1"/>
  <c r="R314" i="29" s="1"/>
  <c r="S301" i="29"/>
  <c r="S302" i="29" s="1"/>
  <c r="BQ341" i="29"/>
  <c r="CJ293" i="29"/>
  <c r="T50" i="120" s="1"/>
  <c r="CJ288" i="29"/>
  <c r="T48" i="120"/>
  <c r="BU243" i="29"/>
  <c r="BU274" i="29"/>
  <c r="BT244" i="29"/>
  <c r="BS244" i="29"/>
  <c r="BR244" i="29"/>
  <c r="CJ340" i="29"/>
  <c r="CJ351" i="29" s="1"/>
  <c r="CE351" i="29"/>
  <c r="CE221" i="29"/>
  <c r="CE199" i="29"/>
  <c r="CE195" i="29"/>
  <c r="CE196" i="29" s="1"/>
  <c r="CE186" i="29"/>
  <c r="CE187" i="29" s="1"/>
  <c r="CE189" i="29"/>
  <c r="CE192" i="29"/>
  <c r="BO300" i="29"/>
  <c r="BO289" i="29"/>
  <c r="BO290" i="29" s="1"/>
  <c r="BO285" i="29"/>
  <c r="BU276" i="29"/>
  <c r="BU258" i="29"/>
  <c r="BU259" i="29" s="1"/>
  <c r="I49" i="120"/>
  <c r="S18" i="120"/>
  <c r="S31" i="120" s="1"/>
  <c r="S33" i="120" s="1"/>
  <c r="CJ188" i="29"/>
  <c r="T49" i="120" l="1"/>
  <c r="BZ239" i="29"/>
  <c r="BZ241" i="29" s="1"/>
  <c r="BZ248" i="29" s="1"/>
  <c r="BZ249" i="29" s="1"/>
  <c r="BZ250" i="29" s="1"/>
  <c r="R43" i="120"/>
  <c r="H55" i="120" s="1"/>
  <c r="G18" i="120"/>
  <c r="CE222" i="29"/>
  <c r="CE223" i="29"/>
  <c r="CE224" i="29" s="1"/>
  <c r="S306" i="29"/>
  <c r="S313" i="29" s="1"/>
  <c r="S314" i="29" s="1"/>
  <c r="T301" i="29"/>
  <c r="T302" i="29" s="1"/>
  <c r="BZ256" i="29"/>
  <c r="AA306" i="29"/>
  <c r="AF301" i="29"/>
  <c r="AF302" i="29" s="1"/>
  <c r="CJ221" i="29"/>
  <c r="CJ199" i="29"/>
  <c r="CJ195" i="29"/>
  <c r="CJ196" i="29" s="1"/>
  <c r="CJ186" i="29"/>
  <c r="CJ187" i="29" s="1"/>
  <c r="CJ189" i="29"/>
  <c r="CJ192" i="29"/>
  <c r="CJ207" i="29"/>
  <c r="BZ282" i="29"/>
  <c r="V313" i="29"/>
  <c r="V314" i="29" s="1"/>
  <c r="AA231" i="29"/>
  <c r="AA232" i="29" s="1"/>
  <c r="I51" i="120"/>
  <c r="R71" i="120"/>
  <c r="H52" i="120"/>
  <c r="BR341" i="29"/>
  <c r="J49" i="120"/>
  <c r="T18" i="120"/>
  <c r="T31" i="120" s="1"/>
  <c r="T33" i="120" s="1"/>
  <c r="P60" i="120"/>
  <c r="F57" i="120"/>
  <c r="P62" i="120"/>
  <c r="P59" i="120"/>
  <c r="CE236" i="29"/>
  <c r="CE200" i="29"/>
  <c r="CE219" i="29"/>
  <c r="CE197" i="29"/>
  <c r="CE198" i="29" s="1"/>
  <c r="CE349" i="29"/>
  <c r="CE203" i="29"/>
  <c r="G27" i="120"/>
  <c r="BZ242" i="29" l="1"/>
  <c r="BZ274" i="29" s="1"/>
  <c r="BZ252" i="29"/>
  <c r="BZ253" i="29" s="1"/>
  <c r="BZ245" i="29"/>
  <c r="BZ246" i="29" s="1"/>
  <c r="CE237" i="29"/>
  <c r="S38" i="120" s="1"/>
  <c r="S41" i="120" s="1"/>
  <c r="S43" i="120" s="1"/>
  <c r="I55" i="120" s="1"/>
  <c r="AA313" i="29"/>
  <c r="AA314" i="29" s="1"/>
  <c r="CJ219" i="29"/>
  <c r="CJ197" i="29"/>
  <c r="CJ198" i="29" s="1"/>
  <c r="CJ236" i="29"/>
  <c r="CJ200" i="29"/>
  <c r="CJ349" i="29"/>
  <c r="CJ203" i="29"/>
  <c r="BZ276" i="29"/>
  <c r="BZ258" i="29"/>
  <c r="BZ259" i="29" s="1"/>
  <c r="F27" i="120"/>
  <c r="F21" i="120" s="1"/>
  <c r="H27" i="120"/>
  <c r="H21" i="120" s="1"/>
  <c r="CE220" i="29"/>
  <c r="S34" i="120"/>
  <c r="BS341" i="29"/>
  <c r="CJ223" i="29"/>
  <c r="CJ224" i="29" s="1"/>
  <c r="CJ222" i="29"/>
  <c r="T306" i="29"/>
  <c r="T313" i="29" s="1"/>
  <c r="T314" i="29" s="1"/>
  <c r="U301" i="29"/>
  <c r="U302" i="29" s="1"/>
  <c r="F18" i="120"/>
  <c r="G22" i="120"/>
  <c r="G25" i="120" s="1"/>
  <c r="G33" i="120" s="1"/>
  <c r="G9" i="120" s="1"/>
  <c r="H18" i="120"/>
  <c r="CE204" i="29"/>
  <c r="CE205" i="29"/>
  <c r="CE310" i="29"/>
  <c r="J51" i="120"/>
  <c r="AF306" i="29"/>
  <c r="AK301" i="29"/>
  <c r="AK302" i="29" s="1"/>
  <c r="BZ243" i="29" l="1"/>
  <c r="CE239" i="29"/>
  <c r="CE241" i="29" s="1"/>
  <c r="CE248" i="29" s="1"/>
  <c r="CE249" i="29" s="1"/>
  <c r="CE250" i="29" s="1"/>
  <c r="C5" i="119"/>
  <c r="G11" i="120"/>
  <c r="G13" i="120"/>
  <c r="G14" i="120"/>
  <c r="CJ205" i="29"/>
  <c r="CJ204" i="29"/>
  <c r="CJ310" i="29"/>
  <c r="CJ282" i="29" s="1"/>
  <c r="CE256" i="29"/>
  <c r="CE252" i="29"/>
  <c r="CE253" i="29" s="1"/>
  <c r="CJ220" i="29"/>
  <c r="T34" i="120"/>
  <c r="AK306" i="29"/>
  <c r="AP301" i="29"/>
  <c r="AP302" i="29" s="1"/>
  <c r="CE282" i="29"/>
  <c r="AF313" i="29"/>
  <c r="AF314" i="29" s="1"/>
  <c r="AK231" i="29"/>
  <c r="AK232" i="29" s="1"/>
  <c r="W301" i="29"/>
  <c r="W302" i="29" s="1"/>
  <c r="U306" i="29"/>
  <c r="U313" i="29" s="1"/>
  <c r="U314" i="29" s="1"/>
  <c r="S71" i="120"/>
  <c r="I52" i="120"/>
  <c r="H20" i="120"/>
  <c r="H19" i="120"/>
  <c r="BT341" i="29"/>
  <c r="F19" i="120"/>
  <c r="F20" i="120"/>
  <c r="CJ237" i="29"/>
  <c r="T38" i="120" s="1"/>
  <c r="T41" i="120" s="1"/>
  <c r="T43" i="120" s="1"/>
  <c r="J55" i="120" s="1"/>
  <c r="AF231" i="29"/>
  <c r="AF232" i="29" s="1"/>
  <c r="CE242" i="29" l="1"/>
  <c r="CE245" i="29"/>
  <c r="CE246" i="29" s="1"/>
  <c r="H22" i="120"/>
  <c r="H25" i="120" s="1"/>
  <c r="H33" i="120" s="1"/>
  <c r="H9" i="120" s="1"/>
  <c r="F22" i="120"/>
  <c r="F25" i="120" s="1"/>
  <c r="F33" i="120" s="1"/>
  <c r="F9" i="120" s="1"/>
  <c r="CJ239" i="29"/>
  <c r="CJ241" i="29" s="1"/>
  <c r="CJ245" i="29" s="1"/>
  <c r="CJ246" i="29" s="1"/>
  <c r="F14" i="120"/>
  <c r="H14" i="120"/>
  <c r="AP306" i="29"/>
  <c r="AU301" i="29"/>
  <c r="CE243" i="29"/>
  <c r="CE274" i="29"/>
  <c r="AP231" i="29"/>
  <c r="AP232" i="29" s="1"/>
  <c r="AK313" i="29"/>
  <c r="AK314" i="29" s="1"/>
  <c r="CE276" i="29"/>
  <c r="CE258" i="29"/>
  <c r="CE259" i="29" s="1"/>
  <c r="BU341" i="29"/>
  <c r="W306" i="29"/>
  <c r="W313" i="29" s="1"/>
  <c r="W314" i="29" s="1"/>
  <c r="X301" i="29"/>
  <c r="X302" i="29" s="1"/>
  <c r="T71" i="120"/>
  <c r="J52" i="120"/>
  <c r="F11" i="120" l="1"/>
  <c r="F13" i="120"/>
  <c r="H11" i="120"/>
  <c r="H13" i="120"/>
  <c r="CJ248" i="29"/>
  <c r="CJ249" i="29" s="1"/>
  <c r="CJ250" i="29" s="1"/>
  <c r="CJ242" i="29"/>
  <c r="CJ274" i="29" s="1"/>
  <c r="CJ256" i="29"/>
  <c r="CJ276" i="29" s="1"/>
  <c r="CJ252" i="29"/>
  <c r="CJ253" i="29" s="1"/>
  <c r="AZ301" i="29"/>
  <c r="AZ302" i="29" s="1"/>
  <c r="AU302" i="29"/>
  <c r="BZ341" i="29"/>
  <c r="BU350" i="29"/>
  <c r="X306" i="29"/>
  <c r="X313" i="29" s="1"/>
  <c r="X314" i="29" s="1"/>
  <c r="Y301" i="29"/>
  <c r="Y302" i="29" s="1"/>
  <c r="CJ243" i="29" l="1"/>
  <c r="CJ258" i="29"/>
  <c r="CJ259" i="29" s="1"/>
  <c r="AU306" i="29"/>
  <c r="BA301" i="29"/>
  <c r="BA302" i="29" s="1"/>
  <c r="AZ306" i="29"/>
  <c r="BE301" i="29"/>
  <c r="BE302" i="29" s="1"/>
  <c r="Y306" i="29"/>
  <c r="Y313" i="29" s="1"/>
  <c r="Y314" i="29" s="1"/>
  <c r="Z301" i="29"/>
  <c r="Z302" i="29" s="1"/>
  <c r="BZ350" i="29"/>
  <c r="CE341" i="29"/>
  <c r="AB301" i="29" l="1"/>
  <c r="AB302" i="29" s="1"/>
  <c r="Z306" i="29"/>
  <c r="Z313" i="29" s="1"/>
  <c r="Z314" i="29" s="1"/>
  <c r="BA306" i="29"/>
  <c r="BB301" i="29"/>
  <c r="BB302" i="29" s="1"/>
  <c r="CE350" i="29"/>
  <c r="CJ341" i="29"/>
  <c r="BE306" i="29"/>
  <c r="BJ301" i="29"/>
  <c r="BJ302" i="29" s="1"/>
  <c r="BF301" i="29"/>
  <c r="BF302" i="29" s="1"/>
  <c r="BA231" i="29"/>
  <c r="BA232" i="29" s="1"/>
  <c r="AZ231" i="29"/>
  <c r="AZ232" i="29" s="1"/>
  <c r="AU231" i="29"/>
  <c r="AU232" i="29" s="1"/>
  <c r="AZ313" i="29"/>
  <c r="AZ314" i="29" s="1"/>
  <c r="BB306" i="29" l="1"/>
  <c r="BC301" i="29"/>
  <c r="BC302" i="29" s="1"/>
  <c r="BF306" i="29"/>
  <c r="BG301" i="29"/>
  <c r="BG302" i="29" s="1"/>
  <c r="BA313" i="29"/>
  <c r="BA314" i="29" s="1"/>
  <c r="BB231" i="29"/>
  <c r="BB232" i="29" s="1"/>
  <c r="BF231" i="29"/>
  <c r="BF232" i="29" s="1"/>
  <c r="N65" i="120"/>
  <c r="AB306" i="29"/>
  <c r="AB313" i="29" s="1"/>
  <c r="AB314" i="29" s="1"/>
  <c r="AC301" i="29"/>
  <c r="AC302" i="29" s="1"/>
  <c r="BE231" i="29"/>
  <c r="BE232" i="29" s="1"/>
  <c r="BJ306" i="29"/>
  <c r="BP301" i="29"/>
  <c r="BP302" i="29" s="1"/>
  <c r="BO301" i="29"/>
  <c r="BO302" i="29" s="1"/>
  <c r="BK301" i="29"/>
  <c r="BK302" i="29" s="1"/>
  <c r="BL301" i="29" s="1"/>
  <c r="BL302" i="29" s="1"/>
  <c r="BM301" i="29" s="1"/>
  <c r="BM302" i="29" s="1"/>
  <c r="BN301" i="29" s="1"/>
  <c r="BN302" i="29" s="1"/>
  <c r="CJ350" i="29"/>
  <c r="BO231" i="29" l="1"/>
  <c r="BK231" i="29"/>
  <c r="BK232" i="29" s="1"/>
  <c r="O65" i="120"/>
  <c r="N70" i="120"/>
  <c r="N68" i="120"/>
  <c r="BU301" i="29"/>
  <c r="BQ301" i="29"/>
  <c r="AC306" i="29"/>
  <c r="AC313" i="29" s="1"/>
  <c r="AC314" i="29" s="1"/>
  <c r="AD301" i="29"/>
  <c r="AD302" i="29" s="1"/>
  <c r="BJ231" i="29"/>
  <c r="BJ232" i="29" s="1"/>
  <c r="BG306" i="29"/>
  <c r="BH301" i="29"/>
  <c r="BH302" i="29" s="1"/>
  <c r="BD301" i="29"/>
  <c r="BD302" i="29" s="1"/>
  <c r="BD306" i="29" s="1"/>
  <c r="BD313" i="29" s="1"/>
  <c r="BC306" i="29"/>
  <c r="BF313" i="29"/>
  <c r="BF314" i="29" s="1"/>
  <c r="BG231" i="29"/>
  <c r="BG232" i="29" s="1"/>
  <c r="BB313" i="29"/>
  <c r="BC231" i="29"/>
  <c r="BC232" i="29" s="1"/>
  <c r="E56" i="120" l="1"/>
  <c r="O68" i="120"/>
  <c r="O70" i="120"/>
  <c r="BC313" i="29"/>
  <c r="BC314" i="29" s="1"/>
  <c r="BD231" i="29"/>
  <c r="BD232" i="29" s="1"/>
  <c r="BG313" i="29"/>
  <c r="BG314" i="29" s="1"/>
  <c r="BH231" i="29"/>
  <c r="BH232" i="29" s="1"/>
  <c r="BB314" i="29"/>
  <c r="BE313" i="29"/>
  <c r="BD314" i="29"/>
  <c r="AD306" i="29"/>
  <c r="AD313" i="29" s="1"/>
  <c r="AD314" i="29" s="1"/>
  <c r="AE301" i="29"/>
  <c r="AE302" i="29" s="1"/>
  <c r="BP231" i="29"/>
  <c r="BP232" i="29" s="1"/>
  <c r="BO232" i="29"/>
  <c r="BH306" i="29"/>
  <c r="BI301" i="29"/>
  <c r="BI302" i="29" s="1"/>
  <c r="BI306" i="29" s="1"/>
  <c r="BI313" i="29" s="1"/>
  <c r="AE306" i="29" l="1"/>
  <c r="AE313" i="29" s="1"/>
  <c r="AE314" i="29" s="1"/>
  <c r="AG301" i="29"/>
  <c r="AG302" i="29" s="1"/>
  <c r="BE314" i="29"/>
  <c r="BE315" i="29"/>
  <c r="BE319" i="29" s="1"/>
  <c r="BE345" i="29" s="1"/>
  <c r="BJ313" i="29"/>
  <c r="BI314" i="29"/>
  <c r="BH313" i="29"/>
  <c r="BH314" i="29" s="1"/>
  <c r="BI231" i="29"/>
  <c r="BI232" i="29" s="1"/>
  <c r="BC282" i="29"/>
  <c r="BD282" i="29" s="1"/>
  <c r="BJ314" i="29" l="1"/>
  <c r="BJ315" i="29"/>
  <c r="BJ319" i="29" s="1"/>
  <c r="BJ345" i="29" s="1"/>
  <c r="AG306" i="29"/>
  <c r="AG313" i="29" s="1"/>
  <c r="AG314" i="29" s="1"/>
  <c r="AH301" i="29"/>
  <c r="AH302" i="29" s="1"/>
  <c r="AH306" i="29" l="1"/>
  <c r="AH313" i="29" s="1"/>
  <c r="AH314" i="29" s="1"/>
  <c r="AI301" i="29"/>
  <c r="AI302" i="29" s="1"/>
  <c r="BQ342" i="29" l="1"/>
  <c r="AI306" i="29"/>
  <c r="AI313" i="29" s="1"/>
  <c r="AI314" i="29" s="1"/>
  <c r="AJ301" i="29"/>
  <c r="AJ302" i="29" s="1"/>
  <c r="BU335" i="29" l="1"/>
  <c r="BT283" i="29"/>
  <c r="BS283" i="29"/>
  <c r="BR283" i="29"/>
  <c r="BQ335" i="29"/>
  <c r="BQ344" i="29" s="1"/>
  <c r="BR342" i="29"/>
  <c r="AL301" i="29"/>
  <c r="AL302" i="29" s="1"/>
  <c r="AJ306" i="29"/>
  <c r="AJ313" i="29" s="1"/>
  <c r="AJ314" i="29" s="1"/>
  <c r="BU318" i="29"/>
  <c r="BZ335" i="29" l="1"/>
  <c r="BT300" i="29"/>
  <c r="BT289" i="29"/>
  <c r="BT290" i="29" s="1"/>
  <c r="BT285" i="29"/>
  <c r="BU281" i="29"/>
  <c r="BU283" i="29" s="1"/>
  <c r="BQ283" i="29"/>
  <c r="BS342" i="29"/>
  <c r="BR285" i="29"/>
  <c r="BR300" i="29"/>
  <c r="BR289" i="29"/>
  <c r="BR290" i="29" s="1"/>
  <c r="BR335" i="29"/>
  <c r="BR344" i="29" s="1"/>
  <c r="BS300" i="29"/>
  <c r="BS289" i="29"/>
  <c r="BS290" i="29" s="1"/>
  <c r="BS285" i="29"/>
  <c r="AL306" i="29"/>
  <c r="AM301" i="29"/>
  <c r="AM302" i="29" s="1"/>
  <c r="BZ283" i="29"/>
  <c r="R46" i="120" l="1"/>
  <c r="R58" i="120" s="1"/>
  <c r="BZ300" i="29"/>
  <c r="BZ285" i="29"/>
  <c r="BZ289" i="29"/>
  <c r="BZ290" i="29" s="1"/>
  <c r="BQ289" i="29"/>
  <c r="BQ290" i="29" s="1"/>
  <c r="BQ285" i="29"/>
  <c r="BQ300" i="29"/>
  <c r="BU285" i="29"/>
  <c r="BU300" i="29"/>
  <c r="BU302" i="29" s="1"/>
  <c r="BZ301" i="29" s="1"/>
  <c r="Q46" i="120"/>
  <c r="Q58" i="120" s="1"/>
  <c r="BU289" i="29"/>
  <c r="BU290" i="29" s="1"/>
  <c r="BT335" i="29"/>
  <c r="BS335" i="29"/>
  <c r="BS344" i="29" s="1"/>
  <c r="BU339" i="29"/>
  <c r="BT342" i="29"/>
  <c r="BT344" i="29" s="1"/>
  <c r="AL313" i="29"/>
  <c r="AL314" i="29" s="1"/>
  <c r="AL231" i="29"/>
  <c r="AL232" i="29" s="1"/>
  <c r="AM306" i="29"/>
  <c r="AN301" i="29"/>
  <c r="AN302" i="29" s="1"/>
  <c r="BZ302" i="29" l="1"/>
  <c r="CE301" i="29" s="1"/>
  <c r="BU342" i="29"/>
  <c r="BU344" i="29" s="1"/>
  <c r="BQ306" i="29"/>
  <c r="BQ302" i="29"/>
  <c r="BR301" i="29" s="1"/>
  <c r="BR302" i="29" s="1"/>
  <c r="BS301" i="29" s="1"/>
  <c r="BS302" i="29" s="1"/>
  <c r="BT301" i="29" s="1"/>
  <c r="BT302" i="29" s="1"/>
  <c r="G57" i="120"/>
  <c r="Q60" i="120"/>
  <c r="Q59" i="120"/>
  <c r="Q62" i="120"/>
  <c r="G16" i="120"/>
  <c r="R60" i="120"/>
  <c r="R62" i="120"/>
  <c r="H57" i="120"/>
  <c r="H16" i="120"/>
  <c r="R59" i="120"/>
  <c r="F16" i="120"/>
  <c r="AN306" i="29"/>
  <c r="AO301" i="29"/>
  <c r="AO302" i="29" s="1"/>
  <c r="AM313" i="29"/>
  <c r="AM314" i="29" s="1"/>
  <c r="AM231" i="29"/>
  <c r="AM232" i="29" s="1"/>
  <c r="CE283" i="29"/>
  <c r="S46" i="120" l="1"/>
  <c r="S58" i="120" s="1"/>
  <c r="CE300" i="29"/>
  <c r="CE302" i="29" s="1"/>
  <c r="CJ301" i="29" s="1"/>
  <c r="CE289" i="29"/>
  <c r="CE290" i="29" s="1"/>
  <c r="CE285" i="29"/>
  <c r="BZ342" i="29"/>
  <c r="BZ344" i="29" s="1"/>
  <c r="BR306" i="29"/>
  <c r="BR231" i="29" s="1"/>
  <c r="BR232" i="29" s="1"/>
  <c r="BQ315" i="29"/>
  <c r="BQ319" i="29" s="1"/>
  <c r="BQ345" i="29" s="1"/>
  <c r="BQ231" i="29"/>
  <c r="BQ232" i="29" s="1"/>
  <c r="AN313" i="29"/>
  <c r="AN314" i="29" s="1"/>
  <c r="AN231" i="29"/>
  <c r="AN232" i="29" s="1"/>
  <c r="AQ301" i="29"/>
  <c r="AQ302" i="29" s="1"/>
  <c r="AO306" i="29"/>
  <c r="AO313" i="29" s="1"/>
  <c r="CJ283" i="29"/>
  <c r="CJ285" i="29" l="1"/>
  <c r="CJ289" i="29"/>
  <c r="CJ290" i="29" s="1"/>
  <c r="T46" i="120"/>
  <c r="T58" i="120" s="1"/>
  <c r="CJ300" i="29"/>
  <c r="CJ302" i="29" s="1"/>
  <c r="BS306" i="29"/>
  <c r="BS231" i="29" s="1"/>
  <c r="BS232" i="29" s="1"/>
  <c r="BR315" i="29"/>
  <c r="BR319" i="29" s="1"/>
  <c r="BR345" i="29" s="1"/>
  <c r="CJ342" i="29"/>
  <c r="CE342" i="29"/>
  <c r="S62" i="120"/>
  <c r="S60" i="120"/>
  <c r="S59" i="120"/>
  <c r="I57" i="120"/>
  <c r="AP313" i="29"/>
  <c r="AO314" i="29"/>
  <c r="AQ306" i="29"/>
  <c r="AR301" i="29"/>
  <c r="AR302" i="29" s="1"/>
  <c r="AO231" i="29"/>
  <c r="AO232" i="29" s="1"/>
  <c r="BT306" i="29" l="1"/>
  <c r="BT231" i="29" s="1"/>
  <c r="BT232" i="29" s="1"/>
  <c r="BS315" i="29"/>
  <c r="BS319" i="29" s="1"/>
  <c r="BS345" i="29" s="1"/>
  <c r="T59" i="120"/>
  <c r="T62" i="120"/>
  <c r="J57" i="120"/>
  <c r="T60" i="120"/>
  <c r="CJ335" i="29"/>
  <c r="CJ344" i="29" s="1"/>
  <c r="CE335" i="29"/>
  <c r="CE344" i="29" s="1"/>
  <c r="AP314" i="29"/>
  <c r="AP315" i="29"/>
  <c r="AP319" i="29" s="1"/>
  <c r="AP345" i="29" s="1"/>
  <c r="AQ313" i="29"/>
  <c r="AQ314" i="29" s="1"/>
  <c r="AR231" i="29"/>
  <c r="AR232" i="29" s="1"/>
  <c r="AQ231" i="29"/>
  <c r="AQ232" i="29" s="1"/>
  <c r="AR306" i="29"/>
  <c r="AS301" i="29"/>
  <c r="AS302" i="29" s="1"/>
  <c r="BT315" i="29" l="1"/>
  <c r="BT319" i="29" s="1"/>
  <c r="BT345" i="29" s="1"/>
  <c r="BU306" i="29"/>
  <c r="AS306" i="29"/>
  <c r="AT301" i="29"/>
  <c r="AT302" i="29" s="1"/>
  <c r="AT306" i="29" s="1"/>
  <c r="AT313" i="29" s="1"/>
  <c r="AR313" i="29"/>
  <c r="AR314" i="29" s="1"/>
  <c r="BU231" i="29" l="1"/>
  <c r="Q65" i="120"/>
  <c r="BU315" i="29"/>
  <c r="BU319" i="29" s="1"/>
  <c r="BU345" i="29" s="1"/>
  <c r="BZ306" i="29"/>
  <c r="AS313" i="29"/>
  <c r="AS314" i="29" s="1"/>
  <c r="AT231" i="29"/>
  <c r="AT232" i="29" s="1"/>
  <c r="AS231" i="29"/>
  <c r="AS232" i="29" s="1"/>
  <c r="AU313" i="29"/>
  <c r="AT314" i="29"/>
  <c r="BZ315" i="29" l="1"/>
  <c r="BZ319" i="29" s="1"/>
  <c r="BZ345" i="29" s="1"/>
  <c r="CE306" i="29"/>
  <c r="CE231" i="29" s="1"/>
  <c r="R65" i="120"/>
  <c r="Q68" i="120"/>
  <c r="Q70" i="120"/>
  <c r="G56" i="120"/>
  <c r="BZ231" i="29"/>
  <c r="BU232" i="29"/>
  <c r="BZ232" i="29" s="1"/>
  <c r="CE232" i="29" s="1"/>
  <c r="CJ232" i="29" s="1"/>
  <c r="AU314" i="29"/>
  <c r="AU315" i="29"/>
  <c r="AU319" i="29" s="1"/>
  <c r="AU345" i="29" s="1"/>
  <c r="BZ233" i="29" l="1"/>
  <c r="CE233" i="29"/>
  <c r="H56" i="120"/>
  <c r="G30" i="120"/>
  <c r="R70" i="120"/>
  <c r="R68" i="120"/>
  <c r="S65" i="120"/>
  <c r="CE315" i="29"/>
  <c r="CE319" i="29" s="1"/>
  <c r="CE345" i="29" s="1"/>
  <c r="CJ306" i="29"/>
  <c r="CJ231" i="29" s="1"/>
  <c r="CJ233" i="29" s="1"/>
  <c r="BU233" i="29"/>
  <c r="CJ315" i="29" l="1"/>
  <c r="CJ319" i="29" s="1"/>
  <c r="CJ345" i="29" s="1"/>
  <c r="T65" i="120"/>
  <c r="G31" i="120"/>
  <c r="G15" i="120" s="1"/>
  <c r="H30" i="120"/>
  <c r="H31" i="120" s="1"/>
  <c r="H15" i="120" s="1"/>
  <c r="F30" i="120"/>
  <c r="F31" i="120" s="1"/>
  <c r="F15" i="120" s="1"/>
  <c r="S68" i="120"/>
  <c r="I56" i="120"/>
  <c r="S70" i="120"/>
  <c r="T70" i="120" l="1"/>
  <c r="J56" i="120"/>
  <c r="T68" i="120"/>
</calcChain>
</file>

<file path=xl/comments1.xml><?xml version="1.0" encoding="utf-8"?>
<comments xmlns="http://schemas.openxmlformats.org/spreadsheetml/2006/main">
  <authors>
    <author>sanclaur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>卟䙄_x0001_＀＀샤䫥_x0017_䑇䕞䅃䵟䅅彎偅⡓〲ㄱ〬착_x0018_＀＀_x0018_＀＀_x0008_＀＀_x0001_＀＀_x0001_＀＀赔൞祖䀛슰䫱J呒幎䅃偟久当䱐乁䅟呓ㄨ⼲〲㠰ⰬⰬ单⥄址当䕐华佉彎䅖彌十䕓協ㄨ⼲〲㠰ⰬⰬ单⥄_x0018_＀＀_x0018_＀＀_x0008_＀＀_x0001_＀＀_x0001_＀＀＀＀＀＀䶀䃅翨丰!呒幎䍅彁䕍乁䕟䥂䑔⬨ⰱ㜰㈯⼷〲ㄱ착_x0018_＀＀_x0018_＀＀_x0008_＀＀_x0001_＀＀_x0001_＀＀ꇋ뙅_xDBF3_䂨ꍁ䲼_x0017_䱌幌䝆偟䥒䕃 ⼴㔱㈯㄰찰_x0018_＀＀_x0018_＀＀_x0008_＀＀_x0001_＀＀_x0001_＀＀竡긔Ň䁘슰䫱)呒幎南偟久䥓乏噟䱁䅟卓呅⡓㈱㈯〰ⰳⰬ唬䑓착_x0018_＀＀_x0018_＀＀_x0008_＀＀_x0001_＀＀_x0001_＀＀＀＀＀＀脀䃃翨丰_x001F_呒幎䍅彁䕍乁䕟卐⬨ⰱ㜰㈯⼷〲ㄱ착_x0018_＀＀_x0018_＀＀_x0008_＀＀_x0001_＀＀_x0001_＀＀멉ꛍ䀓슯䫱;呒幎南偟久䥓乏䅟卓呅当剐偏ㄨ⼲〲㐰䀩䅃偟久当䍐彔䕒ㄨ⼲〲㐰착_x0018_＀＀_x0018_＀＀_x0008_＀＀_x0001_＀＀_x0001_＀＀＀＀＀＀＀＀䀐슰䫱'呒幎南偟久䥓乏也呅䱟䅉⡂㈱㈯〰ⰴⰬ唬䑓착_x0018_＀＀_x0018_＀＀_x0008_＀＀_x0001_＀＀_x0001_＀＀豀碵꼝쐕翨丰!呒幎䍅彁䕍乁卟䱁卅⬨ⰳ㜰㈯⼷〲ㄱ착_x0018_＀＀_x0018_＀＀_x0008_＀＀_x0001_＀＀_x0001_＀＀롒蔞࿛䃚슱䫱M呒幎䅃偟协剔呅卟噒䍟协⡔㈱㈯〰ⰵⰬ唬䑓䀩南䡟呌䍈剁彅䕓噒䍟协⡔㈱㈯〰ⰵⰬ唬䑓착_x0018_＀＀_x0018_＀＀_x0008_＀＀_x0001_＀＀_x0001_＀＀＀＀＀＀＀＀䀬슯䫱;呒幎南偟久䥓乏䅟卓呅当充䥕ㄨ⼲〲㔰䀩䅃偟久当䍐彔充ㄨ⼲〲㔰착_x0018_＀＀_x0018_＀＀_x0008_＀＀_x0001_＀＀_x0001_＀＀＀＀＀＀䀀䁐슰䫱(呒幎䅃偟久当䅐呒䍟乏剔䉉ㄨ⼲〲㌰ⰬⰬ单⥄_x0018_＀＀_x0018_＀＀_x0008_＀＀_x0001_＀＀_x0001_＀＀＀＀＀＀＀＀䀽슱䫱)呒幎䅃偟协剔呅佟䡔䑁彊䉎⡁㈱㈯〰ⰷⰬ唬䑓착_x0018_＀＀_x0018_＀＀_x0008_＀＀_x0001_＀＀_x0001_＀＀＀＀＀＀＀＀䁖슯䫱 呒幎南䕟䍘彈䅒䕔䥟䍎䍟⡆㈱㈯〰⤳_x0018_＀＀_x0018_＀＀_x0008_＀＀_x0001_＀＀_x0001_＀＀豀碵꼝쐕슰䫱 呒幎南䕟䍘彈䅒䕔ㄨ⼲〲㔰ⰬⰬ单⥄_x0018_＀＀_x0018_＀＀_x0008_＀＀_x0001_＀＀_x0001_＀＀＀＀＀＀＀＀㿰슰䫱&amp;呒幎䅃偟久当十彔义䅔䝎ㄨ⼲〲㔰ⰬⰬ单⥄_x0018_＀＀_x0018_＀＀_x0008_＀＀_x0001_＀＀_x0001_＀＀＀＀＀＀䁥슰䫱%呒幎䅃偟久当呌䅟卓呅⡓㈱㈯〰ⰷⰬ唬䑓착_x0018_＀＀_x0018_＀＀_x0008_＀＀_x0001_＀＀_x0001_＀＀＀＀＀＀ꀀ䂁슰䫱Q呒幎䅃偟久当䍁啃彍佃偍䥒䍎ㄨ⼲〲㐰ⰬⰬ单⥄址当佃偍归义彃䕐华䱟䅉⡂㈱㈯〰ⰴⰬ唬䑓착_x0018_＀＀_x0018_＀＀_x0008_＀＀_x0001_＀＀_x0001_＀＀＀＀＀＀吀䂨ꍁ䲼_x0017_偓幘䝆偟䥒䕃 ⼶〳㈯㄰찰_x0018_＀＀_x0018_＀＀_x0008_＀＀_x0001_＀＀_x0001_＀＀炤਽᫗䂐슱䫱L呒幎䅃偟协剔呅䥟呎䍟协⡔㈱㈯〰ⰴⰬ唬䑓䀩南䡟呌䍈剁彅义彔佃呓ㄨ⼲〲㐰ⰬⰬ单⥄_x0018_＀＀_x0018_＀＀_x0008_＀＀_x0001_＀＀_x0001_＀＀＀＀＀＀䀀䁗슱䫱*呒幎南䡟呌䍈剁彅塅彐呌剟䅏ㄨ⼲〲㈰ⰬⰬ单⥄_x0018_＀＀_x0018_＀＀_x0008_＀＀_x0001_＀＀_x0001_＀＀＀＀＀＀＀＀䀡슰䫱%呒幎䅃偟久当佃偍剟呁⡅㈱㈯〰ⰶⰬ唬䑓착_x0018_＀＀_x0018_＀＀_x0008_＀＀_x0001_＀＀_x0001_＀＀⣶轜䀑슱䫱＀Ｏ呒幎南䡟呌䍈剁彅䵁剏彔䕓噒䍟协⡔㈱㈯〰ⰵⰬ唬䑓착_x0018_＀＀_x0018_＀＀_x0008_＀＀_x0001_＀＀_x0001_＀＀＀＀＀＀＀＀쁊슰䫱H呒幎䅃偟久当义彔佃呓ㄨ⼲〲㌰ⰬⰬ单⥄址当䕐华佉彎义彔佃呓ㄨ⼲〲㌰ⰬⰬ单⥄_x0018_＀＀_x0018_＀＀_x0008_＀＀_x0001_＀＀_x0001_＀＀＀＀＀＀䂈宿亨!呒幎䍅彁䕍乁卟䱁卅⬨ⰱ〱㈯⼶〲ㄱ착_x0018_＀＀_x0018_＀＀_x0008_＀＀_x0001_＀＀_x0001_＀＀凬Ẹ⛅䃙슱䫱+呒幎䅃偟协剔呅偟剁彔佃呎䥒⡂㈱㈯〰ⰲⰬ唬䑓착_x0018_＀＀_x0018_＀＀_x0008_＀＀_x0001_＀＀_x0001_＀＀＀＀＀＀＀＀＀＀슱䫱P呒幎䅃偟协剔呅偟䅌彎十彔久⡄㈱㈯〰ⰴⰬ唬䑓䀩南䡟呌䍈剁彅噆䅟卓呅ㄨ⼲〲㐰ⰬⰬ单⥄_x0018_＀＀_x0018_＀＀_x0008_＀＀_x0001_＀＀_x0001_＀＀＀＀＀＀瀀䁻ꍁ䲼_x0016_䑇䙞彇剐䍉Ņ〱ㄯ⼸〲〱_x0018_＀＀_x0018_＀＀_x0008_＀＀_x0001_＀＀_x0001_＀＀䞮竡Ḕ䁐ꍁ䲼_x0017_䱌幌䝆偟䥒䕃㄁⼰㠱㈯㄰찰_x0018_＀＀_x0018_＀＀_x0008_＀＀_x0001_＀＀_x0001_＀＀Ẹ롑䁑슱䫱*呒幎南䡟呌䍈剁彅塅彐呌剟䅏ㄨ⼲〲㠰ⰬⰬ单⥄_x0018_＀＀_x0018_＀＀_x0008_＀＀_x0001_＀＀_x0001_＀＀＀＀＀＀耀䀡슱䫱(呒幎南䡟呌䍈剁彅乕彆䕂⡎㈱㈯〰ⰶⰬ唬䑓⤩＀＀＀＀슱䫱T呒幎䅃偟协剔呅偟䥒剏卟噒ㄨ⼲〲㌰ⰬⰬ单⥄址当䱈䡔䅃䕒啟剎䍅卟剅彖佃呓ㄨ⼲〲㌰ⰬⰬ单⥄_x0018_＀＀_x0018_＀＀_x0008_＀＀_x0001_＀＀_x0001_＀＀＀＀＀＀쀀쁵슱䫱,呒幎䅃偟协剔呅䕟偍䍟乏剔䉉䍟ㄨ⼲〲㜰ⰬⰬ单⥄_x0018_＀＀_x0018_＀＀_x0008_＀＀_x0001_＀＀_x0001_＀＀＀＀＀＀耀䁅슰䫱N呒幎䅃偟久当乕䕒佃⡇㈱㈯〰ⰲⰬ唬䑓䀩南偟久䥓乏啟剎䍅卟剅彖佃呓ㄨ⼲〲㈰ⰬⰬ单⥄_x0018_＀＀_x0018_＀＀_x0008_＀＀_x0001_＀＀_x0001_＀＀＀＀＀＀＀＀䁧슱䫱'呒幎䅃偟协剔呅䉟久偟䥁⡄㈱㈯〰ⰸⰬ唬䑓착_x0018_＀＀_x0018_＀＀_x0008_＀＀_x0001_＀＀_x0001_＀＀＀＀＀＀＀＀䁜ꖤ严_x001C_呒幎䝆䕟呎噟䱁䕕〨⼷㤱㈯㄰⤱_x0018_＀＀_x0018_＀＀_x0008_＀＀_x0001_＀＀_x0001_＀＀ᑻ䞮䃐슰䫱I呒幎䅃偟久当剓彖佃呓ㄨ⼲〲㘰ⰬⰬ单⥄址当䕐华佉彎䕓噒䍟协⡔㈱㈯〰ⰶⰬ唬䑓착_x0018_＀＀_x0018_＀＀_x0008_＀＀_x0001_＀＀_x0001_＀＀＀＀＀＀瀀䁹슱䫱-呒幎䅃偟协剔呅啟归剔佟彂䵁剏⡔㈱㈯〰ⰲⰬ唬䑓착_x0018_＀＀_x0018_＀＀_x0008_＀＀_x0001_＀＀_x0001_＀＀＀＀＀＀＀＀䀹슰䫱)呒幎䅃偟久当䵅彐佃呎䥒彂⡃㈱㈯〰ⰴⰬ唬䑓착_x0018_＀＀_x0018_＀＀_x0008_＀＀_x0001_＀＀_x0001_＀＀＀＀＀＀䁹ꍁ䲼_x0017_偓幘䝆偟䥒䕃 ⼴㔱㈯㄰찰_x0018_＀＀_x0018_＀＀_x0008_＀＀_x0001_＀＀_x0001_＀＀ᑺ䂒ꍁ䲼_x0017_低幃䝆偟䥒䕃 ⼶〳㈯㄰찰_x0018_＀＀_x0018_＀＀_x0008_＀＀_x0001_＀＀_x0001_＀＀Ẹ㡑䁋ু䯍_x001C_呒幎䍅彁䕍乁卟䱁卅⬨ⰳ〴㠲⤷_x0018_＀＀_x0018_＀＀_x0008_＀＀_x0001_＀＀_x0001_＀＀쳍쳌列䃚슰䫱(呒幎南偟久䥓乏䅟卓呅当呌ㄨ⼲〲㌰ⰬⰬ单⥄_x0018_＀＀_x0018_＀＀_x0008_＀＀_x0001_＀＀_x0001_＀＀豀碵꼝쐕슰䫱$呒幎䅃偟久当䕂彎䅐䑉ㄨ⼲〲㜰ⰬⰬ单⥄_x0018_＀＀_x0018_＀＀_x0008_＀＀_x0001_＀＀_x0001_＀＀＀＀＀＀退䂑슯䫱 呒幎南䕟䍘彈䅒䕔䥟䍎䍟⡆㈱㈯〰⤴_x0018_＀＀_x0018_＀＀_x0008_＀＀_x0001_＀＀_x0001_＀＀豀碵꼝쐕䯐_x0017_呒幎䝆偟䥒䕃㄁⼲ㄳ㈯〰찶_x0018_＀＀_x0018_＀＀_x0008_＀＀_x0001_＀＀_x0001_＀＀晦晦晦䁊䶵 呒幎䍅彁䕍乁䕟䥂⡔ㄫ〬⼴㔲㈯㄰⤱_x0018_＀＀_x0018_＀＀_x0008_＀＀_x0001_＀＀_x0001_＀＀閁譃왬䂥垆亨_x001B_呒幎䝆䵟䅅彎偅当兆⠲ⰰⰬ〹착_x0018_＀＀_x0018_＀＀_x0008_＀＀_x0001_＀＀_x0001_＀＀⤴⎪䃬㿶䯐_x0017_呒幎䝆偟䥒䕃㄁⼲ㄳ㈯〰찷_x0018_＀＀_x0018_＀＀_x0008_＀＀_x0001_＀＀_x0001_＀＀馚香妙䁎䯐_x0017_呒幎䝆偟䥒䕃㄁⼲ㄳ㈯〰참_x0018_＀＀_x0018_＀＀_x0008_＀＀_x0001_＀＀_x0001_＀＀롑蔞䁉슰䫱'呒幎䅃偟久当商䑎卟䅔啔⡓㈱㈯〰ⰲⰬ唬䑓착_x0018_＀＀_x0018_＀＀_x0008_＀＀_x0001_＀＀_x0001_＀＀＀＀＀＀☀䂡ꍁ䲼_x0017_呒幎䝆偟䥒䕃㄁⼲ㄳ㈯〰찹_x0018_＀＀_x0018_＀＀_x0008_＀＀_x0001_＀＀_x0001_＀＀尨슏䁉슯䫱&lt;呒幎南偟久䥓乏䅟卓呅当佂䑎⡓㈱㈯〰⤵䍀彁䕐华偟呃䙟⡉㈱㈯〰⤵_x0018_＀＀_x0018_＀＀_x0008_＀＀_x0001_＀＀_x0001_＀＀＀＀＀＀＀＀䀶슱䫱-呒幎䅃偟协剔呅啟归剔佟彂䵁剏⡔㈱㈯〰ⰸⰬ唬䑓착_x0018_＀＀_x0018_＀＀_x0008_＀＀_x0001_＀＀_x0001_＀＀＀＀＀＀＀＀䀐슰䫱%呒幎䅃偟久当啃归䥌䉁⡓㈱㈯〰ⰳⰬ唬䑓착_x0018_＀＀_x0018_＀＀_x0008_＀＀_x0001_＀＀_x0001_＀＀豀碵꼝쐕슰䫱J呒幎䅃偟久当佒彁䅒䕔ㄨ⼲〲㘰ⰬⰬ单⥄址当䕐华佉彎塅彐呌剟䅏ㄨ⼲〲㘰ⰬⰬ单⥄_x0018_＀＀_x0018_＀＀_x0008_＀＀_x0001_＀＀_x0001_＀＀ᑺ䞮䀡翨丰!呒幎䍅彁䕍乁卟䱁卅⬨ⰱ㜰㈯⼷〲ㄱ착_x0018_＀＀_x0018_＀＀_x0008_＀＀_x0001_＀＀_x0001_＀＀롑扞䃙宿亨 呒幎䍅彁䕍乁䕟䥂⡔㌫ㄬ⼰㘲㈯㄰⤱_x0018_＀＀_x0018_＀＀_x0008_＀＀_x0001_＀＀_x0001_＀＀凬Ẹ濅䂨샤䫥_x001A_䑇䙞彇䕍乁䕟卐䙟㉑〨Ⱜ㤬⤰_x0018_＀＀_x0018_＀＀_x0008_＀＀_x0001_＀＀_x0001_＀＀䢬_xDD96_ᓝ㿺슰䫱J呒幎䅃偟久当䥄䍓剟呁⡅㈱㈯〰ⰲⰬ唬䑓䀩南偟久䥓乏䑟卉彃䅒䕔ㄨ⼲〲㈰ⰬⰬ单⥄_x0018_＀＀_x0018_＀＀_x0008_＀＀_x0001_＀＀_x0001_＀＀＀＀＀＀＀＀䀜䶵_x001C_呒幎䝆䕟呎噟䱁䕕〨⼴㔲㈯㄰⤱_x0018_＀＀_x0018_＀＀_x0008_＀＀_x0001_＀＀_x0001_＀＀빷᪟㧟䃑翧丰_x0017_呒幎䝆偟䥒䕃、⼷㜲㈯㄰찱_x0018_＀＀_x0018_＀＀_x0008_＀＀_x0001_＀＀_x0001_＀＀਽ꏗ絰䁆슰䫱H呒幎䅃偟久当义彔佃呓ㄨ⼲〲㈰ⰬⰬ单⥄址当䕐华佉彎义彔佃呓ㄨ⼲〲㈰ⰬⰬ单⥄_x0018_＀＀_x0018_＀＀_x0008_＀＀_x0001_＀＀_x0001_＀＀＀＀＀＀뀀䂈ꖤ严!呒幎䍅彁䕍乁䕟䥂䑔⬨ⰲ㜰ㄯ⼹〲ㄱ착_x0018_＀＀_x0018_＀＀_x0008_＀＀_x0001_＀＀_x0001_＀＀㽽帵쒺䂪슰䫱'呒幎䅃偟久当商䑎卟䅔啔⡓㈱㈯〰ⰸⰬ唬䑓착_x0018_＀＀_x0018_＀＀_x0008_＀＀_x0001_＀＀_x0001_＀＀＀＀＀＀一삵슱䫱G呒幎䅃偟协剔呅䍟协⡔㈱㈯〰ⰸⰬ唬䑓䀩南䡟呌䍈剁彅偎彐塅⡐㈱㈯〰ⰸⰬ唬䑓착_x0018_＀＀_x0018_＀＀_x0008_＀＀_x0001_＀＀_x0001_＀＀＀＀＀＀＀＀쀺ꍁ䲼_x0017_呒幎䝆偟䥒䕃 ⼸ㄳ㈯㄰찰_x0018_＀＀_x0018_＀＀_x0008_＀＀_x0001_＀＀_x0001_＀＀⣶轜䁅ꖤ严_x001F_呒幎䍅彁䕍乁䕟卐⬨ⰲ㜰ㄯ⼹〲ㄱ착_x0018_＀＀_x0018_＀＀_x0008_＀＀_x0001_＀＀_x0001_＀＀_xDB8C_h䅯䀖슱䫱#呒幎䅃偟协剔呅䱟䅉⡂㈱㈯〰ⰷⰬ唬䑓착_x0018_＀＀_x0018_＀＀_x0008_＀＀_x0001_＀＀_x0001_＀＀＀＀＀＀瀀쁷ু䯍_x001A_呒幎䍅彁䕍乁䕟卐⬨ⰳ〴㠲⤷_x0018_＀＀_x0018_＀＀_x0008_＀＀_x0001_＀＀_x0001_＀＀僟泸_xDC1D_䀖슱䫱)呒幎南䡟呌䍈剁彅䥄䍓剟呁⡅㈱㈯〰ⰷⰬ唬䑓착_x0018_＀＀_x0018_＀＀_x0008_＀＀_x0001_＀＀_x0001_＀＀＀＀＀＀＀＀䀗슱䫱E呒幎䅃偟协剔呅䉟久佟⡂㈱㈯〰ⰷⰬ唬䑓䀩南䡟呌䍈剁彅䉐⡏㈱㈯〰ⰷⰬ唬䑓착_x0018_＀＀_x0018_＀＀_x0008_＀＀_x0001_＀＀_x0001_＀＀＀＀＀＀䠀䂌ꍁ䲼_x0017_低幃䝆偟䥒䕃 ⼴㔱㈯㄰찰_x0018_＀＀_x0018_＀＀_x0008_＀＀_x0001_＀＀_x0001_＀＀긔둺䁐슱䫱M呒幎䅃偟协剔呅卟噒䍟协⡔㈱㈯〰ⰸⰬ唬䑓䀩南䡟呌䍈剁彅䕓噒䍟协⡔㈱㈯〰ⰸⰬ唬䑓착_x0018_＀＀_x0018_＀＀_x0008_＀＀_x0001_＀＀_x0001_＀＀＀＀＀＀＀＀䀤슱䫱+呒幎䅃偟协剔呅偟剁彔佃呎䥒⡂㈱㈯〰ⰸⰬ唬䑓착_x0018_＀＀_x0018_＀＀_x0008_＀＀_x0001_＀＀_x0001_＀＀＀＀＀＀＀＀䁊ꍁ䲼_x0017_偓幘䝆偟䥒䕃㄁⼰㠱㈯㄰찰_x0018_＀＀_x0018_＀＀_x0008_＀＀_x0001_＀＀_x0001_＀＀Ẹ蕑䂒슰䫱)呒幎南偟久䥓乏噟䱁䅟卓呅⡓㈱㈯〰ⰴⰬ唬䑓착_x0018_＀＀_x0018_＀＀_x0008_＀＀_x0001_＀＀_x0001_＀＀＀＀＀＀Ҁ䃆슰䫱'呒幎南偟久偟协彔䕒彔䕂⡎㈱㈯〰ⰵⰬ唬䑓착_x0018_＀＀_x0018_＀＀_x0008_＀＀_x0001_＀＀_x0001_＀＀＀＀＀＀츀䂫帶亨_x000C_呁幋䝆偟䥒䕃_x0018_＀＀_x0018_＀＀_x0008_＀＀_x0001_＀＀_x0001_＀＀롑ꔞ䁍슰䫱%呒幎䅃偟久当呌䅟卓呅⡓㈱㈯〰ⰲⰬ唬䑓착_x0018_＀＀_x0018_＀＀_x0008_＀＀_x0001_＀＀_x0001_＀＀豀碵꼝쐕슰䫱"呒幎南偟久䥓乏偟佂ㄨ⼲〲㐰ⰬⰬ单⥄_x0018_＀＀_x0018_＀＀_x0008_＀＀_x0001_＀＀_x0001_＀＀＀＀＀＀ἀ䃍ু䯍_x001B_呒幎䍅彁䕍乁䕟䥂⡔㈫㐬㈰㜸착_x0018_＀＀_x0018_＀＀_x0008_＀＀_x0001_＀＀_x0001_＀＀슏⣵篜䂧슰䫱F呒幎䅃偟久当佒彁䍁⡔㈱㈯〰ⰴⰬ唬䑓䀩南偟久䥓乏䅟呃剟䅏ㄨ⼲〲㐰ⰬⰬ单⥄_x0018_＀＀_x0018_＀＀_x0008_＀＀_x0001_＀＀_x0001_＀＀＀＀＀＀퀀䂚슰䫱$呒幎䅃偟久当呌䱟䅉卂ㄨ⼲〲㐰ⰬⰬ单⥄_x0018_＀＀_x0018_＀＀_x0008_＀＀_x0001_＀＀_x0001_＀＀豀碵꼝쐕슯䫱 呒幎南䕟䍘彈䅒䕔䥟䍎䍟⡆㈱㈯〰⤵_x0018_＀＀_x0018_＀＀_x0008_＀＀_x0001_＀＀_x0001_＀＀豀碵꼝쐕슰䫱(呒幎䅃偟久当䅐呒䍟乏剔䉉ㄨ⼲〲㐰ⰬⰬ单⥄_x0018_＀＀_x0018_＀＀_x0008_＀＀_x0001_＀＀_x0001_＀＀＀＀＀＀＀＀䀼ꖣ严_x001F_呒幎䍅䵟䑅偟䥒䕃呟呇、⼷㤱㈯㄰찱_x0018_＀＀_x0018_＀＀_x0008_＀＀_x0001_＀＀_x0001_＀＀＀＀＀＀＀＀䁌帶亨_x000C_偓幘䝆偟䥒䕃_x0018_＀＀_x0018_＀＀_x0008_＀＀_x0001_＀＀_x0001_＀＀긔恺䂓䶵!呒幎䍅彁䕍乁䕟䥂䑔⬨ⰲ㐰㈯⼵〲ㄱ착_x0018_＀＀_x0018_＀＀_x0008_＀＀_x0001_＀＀_x0001_＀＀脆䎕䂪슰䫱F呒幎䅃偟久当佒彁䍁⡔㈱㈯〰ⰷⰬ唬䑓䀩南偟久䥓乏䅟呃剟䅏ㄨ⼲〲㜰ⰬⰬ单⥄_x0018_＀＀_x0018_＀＀_x0008_＀＀_x0001_＀＀_x0001_＀＀＀＀＀＀Ⰰ䂐ꍁ䲼_x0016_䑇䙞彇剐䍉Ņ㈱㌯⼱〲㤰_x0018_＀＀_x0018_＀＀_x0008_＀＀_x0001_＀＀_x0001_＀＀ᑻ䞮ૡ䁑슰䫱(呒幎䅃偟久当偐彄䕂彎佃呓ㄨ⼲〲㔰ⰬⰬ单⥄_x0018_＀＀_x0018_＀＀_x0008_＀＀_x0001_＀＀_x0001_＀＀＀＀＀＀䀀䂄ু䯍_x001C_呒幎䍅彁䕍乁卟䱁卅⬨ⰱ〴㠲⤷_x0018_＀＀_x0018_＀＀_x0008_＀＀_x0001_＀＀_x0001_＀＀휊炣꯽䃙孋亨8呒幎䕆䕟呓䵉呁⡅䔧䥂❔✬䕍乁Ⱗ儧䅕呒剅奌Ⱗ⬧✱丬坏Ⱜ✬⤧_x0018_＀＀_x0018_＀＀_x0008_＀＀_x0001_＀＀_x0001_＀＀⇿୵䂅슰䫱J呒幎䅃偟久当䱐乁䅟呓ㄨ⼲〲㄰ⰬⰬ单⥄址当䕐华佉彎䅖彌十䕓協ㄨ⼲〲㄰ⰬⰬ单⥄_x0018_＀＀_x0018_＀＀_x0008_＀＀_x0001_＀＀_x0001_＀＀＀＀＀＀_xDA00_䃃슱䫱*呒幎南䡟呌䍈剁彅塅彐呌剟䅏ㄨ⼲〲㌰ⰬⰬ单⥄_x0018_＀＀_x0018_＀＀_x0008_＀＀_x0001_＀＀_x0001_＀＀＀＀＀＀＀＀䀡슰䫱M呒幎䅃偟久当剐佉归剓⡖㈱㈯〰ⰷⰬ唬䑓䀩南偟久䥓乏偟归䕓噒䍟协⡔㈱㈯〰ⰷⰬ唬䑓착_x0018_＀＀_x0018_＀＀_x0008_＀＀_x0001_＀＀_x0001_＀＀＀＀＀＀＀＀䀮슱䫱,呒幎䅃偟协剔呅䕟偍䍟乏剔䉉䍟ㄨ⼲〲㈰ⰬⰬ单⥄_x0018_＀＀_x0018_＀＀_x0008_＀＀_x0001_＀＀_x0001_＀＀＀＀＀＀＀＀䁙슰䫱%呒幎䅃偟久当佃偍剟呁⡅㈱㈯〰ⰷⰬ唬䑓착_x0018_＀＀_x0018_＀＀_x0008_＀＀_x0001_＀＀_x0001_＀＀＀＀＀＀＀＀䀒슰䫱M呒幎䅃偟久当剐佉归剓⡖㈱㈯〰ⰸⰬ唬䑓䀩南偟久䥓乏偟归䕓噒䍟协⡔㈱㈯〰ⰸⰬ唬䑓착_x0018_＀＀_x0018_＀＀_x0008_＀＀_x0001_＀＀_x0001_＀＀＀＀＀＀＀＀䀬슱䫱L呒幎䅃偟协剔呅䥟呎䍟协⡔㈱㈯〰ⰳⰬ唬䑓䀩南䡟呌䍈剁彅义彔佃呓ㄨ⼲〲㌰ⰬⰬ单⥄_x0018_＀＀_x0018_＀＀_x0008_＀＀_x0001_＀＀_x0001_＀＀＀＀＀＀耀䁚슱䫱T呒幎䅃偟协剔呅偟䥒剏卟噒ㄨ⼲〲㔰ⰬⰬ单⥄址当䱈䡔䅃䕒啟剎䍅卟剅彖佃呓ㄨ⼲〲㔰ⰬⰬ单⥄_x0018_＀＀_x0018_＀＀_x0008_＀＀_x0001_＀＀_x0001_＀＀＀＀＀＀　쁱ꍁ䲼_x0016_䑇䙞彇剐䍉Ņ㠠㌯⼱〲〱_x0018_＀＀_x0018_＀＀_x0008_＀＀_x0001_＀＀_x0001_＀＀슏⣵䁋䯐_x0017_呒幎䝆偟䥒䕃 ⼳ㄳ㈯〰찷_x0018_＀＀_x0018_＀＀_x0008_＀＀_x0001_＀＀_x0001_＀＀ᑻ䞮㫡䁊ꍁ䲼_x0017_低幃䝆偟䥒䕃㄁⼰㠱㈯㄰찰_x0018_＀＀_x0018_＀＀_x0008_＀＀_x0001_＀＀_x0001_＀＀롑䁎ꍁ䲼_x0017_䱌幌䝆偟䥒䕃 ⼸ㄳ㈯㄰찰_x0018_＀＀_x0018_＀＀_x0008_＀＀_x0001_＀＀_x0001_＀＀晦晦Ꙧ䁐䯐_x0017_呒幎䝆偟䥒䕃 ⼳ㄳ㈯〰참_x0018_＀＀_x0018_＀＀_x0008_＀＀_x0001_＀＀_x0001_＀＀ꏗ㵰✊䁐슱䫱G呒幎䅃偟协剔呅䍟协⡔㈱㈯〰ⰷⰬ唬䑓䀩南䡟呌䍈剁彅偎彐塅⡐㈱㈯〰ⰷⰬ唬䑓착_x0018_＀＀_x0018_＀＀_x0008_＀＀_x0001_＀＀_x0001_＀＀＀＀＀＀＀＀쀰䯐_x0017_呒幎䝆偟䥒䕃 ⼳ㄳ㈯〰찹_x0018_＀＀_x0018_＀＀_x0008_＀＀_x0001_＀＀_x0001_＀＀Ẹ硑䁃孋亨7呒幎䕆䕟呓䵉呁⡅倧䥔Ⱗ䴧䅅❎✬啑剁䕔䱒❙✬ㄫⰧ低ⱗⰬ✧착_x0018_＀＀_x0018_＀＀_x0008_＀＀_x0001_＀＀_x0001_＀＀곙䂃슱䫱'呒幎䅃偟协剔呅䉟久偟䥁⡄㈱㈯〰ⰳⰬ唬䑓착_x0018_＀＀_x0018_＀＀_x0008_＀＀_x0001_＀＀_x0001_＀＀＀＀＀＀쀀䁝슯䫱;呒幎南偟久䥓乏䅟卓呅当呏⡈㈱㈯〰⤴䍀彁䕐华偟呃佟䡔ㄨ⼲〲㐰착_x0018_＀＀_x0018_＀＀_x0008_＀＀_x0001_＀＀_x0001_＀＀＀＀＀＀＀＀䀔슯䫱_x0017_呒幎南䙟䍙〨䀩䅃䙟䍙〨착_x0018_＀＀_x0018_＀＀_x0008_＀＀_x0001_＀＀_x0008_＀＀㈱㈯〰8슱䫱)呒幎䅃偟协剔呅佟䡔䑁彊䉎⡁㈱㈯〰ⰲⰬ唬䑓착_x0018_＀＀_x0018_＀＀_x0008_＀＀_x0001_＀＀_x0001_＀＀豀碵꼝쐕슱䫱P呒幎䅃偟协剔呅偟䅌彎十彔久⡄㈱㈯〰ⰳⰬ唬䑓䀩南䡟呌䍈剁彅噆䅟卓呅ㄨ⼲〲㌰ⰬⰬ单⥄_x0018_＀＀_x0018_＀＀_x0008_＀＀_x0001_＀＀_x0001_＀＀＀＀＀＀＀＀䁹帶亨_x000C_䱌幌䝆偟䥒䕃_x0018_＀＀_x0018_＀＀_x0008_＀＀_x0001_＀＀_x0001_＀＀긔䁐슰䫱G呒幎䅃偟久当䕎彔佃呓ㄨ⼲〲㈰ⰬⰬ单⥄址当䕐华佉彎偎彐塅⡐㈱㈯〰ⰲⰬ唬䑓착_x0018_＀＀_x0018_＀＀_x0008_＀＀_x0001_＀＀_x0001_＀＀＀＀＀＀＀＀쁔슰䫱'呒幎南偟久䥓乏也呅䱟䅉⡂㈱㈯〰ⰵⰬ唬䑓착_x0018_＀＀_x0018_＀＀_x0008_＀＀_x0001_＀＀_x0001_＀＀豀碵꼝쐕슱䫱(呒幎南䡟呌䍈剁彅乕彆䕂⡎㈱㈯〰ⰲⰬ唬䑓⤩＀＀＀＀슯䫱;呒幎南偟久䥓乏䅟卓呅当剐偏ㄨ⼲〲㔰䀩䅃偟久当䍐彔䕒ㄨ⼲〲㔰착_x0018_＀＀_x0018_＀＀_x0008_＀＀_x0001_＀＀_x0001_＀＀＀＀＀＀＀＀䀈ু䯍_x001C_呒幎䍅彁䕍乁䕟䥂䑔⬨ⰲ〴㠲⤷_x0018_＀＀_x0018_＀＀_x0008_＀＀_x0001_＀＀_x0001_＀＀뙆ﷳ요䂪슰䫱B呒幎䅃偟久当佒⡁㈱㈯〰ⰳⰬ唬䑓䀩南偟久䥓乏䕟偘剟䅏ㄨ⼲〲㌰ⰬⰬ单⥄_x0018_＀＀_x0018_＀＀_x0008_＀＀_x0001_＀＀_x0001_＀＀＀＀＀＀倀삎슯䫱 呒幎南䕟䍘彈䅒䕔䥟䍎䍟⡆㈱㈯〰⤶_x0018_＀＀_x0018_＀＀_x0008_＀＀_x0001_＀＀_x0001_＀＀豀碵꼝쐕슰䫱)呒幎䅃偟久当䵅彐佃呎䥒彂⡃㈱㈯〰ⰵⰬ唬䑓착_x0018_＀＀_x0018_＀＀_x0008_＀＀_x0001_＀＀_x0001_＀＀＀＀＀＀䁿슱䫱)呒幎䅃偟协剔呅佟䡔䑁彊䉎⡁㈱㈯〰ⰸⰬ唬䑓착_x0018_＀＀_x0018_＀＀_x0008_＀＀_x0001_＀＀_x0001_＀＀＀＀＀＀ 䁧슰䫱B呒幎䅃偟久当佒⡁㈱㈯〰ⰶⰬ唬䑓䀩南偟久䥓乏䕟偘剟䅏ㄨ⼲〲㘰ⰬⰬ单⥄_x0018_＀＀_x0018_＀＀_x0008_＀＀_x0001_＀＀_x0001_＀＀＀＀＀＀怀삎슯䫱;呒幎南偟久䥓乏䅟卓呅当充䥕ㄨ⼲〲㘰䀩䅃偟久当䍐彔充ㄨ⼲〲㘰착_x0018_＀＀_x0018_＀＀_x0008_＀＀_x0001_＀＀_x0001_＀＀＀＀＀＀＀＀䁑슰䫱(呒幎南偟久䥓乏䅟卓呅当呌ㄨ⼲〲㐰ⰬⰬ单⥄_x0018_＀＀_x0018_＀＀_x0008_＀＀_x0001_＀＀_x0001_＀＀豀碵꼝쐕䶵_x001F_呒幎䍅彁䕍乁䕟卐⬨ⰲ㐰㈯⼵〲ㄱ착_x0018_＀＀_x0018_＀＀_x0008_＀＀_x0001_＀＀_x0001_＀＀듃⺯䀖ꖤ严!呒幎䍅彁䕍乁卟䱁卅⬨ⰲ㜰ㄯ⼹〲ㄱ착_x0018_＀＀_x0018_＀＀_x0008_＀＀_x0001_＀＀_x0001_＀＀轜䃙翨丰 呒幎䍅彁䕍乁䕟䥂⡔㌫〬⼷㜲㈯㄰⤱_x0018_＀＀_x0018_＀＀_x0008_＀＀_x0001_＀＀_x0001_＀＀炤਽ݗ䂩슰䫱I呒幎䅃偟久当剓彖佃呓ㄨ⼲〲㔰ⰬⰬ单⥄址当䕐华佉彎䕓噒䍟协⡔㈱㈯〰ⰵⰬ唬䑓착_x0018_＀＀_x0018_＀＀_x0008_＀＀_x0001_＀＀_x0001_＀＀＀＀＀＀ 䁸슰䫱 呒幎南䕟䍘彈䅒䕔ㄨ⼲〲㘰ⰬⰬ单⥄_x0018_＀＀_x0018_＀＀_x0008_＀＀_x0001_＀＀_x0001_＀＀＀＀＀＀＀＀㿰ꍁ䲼_x0017_䱌幌䝆偟䥒䕃㄁⼲ㄳ㈯〰찹_x0018_＀＀_x0018_＀＀_x0008_＀＀_x0001_＀＀_x0001_＀＀쳍쳌볌䁕슰䫱&amp;呒幎䅃偟久当十彔义䅔䝎ㄨ⼲〲㘰ⰬⰬ单⥄_x0018_＀＀_x0018_＀＀_x0008_＀＀_x0001_＀＀_x0001_＀＀豀碵꼝쐕슱䫱E呒幎䅃偟协剔呅䉟久佟⡂㈱㈯〰ⰸⰬ唬䑓䀩南䡟呌䍈剁彅䉐⡏㈱㈯〰ⰸⰬ唬䑓착_x0018_＀＀_x0018_＀＀_x0008_＀＀_x0001_＀＀_x0001_＀＀＀＀＀＀က䂊ꍁ䲼_x0017_呁幋䝆偟䥒䕃 ⼴㔱㈯㄰찰_x0018_＀＀_x0018_＀＀_x0008_＀＀_x0001_＀＀_x0001_＀＀＀＀＀＀退䁓슰䫱M呒幎䅃偟久当剐佉归剓⡖㈱㈯〰ⰵⰬ唬䑓䀩南偟久䥓乏偟归䕓噒䍟协⡔㈱㈯〰ⰵⰬ唬䑓착_x0018_＀＀_x0018_＀＀_x0008_＀＀_x0001_＀＀_x0001_＀＀＀＀＀＀＀＀䀳슰䫱J呒幎䅃偟久当䱐乁䅟呓ㄨ⼲〲㐰ⰬⰬ单⥄址当䕐华佉彎䅖彌十䕓協ㄨ⼲〲㐰ⰬⰬ单⥄_x0018_＀＀_x0018_＀＀_x0008_＀＀_x0001_＀＀_x0001_＀＀＀＀＀＀Ҁ䃆슰䫱%呒幎䅃偟久当呌䅟卓呅⡓㈱㈯〰ⰸⰬ唬䑓착_x0018_＀＀_x0018_＀＀_x0008_＀＀_x0001_＀＀_x0001_＀＀＀＀＀＀＀＀䁌슯䫱 呒幎南䕟䍘彈䅒䕔䉟䱁卟⡈㈱㈯〰⤲_x0018_＀＀_x0018_＀＀_x0008_＀＀_x0001_＀＀_x0001_＀＀豀碵꼝쐕슰䫱M呒幎䅃偟久当剐佉归剓⡖㈱㈯〰ⰶⰬ唬䑓䀩南偟久䥓乏偟归䕓噒䍟协⡔㈱㈯〰ⰶⰬ唬䑓착_x0018_＀＀_x0018_＀＀_x0008_＀＀_x0001_＀＀_x0001_＀＀＀＀＀＀＀＀䀮슱䫱J呒幎䅃偟协剔呅剟䅏䅟呃ㄨ⼲〲㠰ⰬⰬ单⥄址当䱈䡔䅃䕒䅟呃剟䅏ㄨ⼲〲㠰ⰬⰬ单⥄_x0018_＀＀_x0018_＀＀_x0008_＀＀_x0001_＀＀_x0001_＀＀＀＀＀＀ꀀ쁠䯐_x0017_呒幎䝆偟䥒䕃 ⼳ㄳ㈯㄰찰_x0018_＀＀_x0018_＀＀_x0008_＀＀_x0001_＀＀_x0001_＀＀슏⣵轜䁌슰䫱Q呒幎䅃偟久当䍁啃彍佃偍䥒䍎ㄨ⼲〲㈰ⰬⰬ单⥄址当佃偍归义彃䕐华䱟䅉⡂㈱㈯〰ⰲⰬ唬䑓착_x0018_＀＀_x0018_＀＀_x0008_＀＀_x0001_＀＀_x0001_＀＀豀碵꼝쐕슰䫱%呒幎䅃偟久当啃归䥌䉁⡓㈱㈯〰ⰴⰬ唬䑓착_x0018_＀＀_x0018_＀＀_x0008_＀＀_x0001_＀＀_x0001_＀＀豀碵꼝쐕슱䫱#呒幎䅃偟协剔呅䱟䅉⡂㈱㈯〰ⰲⰬ唬䑓착_x0018_＀＀_x0018_＀＀_x0008_＀＀_x0001_＀＀_x0001_＀＀＀＀＀＀저삄ꍁ䲼_x0017_呁幋䝆偟䥒䕃 ⼶〳㈯㄰찰_x0018_＀＀_x0018_＀＀_x0008_＀＀_x0001_＀＀_x0001_＀＀ᑺޮ䁏슱䫱＀Ｏ呒幎南䡟呌䍈剁彅䵁剏彔䕓噒䍟协⡔㈱㈯〰ⰶⰬ唬䑓착_x0018_＀＀_x0018_＀＀_x0008_＀＀_x0001_＀＀_x0001_＀＀＀＀＀＀＀＀쁊슱䫱)呒幎南䡟呌䍈剁彅䥄䍓剟呁⡅㈱㈯〰ⰲⰬ唬䑓착_x0018_＀＀_x0018_＀＀_x0008_＀＀_x0001_＀＀_x0001_＀＀＀＀＀＀＀＀䀜슱䫱+呒幎䅃偟协剔呅偟剁彔佃呎䥒⡂㈱㈯〰ⰳⰬ唬䑓착_x0018_＀＀_x0018_＀＀_x0008_＀＀_x0001_＀＀_x0001_＀＀＀＀＀＀＀＀＀＀磫䯐_x001B_呒幎䍅彁䕍乁䕟䥂⡔㌫㐬㈰〹착_x0018_＀＀_x0018_＀＀_x0008_＀＀_x0001_＀＀_x0001_＀＀＀＀＀＀䂨슱䫱G呒幎䅃偟协剔呅䍟协⡔㈱㈯〰ⰶⰬ唬䑓䀩南䡟呌䍈剁彅偎彐塅⡐㈱㈯〰ⰶⰬ唬䑓착_x0018_＀＀_x0018_＀＀_x0008_＀＀_x0001_＀＀_x0001_＀＀＀＀＀＀＀＀䀱슱䫱,呒幎䅃偟协剔呅䕟偍䍟乏剔䉉䍟ㄨ⼲〲㠰ⰬⰬ单⥄_x0018_＀＀_x0018_＀＀_x0008_＀＀_x0001_＀＀_x0001_＀＀＀＀＀＀＀＀䀼슱䫱#呒幎䅃偟协剔呅䱟䅉⡂㈱㈯〰ⰸⰬ唬䑓착_x0018_＀＀_x0018_＀＀_x0008_＀＀_x0001_＀＀_x0001_＀＀＀＀＀＀倀쁽宿亨 呒幎䍅彁䕍乁䕟䥂⡔ㄫㄬ⼰㘲㈯㄰⤱_x0018_＀＀_x0018_＀＀_x0008_＀＀_x0001_＀＀_x0001_＀＀휊炣ᠽ䂥슰䫱$呒幎䅃偟久当䕂彎䅐䑉ㄨ⼲〲㈰ⰬⰬ单⥄_x0018_＀＀_x0018_＀＀_x0008_＀＀_x0001_＀＀_x0001_＀＀＀＀＀＀ꠀ䂋슱䫱)呒幎南䡟呌䍈剁彅䥄䍓剟呁⡅㈱㈯〰ⰸⰬ唬䑓착_x0018_＀＀_x0018_＀＀_x0008_＀＀_x0001_＀＀_x0001_＀＀＀＀＀＀＀＀䀚ꍁ䲼_x0017_偓幘䝆偟䥒䕃 ⼸ㄳ㈯㄰찰_x0018_＀＀_x0018_＀＀_x0008_＀＀_x0001_＀＀_x0001_＀＀Ẹ救䂐埁亨_x0018_呒幎䍅彁䕍乁䕟卐㈨㄰ⰳ⤰_x0018_＀＀_x0018_＀＀_x0008_＀＀_x0001_＀＀_x0001_＀＀幯⢜䀘슰䫱G呒幎䅃偟久当䕎彔佃呓ㄨ⼲〲㔰ⰬⰬ单⥄址当䕐华佉彎偎彐塅⡐㈱㈯〰ⰵⰬ唬䑓착_x0018_＀＀_x0018_＀＀_x0008_＀＀_x0001_＀＀_x0001_＀＀＀＀＀＀栀䂉帶亨_x000C_呒幎䝆偟䥒䕃_x0018_＀＀_x0018_＀＀_x0008_＀＀_x0001_＀＀_x0001_＀＀馚香妙䁅ী䯍_x001F_呒幎䍅䵟䑅偟䥒䕃呟呇 ⼴㤱㈯㄰찰_x0018_＀＀_x0018_＀＀_x0008_＀＀_x0001_＀＀_x0001_＀＀＀＀＀＀耀䁍ু䯍_x001A_呒幎䍅彁䕍乁䕟卐⬨ⰱ〴㠲⤷_x0018_＀＀_x0018_＀＀_x0008_＀＀_x0001_＀＀_x0001_＀＀᜖䀓슰䫱J呒幎䅃偟久当佒彁䅒䕔ㄨ⼲〲㈰ⰬⰬ单⥄址当䕐华佉彎塅彐呌剟䅏ㄨ⼲〲㈰ⰬⰬ单⥄_x0018_＀＀_x0018_＀＀_x0008_＀＀_x0001_＀＀_x0001_＀＀＀＀＀＀＀＀䀣슱䫱-呒幎䅃偟协剔呅啟归剔佟彂䵁剏⡔㈱㈯〰ⰳⰬ唬䑓착_x0018_＀＀_x0018_＀＀_x0008_＀＀_x0001_＀＀_x0001_＀＀＀＀＀＀＀＀䀹슯䫱 呒幎南䕟䍘彈䅒䕔䥟䍎䍟⡆㈱㈯〰⤷_x0018_＀＀_x0018_＀＀_x0008_＀＀_x0001_＀＀_x0001_＀＀豀碵꼝쐕슰䫱J呒幎䅃偟久当䥄䍓剟呁⡅㈱㈯〰ⰸⰬ唬䑓䀩南偟久䥓乏䑟卉彃䅒䕔ㄨ⼲〲㠰ⰬⰬ单⥄_x0018_＀＀_x0018_＀＀_x0008_＀＀_x0001_＀＀_x0001_＀＀＀＀＀＀＀＀䀚쏤䴮_x0018_呒幎䍅彁䕍乁䕟卐㈨㄰ⰰ⤰_x0018_＀＀_x0018_＀＀_x0008_＀＀_x0001_＀＀_x0001_＀＀逭墠䀒슰䫱M呒幎䅃偟久当剐佉归剓⡖㈱㈯〰ⰳⰬ唬䑓䀩南偟久䥓乏偟归䕓噒䍟协⡔㈱㈯〰ⰳⰬ唬䑓착_x0018_＀＀_x0018_＀＀_x0008_＀＀_x0001_＀＀_x0001_＀＀＀＀＀＀＀＀䀳슰䫱$呒幎䅃偟久当䕂彎䅐䑉ㄨ⼲〲㠰ⰬⰬ单⥄_x0018_＀＀_x0018_＀＀_x0008_＀＀_x0001_＀＀_x0001_＀＀＀＀＀＀⠀䂒슰䫱"呒幎南偟久䥓乏偟佂ㄨ⼲〲㔰ⰬⰬ单⥄_x0018_＀＀_x0018_＀＀_x0008_＀＀_x0001_＀＀_x0001_＀＀＀＀＀＀䃏슰䫱M呒幎䅃偟久当剐佉归剓⡖㈱㈯〰ⰴⰬ唬䑓䀩南偟久䥓乏偟归䕓噒䍟协⡔㈱㈯〰ⰴⰬ唬䑓착_x0018_＀＀_x0018_＀＀_x0008_＀＀_x0001_＀＀_x0001_＀＀＀＀＀＀＀＀䀳슰䫱$呒幎䅃偟久当呌䱟䅉卂ㄨ⼲〲㔰ⰬⰬ单⥄_x0018_＀＀_x0018_＀＀_x0008_＀＀_x0001_＀＀_x0001_＀＀豀碵꼝쐕Х丳_x001B_呒幎䝆䵟䅅彎偅当兆⠳ⰰⰬ〹착_x0018_＀＀_x0018_＀＀_x0008_＀＀_x0001_＀＀_x0001_＀＀ฐ馬杫㿴슯䫱 呒幎南䕟䍘彈䅒䕔䉟䱁卟⡈㈱㈯〰⤳_x0018_＀＀_x0018_＀＀_x0008_＀＀_x0001_＀＀_x0001_＀＀豀碵꼝쐕슰䫱'呒幎䅃偟久当商䑎卟䅔啔⡓㈱㈯〰ⰳⰬ唬䑓착_x0018_＀＀_x0018_＀＀_x0008_＀＀_x0001_＀＀_x0001_＀＀＀＀＀＀᐀䂞슰䫱(呒幎䅃偟久当偐彄䕂彎佃呓ㄨ⼲〲㘰ⰬⰬ单⥄_x0018_＀＀_x0018_＀＀_x0008_＀＀_x0001_＀＀_x0001_＀＀豀碵꼝쐕슱䫱T呒幎䅃偟协剔呅偟䥒剏卟噒ㄨ⼲〲㜰ⰬⰬ单⥄址当䱈䡔䅃䕒啟剎䍅卟剅彖佃呓ㄨ⼲〲㜰ⰬⰬ单⥄_x0018_＀＀_x0018_＀＀_x0008_＀＀_x0001_＀＀_x0001_＀＀＀＀＀＀䀀쁥孋亨9呒幎䕆䕟呓䵉呁⡅匧䱁卅Ⱗ䴧䅅❎✬啑剁䕔䱒❙✬ㄫⰧ低ⱗⰬ✧착_x0018_＀＀_x0018_＀＀_x0008_＀＀_x0001_＀＀_x0001_＀＀晧晦䂸슯䫱&lt;呒幎南偟久䥓乏䅟卓呅当佂䑎⡓㈱㈯〰⤶䍀彁䕐华偟呃䙟⡉㈱㈯〰⤶_x0018_＀＀_x0018_＀＀_x0008_＀＀_x0001_＀＀_x0001_＀＀＀＀＀＀＀＀䀶슱䫱M呒幎䅃偟协剔呅卟噒䍟协⡔㈱㈯〰ⰴⰬ唬䑓䀩南䡟呌䍈剁彅䕓噒䍟协⡔㈱㈯〰ⰴⰬ唬䑓착_x0018_＀＀_x0018_＀＀_x0008_＀＀_x0001_＀＀_x0001_＀＀＀＀＀＀＀＀䀰슱䫱J呒幎䅃偟协剔呅剟䅏䅟呃ㄨ⼲〲㜰ⰬⰬ单⥄址当䱈䡔䅃䕒䅟呃剟䅏ㄨ⼲〲㜰ⰬⰬ单⥄_x0018_＀＀_x0018_＀＀_x0008_＀＀_x0001_＀＀_x0001_＀＀＀＀＀＀＀＀䁂孋亨7呒幎䕆䕟呓䵉呁⡅䔧卐Ⱗ䴧䅅❎✬啑剁䕔䱒❙✬ㄫⰧ低ⱗⰬ✧착_x0018_＀＀_x0018_＀＀_x0008_＀＀_x0001_＀＀_x0001_＀＀鼊莭㶃㿵ꍁ䲼_x0017_偓幘䝆偟䥒䕃㄁⼲ㄳ㈯〰찹_x0018_＀＀_x0018_＀＀_x0008_＀＀_x0001_＀＀_x0001_＀＀晦晦汦䂑슰䫱Q呒幎䅃偟久当䍁啃彍佃偍䥒䍎ㄨ⼲〲㜰ⰬⰬ单⥄址当佃偍归义彃䕐华䱟䅉⡂㈱㈯〰ⰷⰬ唬䑓착_x0018_＀＀_x0018_＀＀_x0008_＀＀_x0001_＀＀_x0001_＀＀＀＀＀＀戀삠슱䫱F呒幎䅃偟协剔呅剟䅏ㄨ⼲〲㠰ⰬⰬ单⥄址当䱈䡔䅃䕒䕟偘剟䅏ㄨ⼲〲㠰ⰬⰬ单⥄_x0018_＀＀_x0018_＀＀_x0008_＀＀_x0001_＀＀_x0001_＀＀＀＀＀＀＀＀쁆磫䯐_x001C_呒幎䍅彁䕍乁䕟䥂䑔⬨ⰳ〴㤲⤰_x0018_＀＀_x0018_＀＀_x0008_＀＀_x0001_＀＀_x0001_＀＀橿璼屓䂬ꍁ䲼_x0017_低幃䝆偟䥒䕃 ⼸ㄳ㈯㄰찰_x0018_＀＀_x0018_＀＀_x0008_＀＀_x0001_＀＀_x0001_＀＀슏⣵ཛྷ䁋翨丰 呒幎䍅彁䕍乁䕟䥂⡔ㄫ〬⼷㜲㈯㄰⤱_x0018_＀＀_x0018_＀＀_x0008_＀＀_x0001_＀＀_x0001_＀＀갈娜⚤䂥샤䫥_x0017_䑇䕞䅃䵟䅅彎偅⡓〲㈱〬착_x0018_＀＀_x0018_＀＀_x0008_＀＀_x0001_＀＀_x0001_＀＀窣恫ҫ䀟䶵!呒幎䍅彁䕍乁卟䱁卅⬨ⰲ㐰㈯⼵〲ㄱ착_x0018_＀＀_x0018_＀＀_x0008_＀＀_x0001_＀＀_x0001_＀＀ᑻ䞮б䃚宿亨!呒幎䍅彁䕍乁䕟䥂䑔⬨ⰲ〱㈯⼶〲ㄱ착_x0018_＀＀_x0018_＀＀_x0008_＀＀_x0001_＀＀_x0001_＀＀ⴎ鶲ꛯ䂪슱䫱L呒幎䅃偟协剔呅䥟呎䍟协⡔㈱㈯〰ⰲⰬ唬䑓䀩南䡟呌䍈剁彅义彔佃呓ㄨ⼲〲㈰ⰬⰬ单⥄_x0018_＀＀_x0018_＀＀_x0008_＀＀_x0001_＀＀_x0001_＀＀＀＀＀＀䀀䁚슱䫱G呒幎䅃偟协剔呅䍟协⡔㈱㈯〰ⰵⰬ唬䑓䀩南䡟呌䍈剁彅偎彐塅⡐㈱㈯〰ⰵⰬ唬䑓착_x0018_＀＀_x0018_＀＀_x0008_＀＀_x0001_＀＀_x0001_＀＀＀＀＀＀＀＀䁄슱䫱'呒幎䅃偟协剔呅䉟久偟䥁⡄㈱㈯〰ⰴⰬ唬䑓착_x0018_＀＀_x0018_＀＀_x0008_＀＀_x0001_＀＀_x0001_＀＀＀＀＀＀쀀䁗ꖣ严_x0017_呒幎䝆偟䥒䕃、⼷㤱㈯㄰찱_x0018_＀＀_x0018_＀＀_x0008_＀＀_x0001_＀＀_x0001_＀＀傱驫푷䁆슱䫱)呒幎䅃偟协剔呅佟䡔䑁彊䉎⡁㈱㈯〰ⰳⰬ唬䑓착_x0018_＀＀_x0018_＀＀_x0008_＀＀_x0001_＀＀_x0001_＀＀豀碵꼝쐕磫䯐_x001C_呒幎䍅彁䕍乁卟䱁卅⬨ⰲ〴㤲⤰_x0018_＀＀_x0018_＀＀_x0008_＀＀_x0001_＀＀_x0001_＀＀⣶轜錢䃚宾亨_x0011_偞䑟呁䍅䑟奁丨坏착_x001B_＀＀_x0018_＀＀_x000B_＀＀_x0001_＀＀_x0008_＀＀〱㈯⼶〲ㄱ찀슯䫱;呒幎南偟久䥓乏䅟卓呅当呏⡈㈱㈯〰⤷䍀彁䕐华偟呃佟䡔ㄨ⼲〲㜰착_x0018_＀＀_x0018_＀＀_x0008_＀＀_x0001_＀＀_x0001_＀＀＀＀＀＀＀＀䀤슰䫱G呒幎䅃偟久当䕎彔佃呓ㄨ⼲〲㠰ⰬⰬ单⥄址当䕐华佉彎偎彐塅⡐㈱㈯〰ⰸⰬ唬䑓착_x0018_＀＀_x0018_＀＀_x0008_＀＀_x0001_＀＀_x0001_＀＀＀＀＀＀怀䂀슰䫱)呒幎南偟久䥓乏噟䱁䅟卓呅⡓㈱㈯〰ⰵⰬ唬䑓착_x0018_＀＀_x0018_＀＀_x0008_＀＀_x0001_＀＀_x0001_＀＀＀＀＀＀冀䃈슰䫱'呒幎南偟久偟协彔䕒彔䕂⡎㈱㈯〰ⰶⰬ唬䑓착_x0018_＀＀_x0018_＀＀_x0008_＀＀_x0001_＀＀_x0001_＀＀＀＀＀＀蠀䂰帶亨_x000C_䵌幔䝆偟䥒䕃_x0018_＀＀_x0018_＀＀_x0008_＀＀_x0001_＀＀_x0001_＀＀晦晦ᙦ䁓슱䫱E呒幎䅃偟协剔呅䉟久佟⡂㈱㈯〰ⰱⰬ唬䑓䀩南䡟呌䍈剁彅䉐⡏㈱㈯〰ⰱⰬ唬䑓착_x0018_＀＀_x0018_＀＀_x0008_＀＀_x0001_＀＀_x0001_＀＀豀碵꼝쐕슯䫱&lt;呒幎䅃偟久当䥄䍓剟呁⡅㈱㈯〰⤷址当䕐华佉彎䥄䍓剟呁⡅㈱㈯〰⤷_x0018_＀＀_x0018_＀＀_x0008_＀＀_x0001_＀＀_x0001_＀＀ꏗ㵰휊䀙슰䫱M呒幎䅃偟久当剐佉归剓⡖㈱㈯〰ⰲⰬ唬䑓䀩南偟久䥓乏偟归䕓噒䍟协⡔㈱㈯〰ⰲⰬ唬䑓착_x0018_＀＀_x0018_＀＀_x0008_＀＀_x0001_＀＀_x0001_＀＀＀＀＀＀＀＀䀴슱䫱(呒幎南䡟呌䍈剁彅乕彆䕂⡎㈱㈯〰ⰵⰬ唬䑓⤩＀＀＀＀슯䫱 呒幎南䕟䍘彈䅒䕔䥟䍎䍟⡆㈱㈯〰⤸_x0018_＀＀_x0018_＀＀_x0008_＀＀_x0001_＀＀_x0001_＀＀豀碵꼝쐕슰䫱'呒幎南偟久䥓乏也呅䱟䅉⡂㈱㈯〰ⰶⰬ唬䑓착_x0018_＀＀_x0018_＀＀_x0008_＀＀_x0001_＀＀_x0001_＀＀豀碵꼝쐕슱䫱P呒幎䅃偟协剔呅偟䅌彎十彔久⡄㈱㈯〰ⰲⰬ唬䑓䀩南䡟呌䍈剁彅噆䅟卓呅ㄨ⼲〲㈰ⰬⰬ单⥄_x0018_＀＀_x0018_＀＀_x0008_＀＀_x0001_＀＀_x0001_＀＀＀＀＀＀က䁶ꍁ䲼_x0017_呁幋䝆偟䥒䕃㄁⼰㠱㈯㄰찰_x0018_＀＀_x0018_＀＀_x0008_＀＀_x0001_＀＀_x0001_＀＀尩슏裵䁒宿亨_x001C_呒幎䝆䕟呎噟䱁䕕ㄨ⼰㘲㈯㄰⤱_x0018_＀＀_x0018_＀＀_x0008_＀＀_x0001_＀＀_x0001_＀＀沋ﯧ攱䃐슰䫱%呒幎䅃偟久当呌䅟卓呅⡓㈱㈯〰ⰳⰬ唬䑓착_x0018_＀＀_x0018_＀＀_x0008_＀＀_x0001_＀＀_x0001_＀＀豀碵꼝쐕슰䫱J呒幎䅃偟久当䱐乁䅟呓ㄨ⼲〲㜰ⰬⰬ单⥄址当䕐华佉彎䅖彌十䕓協ㄨ⼲〲㜰ⰬⰬ单⥄_x0018_＀＀_x0018_＀＀_x0008_＀＀_x0001_＀＀_x0001_＀＀＀＀＀＀꺀䃌슰䫱(呒幎䅃偟久当䅐呒䍟乏剔䉉ㄨ⼲〲㔰ⰬⰬ单⥄_x0018_＀＀_x0018_＀＀_x0008_＀＀_x0001_＀＀_x0001_＀＀＀＀＀＀＀＀䀽슰䫱%呒幎䅃偟久当佃偍剟呁⡅㈱㈯〰ⰲⰬ唬䑓착_x0018_＀＀_x0018_＀＀_x0008_＀＀_x0001_＀＀_x0001_＀＀＀＀＀＀＀＀䀒ꍁ䲼_x0017_低幃䝆偟䥒䕃㄁⼲ㄳ㈯〰찹_x0018_＀＀_x0018_＀＀_x0008_＀＀_x0001_＀＀_x0001_＀＀쳍쳌䁋슯䫱 呒幎南䕟䍘彈䅒䕔䉟䱁卟⡈㈱㈯〰⤴_x0018_＀＀_x0018_＀＀_x0008_＀＀_x0001_＀＀_x0001_＀＀豀碵꼝쐕슰䫱 呒幎南䕟䍘彈䅒䕔ㄨ⼲〲㜰ⰬⰬ单⥄_x0018_＀＀_x0018_＀＀_x0008_＀＀_x0001_＀＀_x0001_＀＀＀＀＀＀＀＀㿰슰䫱I呒幎䅃偟久当剓彖佃呓ㄨ⼲〲㐰ⰬⰬ单⥄址当䕐华佉彎䕓噒䍟协⡔㈱㈯〰ⰴⰬ唬䑓착_x0018_＀＀_x0018_＀＀_x0008_＀＀_x0001_＀＀_x0001_＀＀＀＀＀＀倀䁵슰䫱"呒幎䅃偟久当偐彄䕂彎佃呓〨ⰬⰬ单⥄_x0018_＀＀_x0018_＀＀_x0008_＀＀_x0001_＀＀_x0001_＀＀豀碵꼝쐕슱䫱*呒幎南䡟呌䍈剁彅塅彐呌剟䅏ㄨ⼲〲㐰ⰬⰬ单⥄_x0018_＀＀_x0018_＀＀_x0008_＀＀_x0001_＀＀_x0001_＀＀＀＀＀＀＀＀䀟슱䫱,呒幎䅃偟协剔呅䕟偍䍟乏剔䉉䍟ㄨ⼲〲㌰ⰬⰬ单⥄_x0018_＀＀_x0018_＀＀_x0008_＀＀_x0001_＀＀_x0001_＀＀＀＀＀＀ꀀ䁠슰䫱%呒幎䅃偟久当佃偍剟呁⡅㈱㈯〰ⰸⰬ唬䑓착_x0018_＀＀_x0018_＀＀_x0008_＀＀_x0001_＀＀_x0001_＀＀凬Ẹ䀑磫䯐_x001A_呒幎䍅彁䕍乁䕟卐⬨ⰲ〴㤲⤰_x0018_＀＀_x0018_＀＀_x0008_＀＀_x0001_＀＀_x0001_＀＀驳_xDA05_∝䀕宾亨_x0018_呒幎䍅彁䥆䍓䱁奟䅅⡒ㄫ⤬_x0018_＀＀_x0018_＀＀_x0008_＀＀_x0001_＀＀_x0008_＀＀㈱㈯㄰1슯䫱;呒幎南偟久䥓乏䅟卓呅当呏⡈㈱㈯〰⤲䍀彁䕐华偟呃佟䡔ㄨ⼲〲㈰착_x0018_＀＀_x0018_＀＀_x0008_＀＀_x0001_＀＀_x0001_＀＀豀碵꼝쐕슱䫱F呒幎䅃偟协剔呅剟䅏ㄨ⼲〲㜰ⰬⰬ单⥄址当䱈䡔䅃䕒䕟偘剟䅏ㄨ⼲〲㜰ⰬⰬ单⥄_x0018_＀＀_x0018_＀＀_x0008_＀＀_x0001_＀＀_x0001_＀＀＀＀＀＀耀쁅슰䫱"呒幎南偟久䥓乏䅟卓呅当呌〨ⰬⰬ单⥄_x0018_＀＀_x0018_＀＀_x0008_＀＀_x0001_＀＀_x0001_＀＀＀＀＀＀＀＀䁌슯䫱;呒幎南偟久䥓乏䅟卓呅当充䥕ㄨ⼲〲㈰䀩䅃偟久当䍐彔充ㄨ⼲〲㈰착_x0018_＀＀_x0018_＀＀_x0008_＀＀_x0001_＀＀_x0001_＀＀豀碵꼝쐕宿亨_x001F_呒幎䍅彁䕍乁䕟卐⬨ⰲ〱㈯⼶〲ㄱ착_x0018_＀＀_x0018_＀＀_x0008_＀＀_x0001_＀＀_x0001_＀＀ꋣ䑚쌔䀕슰䫱J呒幎䅃偟久当佒彁䅒䕔ㄨ⼲〲㔰ⰬⰬ单⥄址当䕐华佉彎塅彐呌剟䅏ㄨ⼲〲㔰ⰬⰬ单⥄_x0018_＀＀_x0018_＀＀_x0008_＀＀_x0001_＀＀_x0001_＀＀롒蔞凫䀡슰䫱$呒幎䅃偟久当䕂彎䅐䑉ㄨ⼲〲㌰ⰬⰬ单⥄_x0018_＀＀_x0018_＀＀_x0008_＀＀_x0001_＀＀_x0001_＀＀＀＀＀＀栀䂌翨丰_x001C_呒幎䝆䕟呎噟䱁䕕〨⼷㜲㈯㄰⤱_x0018_＀＀_x0018_＀＀_x0008_＀＀_x0001_＀＀_x0001_＀＀Ȍ蜫똾䃐磫䯐_x001B_呒幎䍅彁䕍乁䕟䥂⡔ㄫ㐬㈰〹착_x0018_＀＀_x0018_＀＀_x0008_＀＀_x0001_＀＀_x0001_＀＀إ閁뽃䂦슰䫱C呒幎䅃偟久当剐䩏佟䱂ㄨ⼲〲㠰ⰬⰬ单⥄址当䕐华佉彎䉐⡏㈱㈯〰ⰸⰬ唬䑓착_x0018_＀＀_x0018_＀＀_x0008_＀＀_x0001_＀＀_x0001_＀＀＀＀＀＀䃏䞩
汬幬⡰潮⥷_x0018_＀＀_x0018_＀＀_x0008_＀＀_x0001_＀＀_x0001_＀＀㌳㌳ꌳ䁚슱䫱-呒幎䅃偟协剔呅啟归剔佟彂䵁剏⡔㈱㈯〰ⰴⰬ唬䑓착_x0018_＀＀_x0018_＀＀_x0008_＀＀_x0001_＀＀_x0001_＀＀＀＀＀＀＀＀䀲슯䫱;呒幎南偟久䥓乏䅟卓呅当剐偏ㄨ⼲〲㘰䀩䅃偟久当䍐彔䕒ㄨ⼲〲㘰착_x0018_＀＀_x0018_＀＀_x0008_＀＀_x0001_＀＀_x0001_＀＀＀＀＀＀＀＀䀐슰䫱)呒幎䅃偟久当䵅彐佃呎䥒彂⡃㈱㈯〰ⰶⰬ唬䑓착_x0018_＀＀_x0018_＀＀_x0008_＀＀_x0001_＀＀_x0001_＀＀＀＀＀＀栀䂁슯䫱_x001A_呒幎南䕟䍘彈䅒䕔䥟䍎䍟⡆⤰_x0018_＀＀_x0018_＀＀_x0008_＀＀_x0001_＀＀_x0001_＀＀豀碵꼝쐕슰䫱(呒幎南偟久䥓乏䅟卓呅当呌ㄨ⼲〲㔰ⰬⰬ单⥄_x0018_＀＀_x0018_＀＀_x0008_＀＀_x0001_＀＀_x0001_＀＀豀碵꼝쐕슱䫱M呒幎䅃偟协剔呅卟噒䍟协⡔㈱㈯〰ⰷⰬ唬䑓䀩南䡟呌䍈剁彅䕓噒䍟协⡔㈱㈯〰ⰷⰬ唬䑓착_x0018_＀＀_x0018_＀＀_x0008_＀＀_x0001_＀＀_x0001_＀＀＀＀＀＀＀＀䀪슯䫱 呒幎南䕟䍘彈䅒䕔䉟䱁卟⡈㈱㈯〰⤵_x0018_＀＀_x0018_＀＀_x0008_＀＀_x0001_＀＀_x0001_＀＀豀碵꼝쐕슯䫱;呒幎南偟久䥓乏䅟卓呅当充䥕ㄨ⼲〲㜰䀩䅃偟久当䍐彔充ㄨ⼲〲㜰착_x0018_＀＀_x0018_＀＀_x0008_＀＀_x0001_＀＀_x0001_＀＀＀＀＀＀耀䁍슰䫱J呒幎䅃偟久当䥄䍓剟呁⡅㈱㈯〰ⰷⰬ唬䑓䀩南偟久䥓乏䑟卉彃䅒䕔ㄨ⼲〲㜰ⰬⰬ单⥄_x0018_＀＀_x0018_＀＀_x0008_＀＀_x0001_＀＀_x0001_＀＀ꏗ㵰휊䀙슰䫱&amp;呒幎䅃偟久当十彔义䅔䝎ㄨ⼲〲㜰ⰬⰬ单⥄_x0018_＀＀_x0018_＀＀_x0008_＀＀_x0001_＀＀_x0001_＀＀豀碵꼝쐕䷁䶹_x001B_呒幎䝆䵟䅅彎偅当兆⠴ⰰⰬ〹착_x0018_＀＀_x0018_＀＀_x0008_＀＀_x0001_＀＀_x0001_＀＀뇽꩚␜㿷슰䫱'呒幎䅃偟久当商䑎卟䅔啔⡓㈱㈯〰ⰴⰬ唬䑓착_x0018_＀＀_x0018_＀＀_x0008_＀＀_x0001_＀＀_x0001_＀＀＀＀＀＀밀䂙슱䫱J呒幎䅃偟协剔呅剟䅏䅟呃ㄨ⼲〲㘰ⰬⰬ单⥄址当䱈䡔䅃䕒䅟呃剟䅏ㄨ⼲〲㘰ⰬⰬ单⥄_x0018_＀＀_x0018_＀＀_x0008_＀＀_x0001_＀＀_x0001_＀＀＀＀＀＀＀＀䁋슰䫱F呒幎䅃偟久当佒彁䍁⡔㈱㈯〰ⰳⰬ唬䑓䀩南偟久䥓乏䅟呃剟䅏ㄨ⼲〲㌰ⰬⰬ单⥄_x0018_＀＀_x0018_＀＀_x0008_＀＀_x0001_＀＀_x0001_＀＀＀＀＀＀琀䂙슰䫱%呒幎䅃偟久当啃归䥌䉁⡓㈱㈯〰ⰵⰬ唬䑓착_x0018_＀＀_x0018_＀＀_x0008_＀＀_x0001_＀＀_x0001_＀＀豀碵꼝쐕슱䫱#呒幎䅃偟协剔呅䱟䅉⡂㈱㈯〰ⰳⰬ唬䑓착_x0018_＀＀_x0018_＀＀_x0008_＀＀_x0001_＀＀_x0001_＀＀＀＀＀＀䀀삄ꖤ严 呒幎䍅彁䕍乁䕟䥂⡔㈫〬⼷㤱㈯㄰⤱_x0018_＀＀_x0018_＀＀_x0008_＀＀_x0001_＀＀_x0001_＀＀俟鞍䥮䂧섯䫥_x0018_呒幎䍅彁䕍乁䕟卐㈨〰ⰹ⤰_x0018_＀＀_x0018_＀＀_x0008_＀＀_x0001_＀＀_x0001_＀＀烣埦䁳䀓슱䫱E呒幎䅃偟协剔呅䉟久佟⡂㈱㈯〰ⰲⰬ唬䑓䀩南䡟呌䍈剁彅䉐⡏㈱㈯〰ⰲⰬ唬䑓착_x0018_＀＀_x0018_＀＀_x0008_＀＀_x0001_＀＀_x0001_＀＀＀＀＀＀가䂘슱䫱＀Ｏ呒幎南䡟呌䍈剁彅䵁剏彔䕓噒䍟协⡔㈱㈯〰ⰷⰬ唬䑓착_x0018_＀＀_x0018_＀＀_x0008_＀＀_x0001_＀＀_x0001_＀＀＀＀＀＀＀＀쁊슱䫱)呒幎南䡟呌䍈剁彅䥄䍓剟呁⡅㈱㈯〰ⰳⰬ唬䑓착_x0018_＀＀_x0018_＀＀_x0008_＀＀_x0001_＀＀_x0001_＀＀＀＀＀＀＀＀䀙翨丰!呒幎䍅彁䕍乁䕟䥂䑔⬨ⰲ㜰㈯⼷〲ㄱ착_x0018_＀＀_x0018_＀＀_x0008_＀＀_x0001_＀＀_x0001_＀＀㽽帵쎺䂪슱䫱+呒幎䅃偟协剔呅偟剁彔佃呎䥒⡂㈱㈯〰ⰴⰬ唬䑓착_x0018_＀＀_x0018_＀＀_x0008_＀＀_x0001_＀＀_x0001_＀＀＀＀＀＀＀＀＀＀翨丰_x001F_呒幎䍅彁䕍乁䕟卐⬨ⰲ㜰㈯⼷〲ㄱ착_x0018_＀＀_x0018_＀＀_x0008_＀＀_x0001_＀＀_x0001_＀＀_xDB8C_h䅯䀖ি䯍_x0017_呒幎䝆偟䥒䕃 ⼴㤱㈯㄰찰_x0018_＀＀_x0018_＀＀_x0008_＀＀_x0001_＀＀_x0001_＀＀䞮竡且䁍슰䫱J呒幎䅃偟久当佒彁䅒䕔ㄨ⼲〲㠰ⰬⰬ单⥄址当䕐华佉彎塅彐呌剟䅏ㄨ⼲〲㠰ⰬⰬ单⥄_x0018_＀＀_x0018_＀＀_x0008_＀＀_x0001_＀＀_x0001_＀＀ᑺ䞮䀡슱䫱P呒幎䅃偟协剔呅偟䅌彎十彔久⡄㈱㈯〰ⰸⰬ唬䑓䀩南䡟呌䍈剁彅噆䅟卓呅ㄨ⼲〲㠰ⰬⰬ单⥄_x0018_＀＀_x0018_＀＀_x0008_＀＀_x0001_＀＀_x0001_＀＀＀＀＀＀퀀䁶슰䫱Q呒幎䅃偟久当䍁啃彍佃偍䥒䍎ㄨ⼲〲㔰ⰬⰬ单⥄址当佃偍归义彃䕐华䱟䅉⡂㈱㈯〰ⰵⰬ唬䑓착_x0018_＀＀_x0018_＀＀_x0008_＀＀_x0001_＀＀_x0001_＀＀＀＀＀＀였䂧슱䫱F呒幎䅃偟协剔呅剟䅏ㄨ⼲〲㘰ⰬⰬ单⥄址当䱈䡔䅃䕒䕟偘剟䅏ㄨ⼲〲㘰ⰬⰬ单⥄_x0018_＀＀_x0018_＀＀_x0008_＀＀_x0001_＀＀_x0001_＀＀＀＀＀＀＀＀쁄ꍁ䲼_x0017_呁幋䝆偟䥒䕃㄁⼲ㄳ㈯〰찹_x0018_＀＀_x0018_＀＀_x0008_＀＀_x0001_＀＀_x0001_＀＀竡긔ᅇ䁖슯䫱_x000F_呒幎南䥟体䍟䑏책_x0014_＀＀_x0018_＀＀_x0004_＀＀_x0001_＀＀_x0008_＀＀单D슱䫱G呒幎䅃偟协剔呅䍟协⡔㈱㈯〰ⰴⰬ唬䑓䀩南䡟呌䍈剁彅偎彐塅⡐㈱㈯〰ⰴⰬ唬䑓착_x0018_＀＀_x0018_＀＀_x0008_＀＀_x0001_＀＀_x0001_＀＀＀＀＀＀耀䁗磫䯐_x001C_呒幎䍅彁䕍乁䕟䥂䑔⬨ⰱ〴㤲⤰_x0018_＀＀_x0018_＀＀_x0008_＀＀_x0001_＀＀_x0001_＀＀堑됹ڈ䂪슰䫱)呒幎南偟久䥓乏噟䱁䅟卓呅⡓㈱㈯〰ⰶⰬ唬䑓착_x0018_＀＀_x0018_＀＀_x0008_＀＀_x0001_＀＀_x0001_＀＀＀＀＀＀㤀䃊슰䫱'呒幎南偟久偟协彔䕒彔䕂⡎㈱㈯〰ⰷⰬ唬䑓착_x0018_＀＀_x0018_＀＀_x0008_＀＀_x0001_＀＀_x0001_＀＀＀＀＀＀退䂧ꍁ䲼_x0017_呁幋䝆偟䥒䕃 ⼸ㄳ㈯㄰찰_x0018_＀＀_x0018_＀＀_x0008_＀＀_x0001_＀＀_x0001_＀＀馚香禙䁐䶵 呒幎䍅彁䕍乁䕟䥂⡔㈫〬⼴㔲㈯㄰⤱_x0018_＀＀_x0018_＀＀_x0008_＀＀_x0001_＀＀_x0001_＀＀㵱휊皣䂧슰䫱 呒幎南䕟䍘彈䅒䕔ㄨ⼲〲㈰ⰬⰬ单⥄_x0018_＀＀_x0018_＀＀_x0008_＀＀_x0001_＀＀_x0001_＀＀＀＀＀＀＀＀㿰슱䫱(呒幎南䡟呌䍈剁彅乕彆䕂⡎㈱㈯〰ⰸⰬ唬䑓⤩＀＀＀＀슰䫱C呒幎䅃偟久当剐䩏佟䱂ㄨ⼲〲㜰ⰬⰬ单⥄址当䕐华佉彎䉐⡏㈱㈯〰ⰷⰬ唬䑓착_x0018_＀＀_x0018_＀＀_x0008_＀＀_x0001_＀＀_x0001_＀＀＀＀＀＀퀀䃏슰䫱"呒幎南偟久䥓乏偟佂ㄨ⼲〲㘰ⰬⰬ单⥄_x0018_＀＀_x0018_＀＀_x0008_＀＀_x0001_＀＀_x0001_＀＀＀＀＀＀꺀䃏磪䯐_x0013_呒幎䝆䵟呋噟䱁䕕〨착_x0018_＀＀_x0018_＀＀_x0008_＀＀_x0001_＀＀_x0001_＀＀扎堐㜱䃖슯䫱 呒幎南䕟䍘彈䅒䕔䉟䱁卟⡈㈱㈯〰⤶_x0018_＀＀_x0018_＀＀_x0008_＀＀_x0001_＀＀_x0001_＀＀豀碵꼝쐕슰䫱$呒幎䅃偟久当呌䱟䅉卂ㄨ⼲〲㘰ⰬⰬ单⥄_x0018_＀＀_x0018_＀＀_x0008_＀＀_x0001_＀＀_x0001_＀＀＀＀＀＀稀䂩슰䫱(呒幎䅃偟久当䅐呒䍟乏剔䉉ㄨ⼲〲㘰ⰬⰬ单⥄_x0018_＀＀_x0018_＀＀_x0008_＀＀_x0001_＀＀_x0001_＀＀＀＀＀＀＀＀䀺슱䫱P呒幎䅃偟协剔呅偟䅌彎十彔久⡄㈱㈯〰ⰱⰬ唬䑓䀩南䡟呌䍈剁彅噆䅟卓呅ㄨ⼲〲㄰ⰬⰬ单⥄_x0018_＀＀_x0018_＀＀_x0008_＀＀_x0001_＀＀_x0001_＀＀＀＀＀＀ꀀ䁹슱䫱T呒幎䅃偟协剔呅偟䥒剏卟噒ㄨ⼲〲㈰ⰬⰬ单⥄址当䱈䡔䅃䕒啟剎䍅卟剅彖佃呓ㄨ⼲〲㈰ⰬⰬ单⥄_x0018_＀＀_x0018_＀＀_x0008_＀＀_x0001_＀＀_x0001_＀＀＀＀＀＀뀀쁵슰䫱%呒幎䅃偟久当佃偍剟呁⡅㈱㈯〰ⰳⰬ唬䑓착_x0018_＀＀_x0018_＀＀_x0008_＀＀_x0001_＀＀_x0001_＀＀⣶轜䀑宿亨!呒幎䍅彁䕍乁卟䱁卅⬨ⰲ〱㈯⼶〲ㄱ착_x0018_＀＀_x0018_＀＀_x0008_＀＀_x0001_＀＀_x0001_＀＀炤਽菗䃙슱䫱L呒幎䅃偟协剔呅䥟呎䍟协⡔㈱㈯〰ⰸⰬ唬䑓䀩南䡟呌䍈剁彅义彔佃呓ㄨ⼲〲㠰ⰬⰬ单⥄_x0018_＀＀_x0018_＀＀_x0008_＀＀_x0001_＀＀_x0001_＀＀＀＀＀＀耀䁋슰䫱C呒幎䅃偟久当剐䩏佟䱂ㄨ⼲〲㘰ⰬⰬ单⥄址当䕐华佉彎䉐⡏㈱㈯〰ⰶⰬ唬䑓착_x0018_＀＀_x0018_＀＀_x0008_＀＀_x0001_＀＀_x0001_＀＀＀＀＀＀꺀䃏슰䫱B呒幎䅃偟久当佒⡁㈱㈯〰ⰲⰬ唬䑓䀩南偟久䥓乏䕟偘剟䅏ㄨ⼲〲㈰ⰬⰬ单⥄_x0018_＀＀_x0018_＀＀_x0008_＀＀_x0001_＀＀_x0001_＀＀＀＀＀＀ꐀ삒슰䫱(呒幎䅃偟久当偐彄䕂彎佃呓ㄨ⼲〲㜰ⰬⰬ单⥄_x0018_＀＀_x0018_＀＀_x0008_＀＀_x0001_＀＀_x0001_＀＀豀碵꼝쐕帶亨_x000C_低幃䝆偟䥒䕃_x0018_＀＀_x0018_＀＀_x0008_＀＀_x0001_＀＀_x0001_＀＀㌳㌳팳䁋슰䫱F呒幎䅃偟久当佒彁䍁⡔㈱㈯〰ⰶⰬ唬䑓䀩南偟久䥓乏䅟呃剟䅏ㄨ⼲〲㘰ⰬⰬ单⥄_x0018_＀＀_x0018_＀＀_x0008_＀＀_x0001_＀＀_x0001_＀＀＀＀＀＀㠀䂝슱䫱J呒幎䅃偟协剔呅剟䅏䅟呃ㄨ⼲〲㔰ⰬⰬ单⥄址当䱈䡔䅃䕒䅟呃剟䅏ㄨ⼲〲㔰ⰬⰬ单⥄_x0018_＀＀_x0018_＀＀_x0008_＀＀_x0001_＀＀_x0001_＀＀＀＀＀＀耀䁁宾亨_x0018_呒幎䍅彁䥆䍓䱁奟䅅⡒㈫⤬_x0018_＀＀_x0018_＀＀_x0008_＀＀_x0001_＀＀_x0008_＀＀㈱㈯㄰2슯䫱&lt;呒幎南偟久䥓乏䅟卓呅当佂䑎⡓㈱㈯〰⤷䍀彁䕐华偟呃䙟⡉㈱㈯〰⤷_x0018_＀＀_x0018_＀＀_x0008_＀＀_x0001_＀＀_x0001_＀＀＀＀＀＀＀＀䀻슱䫱*呒幎南䡟呌䍈剁彅塅彐呌剟䅏ㄨ⼲〲㔰ⰬⰬ单⥄_x0018_＀＀_x0018_＀＀_x0008_＀＀_x0001_＀＀_x0001_＀＀＀＀＀＀耀䀡磪䯐_x001F_呒幎䍅䵟䑅偟䥒䕃呟呇 ⼴㈲㈯㄰찰_x0018_＀＀_x0018_＀＀_x0008_＀＀_x0001_＀＀_x0001_＀＀＀＀＀＀耀䁍슰䫱J呒幎䅃偟久当䥄䍓剟呁⡅㈱㈯〰ⰶⰬ唬䑓䀩南偟久䥓乏䑟卉彃䅒䕔ㄨ⼲〲㘰ⰬⰬ单⥄_x0018_＀＀_x0018_＀＀_x0008_＀＀_x0001_＀＀_x0001_＀＀쳍쳌쳌䀗슱䫱,呒幎䅃偟协剔呅䕟偍䍟乏剔䉉䍟ㄨ⼲〲㐰ⰬⰬ单⥄_x0018_＀＀_x0018_＀＀_x0008_＀＀_x0001_＀＀_x0001_＀＀＀＀＀＀耀䁙슰䫱I呒幎䅃偟久当剓彖佃呓ㄨ⼲〲㌰ⰬⰬ单⥄址当䕐华佉彎䕓噒䍟协⡔㈱㈯〰ⰳⰬ唬䑓착_x0018_＀＀_x0018_＀＀_x0008_＀＀_x0001_＀＀_x0001_＀＀＀＀＀＀䁰슰䫱J呒幎䅃偟久当䱐乁䅟呓ㄨ⼲〲㌰ⰬⰬ单⥄址当䕐华佉彎䅖彌十䕓協ㄨ⼲〲㌰ⰬⰬ单⥄_x0018_＀＀_x0018_＀＀_x0008_＀＀_x0001_＀＀_x0001_＀＀＀＀＀＀脀䃃슱䫱F呒幎䅃偟协剔呅剟䅏ㄨ⼲〲㔰ⰬⰬ单⥄址当䱈䡔䅃䕒䕟偘剟䅏ㄨ⼲〲㔰ⰬⰬ单⥄_x0018_＀＀_x0018_＀＀_x0008_＀＀_x0001_＀＀_x0001_＀＀＀＀＀＀耀쁂宿亨_x001F_呒幎䍅䵟䑅偟䥒䕃呟呇㄁⼰㘲㈯㄰찱_x0018_＀＀_x0018_＀＀_x0008_＀＀_x0001_＀＀_x0001_＀＀＀＀＀＀＀＀䁊슱䫱'呒幎䅃偟协剔呅䉟久偟䥁⡄㈱㈯〰ⰵⰬ唬䑓착_x0018_＀＀_x0018_＀＀_x0008_＀＀_x0001_＀＀_x0001_＀＀＀＀＀＀쀀䁥슱䫱G呒幎䅃偟协剔呅䍟协⡔㈱㈯〰ⰳⰬ唬䑓䀩南䡟呌䍈剁彅偎彐塅⡐㈱㈯〰ⰳⰬ唬䑓착_x0018_＀＀_x0018_＀＀_x0008_＀＀_x0001_＀＀_x0001_＀＀＀＀＀＀＀＀䁝슱䫱)呒幎䅃偟协剔呅佟䡔䑁彊䉎⡁㈱㈯〰ⰴⰬ唬䑓착_x0018_＀＀_x0018_＀＀_x0008_＀＀_x0001_＀＀_x0001_＀＀＀＀＀＀䂂슯䫱&lt;呒幎南偟久䥓乏䅟卓呅当佂䑎⡓㈱㈯〰⤲䍀彁䕐华偟呃䙟⡉㈱㈯〰⤲_x0018_＀＀_x0018_＀＀_x0008_＀＀_x0001_＀＀_x0001_＀＀豀碵꼝쐕슰䫱N呒幎䅃偟久当乕䕒佃⡇㈱㈯〰ⰸⰬ唬䑓䀩南偟久䥓乏啟剎䍅卟剅彖佃呓ㄨ⼲〲㠰ⰬⰬ单⥄_x0018_＀＀_x0018_＀＀_x0008_＀＀_x0001_＀＀_x0001_＀＀＀＀＀＀쀀䁗슰䫱&amp;呒幎䅃偟久当十彔义䅔䝎ㄨ⼲〲㈰ⰬⰬ单⥄_x0018_＀＀_x0018_＀＀_x0008_＀＀_x0001_＀＀_x0001_＀＀豀碵꼝쐕슰䫱'呒幎南偟久䥓乏也呅䱟䅉⡂㈱㈯〰ⰷⰬ唬䑓착_x0018_＀＀_x0018_＀＀_x0008_＀＀_x0001_＀＀_x0001_＀＀豀碵꼝쐕孋亨7呒幎䕆䕟呓䵉呁⡅丧呅Ⱗ䴧䅅❎✬啑剁䕔䱒❙✬ㄫⰧ低ⱗⰬ✧착_x0018_＀＀_x0018_＀＀_x0008_＀＀_x0001_＀＀_x0001_＀＀븍ⰰ䁽슰䫱%呒幎䅃偟久当呌䅟卓呅⡓㈱㈯〰ⰴⰬ唬䑓착_x0018_＀＀_x0018_＀＀_x0008_＀＀_x0001_＀＀_x0001_＀＀豀碵꼝쐕翨丰!呒幎䍅彁䕍乁卟䱁卅⬨ⰲ㜰㈯⼷〲ㄱ착_x0018_＀＀_x0018_＀＀_x0008_＀＀_x0001_＀＀_x0001_＀＀쳍쳌䃙슯䫱 呒幎南䕟䍘彈䅒䕔䉟䱁卟⡈㈱㈯〰⤷_x0018_＀＀_x0018_＀＀_x0008_＀＀_x0001_＀＀_x0001_＀＀豀碵꼝쐕슰䫱G呒幎䅃偟久当䕎彔佃呓ㄨ⼲〲㐰ⰬⰬ单⥄址当䕐华佉彎偎彐塅⡐㈱㈯〰ⰴⰬ唬䑓착_x0018_＀＀_x0018_＀＀_x0008_＀＀_x0001_＀＀_x0001_＀＀＀＀＀＀က䂇슰䫱(呒幎南偟久䥓乏䅟卓呅当呌ㄨ⼲〲㘰ⰬⰬ单⥄_x0018_＀＀_x0018_＀＀_x0008_＀＀_x0001_＀＀_x0001_＀＀豀碵꼝쐕슯䫱;呒幎南偟久䥓乏䅟卓呅当剐偏ㄨ⼲〲㜰䀩䅃偟久当䍐彔䕒ㄨ⼲〲㜰착_x0018_＀＀_x0018_＀＀_x0008_＀＀_x0001_＀＀_x0001_＀＀＀＀＀＀＀＀䀐슱䫱＀Ｏ呒幎南䡟呌䍈剁彅䵁剏彔䕓噒䍟协⡔㈱㈯〰ⰲⰬ唬䑓착_x0018_＀＀_x0018_＀＀_x0008_＀＀_x0001_＀＀_x0001_＀＀豀碵꼝쐕슰䫱)呒幎䅃偟久当䵅彐佃呎䥒彂⡅㈱㈯〰ⰹⰬ唬䑓착_x0018_＀＀_x0018_＀＀_x0008_＀＀_x0001_＀＀_x0001_＀＀豀碵꼝쐕슰䫱 呒幎南䕟䍘彈䅒䕔ㄨ⼲〲㠰ⰬⰬ单⥄_x0018_＀＀_x0018_＀＀_x0008_＀＀_x0001_＀＀_x0001_＀＀＀＀＀＀＀＀㿰ꖤ严!呒幎䍅彁䕍乁䕟䥂䑔⬨ⰳ㜰ㄯ⼹〲ㄱ착_x0018_＀＀_x0018_＀＀_x0008_＀＀_x0001_＀＀_x0001_＀＀⛪࠱ᨬ䂬슰䫱&amp;呒幎䅃偟久当十彔义䅔䝎ㄨ⼲〲㠰ⰬⰬ单⥄_x0018_＀＀_x0018_＀＀_x0008_＀＀_x0001_＀＀_x0001_＀＀豀碵꼝쐕슰䫱B呒幎䅃偟久当佒⡁㈱㈯〰ⰵⰬ唬䑓䀩南偟久䥓乏䕟偘剟䅏ㄨ⼲〲㔰ⰬⰬ单⥄_x0018_＀＀_x0018_＀＀_x0008_＀＀_x0001_＀＀_x0001_＀＀＀＀＀＀耀삌ꖤ严_x001F_呒幎䍅彁䕍乁䕟卐⬨ⰳ㜰ㄯ⼹〲ㄱ착_x0018_＀＀_x0018_＀＀_x0008_＀＀_x0001_＀＀_x0001_＀＀쁺搼⟊䀙슯䫱;呒幎南偟久䥓乏䅟卓呅当充䥕ㄨ⼲〲㠰䀩䅃偟久当䍐彔充ㄨ⼲〲㠰착_x0018_＀＀_x0018_＀＀_x0008_＀＀_x0001_＀＀_x0001_＀＀＀＀＀＀耀䁂ু䯍_x001B_呒幎䍅彁䕍乁䕟䥂⡔㌫㐬㈰㜸착_x0018_＀＀_x0018_＀＀_x0008_＀＀_x0001_＀＀_x0001_＀＀＀＀＀＀䂨슰䫱C呒幎䅃偟久当剐䩏佟䱂ㄨ⼲〲㔰ⰬⰬ单⥄址当䕐华佉彎䉐⡏㈱㈯〰ⰵⰬ唬䑓착_x0018_＀＀_x0018_＀＀_x0008_＀＀_x0001_＀＀_x0001_＀＀＀＀＀＀䃏슰䫱B呒幎䅃偟久当佒⡁㈱㈯〰ⰸⰬ唬䑓䀩南偟久䥓乏䕟偘剟䅏ㄨ⼲〲㠰ⰬⰬ单⥄_x0018_＀＀_x0018_＀＀_x0008_＀＀_x0001_＀＀_x0001_＀＀＀＀＀＀삒슰䫱%呒幎䅃偟久当啃归䥌䉁⡓㈱㈯〰ⰶⰬ唬䑓착_x0018_＀＀_x0018_＀＀_x0008_＀＀_x0001_＀＀_x0001_＀＀＀＀＀＀耀䁀슱䫱J呒幎䅃偟协剔呅剟䅏䅟呃ㄨ⼲〲㐰ⰬⰬ单⥄址当䱈䡔䅃䕒䅟呃剟䅏ㄨ⼲〲㐰ⰬⰬ单⥄_x0018_＀＀_x0018_＀＀_x0008_＀＀_x0001_＀＀_x0001_＀＀＀＀＀＀＀＀䁀슱䫱#呒幎䅃偟协剔呅䱟䅉⡂㈱㈯〰ⰴⰬ唬䑓착_x0018_＀＀_x0018_＀＀_x0008_＀＀_x0001_＀＀_x0001_＀＀＀＀＀＀뀀삃슱䫱＀Ｏ呒幎南䡟呌䍈剁彅䵁剏彔䕓噒䍟协⡔㈱㈯〰ⰸⰬ唬䑓착_x0018_＀＀_x0018_＀＀_x0008_＀＀_x0001_＀＀_x0001_＀＀＀＀＀＀＀＀쁊슱䫱L呒幎䅃偟协剔呅䥟呎䍟协⡔㈱㈯〰ⰷⰬ唬䑓䀩南䡟呌䍈剁彅义彔佃呓ㄨ⼲〲㜰ⰬⰬ单⥄_x0018_＀＀_x0018_＀＀_x0008_＀＀_x0001_＀＀_x0001_＀＀＀＀＀＀耀䁋슱䫱)呒幎南䡟呌䍈剁彅䥄䍓剟呁⡅㈱㈯〰ⰴⰬ唬䑓착_x0018_＀＀_x0018_＀＀_x0008_＀＀_x0001_＀＀_x0001_＀＀＀＀＀＀＀＀䀗슰䫱C呒幎䅃偟久当剐䩏佟䱂ㄨ⼲〲㐰ⰬⰬ单⥄址当䕐华佉彎䉐⡏㈱㈯〰ⰴⰬ唬䑓착_x0018_＀＀_x0018_＀＀_x0008_＀＀_x0001_＀＀_x0001_＀＀＀＀＀＀ἀ䃍슯䫱;呒幎南偟久䥓乏䅟卓呅当剐偏ㄨ⼲〲㈰䀩䅃偟久当䍐彔䕒ㄨ⼲〲㈰착_x0018_＀＀_x0018_＀＀_x0008_＀＀_x0001_＀＀_x0001_＀＀豀碵꼝쐕슱䫱+呒幎䅃偟协剔呅偟剁彔佃呎䥒⡂㈱㈯〰ⰵⰬ唬䑓착_x0018_＀＀_x0018_＀＀_x0008_＀＀_x0001_＀＀_x0001_＀＀＀＀＀＀＀＀䁒슮䫱9呒幎䅃偟久当䕎彔佃呓ㄨ⼲〲㠰䀩南偟久䥓乏也偐䕟偘ㄨ⼲〲㠰착_x0018_＀＀_x0018_＀＀_x0008_＀＀_x0001_＀＀_x0001_＀＀＀＀＀＀怀䂀ꖤ严_x001C_呒幎䝆䵟呋噟䱁䕕〨⼷㤱㈯㄰⤱_x0018_＀＀_x0018_＀＀_x0008_＀＀_x0001_＀＀_x0001_＀＀赐溗쎒䃏슯䫱;呒幎南偟久䥓乏䅟卓呅当呏⡈㈱㈯〰⤵䍀彁䕐华偟呃佟䡔ㄨ⼲〲㔰착_x0018_＀＀_x0018_＀＀_x0008_＀＀_x0001_＀＀_x0001_＀＀＀＀＀＀＀＀䀤슰䫱'呒幎南偟久偟协彔䕒彔䕂⡎㈱㈯〰ⰲⰬ唬䑓착_x0018_＀＀_x0018_＀＀_x0008_＀＀_x0001_＀＀_x0001_＀＀＀＀＀＀Ḁ䂦슯䫱;呒幎南偟久䥓乏䅟卓呅当充䥕ㄨ⼲〲㌰䀩䅃偟久当䍐彔充ㄨ⼲〲㌰착_x0018_＀＀_x0018_＀＀_x0008_＀＀_x0001_＀＀_x0001_＀＀＀＀＀＀쀀䁐슱䫱F呒幎䅃偟协剔呅剟䅏ㄨ⼲〲㐰ⰬⰬ单⥄址当䱈䡔䅃䕒䕟偘剟䅏ㄨ⼲〲㐰ⰬⰬ单⥄_x0018_＀＀_x0018_＀＀_x0008_＀＀_x0001_＀＀_x0001_＀＀＀＀＀＀＀＀쀾䶵_x001F_呒幎䍅䵟䑅偟䥒䕃呟呇、⼴㔲㈯㄰찱_x0018_＀＀_x0018_＀＀_x0008_＀＀_x0001_＀＀_x0001_＀＀＀＀＀＀＀＀䁌슱䫱G呒幎䅃偟协剔呅䍟协⡔㈱㈯〰ⰲⰬ唬䑓䀩南䡟呌䍈剁彅偎彐塅⡐㈱㈯〰ⰲⰬ唬䑓착_x0018_＀＀_x0018_＀＀_x0008_＀＀_x0001_＀＀_x0001_＀＀＀＀＀＀쀀䁔슱䫱P呒幎䅃偟协剔呅偟䅌彎十彔久⡄㈱㈯〰ⰷⰬ唬䑓䀩南䡟呌䍈剁彅噆䅟卓呅ㄨ⼲〲㜰ⰬⰬ单⥄_x0018_＀＀_x0018_＀＀_x0008_＀＀_x0001_＀＀_x0001_＀＀＀＀＀＀退䂀슰䫱$呒幎䅃偟久当䕂彎䅐䑉ㄨ⼲〲㐰ⰬⰬ单⥄_x0018_＀＀_x0018_＀＀_x0008_＀＀_x0001_＀＀_x0001_＀＀＀＀＀＀䂋슱䫱E呒幎䅃偟协剔呅䉟久佟⡂㈱㈯〰ⰳⰬ唬䑓䀩南䡟呌䍈剁彅䉐⡏㈱㈯〰ⰳⰬ唬䑓착_x0018_＀＀_x0018_＀＀_x0008_＀＀_x0001_＀＀_x0001_＀＀＀＀＀＀䂙䶵!呒幎䍅彁䕍乁䕟䥂䑔⬨ⰳ㐰㈯⼵〲ㄱ착_x0018_＀＀_x0018_＀＀_x0008_＀＀_x0001_＀＀_x0001_＀＀ﯨ͒䂬䶵_x001F_呒幎䍅彁䕍乁䕟卐⬨ⰳ㐰㈯⼵〲ㄱ착_x0018_＀＀_x0018_＀＀_x0008_＀＀_x0001_＀＀_x0001_＀＀_xFFFF_Ｖ㪯Ѳ䀙垆亨_x0018_呒幎䍅彁䕍乁䕟卐㈨㄰ⰱ⤰_x0018_＀＀_x0018_＀＀_x0008_＀＀_x0001_＀＀_x0001_＀＀俟鞍ቮ䀔슰䫱&lt;呒幎䅃偟久当佒彁䅒䕔ㄨ⼲〲㠰䀩南偟久䥓乏䕟偘䱟彔佒⡁㈱㈯〰⤸_x0018_＀＀_x0018_＀＀_x0008_＀＀_x0001_＀＀_x0001_＀＀ᑺ䞮䀡슱䫱-呒幎䅃偟协剔呅啟归剔佟彂䵁剏⡔㈱㈯〰ⰵⰬ唬䑓착_x0018_＀＀_x0018_＀＀_x0008_＀＀_x0001_＀＀_x0001_＀＀＀＀＀＀＀＀䀠슱䫱T呒幎䅃偟协剔呅偟䥒剏卟噒ㄨ⼲〲㐰ⰬⰬ单⥄址当䱈䡔䅃䕒啟剎䍅卟剅彖佃呓ㄨ⼲〲㐰ⰬⰬ单⥄_x0018_＀＀_x0018_＀＀_x0008_＀＀_x0001_＀＀_x0001_＀＀＀＀＀＀耀쁴슯䫱 呒幎南䕟䍘彈䅒䕔䉟䱁卟⡈㈱㈯〰⤸_x0018_＀＀_x0018_＀＀_x0008_＀＀_x0001_＀＀_x0001_＀＀豀碵꼝쐕슰䫱)呒幎䅃偟久当䵅彐佃呎䥒彂⡃㈱㈯〰ⰷⰬ唬䑓착_x0018_＀＀_x0018_＀＀_x0008_＀＀_x0001_＀＀_x0001_＀＀＀＀＀＀退䂔슰䫱(呒幎䅃偟久当偐彄䕂彎佃呓ㄨ⼲〲㈰ⰬⰬ单⥄_x0018_＀＀_x0018_＀＀_x0008_＀＀_x0001_＀＀_x0001_＀＀豀碵꼝쐕슰䫱_x001A_呒幎南䕟䍘彈䅒䕔〨ⰬⰬ单⥄_x0018_＀＀_x0018_＀＀_x0008_＀＀_x0001_＀＀_x0001_＀＀＀＀＀＀＀＀㿰슰䫱G呒幎䅃偟久当䕎彔佃呓ㄨ⼲〲㜰ⰬⰬ单⥄址当䕐华佉彎偎彐塅⡐㈱㈯〰ⰷⰬ唬䑓착_x0018_＀＀_x0018_＀＀_x0008_＀＀_x0001_＀＀_x0001_＀＀＀＀＀＀ꠀ䂅슰䫱H呒幎䅃偟久当义彔佃呓ㄨ⼲〲㠰ⰬⰬ单⥄址当䕐华佉彎义彔佃呓ㄨ⼲〲㠰ⰬⰬ单⥄_x0018_＀＀_x0018_＀＀_x0008_＀＀_x0001_＀＀_x0001_＀＀＀＀＀＀ꠀ䂏슰䫱$呒幎䅃偟久当呌䱟䅉卂ㄨ⼲〲㜰ⰬⰬ单⥄_x0018_＀＀_x0018_＀＀_x0008_＀＀_x0001_＀＀_x0001_＀＀＀＀＀＀ꈀ䂠슱䫱(呒幎南䡟呌䍈剁彅乕彆䕂⡎㈱㈯〰ⰴⰬ唬䑓⤩＀＀＀＀䶵_x001C_呒幎䝆䵟呋噟䱁䕕〨⼴㔲㈯㄰⤱_x0018_＀＀_x0018_＀＀_x0008_＀＀_x0001_＀＀_x0001_＀＀빷᪟ở䃑ু䯍_x001C_呒幎䍅彁䕍乁䕟䥂䑔⬨ⰳ〴㠲⤷_x0018_＀＀_x0018_＀＀_x0008_＀＀_x0001_＀＀_x0001_＀＀橿璼屓䂬슰䫱'呒幎䅃偟久当商䑎卟䅔啔⡓㈱㈯〰ⰵⰬ唬䑓착_x0018_＀＀_x0018_＀＀_x0008_＀＀_x0001_＀＀_x0001_＀＀＀＀＀＀Ⰰ䂕슰䫱(呒幎䅃偟久当偐彄䕂彎佃呓ㄨ⼲〲㠰ⰬⰬ单⥄_x0018_＀＀_x0018_＀＀_x0008_＀＀_x0001_＀＀_x0001_＀＀豀碵꼝쐕宾亨_x0018_呒幎䍅彁䥆䍓䱁奟䅅⡒㌫⤬_x0018_＀＀_x0018_＀＀_x0008_＀＀_x0001_＀＀_x0008_＀＀㈱㈯㄰3슰䫱J呒幎䅃偟久当䱐乁䅟呓ㄨ⼲〲㘰ⰬⰬ单⥄址当䕐华佉彎䅖彌十䕓協ㄨ⼲〲㘰ⰬⰬ单⥄_x0018_＀＀_x0018_＀＀_x0008_＀＀_x0001_＀＀_x0001_＀＀＀＀＀＀㤀䃊슰䫱N呒幎䅃偟久当乕䕒佃⡇㈱㈯〰ⰷⰬ唬䑓䀩南偟久䥓乏啟剎䍅卟剅彖佃呓ㄨ⼲〲㜰ⰬⰬ单⥄_x0018_＀＀_x0018_＀＀_x0008_＀＀_x0001_＀＀_x0001_＀＀＀＀＀＀䀀䁛슱䫱J呒幎䅃偟协剔呅剟䅏䅟呃ㄨ⼲〲㌰ⰬⰬ单⥄址当䱈䡔䅃䕒䅟呃剟䅏ㄨ⼲〲㌰ⰬⰬ单⥄_x0018_＀＀_x0018_＀＀_x0008_＀＀_x0001_＀＀_x0001_＀＀＀＀＀＀＀＀䀹ু䯍_x001C_呒幎䍅彁䕍乁卟䱁卅⬨ⰲ〴㠲⤷_x0018_＀＀_x0018_＀＀_x0008_＀＀_x0001_＀＀_x0001_＀＀⣶轜錢䃚슰䫱C呒幎䅃偟久当剐䩏佟䱂ㄨ⼲〲㌰ⰬⰬ单⥄址当䕐华佉彎䉐⡏㈱㈯〰ⰳⰬ唬䑓착_x0018_＀＀_x0018_＀＀_x0008_＀＀_x0001_＀＀_x0001_＀＀＀＀＀＀尀䃊슱䫱M呒幎䅃偟协剔呅卟噒䍟协⡔㈱㈯〰ⰳⰬ唬䑓䀩南䡟呌䍈剁彅䕓噒䍟协⡔㈱㈯〰ⰳⰬ唬䑓착_x0018_＀＀_x0018_＀＀_x0008_＀＀_x0001_＀＀_x0001_＀＀＀＀＀＀＀＀䀮ꖤ严!呒幎䍅彁䕍乁䕟䥂䑔⬨ⰱ㜰ㄯ⼹〲ㄱ착_x0018_＀＀_x0018_＀＀_x0008_＀＀_x0001_＀＀_x0001_＀＀_xD917_䂨슰䫱J呒幎䅃偟久当䥄䍓剟呁⡅㈱㈯〰ⰵⰬ唬䑓䀩南偟久䥓乏䑟卉彃䅒䕔ㄨ⼲〲㔰ⰬⰬ单⥄_x0018_＀＀_x0018_＀＀_x0008_＀＀_x0001_＀＀_x0001_＀＀ꏗ㵰휊䀖슰䫱'呒幎南偟久䥓乏也呅䱟䅉⡂㈱㈯〰ⰲⰬ唬䑓착_x0018_＀＀_x0018_＀＀_x0008_＀＀_x0001_＀＀_x0001_＀＀豀碵꼝쐕슰䫱Q呒幎䅃偟久当䍁啃彍佃偍䥒䍎ㄨ⼲〲㌰ⰬⰬ单⥄址当佃偍归义彃䕐华䱟䅉⡂㈱㈯〰ⰳⰬ唬䑓착_x0018_＀＀_x0018_＀＀_x0008_＀＀_x0001_＀＀_x0001_＀＀＀＀＀＀혀䂪샤䫥_x0017_䑇䕞䅃䵟䅅彎偅⡓〲〱〬착_x0018_＀＀_x0018_＀＀_x0008_＀＀_x0001_＀＀_x0001_＀＀뫝ꞛ䀙슱䫱F呒幎䅃偟协剔呅剟䅏ㄨ⼲〲㌰ⰬⰬ单⥄址当䱈䡔䅃䕒䕟偘剟䅏ㄨ⼲〲㌰ⰬⰬ单⥄_x0018_＀＀_x0018_＀＀_x0008_＀＀_x0001_＀＀_x0001_＀＀＀＀＀＀＀＀쀺슱䫱'呒幎䅃偟协剔呅䉟久偟䥁⡄㈱㈯〰ⰶⰬ唬䑓착_x0018_＀＀_x0018_＀＀_x0008_＀＀_x0001_＀＀_x0001_＀＀＀＀＀＀䀀䁟슰䫱I呒幎䅃偟久当剓彖佃呓ㄨ⼲〲㈰ⰬⰬ单⥄址当䕐华佉彎䕓噒䍟协⡔㈱㈯〰ⰲⰬ唬䑓착_x0018_＀＀_x0018_＀＀_x0008_＀＀_x0001_＀＀_x0001_＀＀＀＀＀＀怀䁱슰䫱C呒幎䅃偟久当剐䩏佟䱂ㄨ⼲〲㈰ⰬⰬ单⥄址当䕐华佉彎䉐⡏㈱㈯〰ⰲⰬ唬䑓착_x0018_＀＀_x0018_＀＀_x0008_＀＀_x0001_＀＀_x0001_＀＀＀＀＀＀斀䃇슰䫱Q呒幎䅃偟久当䍁啃彍佃偍䥒䍎ㄨ⼲〲㠰ⰬⰬ单⥄址当佃偍归义彃䕐华䱟䅉⡂㈱㈯〰ⰸⰬ唬䑓착_x0018_＀＀_x0018_＀＀_x0008_＀＀_x0001_＀＀_x0001_＀＀＀＀＀＀̀살슱䫱)呒幎䅃偟协剔呅佟䡔䑁彊䉎⡁㈱㈯〰ⰵⰬ唬䑓착_x0018_＀＀_x0018_＀＀_x0008_＀＀_x0001_＀＀_x0001_＀＀＀＀＀＀　䁽ꖤ严!呒幎䍅彁䕍乁卟䱁卅⬨ⰳ㜰ㄯ⼹〲ㄱ착_x0018_＀＀_x0018_＀＀_x0008_＀＀_x0001_＀＀_x0001_＀＀롒蔞࿛䃚슰䫱)呒幎南偟久䥓乏噟䱁䅟卓呅⡓㈱㈯〰ⰷⰬ唬䑓착_x0018_＀＀_x0018_＀＀_x0008_＀＀_x0001_＀＀_x0001_＀＀＀＀＀＀꺀䃌슰䫱'呒幎南偟久偟协彔䕒彔䕂⡎㈱㈯〰ⰸⰬ唬䑓착_x0018_＀＀_x0018_＀＀_x0008_＀＀_x0001_＀＀_x0001_＀＀豀碵꼝쐕슯䫱&lt;呒幎南偟久䥓乏䅟卓呅当佂䑎⡓㈱㈯〰⤳䍀彁䕐华偟呃䙟⡉㈱㈯〰⤳_x0018_＀＀_x0018_＀＀_x0008_＀＀_x0001_＀＀_x0001_＀＀＀＀＀＀＀＀䀺슰䫱 呒幎南䕟䍘彈䅒䕔ㄨ⼲〲㌰ⰬⰬ单⥄_x0018_＀＀_x0018_＀＀_x0008_＀＀_x0001_＀＀_x0001_＀＀＀＀＀＀＀＀㿰슰䫱C呒幎䅃偟久当剐䩏佟䱂ㄨ⼲〲㄰ⰬⰬ单⥄址当䕐华佉彎䉐⡏㈱㈯〰ⰱⰬ唬䑓착_x0018_＀＀_x0018_＀＀_x0008_＀＀_x0001_＀＀_x0001_＀＀＀＀＀＀톀䃅슰䫱&amp;呒幎䅃偟久当十彔义䅔䝎ㄨ⼲〲㌰ⰬⰬ单⥄_x0018_＀＀_x0018_＀＀_x0008_＀＀_x0001_＀＀_x0001_＀＀＀＀＀＀䁨슰䫱'呒幎南偟久䥓乏也呅䱟䅉⡂㈱㈯〰ⰸⰬ唬䑓착_x0018_＀＀_x0018_＀＀_x0008_＀＀_x0001_＀＀_x0001_＀＀豀碵꼝쐕슰䫱J呒幎䅃偟久当佒彁䅒䕔ㄨ⼲〲㐰ⰬⰬ单⥄址当䕐华佉彎塅彐呌剟䅏ㄨ⼲〲㐰ⰬⰬ单⥄_x0018_＀＀_x0018_＀＀_x0008_＀＀_x0001_＀＀_x0001_＀＀ꏗ㵰圊䀡슰䫱%呒幎䅃偟久当呌䅟卓呅⡓㈱㈯〰ⰵⰬ唬䑓착_x0018_＀＀_x0018_＀＀_x0008_＀＀_x0001_＀＀_x0001_＀＀豀碵꼝쐕슰䫱"呒幎南偟久䥓乏偟佂ㄨ⼲〲㜰ⰬⰬ单⥄_x0018_＀＀_x0018_＀＀_x0008_＀＀_x0001_＀＀_x0001_＀＀＀＀＀＀퀀䃏ꍁ䲼_x0017_䵌幔䝆偟䥒䕃 ⼶〳㈯㄰찰_x0018_＀＀_x0018_＀＀_x0008_＀＀_x0001_＀＀_x0001_＀＀＀＀＀＀ꀀ䁒슰䫱(呒幎䅃偟久当䅐呒䍟乏剔䉉ㄨ⼲〲㜰ⰬⰬ单⥄_x0018_＀＀_x0018_＀＀_x0008_＀＀_x0001_＀＀_x0001_＀＀＀＀＀＀＀＀䀸슰䫱N呒幎䅃偟久当乕䕒佃⡇㈱㈯〰ⰶⰬ唬䑓䀩南偟久䥓乏啟剎䍅卟剅彖佃呓ㄨ⼲〲㘰ⰬⰬ单⥄_x0018_＀＀_x0018_＀＀_x0008_＀＀_x0001_＀＀_x0001_＀＀＀＀＀＀䀀䁛슰䫱%呒幎䅃偟久当佃偍剟呁⡅㈱㈯〰ⰴⰬ唬䑓착_x0018_＀＀_x0018_＀＀_x0008_＀＀_x0001_＀＀_x0001_＀＀⣶轜䀑ু䯍_x001A_呒幎䍅彁䕍乁䕟卐⬨ⰲ〴㠲⤷_x0018_＀＀_x0018_＀＀_x0008_＀＀_x0001_＀＀_x0001_＀＀龾⼚ᓝ䀕슰䫱H呒幎䅃偟久当义彔佃呓ㄨ⼲〲㜰ⰬⰬ单⥄址当䕐华佉彎义彔佃呓ㄨ⼲〲㜰ⰬⰬ单⥄_x0018_＀＀_x0018_＀＀_x0008_＀＀_x0001_＀＀_x0001_＀＀＀＀＀＀렀䂍슱䫱＀Ｏ呒幎南䡟呌䍈剁彅䵁剏彔䕓噒䍟协⡔㈱㈯〰ⰳⰬ唬䑓착_x0018_＀＀_x0018_＀＀_x0008_＀＀_x0001_＀＀_x0001_＀＀＀＀＀＀耀쁆䶵!呒幎䍅彁䕍乁䕟䥂䑔⬨ⰱ㐰㈯⼵〲ㄱ착_x0018_＀＀_x0018_＀＀_x0008_＀＀_x0001_＀＀_x0001_＀＀譄烻䂩슱䫱E呒幎䅃偟协剔呅䉟久佟⡂㈱㈯〰ⰴⰬ唬䑓䀩南䡟呌䍈剁彅䉐⡏㈱㈯〰ⰴⰬ唬䑓착_x0018_＀＀_x0018_＀＀_x0008_＀＀_x0001_＀＀_x0001_＀＀＀＀＀＀Ѐ䂕宿亨_x0017_呒幎䝆偟䥒䕃㄁⼰㘲㈯㄰찱_x0018_＀＀_x0018_＀＀_x0008_＀＀_x0001_＀＀_x0001_＀＀凬Ẹ殅䁅宿亨 呒幎䍅彁䕍乁䕟䥂⡔㈫ㄬ⼰㘲㈯㄰⤱_x0018_＀＀_x0018_＀＀_x0008_＀＀_x0001_＀＀_x0001_＀＀ꧻዱ䂧䶵!呒幎䍅彁䕍乁卟䱁卅⬨ⰳ㐰㈯⼵〲ㄱ착_x0018_＀＀_x0018_＀＀_x0008_＀＀_x0001_＀＀_x0001_＀＀蔟凫퐸䃙슱䫱*呒幎南䡟呌䍈剁彅塅彐呌剟䅏ㄨ⼲〲㘰ⰬⰬ单⥄_x0018_＀＀_x0018_＀＀_x0008_＀＀_x0001_＀＀_x0001_＀＀＀＀＀＀耀䀡슱䫱M呒幎䅃偟协剔呅卟噒䍟协⡔㈱㈯〰ⰶⰬ唬䑓䀩南䡟呌䍈剁彅䕓噒䍟协⡔㈱㈯〰ⰶⰬ唬䑓착_x0018_＀＀_x0018_＀＀_x0008_＀＀_x0001_＀＀_x0001_＀＀＀＀＀＀＀＀䀬슱䫱,呒幎䅃偟协剔呅䕟偍䍟乏剔䉉䍟ㄨ⼲〲㔰ⰬⰬ单⥄_x0018_＀＀_x0018_＀＀_x0008_＀＀_x0001_＀＀_x0001_＀＀＀＀＀＀䀀䁘磫䯐_x0013_呒幎䝆䕟呎噟䱁䕕〨착_x0018_＀＀_x0018_＀＀_x0008_＀＀_x0001_＀＀_x0001_＀＀扎堐ӱ䃖슯䫱&lt;呒幎南偟久䥓乏䅟卓呅当佂䑎⡓㈱㈯〰⤸䍀彁䕐华偟呃䙟⡉㈱㈯〰⤸_x0018_＀＀_x0018_＀＀_x0008_＀＀_x0001_＀＀_x0001_＀＀＀＀＀＀耀䁃슱䫱J呒幎䅃偟协剔呅剟䅏䅟呃ㄨ⼲〲㈰ⰬⰬ单⥄址当䱈䡔䅃䕒䅟呃剟䅏ㄨ⼲〲㈰ⰬⰬ单⥄_x0018_＀＀_x0018_＀＀_x0008_＀＀_x0001_＀＀_x0001_＀＀＀＀＀＀＀＀쀶ু䯍_x001B_呒幎䍅彁䕍乁䕟䥂⡔ㄫ㐬㈰㜸착_x0018_＀＀_x0018_＀＀_x0008_＀＀_x0001_＀＀_x0001_＀＀竡긔먇䂦ꖤ严_x001F_呒幎䍅彁䕍乁䕟卐⬨ⰱ㜰ㄯ⼹〲ㄱ착_x0018_＀＀_x0018_＀＀_x0008_＀＀_x0001_＀＀_x0001_＀＀멉ꛍ䀓슱䫱L呒幎䅃偟协剔呅䥟呎䍟协⡔㈱㈯〰ⰶⰬ唬䑓䀩南䡟呌䍈剁彅义彔佃呓ㄨ⼲〲㘰ⰬⰬ单⥄_x0018_＀＀_x0018_＀＀_x0008_＀＀_x0001_＀＀_x0001_＀＀＀＀＀＀䀀䁐슰䫱)呒幎䅃偟久当䵅彐佃呎䥒彂⡃㈱㈯〰ⰲⰬ唬䑓착_x0018_＀＀_x0018_＀＀_x0008_＀＀_x0001_＀＀_x0001_＀＀＀＀＀＀耀䁈슰䫱&lt;呒幎䅃偟久当䥄䍓剟呁⡅㈱㈯〰⤸址当䕐华佉彎䥄䍓剟呁⡅㈱㈯〰⤸_x0018_＀＀_x0018_＀＀_x0008_＀＀_x0001_＀＀_x0001_＀＀＀＀＀＀＀＀䀚슱䫱F呒幎䅃偟协剔呅剟䅏ㄨ⼲〲㈰ⰬⰬ单⥄址当䱈䡔䅃䕒䕟偘剟䅏ㄨ⼲〲㈰ⰬⰬ单⥄_x0018_＀＀_x0018_＀＀_x0008_＀＀_x0001_＀＀_x0001_＀＀＀＀＀＀＀＀쀾ꍁ䲼_x0017_䵌幔䝆偟䥒䕃 ⼴㔱㈯㄰찰_x0018_＀＀_x0018_＀＀_x0008_＀＀_x0001_＀＀_x0001_＀＀䞮竡츔䁔슯䫱;呒幎南偟久䥓乏䅟卓呅当呏⡈㈱㈯〰⤸䍀彁䕐华偟呃佟䡔ㄨ⼲〲㠰착_x0018_＀＀_x0018_＀＀_x0008_＀＀_x0001_＀＀_x0001_＀＀＀＀＀＀＀＀䀵슱䫱T呒幎䅃偟协剔呅偟䥒剏卟噒ㄨ⼲〲㘰ⰬⰬ单⥄址当䱈䡔䅃䕒啟剎䍅卟剅彖佃呓ㄨ⼲〲㘰ⰬⰬ单⥄_x0018_＀＀_x0018_＀＀_x0008_＀＀_x0001_＀＀_x0001_＀＀＀＀＀＀쁫슰䫱$呒幎䅃偟久当䕂彎䅐䑉ㄨ⼲〲㔰ⰬⰬ单⥄_x0018_＀＀_x0018_＀＀_x0008_＀＀_x0001_＀＀_x0001_＀＀＀＀＀＀렀䂋슰䫱J呒幎䅃偟久当佒彁䅒䕔ㄨ⼲〲㜰ⰬⰬ单⥄址当䕐华佉彎塅彐呌剟䅏ㄨ⼲〲㜰ⰬⰬ单⥄_x0018_＀＀_x0018_＀＀_x0008_＀＀_x0001_＀＀_x0001_＀＀ᑺ䞮䀡슱䫱P呒幎䅃偟协剔呅偟䅌彎十彔久⡄㈱㈯〰ⰶⰬ唬䑓䀩南䡟呌䍈剁彅噆䅟卓呅ㄨ⼲〲㘰ⰬⰬ单⥄_x0018_＀＀_x0018_＀＀_x0008_＀＀_x0001_＀＀_x0001_＀＀＀＀＀＀ࠀ䂀䯐_x0017_呒幎䝆偟䥒䕃 ⼴㈲㈯㄰찰_x0018_＀＀_x0018_＀＀_x0008_＀＀_x0001_＀＀_x0001_＀＀롑씞䁍슱䫱-呒幎䅃偟协剔呅啟归剔佟彂䵁剏⡔㈱㈯〰ⰶⰬ唬䑓착_x0018_＀＀_x0018_＀＀_x0008_＀＀_x0001_＀＀_x0001_＀＀＀＀＀＀＀＀䀠슰䫱)呒幎䅃偟久当䵅彐佃呎䥒彂⡃㈱㈯〰ⰸⰬ唬䑓착_x0018_＀＀_x0018_＀＀_x0008_＀＀_x0001_＀＀_x0001_＀＀＀＀＀＀堀䂒帶亨_x000B_䑇䙞彇剐䍉책_x0018_＀＀_x0018_＀＀_x0008_＀＀_x0001_＀＀_x0001_＀＀晦晦٦䁐磫䯐_x001C_呒幎䍅彁䕍乁卟䱁卅⬨ⰳ〴㤲⤰_x0018_＀＀_x0018_＀＀_x0008_＀＀_x0001_＀＀_x0001_＀＀쳍쳌列䃚슰䫱(呒幎南偟久䥓乏䅟卓呅当呌ㄨ⼲〲㜰ⰬⰬ单⥄_x0018_＀＀_x0018_＀＀_x0008_＀＀_x0001_＀＀_x0001_＀＀＀＀＀＀䠀䂃䯐_x0017_呒幎䝆偟䥒䕃 ⼶〳㈯〰찷_x0018_＀＀_x0018_＀＀_x0008_＀＀_x0001_＀＀_x0001_＀＀롒蔞䁊슱䫱(呒幎南䡟呌䍈剁彅乕彆䕂⡎㈱㈯〰ⰷⰬ唬䑓⤩＀＀＀＀䯐_x0017_呒幎䝆偟䥒䕃 ⼶〳㈯〰참_x0018_＀＀_x0018_＀＀_x0008_＀＀_x0001_＀＀_x0001_＀＀炤਽⏗䁌䶵_x001F_呒幎䍅彁䕍乁䕟卐⬨ⰱ㐰㈯⼵〲ㄱ착_x0018_＀＀_x0018_＀＀_x0008_＀＀_x0001_＀＀_x0001_＀＀蕑쌿䀓슯䫱;呒幎南偟久䥓乏䅟卓呅当剐偏ㄨ⼲〲㠰䀩䅃偟久当䍐彔䕒ㄨ⼲〲㠰착_x0018_＀＀_x0018_＀＀_x0008_＀＀_x0001_＀＀_x0001_＀＀＀＀＀＀＀＀䀈슰䫱H呒幎䅃偟久当义彔佃呓ㄨ⼲〲㘰ⰬⰬ单⥄址当䕐华佉彎义彔佃呓ㄨ⼲〲㘰ⰬⰬ单⥄_x0018_＀＀_x0018_＀＀_x0008_＀＀_x0001_＀＀_x0001_＀＀＀＀＀＀頀䂋䯐_x0017_呒幎䝆偟䥒䕃 ⼶〳㈯〰찹_x0018_＀＀_x0018_＀＀_x0008_＀＀_x0001_＀＀_x0001_＀＀ꏗ㵰㜊䁆翨丰 呒幎䍅彁䕍乁䕟䥂⡔㈫〬⼷㜲㈯㄰⤱_x0018_＀＀_x0018_＀＀_x0008_＀＀_x0001_＀＀_x0001_＀＀譄䒻䂧슰䫱'呒幎䅃偟久当商䑎卟䅔啔⡓㈱㈯〰ⰶⰬ唬䑓착_x0018_＀＀_x0018_＀＀_x0008_＀＀_x0001_＀＀_x0001_＀＀＀＀＀＀혀삥슰䫱I呒幎䅃偟久当剓彖佃呓ㄨ⼲〲㠰ⰬⰬ单⥄址当䕐华佉彎䕓噒䍟协⡔㈱㈯〰ⰸⰬ唬䑓착_x0018_＀＀_x0018_＀＀_x0008_＀＀_x0001_＀＀_x0001_＀＀＀＀＀＀쀀䁸宿亨!呒幎䍅彁䕍乁䕟䥂䑔⬨ⰳ〱㈯⼶〲ㄱ착_x0018_＀＀_x0018_＀＀_x0008_＀＀_x0001_＀＀_x0001_＀＀糮㔿蔞䂫䶵_x0017_呒幎䝆偟䥒䕃、⼴㔲㈯㄰찱_x0018_＀＀_x0018_＀＀_x0008_＀＀_x0001_＀＀_x0001_＀＀蔟凫庸䁈슰䫱%呒幎䅃偟久当啃归䥌䉁⡓㈱㈯〰ⰷⰬ唬䑓착_x0018_＀＀_x0018_＀＀_x0008_＀＀_x0001_＀＀_x0001_＀＀＀＀＀＀＀＀䁃슱䫱#呒幎䅃偟协剔呅䱟䅉⡂㈱㈯〰ⰵⰬ唬䑓착_x0018_＀＀_x0018_＀＀_x0008_＀＀_x0001_＀＀_x0001_＀＀＀＀＀＀삁슱䫱)呒幎南䡟呌䍈剁彅䥄䍓剟呁⡅㈱㈯〰ⰵⰬ唬䑓착_x0018_＀＀_x0018_＀＀_x0008_＀＀_x0001_＀＀_x0001_＀＀＀＀＀＀＀＀䀗ু䯍_x001C_呒幎䍅彁䕍乁䕟䥂䑔⬨ⰱ〴㠲⤷_x0018_＀＀_x0018_＀＀_x0008_＀＀_x0001_＀＀_x0001_＀＀堑됹ڈ䂪슯䫱;呒幎南偟久䥓乏䅟卓呅当呏⡈㈱㈯〰⤳䍀彁䕐华偟呃佟䡔ㄨ⼲〲㌰착_x0018_＀＀_x0018_＀＀_x0008_＀＀_x0001_＀＀_x0001_＀＀＀＀＀＀＀＀䀐슱䫱+呒幎䅃偟协剔呅偟剁彔佃呎䥒⡂㈱㈯〰ⰶⰬ唬䑓착_x0018_＀＀_x0018_＀＀_x0008_＀＀_x0001_＀＀_x0001_＀＀＀＀＀＀耀䁉슰䫱F呒幎䅃偟久当佒彁䍁⡔㈱㈯〰ⰲⰬ唬䑓䀩南偟久䥓乏䅟呃剟䅏ㄨ⼲〲㈰ⰬⰬ单⥄_x0018_＀＀_x0018_＀＀_x0008_＀＀_x0001_＀＀_x0001_＀＀＀＀＀＀耀쁾ꍁ䲼_x0017_䵌幔䝆偟䥒䕃㄁⼰㠱㈯㄰찰_x0018_＀＀_x0018_＀＀_x0008_＀＀_x0001_＀＀_x0001_＀＀齖궫菘䁑슯䫱;呒幎南偟久䥓乏䅟卓呅当剐偏ㄨ⼲〲㌰䀩䅃偟久当䍐彔䕒ㄨ⼲〲㌰착_x0018_＀＀_x0018_＀＀_x0008_＀＀_x0001_＀＀_x0001_＀＀＀＀＀＀＀＀䀈슰䫱)呒幎南偟久䥓乏噟䱁䅟卓呅⡓㈱㈯〰ⰲⰬ唬䑓착_x0018_＀＀_x0018_＀＀_x0008_＀＀_x0001_＀＀_x0001_＀＀＀＀＀＀힀䃁슰䫱F呒幎䅃偟久当佒彁䍁⡔㈱㈯〰ⰵⰬ唬䑓䀩南偟久䥓乏䅟呃剟䅏ㄨ⼲〲㔰ⰬⰬ单⥄_x0018_＀＀_x0018_＀＀_x0008_＀＀_x0001_＀＀_x0001_＀＀＀＀＀＀退䂘슰䫱'呒幎南偟久偟协彔䕒彔䕂⡎㈱㈯〰ⰳⰬ唬䑓착_x0018_＀＀_x0018_＀＀_x0008_＀＀_x0001_＀＀_x0001_＀＀＀＀＀＀ꈀ䂩磫䯐_x001A_呒幎䍅彁䕍乁䕟卐⬨ⰳ〴㤲⤰_x0018_＀＀_x0018_＀＀_x0008_＀＀_x0001_＀＀_x0001_＀＀僟泸_xDC1D_䀖宿亨_x001C_呒幎䝆䵟呋噟䱁䕕ㄨ⼰㘲㈯㄰⤱_x0018_＀＀_x0018_＀＀_x0008_＀＀_x0001_＀＀_x0001_＀＀_xD917_陣䃍슯䫱;呒幎南偟久䥓乏䅟卓呅当充䥕ㄨ⼲〲㐰䀩䅃偟久当䍐彔充ㄨ⼲〲㐰착_x0018_＀＀_x0018_＀＀_x0008_＀＀_x0001_＀＀_x0001_＀＀＀＀＀＀＀＀䁑슰䫱N呒幎䅃偟久当乕䕒佃⡇㈱㈯〰ⰵⰬ唬䑓䀩南偟久䥓乏啟剎䍅卟剅彖佃呓ㄨ⼲〲㔰ⰬⰬ单⥄_x0018_＀＀_x0018_＀＀_x0008_＀＀_x0001_＀＀_x0001_＀＀＀＀＀＀쀀䁢슰䫱"呒幎南偟久䥓乏偟佂ㄨ⼲〲㈰ⰬⰬ单⥄_x0018_＀＀_x0018_＀＀_x0008_＀＀_x0001_＀＀_x0001_＀＀＀＀＀＀斀䃇슰䫱$呒幎䅃偟久当呌䱟䅉卂ㄨ⼲〲㈰ⰬⰬ单⥄_x0018_＀＀_x0018_＀＀_x0008_＀＀_x0001_＀＀_x0001_＀＀豀碵꼝쐕슰䫱(呒幎䅃偟久当䅐呒䍟乏剔䉉ㄨ⼲〲㈰ⰬⰬ单⥄_x0018_＀＀_x0018_＀＀_x0008_＀＀_x0001_＀＀_x0001_＀＀＀＀＀＀＀＀䀻슰䫱J呒幎䅃偟久当䥄䍓剟呁⡅㈱㈯〰ⰴⰬ唬䑓䀩南偟久䥓乏䑟卉彃䅒䕔ㄨ⼲〲㐰ⰬⰬ单⥄_x0018_＀＀_x0018_＀＀_x0008_＀＀_x0001_＀＀_x0001_＀＀⣶轜䀖슰䫱J呒幎䅃偟久当䱐乁䅟呓ㄨ⼲〲㈰ⰬⰬ单⥄址当䕐华佉彎䅖彌十䕓協ㄨ⼲〲㈰ⰬⰬ单⥄_x0018_＀＀_x0018_＀＀_x0008_＀＀_x0001_＀＀_x0001_＀＀＀＀＀＀힀䃁슰䫱)呒幎南偟久䥓乏噟䱁䅟卓呅⡓㈱㈯〰ⰸⰬ唬䑓착_x0018_＀＀_x0018_＀＀_x0008_＀＀_x0001_＀＀_x0001_＀＀＀＀＀＀䶀䃅ꍁ䲼_x0017_呒幎䝆偟䥒䕃 ⼶〳㈯㄰찰_x0018_＀＀_x0018_＀＀_x0008_＀＀_x0001_＀＀_x0001_＀＀롒蔞㇫䁈슰䫱 呒幎南䕟䍘彈䅒䕔ㄨ⼲〲㐰ⰬⰬ单⥄_x0018_＀＀_x0018_＀＀_x0008_＀＀_x0001_＀＀_x0001_＀＀＀＀＀＀＀＀㿰슰䫱(呒幎䅃偟久当偐彄䕂彎佃呓ㄨ⼲〲㌰ⰬⰬ单⥄_x0018_＀＀_x0018_＀＀_x0008_＀＀_x0001_＀＀_x0001_＀＀＀＀＀＀䂄샤䫥_x0017_䑇䕞䅃䵟䅅彎偅⡓〲㤰〬착_x0018_＀＀_x0018_＀＀_x0008_＀＀_x0001_＀＀_x0001_＀＀ᙄ쀝䀘슰䫱"呒幎南偟久䥓乏偟佂ㄨ⼲〲㠰ⰬⰬ单⥄_x0018_＀＀_x0018_＀＀_x0008_＀＀_x0001_＀＀_x0001_＀＀＀＀＀＀䃏磫䯐_x001B_呒幎䍅彁䕍乁䕟䥂⡔㈫㐬㈰〹착_x0018_＀＀_x0018_＀＀_x0008_＀＀_x0001_＀＀_x0001_＀＀쳍쳌賌䂧슯䫱_x001A_呒幎南䕟䍘彈䅒䕔䉟䱁卟⡈⤰_x0018_＀＀_x0018_＀＀_x0008_＀＀_x0001_＀＀_x0001_＀＀豀碵꼝쐕슰䫱$呒幎䅃偟久当呌䱟䅉卂ㄨ⼲〲㠰ⰬⰬ单⥄_x0018_＀＀_x0018_＀＀_x0008_＀＀_x0001_＀＀_x0001_＀＀＀＀＀＀帀䂵슰䫱(呒幎䅃偟久当䅐呒䍟乏剔䉉ㄨ⼲〲㠰ⰬⰬ单⥄_x0018_＀＀_x0018_＀＀_x0008_＀＀_x0001_＀＀_x0001_＀＀＀＀＀＀＀＀䀸ꖤ严!呒幎䍅彁䕍乁卟䱁卅⬨ⰱ㜰ㄯ⼹〲ㄱ착_x0018_＀＀_x0018_＀＀_x0008_＀＀_x0001_＀＀_x0001_＀＀롑扞䃙翨丰!呒幎䍅彁䕍乁䕟䥂䑔⬨ⰳ㜰㈯⼷〲ㄱ착_x0018_＀＀_x0018_＀＀_x0008_＀＀_x0001_＀＀_x0001_＀＀⛪࠱ᨬ䂬슰䫱%呒幎䅃偟久当佃偍剟呁⡅㈱㈯〰ⰵⰬ唬䑓착_x0018_＀＀_x0018_＀＀_x0008_＀＀_x0001_＀＀_x0001_＀＀凬Ẹ䀑슰䫱H呒幎䅃偟久当义彔佃呓ㄨ⼲〲㔰ⰬⰬ单⥄址当䕐华佉彎义彔佃呓ㄨ⼲〲㔰ⰬⰬ单⥄_x0018_＀＀_x0018_＀＀_x0008_＀＀_x0001_＀＀_x0001_＀＀＀＀＀＀䂉宿亨_x001F_呒幎䍅彁䕍乁䕟卐⬨ⰳ〱㈯⼶〲ㄱ착_x0018_＀＀_x0018_＀＀_x0008_＀＀_x0001_＀＀_x0001_＀＀幯⢜䀘磫䯐_x001C_呒幎䍅彁䕍乁卟䱁卅⬨ⰱ〴㤲⤰_x0018_＀＀_x0018_＀＀_x0008_＀＀_x0001_＀＀_x0001_＀＀휊炣꯽䃙슱䫱,呒幎䅃偟协剔呅䕟偍䍟乏剔䉉䍟ㄨ⼲〲㘰ⰬⰬ单⥄_x0018_＀＀_x0018_＀＀_x0008_＀＀_x0001_＀＀_x0001_＀＀＀＀＀＀耀䁏슰䫱B呒幎䅃偟久当佒⡁㈱㈯〰ⰴⰬ唬䑓䀩南偟久䥓乏䕟偘剟䅏ㄨ⼲〲㐰ⰬⰬ单⥄_x0018_＀＀_x0018_＀＀_x0008_＀＀_x0001_＀＀_x0001_＀＀＀＀＀＀삊翧丰_x001C_呒幎䝆䵟呋噟䱁䕕〨⼷㜲㈯㄰⤱_x0018_＀＀_x0018_＀＀_x0008_＀＀_x0001_＀＀_x0001_＀＀桳䩼䃏슱䫱T呒幎䅃偟协剔呅偟䥒剏卟噒ㄨ⼲〲㠰ⰬⰬ单⥄址当䱈䡔䅃䕒啟剎䍅卟剅彖佃呓ㄨ⼲〲㠰ⰬⰬ单⥄_x0018_＀＀_x0018_＀＀_x0008_＀＀_x0001_＀＀_x0001_＀＀＀＀＀＀耀쁝슰䫱F呒幎䅃偟久当佒彁䍁⡔㈱㈯〰ⰸⰬ唬䑓䀩南偟久䥓乏䅟呃剟䅏ㄨ⼲〲㠰ⰬⰬ单⥄_x0018_＀＀_x0018_＀＀_x0008_＀＀_x0001_＀＀_x0001_＀＀＀＀＀＀밀사슰䫱'呒幎南偟久䥓乏也呅䱟䅉⡂㈱㈯〰ⰳⰬ唬䑓착_x0018_＀＀_x0018_＀＀_x0008_＀＀_x0001_＀＀_x0001_＀＀豀碵꼝쐕슱䫱E呒幎䅃偟协剔呅䉟久佟⡂㈱㈯〰ⰵⰬ唬䑓䀩南䡟呌䍈剁彅䉐⡏㈱㈯〰ⰵⰬ唬䑓착_x0018_＀＀_x0018_＀＀_x0008_＀＀_x0001_＀＀_x0001_＀＀＀＀＀＀䠀䂓ꍁ䲼_x0017_呒幎䝆偟䥒䕃 ⼴㔱㈯㄰찰_x0018_＀＀_x0018_＀＀_x0008_＀＀_x0001_＀＀_x0001_＀＀竡긔慇䁍슱䫱'呒幎䅃偟协剔呅䉟久偟䥁⡄㈱㈯〰ⰷⰬ唬䑓착_x0018_＀＀_x0018_＀＀_x0008_＀＀_x0001_＀＀_x0001_＀＀＀＀＀＀＀＀䁜䶵!呒幎䍅彁䕍乁卟䱁卅⬨ⰱ㐰㈯⼵〲ㄱ착_x0018_＀＀_x0018_＀＀_x0008_＀＀_x0001_＀＀_x0001_＀＀轜欨䃙슰䫱)呒幎䅃偟久当䵅彐佃呎䥒彂⡃㈱㈯〰ⰳⰬ唬䑓착_x0018_＀＀_x0018_＀＀_x0008_＀＀_x0001_＀＀_x0001_＀＀＀＀＀＀䀀䁑슱䫱)呒幎䅃偟协剔呅佟䡔䑁彊䉎⡁㈱㈯〰ⰶⰬ唬䑓착_x0018_＀＀_x0018_＀＀_x0008_＀＀_x0001_＀＀_x0001_＀＀＀＀＀＀쀀䁩슰䫱(呒幎南偟久䥓乏䅟卓呅当呌ㄨ⼲〲㈰ⰬⰬ单⥄_x0018_＀＀_x0018_＀＀_x0008_＀＀_x0001_＀＀_x0001_＀＀豀碵꼝쐕슰䫱Q呒幎䅃偟久当䍁啃彍佃偍䥒䍎ㄨ⼲〲㘰ⰬⰬ单⥄址当佃偍归义彃䕐华䱟䅉⡂㈱㈯〰ⰶⰬ唬䑓착_x0018_＀＀_x0018_＀＀_x0008_＀＀_x0001_＀＀_x0001_＀＀＀＀＀＀帀삤슱䫱L呒幎䅃偟协剔呅䥟呎䍟协⡔㈱㈯〰ⰵⰬ唬䑓䀩南䡟呌䍈剁彅义彔佃呓ㄨ⼲〲㔰ⰬⰬ单⥄_x0018_＀＀_x0018_＀＀_x0008_＀＀_x0001_＀＀_x0001_＀＀＀＀＀＀耀䁒슰䫱&amp;呒幎䅃偟久当十彔义䅔䝎ㄨ⼲〲㐰ⰬⰬ单⥄_x0018_＀＀_x0018_＀＀_x0008_＀＀_x0001_＀＀_x0001_＀＀＀＀＀＀䀀䁧슯䫱&lt;呒幎南偟久䥓乏䅟卓呅当佂䑎⡓㈱㈯〰⤴䍀彁䕐华偟呃䙟⡉㈱㈯〰⤴_x0018_＀＀_x0018_＀＀_x0008_＀＀_x0001_＀＀_x0001_＀＀＀＀＀＀＀＀䀷슰䫱%呒幎䅃偟久当呌䅟卓呅⡓㈱㈯〰ⰶⰬ唬䑓착_x0018_＀＀_x0018_＀＀_x0008_＀＀_x0001_＀＀_x0001_＀＀＀＀＀＀　䁿슰䫱_x001F_呒幎䅃偟久当呌䅟卓呅⡓ⰰⰬ唬䑓착_x0018_＀＀_x0018_＀＀_x0008_＀＀_x0001_＀＀_x0001_＀＀＀＀＀＀＀＀䁌磫䯐_x001C_呒幎䍅彁䕍乁䕟䥂䑔⬨ⰲ〴㤲⤰_x0018_＀＀_x0018_＀＀_x0008_＀＀_x0001_＀＀_x0001_＀＀뙆ﷳ요䂪ꖤ严 呒幎䍅彁䕍乁䕟䥂⡔㌫〬⼷㤱㈯㄰⤱_x0018_＀＀_x0018_＀＀_x0008_＀＀_x0001_＀＀_x0001_＀＀炤਽ݗ䂩슰䫱%呒幎䅃偟久当啃归䥌䉁⡓㈱㈯〰ⰲⰬ唬䑓착_x0018_＀＀_x0018_＀＀_x0008_＀＀_x0001_＀＀_x0001_＀＀豀碵꼝쐕๢䳊_x001B_呕幘䝆䵟䅅彎偅当兆⠱ⰰⰬ〹착_x0018_＀＀_x0018_＀＀_x0008_＀＀_x0001_＀＀_x0001_＀＀덏璛뮶㿴슱䫱P呒幎䅃偟协剔呅偟䅌彎十彔久⡄㈱㈯〰ⰵⰬ唬䑓䀩南䡟呌䍈剁彅噆䅟卓呅ㄨ⼲〲㔰ⰬⰬ单⥄_x0018_＀＀_x0018_＀＀_x0008_＀＀_x0001_＀＀_x0001_＀＀＀＀＀＀倀䁽슰䫱(呒幎南偟久䥓乏䅟卓呅当呌ㄨ⼲〲㠰ⰬⰬ单⥄_x0018_＀＀_x0018_＀＀_x0008_＀＀_x0001_＀＀_x0001_＀＀＀＀＀＀＀＀䁌翨丰_x001F_呒幎䍅彁䕍乁䕟卐⬨ⰳ㜰㈯⼷〲ㄱ착_x0018_＀＀_x0018_＀＀_x0008_＀＀_x0001_＀＀_x0001_＀＀쁺搼⟊䀙슱䫱＀Ｏ呒幎南䡟呌䍈剁彅䵁剏彔䕓噒䍟协⡔㈱㈯〰ⰴⰬ唬䑓착_x0018_＀＀_x0018_＀＀_x0008_＀＀_x0001_＀＀_x0001_＀＀＀＀＀＀耀쁉슰䫱G呒幎䅃偟久当䕎彔佃呓ㄨ⼲〲㌰ⰬⰬ单⥄址当䕐华佉彎偎彐塅⡐㈱㈯〰ⰳⰬ唬䑓착_x0018_＀＀_x0018_＀＀_x0008_＀＀_x0001_＀＀_x0001_＀＀＀＀＀＀뀀䁳슰䫱N呒幎䅃偟久当乕䕒佃⡇㈱㈯〰ⰴⰬ唬䑓䀩南偟久䥓乏啟剎䍅卟剅彖佃呓ㄨ⼲〲㐰ⰬⰬ单⥄_x0018_＀＀_x0018_＀＀_x0008_＀＀_x0001_＀＀_x0001_＀＀＀＀＀＀쀀䁣슱䫱*呒幎南䡟呌䍈剁彅塅彐呌剟䅏ㄨ⼲〲㜰ⰬⰬ单⥄_x0018_＀＀_x0018_＀＀_x0008_＀＀_x0001_＀＀_x0001_＀＀＀＀＀＀耀䀡슰䫱%呒幎䅃偟久当啃归䥌䉁⡓㈱㈯〰ⰸⰬ唬䑓착_x0018_＀＀_x0018_＀＀_x0008_＀＀_x0001_＀＀_x0001_＀＀＀＀＀＀＀＀䁄슱䫱(呒幎南䡟呌䍈剁彅乕彆䕂⡎㈱㈯〰ⰳⰬ唬䑓⤩＀＀＀＀슱䫱#呒幎䅃偟协剔呅䱟䅉⡂㈱㈯〰ⰶⰬ唬䑓착_x0018_＀＀_x0018_＀＀_x0008_＀＀_x0001_＀＀_x0001_＀＀＀＀＀＀　쁿ꍁ䲼_x0017_呒幎䝆偟䥒䕃㄁⼰㠱㈯㄰찰_x0018_＀＀_x0018_＀＀_x0008_＀＀_x0001_＀＀_x0001_＀＀㌳㌳댳䁇슱䫱)呒幎南䡟呌䍈剁彅䥄䍓剟呁⡅㈱㈯〰ⰶⰬ唬䑓착_x0018_＀＀_x0018_＀＀_x0008_＀＀_x0001_＀＀_x0001_＀＀＀＀＀＀＀＀䀗슰䫱I呒幎䅃偟久当剓彖佃呓ㄨ⼲〲㜰ⰬⰬ单⥄址当䕐华佉彎䕓噒䍟协⡔㈱㈯〰ⰷⰬ唬䑓착_x0018_＀＀_x0018_＀＀_x0008_＀＀_x0001_＀＀_x0001_＀＀＀＀＀＀怀䁹ꍁ䲼_x0017_䵌幔䝆偟䥒䕃 ⼸ㄳ㈯㄰찰_x0018_＀＀_x0018_＀＀_x0008_＀＀_x0001_＀＀_x0001_＀＀竡긔慇䁑슰䫱B呒幎䅃偟久当佒⡁㈱㈯〰ⰷⰬ唬䑓䀩南偟久䥓乏䕟偘剟䅏ㄨ⼲〲㜰ⰬⰬ单⥄_x0018_＀＀_x0018_＀＀_x0008_＀＀_x0001_＀＀_x0001_＀＀＀＀＀＀Ⰰ삑슱䫱+呒幎䅃偟协剔呅偟剁彔佃呎䥒⡂㈱㈯〰ⰷⰬ唬䑓착_x0018_＀＀_x0018_＀＀_x0008_＀＀_x0001_＀＀_x0001_＀＀＀＀＀＀耀䁈ꍁ䲼_x0016_䑇䙞彇剐䍉Ņ㐠ㄯ⼵〲〱_x0018_＀＀_x0018_＀＀_x0008_＀＀_x0001_＀＀_x0001_＀＀਽ꏗᵰ䁓䶵 呒幎䍅彁䕍乁䕟䥂⡔㌫〬⼴㔲㈯㄰⤱_x0018_＀＀_x0018_＀＀_x0008_＀＀_x0001_＀＀_x0001_＀＀率橾볼䂨슯䫱;呒幎南偟久䥓乏䅟卓呅当呏⡈㈱㈯〰⤶䍀彁䕐华偟呃佟䡔ㄨ⼲〲㘰착_x0018_＀＀_x0018_＀＀_x0008_＀＀_x0001_＀＀_x0001_＀＀＀＀＀＀＀＀䀘翧丰_x001F_呒幎䍅䵟䑅偟䥒䕃呟呇、⼷㜲㈯㄰찱_x0018_＀＀_x0018_＀＀_x0008_＀＀_x0001_＀＀_x0001_＀＀＀＀＀＀＀＀䁌슰䫱J呒幎䅃偟久当䱐乁䅟呓ㄨ⼲〲㔰ⰬⰬ单⥄址当䕐华佉彎䅖彌十䕓協ㄨ⼲〲㔰ⰬⰬ单⥄_x0018_＀＀_x0018_＀＀_x0008_＀＀_x0001_＀＀_x0001_＀＀＀＀＀＀冀䃈슰䫱'呒幎南偟久偟协彔䕒彔䕂⡎㈱㈯〰ⰴⰬ唬䑓착_x0018_＀＀_x0018_＀＀_x0008_＀＀_x0001_＀＀_x0001_＀＀＀＀＀＀　䂩宿亨!呒幎䍅彁䕍乁䕟䥂䑔⬨ⰱ〱㈯⼶〲ㄱ착_x0018_＀＀_x0018_＀＀_x0008_＀＀_x0001_＀＀_x0001_＀＀ㄧ갈鶜䂨垆亨_x0018_呒幎䍅彁䕍乁䕟卐㈨㄰ⰲ⤰_x0018_＀＀_x0018_＀＀_x0008_＀＀_x0001_＀＀_x0001_＀＀ꋣ䑚쌔䀕슯䫱+呒幎南䍟問呎奒也䵁⡅⤰䍀彁佃䥟䍎剏彐呃奒〨착_x001E_＀＀_x0018_＀＀_x000E_＀＀_x0001_＀＀_x0008_＀＀湕瑩摥匠慴整s宿亨_x001F_呒幎䍅彁䕍乁䕟卐⬨ⰱ〱㈯⼶〲ㄱ착_x0018_＀＀_x0018_＀＀_x0008_＀＀_x0001_＀＀_x0001_＀＀俟鞍ቮ䀔슰䫱$呒幎䅃偟久当䕂彎䅐䑉ㄨ⼲〲㘰ⰬⰬ单⥄_x0018_＀＀_x0018_＀＀_x0008_＀＀_x0001_＀＀_x0001_＀＀＀＀＀＀저䂍ꍁ䲼_x0016_䑇䙞彇剐䍉Ņ㘠㌯⼰〲〱_x0018_＀＀_x0018_＀＀_x0008_＀＀_x0001_＀＀_x0001_＀＀ᑺ䞮䁍슰䫱"呒幎南偟久䥓乏偟佂ㄨ⼲〲㌰ⰬⰬ单⥄_x0018_＀＀_x0018_＀＀_x0008_＀＀_x0001_＀＀_x0001_＀＀＀＀＀＀尀䃊ꍁ䲼_x0017_䱌幌䝆偟䥒䕃 ⼶〳㈯㄰찰_x0018_＀＀_x0018_＀＀_x0008_＀＀_x0001_＀＀_x0001_＀＀⣶轜뗂䁑슰䫱$呒幎䅃偟久当呌䱟䅉卂ㄨ⼲〲㌰ⰬⰬ单⥄_x0018_＀＀_x0018_＀＀_x0008_＀＀_x0001_＀＀_x0001_＀＀豀碵꼝쐕宿亨!呒幎䍅彁䕍乁卟䱁卅⬨ⰳ〱㈯⼶〲ㄱ착_x0018_＀＀_x0018_＀＀_x0008_＀＀_x0001_＀＀_x0001_＀＀쳍쳌缬䃙垆亨_x001B_呒幎䝆䵟䅅彎偅当兆⠱ⰰⰬ〹착_x0018_＀＀_x0018_＀＀_x0008_＀＀_x0001_＀＀_x0001_＀＀걯棕㶃㿵슱䫱M呒幎䅃偟协剔呅卟噒䍟协⡔㈱㈯〰ⰲⰬ唬䑓䀩南䡟呌䍈剁彅䕓噒䍟协⡔㈱㈯〰ⰲⰬ唬䑓착_x0018_＀＀_x0018_＀＀_x0008_＀＀_x0001_＀＀_x0001_＀＀＀＀＀＀＀＀䀵磫䯐_x001A_呒幎䍅彁䕍乁䕟卐⬨ⰱ〴㤲⤰_x0018_＀＀_x0018_＀＀_x0008_＀＀_x0001_＀＀_x0001_＀＀㯳晍䀓슯䫱 呒幎南䕟䍘彈䅒䕔䥟䍎䍟⡆㈱㈯〰⤲_x0018_＀＀_x0018_＀＀_x0008_＀＀_x0001_＀＀_x0001_＀＀豀碵꼝쐕슱䫱-呒幎䅃偟协剔呅啟归剔佟彂䵁剏⡔㈱㈯〰ⰷⰬ唬䑓착_x0018_＀＀_x0018_＀＀_x0008_＀＀_x0001_＀＀_x0001_＀＀＀＀＀＀＀＀䀜슰䫱(呒幎䅃偟久当偐彄䕂彎佃呓ㄨ⼲〲㐰ⰬⰬ单⥄_x0018_＀＀_x0018_＀＀_x0008_＀＀_x0001_＀＀_x0001_＀＀＀＀＀＀쀀䂄슰䫱J呒幎䅃偟久当䥄䍓剟呁⡅㈱㈯〰ⰳⰬ唬䑓䀩南偟久䥓乏䑟卉彃䅒䕔ㄨ⼲〲㌰ⰬⰬ单⥄_x0018_＀＀_x0018_＀＀_x0008_＀＀_x0001_＀＀_x0001_＀＀竡긔䀘슰䫱N呒幎䅃偟久当乕䕒佃⡇㈱㈯〰ⰳⰬ唬䑓䀩南偟久䥓乏啟剎䍅卟剅彖佃呓ㄨ⼲〲㌰ⰬⰬ单⥄_x0018_＀＀_x0018_＀＀_x0008_＀＀_x0001_＀＀_x0001_＀＀＀＀＀＀䀀䁥슱䫱E呒幎䅃偟协剔呅䉟久佟⡂㈱㈯〰ⰶⰬ唬䑓䀩南䡟呌䍈剁彅䉐⡏㈱㈯〰ⰶⰬ唬䑓착_x0018_＀＀_x0018_＀＀_x0008_＀＀_x0001_＀＀_x0001_＀＀＀＀＀＀ꀀ䂏ꍁ䲼_x0017_䵌幔䝆偟䥒䕃㄁⼲ㄳ㈯〰찹_x0018_＀＀_x0018_＀＀_x0008_＀＀_x0001_＀＀_x0001_＀＀晦晦홦䁒슰䫱H呒幎䅃偟久当义彔佃呓ㄨ⼲〲㐰ⰬⰬ单⥄址当䕐华佉彎义彔佃呓ㄨ⼲〲㐰ⰬⰬ单⥄_x0018_＀＀_x0018_＀＀_x0008_＀＀_x0001_＀＀_x0001_＀＀＀＀＀＀砀䂉슰䫱'呒幎䅃偟久当商䑎卟䅔啔⡓㈱㈯〰ⰷⰬ唬䑓착_x0018_＀＀_x0018_＀＀_x0008_＀＀_x0001_＀＀_x0001_＀＀＀＀＀＀ఀ삙슰䫱G呒幎䅃偟久当䕎彔佃呓ㄨ⼲〲㘰ⰬⰬ单⥄址当䕐华佉彎偎彐塅⡐㈱㈯〰ⰶⰬ唬䑓착_x0018_＀＀_x0018_＀＀_x0008_＀＀_x0001_＀＀_x0001_＀＀＀＀＀＀_xD800_䂉슰䫱J呒幎䅃偟久当佒彁䅒䕔ㄨ⼲〲㌰ⰬⰬ单⥄址当䕐华佉彎塅彐呌剟䅏ㄨ⼲〲㌰ⰬⰬ单⥄_x0018_＀＀_x0018_＀＀_x0008_＀＀_x0001_＀＀_x0001_＀＀ꏗ㵰圊䀡슰䫱_x001E_呒幎䅃偟久当佃偍剟呁⡅㈱㈯〰⤸_x0018_＀＀_x0018_＀＀_x0008_＀＀_x0001_＀＀_x0001_＀＀凬Ẹ䀑슱䫱'呒幎䅃偟协剔呅䉟久偟䥁⡄㈱㈯〰ⰲⰬ唬䑓착_x0018_＀＀_x0018_＀＀_x0008_＀＀_x0001_＀＀_x0001_＀＀＀＀＀＀䁠ꖤ严 呒幎䍅彁䕍乁䕟䥂⡔ㄫ〬⼷㤱㈯㄰⤱_x0018_＀＀_x0018_＀＀_x0008_＀＀_x0001_＀＀_x0001_＀＀竡긔ⴇ䂥슯䫱_x000F_呒幎南䍟剕䕒䍎챙_x001C_＀＀_x0018_＀＀_x000C_＀＀_x0001_＀＀_x0008_＀＀⹕⹓䐠汯慬r</t>
        </r>
      </text>
    </comment>
    <comment ref="B1" authorId="0">
      <text>
        <r>
          <rPr>
            <b/>
            <sz val="8"/>
            <color indexed="81"/>
            <rFont val="Tahoma"/>
            <family val="2"/>
          </rPr>
          <t>25566</t>
        </r>
      </text>
    </comment>
  </commentList>
</comments>
</file>

<file path=xl/comments2.xml><?xml version="1.0" encoding="utf-8"?>
<comments xmlns="http://schemas.openxmlformats.org/spreadsheetml/2006/main">
  <authors>
    <author>Streger, David W (Research)</author>
    <author>Corrales, Abel (Research)</author>
    <author>noelkjac</author>
    <author>Noelke, Jack (Research)</author>
  </authors>
  <commentList>
    <comment ref="BF1" authorId="0">
      <text>
        <r>
          <rPr>
            <b/>
            <sz val="9"/>
            <color indexed="81"/>
            <rFont val="Tahoma"/>
            <family val="2"/>
          </rPr>
          <t>Streger, David W (Research):</t>
        </r>
        <r>
          <rPr>
            <sz val="9"/>
            <color indexed="81"/>
            <rFont val="Tahoma"/>
            <family val="2"/>
          </rPr>
          <t xml:space="preserve">
Restated</t>
        </r>
      </text>
    </comment>
    <comment ref="AT17" authorId="1">
      <text>
        <r>
          <rPr>
            <b/>
            <sz val="9"/>
            <color indexed="81"/>
            <rFont val="Tahoma"/>
            <family val="2"/>
          </rPr>
          <t xml:space="preserve">Corrales, Abel (Research):
</t>
        </r>
        <r>
          <rPr>
            <sz val="9"/>
            <color indexed="81"/>
            <rFont val="Tahoma"/>
            <family val="2"/>
          </rPr>
          <t>Re-stated with 2Q15 numbers</t>
        </r>
      </text>
    </comment>
    <comment ref="AY17" authorId="1">
      <text>
        <r>
          <rPr>
            <b/>
            <sz val="9"/>
            <color indexed="81"/>
            <rFont val="Tahoma"/>
            <family val="2"/>
          </rPr>
          <t xml:space="preserve">Corrales, Abel (Research):
</t>
        </r>
        <r>
          <rPr>
            <sz val="9"/>
            <color indexed="81"/>
            <rFont val="Tahoma"/>
            <family val="2"/>
          </rPr>
          <t>Re-stated with 2Q15 numbers</t>
        </r>
      </text>
    </comment>
    <comment ref="AT19" authorId="1">
      <text>
        <r>
          <rPr>
            <b/>
            <sz val="9"/>
            <color indexed="81"/>
            <rFont val="Tahoma"/>
            <family val="2"/>
          </rPr>
          <t xml:space="preserve">Corrales, Abel (Research):
</t>
        </r>
        <r>
          <rPr>
            <sz val="9"/>
            <color indexed="81"/>
            <rFont val="Tahoma"/>
            <family val="2"/>
          </rPr>
          <t>Re-stated with 2Q15 numbers</t>
        </r>
      </text>
    </comment>
    <comment ref="AY19" authorId="1">
      <text>
        <r>
          <rPr>
            <b/>
            <sz val="9"/>
            <color indexed="81"/>
            <rFont val="Tahoma"/>
            <family val="2"/>
          </rPr>
          <t xml:space="preserve">Corrales, Abel (Research):
</t>
        </r>
        <r>
          <rPr>
            <sz val="9"/>
            <color indexed="81"/>
            <rFont val="Tahoma"/>
            <family val="2"/>
          </rPr>
          <t>Re-stated with 2Q15 numbers</t>
        </r>
      </text>
    </comment>
    <comment ref="AR21" authorId="1">
      <text>
        <r>
          <rPr>
            <b/>
            <sz val="9"/>
            <color indexed="81"/>
            <rFont val="Tahoma"/>
            <family val="2"/>
          </rPr>
          <t xml:space="preserve">Corrales, Abel (Research):
</t>
        </r>
        <r>
          <rPr>
            <sz val="9"/>
            <color indexed="81"/>
            <rFont val="Tahoma"/>
            <family val="2"/>
          </rPr>
          <t>Re-stated with 2Q15 numbers</t>
        </r>
      </text>
    </comment>
    <comment ref="AW21" authorId="1">
      <text>
        <r>
          <rPr>
            <b/>
            <sz val="9"/>
            <color indexed="81"/>
            <rFont val="Tahoma"/>
            <family val="2"/>
          </rPr>
          <t xml:space="preserve">Corrales, Abel (Research):
</t>
        </r>
        <r>
          <rPr>
            <sz val="9"/>
            <color indexed="81"/>
            <rFont val="Tahoma"/>
            <family val="2"/>
          </rPr>
          <t>Re-stated with 2Q15 numbers</t>
        </r>
      </text>
    </comment>
    <comment ref="A86" authorId="2">
      <text>
        <r>
          <rPr>
            <b/>
            <sz val="8"/>
            <color indexed="81"/>
            <rFont val="Tahoma"/>
            <family val="2"/>
          </rPr>
          <t>noelkjac:</t>
        </r>
        <r>
          <rPr>
            <sz val="8"/>
            <color indexed="81"/>
            <rFont val="Tahoma"/>
            <family val="2"/>
          </rPr>
          <t xml:space="preserve">
10-k 2013 page 16</t>
        </r>
      </text>
    </comment>
    <comment ref="AA96" authorId="2">
      <text>
        <r>
          <rPr>
            <b/>
            <sz val="8"/>
            <color indexed="81"/>
            <rFont val="Tahoma"/>
            <family val="2"/>
          </rPr>
          <t>noelkjac:</t>
        </r>
        <r>
          <rPr>
            <sz val="8"/>
            <color indexed="81"/>
            <rFont val="Tahoma"/>
            <family val="2"/>
          </rPr>
          <t xml:space="preserve">
10-k 2010 page 11</t>
        </r>
      </text>
    </comment>
    <comment ref="AK96" authorId="2">
      <text>
        <r>
          <rPr>
            <b/>
            <sz val="8"/>
            <color indexed="81"/>
            <rFont val="Tahoma"/>
            <family val="2"/>
          </rPr>
          <t>noelkjac:</t>
        </r>
        <r>
          <rPr>
            <sz val="8"/>
            <color indexed="81"/>
            <rFont val="Tahoma"/>
            <family val="2"/>
          </rPr>
          <t xml:space="preserve">
10-k 2013 p. 9</t>
        </r>
      </text>
    </comment>
    <comment ref="AP96" authorId="2">
      <text>
        <r>
          <rPr>
            <b/>
            <sz val="8"/>
            <color indexed="81"/>
            <rFont val="Tahoma"/>
            <family val="2"/>
          </rPr>
          <t>noelkjac:</t>
        </r>
        <r>
          <rPr>
            <sz val="8"/>
            <color indexed="81"/>
            <rFont val="Tahoma"/>
            <family val="2"/>
          </rPr>
          <t xml:space="preserve">
10-k 2013 p. 9
</t>
        </r>
      </text>
    </comment>
    <comment ref="A101" authorId="3">
      <text>
        <r>
          <rPr>
            <b/>
            <sz val="9"/>
            <color indexed="81"/>
            <rFont val="Tahoma"/>
            <family val="2"/>
          </rPr>
          <t>Noelke, Jack (Research):</t>
        </r>
        <r>
          <rPr>
            <sz val="9"/>
            <color indexed="81"/>
            <rFont val="Tahoma"/>
            <family val="2"/>
          </rPr>
          <t xml:space="preserve">
ctrl+f "international bookings" in 10-k, 10-q</t>
        </r>
      </text>
    </comment>
    <comment ref="Q101" authorId="2">
      <text>
        <r>
          <rPr>
            <b/>
            <sz val="8"/>
            <color indexed="81"/>
            <rFont val="Tahoma"/>
            <family val="2"/>
          </rPr>
          <t>noelkjac:</t>
        </r>
        <r>
          <rPr>
            <sz val="8"/>
            <color indexed="81"/>
            <rFont val="Tahoma"/>
            <family val="2"/>
          </rPr>
          <t xml:space="preserve">
10-k 2008 page 33</t>
        </r>
      </text>
    </comment>
    <comment ref="AM101" authorId="2">
      <text>
        <r>
          <rPr>
            <b/>
            <sz val="8"/>
            <color indexed="81"/>
            <rFont val="Tahoma"/>
            <family val="2"/>
          </rPr>
          <t>noelkjac:</t>
        </r>
        <r>
          <rPr>
            <sz val="8"/>
            <color indexed="81"/>
            <rFont val="Tahoma"/>
            <family val="2"/>
          </rPr>
          <t xml:space="preserve">
ctrl+f "international bookings" in 10-k, 10-q</t>
        </r>
      </text>
    </comment>
    <comment ref="A186" authorId="2">
      <text>
        <r>
          <rPr>
            <b/>
            <sz val="8"/>
            <color indexed="81"/>
            <rFont val="Tahoma"/>
            <family val="2"/>
          </rPr>
          <t>noelkjac:</t>
        </r>
        <r>
          <rPr>
            <sz val="8"/>
            <color indexed="81"/>
            <rFont val="Tahoma"/>
            <family val="2"/>
          </rPr>
          <t xml:space="preserve">
Operating margin less FAS/CAS expense. The company guides to this but does not include in 10-k</t>
        </r>
      </text>
    </comment>
    <comment ref="A190" authorId="2">
      <text>
        <r>
          <rPr>
            <b/>
            <sz val="8"/>
            <color indexed="81"/>
            <rFont val="Tahoma"/>
            <family val="2"/>
          </rPr>
          <t>noelkjac:</t>
        </r>
        <r>
          <rPr>
            <sz val="8"/>
            <color indexed="81"/>
            <rFont val="Tahoma"/>
            <family val="2"/>
          </rPr>
          <t xml:space="preserve">
2-2.5% of RTN sales
http://wallstcheatsheet.com/stocks/raytheon-company-earnings-call-nuggets-eac-adjustments-international-orders.html/</t>
        </r>
      </text>
    </comment>
    <comment ref="A195" authorId="2">
      <text>
        <r>
          <rPr>
            <b/>
            <sz val="8"/>
            <color indexed="81"/>
            <rFont val="Tahoma"/>
            <family val="2"/>
          </rPr>
          <t>noelkjac:</t>
        </r>
        <r>
          <rPr>
            <sz val="8"/>
            <color indexed="81"/>
            <rFont val="Tahoma"/>
            <family val="2"/>
          </rPr>
          <t xml:space="preserve">
2-2.5% of RTN sales
http://wallstcheatsheet.com/stocks/raytheon-company-earnings-call-nuggets-eac-adjustments-international-orders.html/</t>
        </r>
      </text>
    </comment>
    <comment ref="A307" authorId="0">
      <text>
        <r>
          <rPr>
            <b/>
            <sz val="9"/>
            <color indexed="81"/>
            <rFont val="Tahoma"/>
            <family val="2"/>
          </rPr>
          <t>Streger, David W (Research):</t>
        </r>
        <r>
          <rPr>
            <sz val="9"/>
            <color indexed="81"/>
            <rFont val="Tahoma"/>
            <family val="2"/>
          </rPr>
          <t xml:space="preserve">
Introduced in 1Q17, 4Q16 restated</t>
        </r>
      </text>
    </comment>
    <comment ref="A321" authorId="0">
      <text>
        <r>
          <rPr>
            <b/>
            <sz val="9"/>
            <color indexed="81"/>
            <rFont val="Tahoma"/>
            <family val="2"/>
          </rPr>
          <t>Streger, David W (Research):</t>
        </r>
        <r>
          <rPr>
            <sz val="9"/>
            <color indexed="81"/>
            <rFont val="Tahoma"/>
            <family val="2"/>
          </rPr>
          <t xml:space="preserve">
Introduced in 1Q17</t>
        </r>
      </text>
    </comment>
    <comment ref="A322" authorId="0">
      <text>
        <r>
          <rPr>
            <b/>
            <sz val="9"/>
            <color indexed="81"/>
            <rFont val="Tahoma"/>
            <family val="2"/>
          </rPr>
          <t>Streger, David W (Research):</t>
        </r>
        <r>
          <rPr>
            <sz val="9"/>
            <color indexed="81"/>
            <rFont val="Tahoma"/>
            <family val="2"/>
          </rPr>
          <t xml:space="preserve">
Introduced in 1Q17</t>
        </r>
      </text>
    </comment>
    <comment ref="A324" authorId="0">
      <text>
        <r>
          <rPr>
            <b/>
            <sz val="9"/>
            <color indexed="81"/>
            <rFont val="Tahoma"/>
            <family val="2"/>
          </rPr>
          <t>Streger, David W (Research):</t>
        </r>
        <r>
          <rPr>
            <sz val="9"/>
            <color indexed="81"/>
            <rFont val="Tahoma"/>
            <family val="2"/>
          </rPr>
          <t xml:space="preserve">
Stopped reporting in 1Q17</t>
        </r>
      </text>
    </comment>
  </commentList>
</comments>
</file>

<file path=xl/sharedStrings.xml><?xml version="1.0" encoding="utf-8"?>
<sst xmlns="http://schemas.openxmlformats.org/spreadsheetml/2006/main" count="969" uniqueCount="743">
  <si>
    <t>Adj. EPS (ex. FAS/CAS &amp; Special Charges)</t>
  </si>
  <si>
    <t>Backlog/Sales</t>
  </si>
  <si>
    <t>Total</t>
  </si>
  <si>
    <t>Advance payments and billings in excess of cost incurred</t>
  </si>
  <si>
    <t>Days AP Outstanding</t>
  </si>
  <si>
    <t>Contracts in Process</t>
  </si>
  <si>
    <t>Days Contracts Outstanding</t>
  </si>
  <si>
    <t>2013A</t>
  </si>
  <si>
    <t>Accrued Pension Benefits and Other Long-Term Liabilities</t>
  </si>
  <si>
    <t>Count</t>
  </si>
  <si>
    <t>COMMENTS</t>
  </si>
  <si>
    <t>2010A</t>
  </si>
  <si>
    <t>Funded Backlog ($)</t>
  </si>
  <si>
    <t>Unfunded Backlog (%)</t>
  </si>
  <si>
    <t>Missile Systems (MS) Backlog ($M)</t>
  </si>
  <si>
    <t>Integrated Defense Systems (IDS) Backlog ($M)</t>
  </si>
  <si>
    <t>% of Total Revenue</t>
  </si>
  <si>
    <t>Total Backlog ($M)</t>
  </si>
  <si>
    <t>Dividends</t>
  </si>
  <si>
    <t>Raytheon Co</t>
  </si>
  <si>
    <t>Network Centric Systems (NCS) Backlog ($M)</t>
  </si>
  <si>
    <t>Technical Services (TS) Backlog ($M)</t>
  </si>
  <si>
    <t>Check</t>
  </si>
  <si>
    <t>Total Assets</t>
  </si>
  <si>
    <t>Total Current Liabilities</t>
  </si>
  <si>
    <t>Proceeds from Issuance of Common Stock</t>
  </si>
  <si>
    <t>USD</t>
  </si>
  <si>
    <t>This sheet contains Factset binary data for use with this workbook's =FDS codes.  Modifying the worksheet's contents may damage the workbook's =FDS functionality.</t>
  </si>
  <si>
    <t>-</t>
  </si>
  <si>
    <t>Total Operating Income</t>
  </si>
  <si>
    <t>Noncontrolling Interest</t>
  </si>
  <si>
    <t>Net Cash From Operations</t>
  </si>
  <si>
    <t>Net Cash From Investing</t>
  </si>
  <si>
    <t>Dividends Paid</t>
  </si>
  <si>
    <t>Net Cash From Financing</t>
  </si>
  <si>
    <t>Net Increase / (Decrease) In Cash</t>
  </si>
  <si>
    <t>Ending Cash</t>
  </si>
  <si>
    <t>Cash &amp; Cash Equivalents</t>
  </si>
  <si>
    <t xml:space="preserve">Total Current Assets </t>
  </si>
  <si>
    <t>Other Assets</t>
  </si>
  <si>
    <t>Total Liabilities</t>
  </si>
  <si>
    <t>Total Shareholders Equity</t>
  </si>
  <si>
    <t>Total Liabilities &amp; SE</t>
  </si>
  <si>
    <t>Cost of Sales</t>
  </si>
  <si>
    <t xml:space="preserve">Long-Term Debt </t>
  </si>
  <si>
    <t>Other Financing activities</t>
  </si>
  <si>
    <t>Cash Beginning of the period</t>
  </si>
  <si>
    <t>Depreciation and amortization</t>
  </si>
  <si>
    <t>Repurchase of common stock</t>
  </si>
  <si>
    <t>Accounts payable</t>
  </si>
  <si>
    <t>Treasury Stock</t>
  </si>
  <si>
    <t>Deferred taxes</t>
  </si>
  <si>
    <t>Prepaid expenses and other current assets</t>
  </si>
  <si>
    <t>Property plant and equipment, net</t>
  </si>
  <si>
    <t>Accrued employee compensation</t>
  </si>
  <si>
    <t>Other accrued liabilities</t>
  </si>
  <si>
    <t>Additional paid-in capital</t>
  </si>
  <si>
    <t>Accumulated other comprehensive loss</t>
  </si>
  <si>
    <t>Corporate and Eliminations</t>
  </si>
  <si>
    <t>Interest expense</t>
  </si>
  <si>
    <t>Interest income</t>
  </si>
  <si>
    <t>Deferred Income taxes</t>
  </si>
  <si>
    <t>Additions to property, plant and equipment</t>
  </si>
  <si>
    <t>Income from Cont. Ops</t>
  </si>
  <si>
    <t>Net Income to Raytheon</t>
  </si>
  <si>
    <t>% Full Year Revenue</t>
  </si>
  <si>
    <t>Discontinued Operations</t>
  </si>
  <si>
    <t>Dilutive Instruments Exercised</t>
  </si>
  <si>
    <t>Company-Reported Cash From Continuing Operations</t>
  </si>
  <si>
    <t>Share Repurchases</t>
  </si>
  <si>
    <t>Goodwill</t>
  </si>
  <si>
    <t>Space and Airborne Systems Backlog (SAS) ($M)</t>
  </si>
  <si>
    <t>FAS Expense</t>
  </si>
  <si>
    <t>CAS Expense</t>
  </si>
  <si>
    <t>Domestic Revenue</t>
  </si>
  <si>
    <t>% Total Revenue</t>
  </si>
  <si>
    <t>International Revenue</t>
  </si>
  <si>
    <t>%Total Revenue</t>
  </si>
  <si>
    <t>Fixed-Price Contracts</t>
  </si>
  <si>
    <t>% of Total Backlog</t>
  </si>
  <si>
    <t>Cost-Type Contracts</t>
  </si>
  <si>
    <t>% ofTotal Backlog</t>
  </si>
  <si>
    <t>Unfunded Backlog</t>
  </si>
  <si>
    <t>Domestic Backlog ($)</t>
  </si>
  <si>
    <t>International Backlog ($)</t>
  </si>
  <si>
    <t>Domestic Bookings</t>
  </si>
  <si>
    <t>Company-funded R&amp;D (IRAD)</t>
  </si>
  <si>
    <t>Pension Expense Net Of Contributions</t>
  </si>
  <si>
    <t>% of Total Bookings</t>
  </si>
  <si>
    <t>Int'l Bookings</t>
  </si>
  <si>
    <t>% of Total Operating Income</t>
  </si>
  <si>
    <t>Annualized % Change in Shares</t>
  </si>
  <si>
    <t>Net Operating Income Adjustments (EAC/Catch-Up)</t>
  </si>
  <si>
    <t>% of Sales</t>
  </si>
  <si>
    <t>% of Operating Income</t>
  </si>
  <si>
    <t>Unfavorable Adjustments</t>
  </si>
  <si>
    <t>EBITDAP</t>
  </si>
  <si>
    <t>EBITDAP Margin</t>
  </si>
  <si>
    <t>Company Reported EPS ("Core EPS")</t>
  </si>
  <si>
    <t>Payment for purchase of acquired companies, net of cash received</t>
  </si>
  <si>
    <t>Activity under common stock plan</t>
  </si>
  <si>
    <t>RTN.N</t>
  </si>
  <si>
    <t>Raytheon</t>
  </si>
  <si>
    <t>2009A</t>
  </si>
  <si>
    <t>2008A</t>
  </si>
  <si>
    <t>2007A</t>
  </si>
  <si>
    <t>2006A</t>
  </si>
  <si>
    <t>2002A</t>
  </si>
  <si>
    <t>2003A</t>
  </si>
  <si>
    <t>2004A</t>
  </si>
  <si>
    <t>2005A</t>
  </si>
  <si>
    <t>FCF Conversion %</t>
  </si>
  <si>
    <t>Changes in Net Working Capital/Other</t>
  </si>
  <si>
    <t>As a % Revenue</t>
  </si>
  <si>
    <t>Days Payable Outstanding</t>
  </si>
  <si>
    <t>Avg. Shares Out. - Fully Diluted (MM)</t>
  </si>
  <si>
    <t>Book:Bill</t>
  </si>
  <si>
    <t>Stock-based compensation</t>
  </si>
  <si>
    <t>Non-GAAP Adjustments</t>
  </si>
  <si>
    <t>Adjusted Net Income</t>
  </si>
  <si>
    <t>Adjusted Net Economic Income (ex. FAS/CAS)</t>
  </si>
  <si>
    <t>Net issuance (repayment) of debt</t>
  </si>
  <si>
    <t>Economic EPS (ex. FAS/CAS)</t>
  </si>
  <si>
    <t>FAS/CAS Pension Adjustment</t>
  </si>
  <si>
    <t>Total Revenue</t>
  </si>
  <si>
    <t>Inventory</t>
  </si>
  <si>
    <t xml:space="preserve">Accounts Receivable </t>
  </si>
  <si>
    <t>Assets</t>
  </si>
  <si>
    <t>EBITDA</t>
  </si>
  <si>
    <t>Capex</t>
  </si>
  <si>
    <t>Other investing activities</t>
  </si>
  <si>
    <t>Diluted EPS (Cont. Ops. Incl. Non-Cont. Int.)</t>
  </si>
  <si>
    <t>Intelligence, Information, and Services (IIS)</t>
  </si>
  <si>
    <t>Intelligence, Information, and Services (IIS) Backlog</t>
  </si>
  <si>
    <t>Bookings</t>
  </si>
  <si>
    <t>Net Debt</t>
  </si>
  <si>
    <t>INCOME STATEMENT</t>
  </si>
  <si>
    <t>YoY % Chg.</t>
  </si>
  <si>
    <t>GROSS REVENUE</t>
  </si>
  <si>
    <t>OPERATING SEGMENTS</t>
  </si>
  <si>
    <t>YoY Pt. Chg.</t>
  </si>
  <si>
    <t>Incremental Margin</t>
  </si>
  <si>
    <t>IDS Operating Income</t>
  </si>
  <si>
    <t>IDS Operating Expenses</t>
  </si>
  <si>
    <t>IIS Operating Income</t>
  </si>
  <si>
    <t>IIS Operating Expenses</t>
  </si>
  <si>
    <t xml:space="preserve">Integrated Defense Systems (IDS) Margin </t>
  </si>
  <si>
    <t>MS Operating Income</t>
  </si>
  <si>
    <t>MS Operating Expenses</t>
  </si>
  <si>
    <t>NCS Operating Income</t>
  </si>
  <si>
    <t>NCS Operating Expenses</t>
  </si>
  <si>
    <t>SAS Operating Income</t>
  </si>
  <si>
    <t>SAS Operating Expenses</t>
  </si>
  <si>
    <t>Missile Systems (MS) Margin</t>
  </si>
  <si>
    <t>Network Centric Systems (NCS) Margin</t>
  </si>
  <si>
    <t>Space and Airborne Systems (SAS) Margin</t>
  </si>
  <si>
    <t>TS Operating Income</t>
  </si>
  <si>
    <t>TS Operating Expenses</t>
  </si>
  <si>
    <t>Technical Services (TS) Margin</t>
  </si>
  <si>
    <t>EPS RECONCILIATION</t>
  </si>
  <si>
    <t>Avg Debt</t>
  </si>
  <si>
    <t>Implied Interest Rate and Forward Interest Rate Assumption</t>
  </si>
  <si>
    <t>Interest Expense Forecast</t>
  </si>
  <si>
    <t>Avg Cash</t>
  </si>
  <si>
    <t>Interest Income Forecast</t>
  </si>
  <si>
    <t>CASH FLOW STATEMENT</t>
  </si>
  <si>
    <t>Shareholders' Equity</t>
  </si>
  <si>
    <t>Liabilities</t>
  </si>
  <si>
    <t>EAC-Adjusted Segment Operating Margins</t>
  </si>
  <si>
    <t>Segment Margin (ex. FAS/CAS)</t>
  </si>
  <si>
    <t>Segment Operating Income (ex. FAS/CAS)</t>
  </si>
  <si>
    <t>1QA</t>
  </si>
  <si>
    <t>2QA</t>
  </si>
  <si>
    <t>3QA</t>
  </si>
  <si>
    <t>4QA</t>
  </si>
  <si>
    <t>Total Operating Margin</t>
  </si>
  <si>
    <t>Consolidated Operating Revenue</t>
  </si>
  <si>
    <t>Total Operating Expenses</t>
  </si>
  <si>
    <t>COGS</t>
  </si>
  <si>
    <t>% of Gross Revenue</t>
  </si>
  <si>
    <t>SG&amp;A</t>
  </si>
  <si>
    <t>BALANCE SHEET</t>
  </si>
  <si>
    <t>Loss (income) from discontinued operations, net</t>
  </si>
  <si>
    <t>Sharecount &amp; Dividend Calculation</t>
  </si>
  <si>
    <t>Net Change in Sharecount</t>
  </si>
  <si>
    <t>Basic Shares Outstanding - Period End (MM)</t>
  </si>
  <si>
    <t>Basic Shares Outstanding - Average (MM)</t>
  </si>
  <si>
    <t>Share Impact of Dilutive Instruments</t>
  </si>
  <si>
    <t>Avg. Stock Price (for repurchase calculation)</t>
  </si>
  <si>
    <t>Sequential % Chg.</t>
  </si>
  <si>
    <t>Dividends Per Share</t>
  </si>
  <si>
    <t>Dividend Payout Ratio</t>
  </si>
  <si>
    <t>Extraordinary/One-Time Charges/Expenses</t>
  </si>
  <si>
    <t>Discontinued Operations / Special Charges</t>
  </si>
  <si>
    <t>Net Income - Reported</t>
  </si>
  <si>
    <t>Per Share Effect of Extra Item</t>
  </si>
  <si>
    <t>Basic EPS</t>
  </si>
  <si>
    <t>Free Cash Flow</t>
  </si>
  <si>
    <t>As a % of Revenue</t>
  </si>
  <si>
    <t>As a % of Beginning Net PP&amp;E</t>
  </si>
  <si>
    <t>2012A</t>
  </si>
  <si>
    <t>Missile Systems (MS)</t>
  </si>
  <si>
    <t>Network Centric Systems (NCS)</t>
  </si>
  <si>
    <t>Integrated Defense Systems (IDS)</t>
  </si>
  <si>
    <t>Space and Airborne Systems (SAS)</t>
  </si>
  <si>
    <t>Technical Services (TS)</t>
  </si>
  <si>
    <t>2011A</t>
  </si>
  <si>
    <t>For Modelware Purposes</t>
  </si>
  <si>
    <t>Unrecorded Goodwill</t>
  </si>
  <si>
    <t>RTN</t>
  </si>
  <si>
    <t>Tax Rate</t>
  </si>
  <si>
    <t>Current Stock Price</t>
  </si>
  <si>
    <t>ScaleOverride</t>
  </si>
  <si>
    <t>UnitOverride</t>
  </si>
  <si>
    <t>ReverseSign</t>
  </si>
  <si>
    <t>IsDrivingAssumption</t>
  </si>
  <si>
    <t>SegmentID</t>
  </si>
  <si>
    <t>Tax Expense</t>
  </si>
  <si>
    <t>Common Stock</t>
  </si>
  <si>
    <t>Retained Earnings</t>
  </si>
  <si>
    <t>Other</t>
  </si>
  <si>
    <t>Net Interest Expense</t>
  </si>
  <si>
    <t>Other Income (Expense)</t>
  </si>
  <si>
    <t>Pretax Income</t>
  </si>
  <si>
    <t>Net Income</t>
  </si>
  <si>
    <t>Ticker:</t>
  </si>
  <si>
    <t>Currency</t>
  </si>
  <si>
    <t>As a % of Total Revenue</t>
  </si>
  <si>
    <t>FAS/CAS Adjustment</t>
  </si>
  <si>
    <t>Operating Cash Flow</t>
  </si>
  <si>
    <t>Income Statement</t>
  </si>
  <si>
    <t>Cash Flow</t>
  </si>
  <si>
    <t>Balance Sheet</t>
  </si>
  <si>
    <t>% of Full Year</t>
  </si>
  <si>
    <t>YoY EAC Change &amp; Other Charges</t>
  </si>
  <si>
    <t>EAC Change % Segment Op. Income</t>
  </si>
  <si>
    <t>IDS Op. Margin Ex-EAC Change</t>
  </si>
  <si>
    <t>IDS Op. Inc. Ex-EAC Change</t>
  </si>
  <si>
    <t>SAS Op. Margin Ex-EAC Change</t>
  </si>
  <si>
    <t>SAS Op. Inc. Ex-EAC Change</t>
  </si>
  <si>
    <t>MS Op. Margin Ex-EAC Change</t>
  </si>
  <si>
    <t>MS Op. Inc. Ex-EAC Change</t>
  </si>
  <si>
    <t>IIS Op. Margin Ex-EAC Change</t>
  </si>
  <si>
    <t>IIS Op. Inc. Ex-EAC Change</t>
  </si>
  <si>
    <t>RTN.N,mscalc:closePriceCurrencyCalc</t>
  </si>
  <si>
    <t>RTN.N,mscalc:sedolCodeCalc</t>
  </si>
  <si>
    <t>RTN.N,mscalc:targetPrice,,,,USD</t>
  </si>
  <si>
    <t>$AZ$2</t>
  </si>
  <si>
    <t>2014A</t>
  </si>
  <si>
    <t>Redeemable noncontrolling interest</t>
  </si>
  <si>
    <t>2015A</t>
  </si>
  <si>
    <t>2018E</t>
  </si>
  <si>
    <t>2019E</t>
  </si>
  <si>
    <t>Forcepoint</t>
  </si>
  <si>
    <t>Forcepoint Backlog ($M)</t>
  </si>
  <si>
    <t>Forcepoint Acquisition Accounting Adjustment</t>
  </si>
  <si>
    <t>Forcepoint Margin</t>
  </si>
  <si>
    <t>Forcepoint Operating Income</t>
  </si>
  <si>
    <t>Forcepoint Operating Expenses</t>
  </si>
  <si>
    <t>Rating:</t>
  </si>
  <si>
    <t>Price Target:</t>
  </si>
  <si>
    <t>Date:</t>
  </si>
  <si>
    <t>Rajeev Lalwani</t>
  </si>
  <si>
    <t>(212) 761-8518</t>
  </si>
  <si>
    <t>rajeev.lalwani@morganstanley.com</t>
  </si>
  <si>
    <t>Valuation Summary</t>
  </si>
  <si>
    <t>$m, unless stated otherwise</t>
  </si>
  <si>
    <t>BEAR TO BULL VALUATION</t>
  </si>
  <si>
    <t>BEAR</t>
  </si>
  <si>
    <t>BASE</t>
  </si>
  <si>
    <t>BULL</t>
  </si>
  <si>
    <t>SUMMARIZED FINANCIAL DATA</t>
  </si>
  <si>
    <t>Valuation Year</t>
  </si>
  <si>
    <t>Company Valuation</t>
  </si>
  <si>
    <t>Price Return Potential</t>
  </si>
  <si>
    <t>Implied Target P/E</t>
  </si>
  <si>
    <t>Total Revenues</t>
  </si>
  <si>
    <t>Implied Target EV/EBITDA</t>
  </si>
  <si>
    <t>Implied Target FCF Yield</t>
  </si>
  <si>
    <t>Allocated Segment Costs</t>
  </si>
  <si>
    <t>Assumed Multiple</t>
  </si>
  <si>
    <t>Implied Per Share Value</t>
  </si>
  <si>
    <t>Forecasted Debt</t>
  </si>
  <si>
    <t>Cash and ST Investments</t>
  </si>
  <si>
    <t>Operating Income</t>
  </si>
  <si>
    <t>Taxes</t>
  </si>
  <si>
    <t>Forecasted Shares (mil)</t>
  </si>
  <si>
    <t>OPERATING STATISTICS</t>
  </si>
  <si>
    <t>Diluted Shares (mil)</t>
  </si>
  <si>
    <t>EPS (Diluted)</t>
  </si>
  <si>
    <t>Total Revenue Growth</t>
  </si>
  <si>
    <t>Cash Flow from Investment</t>
  </si>
  <si>
    <t>Total Segment Operating Margin</t>
  </si>
  <si>
    <t>Total EBITDA Margin</t>
  </si>
  <si>
    <t>Net Debt Change</t>
  </si>
  <si>
    <t>Cash Flow from Financing</t>
  </si>
  <si>
    <t>P/E</t>
  </si>
  <si>
    <t>EV/EBITDA</t>
  </si>
  <si>
    <t>FCF Yield</t>
  </si>
  <si>
    <t>Free Cash Flow Conversion</t>
  </si>
  <si>
    <t>Free Cash Flow Per Share</t>
  </si>
  <si>
    <t>Debt</t>
  </si>
  <si>
    <t>Net Debt to EBITDA</t>
  </si>
  <si>
    <t>Debt to EBITDA</t>
  </si>
  <si>
    <t>Integrated Defense Systems</t>
  </si>
  <si>
    <t>Intelligence, Information and Services</t>
  </si>
  <si>
    <t>Missile Systems</t>
  </si>
  <si>
    <t>Space and Airborne Systems</t>
  </si>
  <si>
    <t>Eliminations</t>
  </si>
  <si>
    <t>Accounting Adjustment</t>
  </si>
  <si>
    <t>2020E</t>
  </si>
  <si>
    <t>2021E</t>
  </si>
  <si>
    <t>2QE</t>
  </si>
  <si>
    <t>3QE</t>
  </si>
  <si>
    <t>4QE</t>
  </si>
  <si>
    <t>1QE</t>
  </si>
  <si>
    <t>TRADING MULTIPLES - MSe</t>
  </si>
  <si>
    <t>2014A (Restated)</t>
  </si>
  <si>
    <t>Favorable Adjustments</t>
  </si>
  <si>
    <t>Notes Payable and current portion of long-term debt</t>
  </si>
  <si>
    <t>Contract liabilities</t>
  </si>
  <si>
    <t>Equity Value</t>
  </si>
  <si>
    <t>MS Net Income</t>
  </si>
  <si>
    <t>MS Net Income Adjusted</t>
  </si>
  <si>
    <t>Corporate</t>
  </si>
  <si>
    <t>Acqusition Accounting Adjustment</t>
  </si>
  <si>
    <t>Non Controlling Interest</t>
  </si>
  <si>
    <t>Operating Margin Change (-1% / 0% / +1.5%)</t>
  </si>
  <si>
    <t>Segment Operating Income</t>
  </si>
  <si>
    <t>Implied Target P/E - FAS/CAS Adjusted</t>
  </si>
  <si>
    <t>Overweight</t>
  </si>
  <si>
    <t>Revenue Change (-1% / 0% / +2%)</t>
  </si>
  <si>
    <t>FCF Returned to Shareholders (%)</t>
  </si>
  <si>
    <t>2758051</t>
  </si>
  <si>
    <t>Matthew Sharpe</t>
  </si>
  <si>
    <t>(212) 761-5156</t>
  </si>
  <si>
    <t>matt.sharpe@morganstanley.com</t>
  </si>
  <si>
    <t>~$690M per year paid down on pension debt, 2019-2021</t>
  </si>
  <si>
    <t>Other Pension Expense, non-operating</t>
  </si>
  <si>
    <t>2018 Guide @ 4Q17: $5.9-6.1B</t>
  </si>
  <si>
    <t>2018 Guide @ 4Q17: $6.1-6.3B</t>
  </si>
  <si>
    <t>2018 Guide @ 4Q17: $8.4-8.6B</t>
  </si>
  <si>
    <t>2018 Guide @ 4Q17: $6.5-6.7B</t>
  </si>
  <si>
    <t>2018 Guide @ 4Q17: =/+ $650M</t>
  </si>
  <si>
    <t>2018 Guide @ 4Q17: $10M</t>
  </si>
  <si>
    <t>2018 Guide @ 4Q17: $1.4-1.5B</t>
  </si>
  <si>
    <t>2018 Guide @ 4Q17: $26.4-26.9B</t>
  </si>
  <si>
    <t>2018 Guide @ 4Q17: 16.4-16.6%</t>
  </si>
  <si>
    <t>2018 Guide @ 4Q17: 7.6-7.8%</t>
  </si>
  <si>
    <t>2018 Guide @ 4Q17: 13.1-13.3%</t>
  </si>
  <si>
    <t>2018 Guide @ 4Q17: 12.3-12.5%</t>
  </si>
  <si>
    <t>2018 Guide @ 4Q17: 6.0-8.0%</t>
  </si>
  <si>
    <t>2018 Guide @ 4Q17: $128M</t>
  </si>
  <si>
    <t>2018 Guide @ 4Q17: $145-150M</t>
  </si>
  <si>
    <t>2018 Guide @ 4Q17: $75-80M</t>
  </si>
  <si>
    <t>2018 Guide @ 4Q17: 12.5-12.7%</t>
  </si>
  <si>
    <t>2018 Guide @ 4Q17: $1,416M</t>
  </si>
  <si>
    <t>2018 Guide @ 4Q17: $958M</t>
  </si>
  <si>
    <t>2018 Guide @ 4Q17: $180-185M</t>
  </si>
  <si>
    <t>Includes interest on debt from assumed pension pre-funding</t>
  </si>
  <si>
    <t>2018 Guide @ 4Q17: 287-289</t>
  </si>
  <si>
    <t>2018 Guide @ 4Q17: ~19.0%</t>
  </si>
  <si>
    <t>2018 Guide @ 4Q17: $9.55-9.75</t>
  </si>
  <si>
    <t>2018 Guide @ 4Q17: $3.6-4.0B</t>
  </si>
  <si>
    <t>Flat due to ramp-down of Warfighter FOCUS</t>
  </si>
  <si>
    <t>Excluding this program, LSD-MSD</t>
  </si>
  <si>
    <t>Software typically is ~10%</t>
  </si>
  <si>
    <t>2018 Guide @ 4Q17: $910-950M (includes software)</t>
  </si>
  <si>
    <t>2017A (Restated)</t>
  </si>
  <si>
    <t>Tax Rate Change (0% / 0% / 0%)</t>
  </si>
  <si>
    <t>Includes ~$2B of pension funding</t>
  </si>
  <si>
    <t>245</t>
  </si>
  <si>
    <t>Research</t>
  </si>
  <si>
    <t>MSA91FHR</t>
  </si>
  <si>
    <t>e = Morgan Stanley Research estimates unless otherwise noted</t>
  </si>
  <si>
    <t>Source: Morgan Stanley Research unless otherwise noted</t>
  </si>
  <si>
    <t>Stocks ratings are relative to the analyst's industry coverage universe.</t>
  </si>
  <si>
    <t>1585 Broadway</t>
  </si>
  <si>
    <t>New York, NY  10036-8293</t>
  </si>
  <si>
    <t>United States</t>
  </si>
  <si>
    <t>Tel: +1 (1)212 761 4000</t>
  </si>
  <si>
    <t>Authors: Rajeev Lalwani</t>
  </si>
  <si>
    <t>Date: 11 Apr 2018</t>
  </si>
  <si>
    <t>Ticker: RTN.N</t>
  </si>
  <si>
    <t>Stock Rating: Overweight</t>
  </si>
  <si>
    <t>Industry: Aerospace &amp; Defense</t>
  </si>
  <si>
    <t>Industry View: In-Line</t>
  </si>
  <si>
    <t>Price as of 11 Apr 2018: 220.28</t>
  </si>
  <si>
    <t>Target Price: 238</t>
  </si>
  <si>
    <t>Analyst Certification</t>
  </si>
  <si>
    <t>Unless otherwise stated, the individuals listed on the cover page of this report are research analysts.</t>
  </si>
  <si>
    <t>Global Research Conflict Management Policy</t>
  </si>
  <si>
    <t>Important US Regulatory Disclosures on Subject Companies</t>
  </si>
  <si>
    <t>Morgan Stanley &amp; Co. LLC makes a market in the securities of Raytheon Co.</t>
  </si>
  <si>
    <t>STOCK RATINGS</t>
  </si>
  <si>
    <t>Global Stock Ratings Distribution</t>
  </si>
  <si>
    <t>(as of March 31, 2018)</t>
  </si>
  <si>
    <t>Coverage Universe</t>
  </si>
  <si>
    <t>Investment Banking Clients (IBC)</t>
  </si>
  <si>
    <t>Other Material Investment Services Clients (MISC)</t>
  </si>
  <si>
    <t>Stock Rating Category</t>
  </si>
  <si>
    <t>% of Total</t>
  </si>
  <si>
    <t>% of Total IBC</t>
  </si>
  <si>
    <t>% of Rating Category</t>
  </si>
  <si>
    <t>% of Total Other MISC</t>
  </si>
  <si>
    <t>Overweight/Buy</t>
  </si>
  <si>
    <t>Equal-weight/Hold</t>
  </si>
  <si>
    <t>Not-Rated/Hold</t>
  </si>
  <si>
    <t>Underweight/Sell</t>
  </si>
  <si>
    <t>Analyst Stock Ratings</t>
  </si>
  <si>
    <t>Analyst Industry Views</t>
  </si>
  <si>
    <t>.</t>
  </si>
  <si>
    <t>Stock Price, Price Target and Rating History (See Rating Definitions)</t>
  </si>
  <si>
    <t>Important Disclosures for Morgan Stanley Smith Barney LLC Customers</t>
  </si>
  <si>
    <t>Other Important Disclosures</t>
  </si>
  <si>
    <t>Morgan Stanley Research, or any portion thereof may not be reprinted, sold or redistributed without the</t>
  </si>
  <si>
    <t>written consent of Morgan Stanley.</t>
  </si>
  <si>
    <t>The trademarks and service marks contained in Morgan Stanley Research are the property of their</t>
  </si>
  <si>
    <t>respective owners. Third-party data providers make no warranties or representations relating to the</t>
  </si>
  <si>
    <t>accuracy, completeness, or timeliness of the data they provide and shall not have liability for any</t>
  </si>
  <si>
    <t>damages relating to such data. The Global Industry Classification Standard (GICS) was developed by and</t>
  </si>
  <si>
    <t>is the exclusive property of MSCI and S&amp;P.</t>
  </si>
  <si>
    <t>As required by the Capital Markets Board of Turkey, investment information, comments and recommendations</t>
  </si>
  <si>
    <t>stated here, are not within the scope of investment advisory activity. Investment advisory service is</t>
  </si>
  <si>
    <t>provided exclusively to persons based on their risk and income preferences by the authorized firms.</t>
  </si>
  <si>
    <t>Comments and recommendations stated here are general in nature. These opinions may not fit to your</t>
  </si>
  <si>
    <t>financial status, risk and return preferences. For this reason, to make an investment decision by</t>
  </si>
  <si>
    <t>relying solely to this information stated here may not bring about outcomes that fit your expectations.</t>
  </si>
  <si>
    <t>The information in Morgan Stanley Research is being communicated by Morgan Stanley &amp; Co. International</t>
  </si>
  <si>
    <t>plc (QFC Branch), regulated by the Qatar Financial Centre Regulatory Authority (the QFCRA), and is</t>
  </si>
  <si>
    <t>directed at business customers and market counterparties only and is not intended for Retail Customers</t>
  </si>
  <si>
    <t>as defined by the QFCRA.</t>
  </si>
  <si>
    <t>plc (DIFC Branch), regulated by the Dubai Financial Services Authority (the DFSA), and is directed at</t>
  </si>
  <si>
    <t>Professional Clients only, as defined by the DFSA. The financial products or financial services to which</t>
  </si>
  <si>
    <t>this research relates will only be made available to a customer who we are satisfied meets the</t>
  </si>
  <si>
    <t>regulatory criteria to be a Professional Client.</t>
  </si>
  <si>
    <t>Morgan Stanley Research is disseminated in Brazil by Morgan Stanley C.T.V.M. S.A.; in Mexico by Morgan</t>
  </si>
  <si>
    <t>Stanley México, Casa de Bolsa, S.A. de C.V which is regulated by Comision Nacional Bancaria y de</t>
  </si>
  <si>
    <t>Valores. Paseo de los Tamarindos 90, Torre 1, Col. Bosques de las Lomas Floor 29, 05120 Mexico City; in</t>
  </si>
  <si>
    <t>Japan by Morgan Stanley MUFG Securities Co., Ltd. and, for Commodities related research reports only,</t>
  </si>
  <si>
    <t>Morgan Stanley Capital Group Japan Co., Ltd; in Hong Kong by Morgan Stanley Asia Limited (which accepts</t>
  </si>
  <si>
    <t>responsibility for its contents) and by Morgan Stanley Asia International Limited, Hong Kong Branch; in</t>
  </si>
  <si>
    <t>Singapore by Morgan Stanley Asia (Singapore) Pte. (Registration number 199206298Z) and/or Morgan Stanley</t>
  </si>
  <si>
    <t>Asia (Singapore) Securities Pte Ltd (Registration number 200008434H), regulated by the Monetary</t>
  </si>
  <si>
    <t>Authority of Singapore (which accepts legal responsibility for its contents and should be contacted with</t>
  </si>
  <si>
    <t>respect to any matters arising from, or in connection with, Morgan Stanley Research) and by Morgan</t>
  </si>
  <si>
    <t>Stanley Asia International Limited, Singapore Branch (Registration number T11FC0207F); in Australia to</t>
  </si>
  <si>
    <t>"wholesale clients" within the meaning of the Australian Corporations Act by Morgan Stanley Australia</t>
  </si>
  <si>
    <t>Limited A.B.N. 67 003 734 576, holder of Australian financial services license No. 233742, which accepts</t>
  </si>
  <si>
    <t>responsibility for its contents; in Australia to "wholesale clients" and "retail clients" within the</t>
  </si>
  <si>
    <t>meaning of the Australian Corporations Act by Morgan Stanley Wealth Management Australia Pty Ltd (A.B.N.</t>
  </si>
  <si>
    <t>19 009 145 555, holder of Australian financial services license No. 240813, which accepts responsibility</t>
  </si>
  <si>
    <t>for its contents; in Korea by Morgan Stanley &amp; Co International plc, Seoul Branch; in India by Morgan</t>
  </si>
  <si>
    <t>Stanley India Company Private Limited; in Indonesia by PT. Morgan Stanley Sekuritas Indonesia; in Canada</t>
  </si>
  <si>
    <t>by Morgan Stanley Canada Limited, which has approved of and takes responsibility for its contents in</t>
  </si>
  <si>
    <t>Canada; in Germany by Morgan Stanley Bank AG, Frankfurt am Main and Morgan Stanley Private Wealth</t>
  </si>
  <si>
    <t>Management Limited, Niederlassung Deutschland, regulated by Bundesanstalt fuer</t>
  </si>
  <si>
    <t>Finanzdienstleistungsaufsicht (BaFin); in Spain by Morgan Stanley, S.V., S.A., a Morgan Stanley group</t>
  </si>
  <si>
    <t>company, which is supervised by the Spanish Securities Markets Commission (CNMV) and states that Morgan</t>
  </si>
  <si>
    <t>Stanley Research has been written and distributed in accordance with the rules of conduct applicable to</t>
  </si>
  <si>
    <t>financial research as established under Spanish regulations; in the US by Morgan Stanley &amp; Co. LLC,</t>
  </si>
  <si>
    <t>which accepts responsibility for its contents. Morgan Stanley &amp; Co. International plc, authorized by the</t>
  </si>
  <si>
    <t>Prudential Regulatory Authority and regulated by the Financial Conduct Authority and the Prudential</t>
  </si>
  <si>
    <t>Regulatory Authority, disseminates in the UK research that it has prepared, and approves solely for the</t>
  </si>
  <si>
    <t>purposes of section 21 of the Financial Services and Markets Act 2000, research which has been prepared</t>
  </si>
  <si>
    <t>by any of its affiliates. RMB Morgan Stanley Proprietary Limited is a member of the JSE Limited and</t>
  </si>
  <si>
    <t>regulated by the Financial Services Board in South Africa. RMB Morgan Stanley Proprietary Limited is a</t>
  </si>
  <si>
    <t>joint venture owned equally by Morgan Stanley International Holdings Inc. and RMB Investment Advisory</t>
  </si>
  <si>
    <t>(Proprietary) Limited, which is wholly owned by FirstRand Limited. The information in Morgan Stanley</t>
  </si>
  <si>
    <t>Research is being disseminated by Morgan Stanley Saudi Arabia, regulated by the Capital Market Authority</t>
  </si>
  <si>
    <t>in the Kingdom of Saudi Arabia , and is directed at Sophisticated investors only.</t>
  </si>
  <si>
    <t>Morgan Stanley is not incorporated under PRC law and the research in relation to this report is</t>
  </si>
  <si>
    <t>conducted outside the PRC. Morgan Stanley Research does not constitute an offer to sell or the</t>
  </si>
  <si>
    <t>solicitation of an offer to buy any securities in the PRC. PRC investors shall have the relevant</t>
  </si>
  <si>
    <t>qualifications to invest in such securities and shall be responsible for obtaining all relevant</t>
  </si>
  <si>
    <t>approvals, licenses, verifications and/or registrations from the relevant governmental authorities</t>
  </si>
  <si>
    <t>themselves. Neither this report nor any part of it is intended as, or shall constitute, provision of any</t>
  </si>
  <si>
    <t>consultancy or advisory service of securities investment as defined under PRC law. Such information is</t>
  </si>
  <si>
    <t>provided for your reference only.</t>
  </si>
  <si>
    <t>To our readers based in Taiwan or trading in Taiwan securities/instruments: Information on</t>
  </si>
  <si>
    <t>securities/instruments that trade in Taiwan is distributed by Morgan Stanley Taiwan Limited ("MSTL").</t>
  </si>
  <si>
    <t>Such information is for your reference only. The reader should independently evaluate the investment</t>
  </si>
  <si>
    <t>risks and is solely responsible for their investment decisions. Morgan Stanley Research may not be</t>
  </si>
  <si>
    <t>distributed to the public media or quoted or used by the public media without the express written</t>
  </si>
  <si>
    <t>consent of Morgan Stanley. Any non-customer reader within the scope of Article 7-1 of the Taiwan Stock</t>
  </si>
  <si>
    <t>Exchange Recommendation Regulations accessing and/or receiving Morgan Stanley Research is not permitted</t>
  </si>
  <si>
    <t>to provide Morgan Stanley Research to any third party (including but not limited to related parties,</t>
  </si>
  <si>
    <t>affiliated companies and any other third parties) or engage in any activities regarding Morgan Stanley</t>
  </si>
  <si>
    <t>Research which may create or give the appearance of creating a conflict of interest. Information on</t>
  </si>
  <si>
    <t>securities/instruments that do not trade in Taiwan is for informational purposes only and is not to be</t>
  </si>
  <si>
    <t>construed as a recommendation or a solicitation to trade in such securities/instruments. MSTL may not</t>
  </si>
  <si>
    <t>execute transactions for clients in these securities/instruments.</t>
  </si>
  <si>
    <t>Morgan Stanley may make investment decisions that are inconsistent with the recommendations or views in</t>
  </si>
  <si>
    <t>this report.</t>
  </si>
  <si>
    <t>Morgan Stanley Research personnel may participate in company events such as site visits and are</t>
  </si>
  <si>
    <t>generally prohibited from accepting payment by the company of associated expenses unless pre-approved by</t>
  </si>
  <si>
    <t>authorized members of Research management.</t>
  </si>
  <si>
    <t>With the exception of information regarding Morgan Stanley, Morgan Stanley Research is based on public</t>
  </si>
  <si>
    <t>information. Morgan Stanley makes every effort to use reliable, comprehensive information, but we make</t>
  </si>
  <si>
    <t>no representation that it is accurate or complete. We have no obligation to tell you when opinions or</t>
  </si>
  <si>
    <t>information in Morgan Stanley Research change apart from when we intend to discontinue equity research</t>
  </si>
  <si>
    <t>coverage of a subject company. Facts and views presented in Morgan Stanley Research have not been</t>
  </si>
  <si>
    <t>reviewed by, and may not reflect information known to, professionals in other Morgan Stanley business</t>
  </si>
  <si>
    <t>areas, including investment banking personnel.</t>
  </si>
  <si>
    <t>The "Important US Regulatory Disclosures on Subject Companies" section in Morgan Stanley Research lists</t>
  </si>
  <si>
    <t>all companies mentioned where Morgan Stanley owns 1% or more of a class of common equity securities of</t>
  </si>
  <si>
    <t>the companies. For all other companies mentioned in Morgan Stanley Research, Morgan Stanley may have an</t>
  </si>
  <si>
    <t>investment of less than 1% in securities/instruments or derivatives of securities/instruments of</t>
  </si>
  <si>
    <t>companies and may trade them in ways different from those discussed in Morgan Stanley Research.</t>
  </si>
  <si>
    <t>Employees of Morgan Stanley not involved in the preparation of Morgan Stanley Research may have</t>
  </si>
  <si>
    <t>investments in securities/instruments or derivatives of securities/instruments of companies mentioned</t>
  </si>
  <si>
    <t>and may trade them in ways different from those discussed in Morgan Stanley Research. Derivatives may be</t>
  </si>
  <si>
    <t>issued by Morgan Stanley or associated persons.</t>
  </si>
  <si>
    <t>The fixed income research analysts, strategists or economists principally responsible for the</t>
  </si>
  <si>
    <t>preparation of Morgan Stanley Research have received compensation based upon various factors, including</t>
  </si>
  <si>
    <t>quality, accuracy and value of research, firm profitability or revenues (which include fixed income</t>
  </si>
  <si>
    <t>trading and capital markets profitability or revenues), client feedback and competitive factors. Fixed</t>
  </si>
  <si>
    <t>Income Research analysts', strategists' or economists' compensation is not linked to investment banking</t>
  </si>
  <si>
    <t>or capital markets transactions performed by Morgan Stanley or the profitability or revenues of</t>
  </si>
  <si>
    <t>particular trading desks.</t>
  </si>
  <si>
    <t>Morgan Stanley Research does not provide individually tailored investment advice. Morgan Stanley</t>
  </si>
  <si>
    <t>Research has been prepared without regard to the circumstances and objectives of those who receive it.</t>
  </si>
  <si>
    <t>Morgan Stanley recommends that investors independently evaluate particular investments and strategies,</t>
  </si>
  <si>
    <t>and encourages investors to seek the advice of a financial adviser. The appropriateness of an investment</t>
  </si>
  <si>
    <t>or strategy will depend on an investor's circumstances and objectives. The securities, instruments, or</t>
  </si>
  <si>
    <t>strategies discussed in Morgan Stanley Research may not be suitable for all investors, and certain</t>
  </si>
  <si>
    <t>investors may not be eligible to purchase or participate in some or all of them. Morgan Stanley Research</t>
  </si>
  <si>
    <t>is not an offer to buy or sell or the solicitation of an offer to buy or sell any security/instrument or</t>
  </si>
  <si>
    <t>to participate in any particular trading strategy. The value of and income from your investments may</t>
  </si>
  <si>
    <t>vary because of changes in interest rates, foreign exchange rates, default rates, prepayment rates,</t>
  </si>
  <si>
    <t>securities/instruments prices, market indexes, operational or financial conditions of companies or other</t>
  </si>
  <si>
    <t>factors. There may be time limitations on the exercise of options or other rights in</t>
  </si>
  <si>
    <t>securities/instruments transactions. Past performance is not necessarily a guide to future performance.</t>
  </si>
  <si>
    <t>Estimates of future performance are based on assumptions that may not be realized. If provided, and</t>
  </si>
  <si>
    <t>unless otherwise stated, the closing price on the cover page is that of the primary exchange for the</t>
  </si>
  <si>
    <t>subject company's securities/instruments.</t>
  </si>
  <si>
    <t>If you do not agree to our Terms of Use and/or if you do not wish to provide your consent to Morgan</t>
  </si>
  <si>
    <t>Stanley processing your personal data or using cookies please do not access our research.</t>
  </si>
  <si>
    <t>Any access and/or use of Morgan Stanley Research is subject to Morgan Stanley's Terms of Use</t>
  </si>
  <si>
    <t>(http://www.morganstanley.com/terms.html). By accessing and/or using Morgan Stanley Research, you are</t>
  </si>
  <si>
    <t>indicating that you have read and agree to be bound by our Terms of Use</t>
  </si>
  <si>
    <t>(http://www.morganstanley.com/terms.html). In addition you consent to Morgan Stanley processing your</t>
  </si>
  <si>
    <t>personal data and using cookies in accordance with our Privacy Policy and our Global Cookies Policy</t>
  </si>
  <si>
    <t>(http://www.morganstanley.com/privacy_pledge.html), including for the purposes of setting your</t>
  </si>
  <si>
    <t>preferences and to collect readership data so that we can deliver better and more personalized service</t>
  </si>
  <si>
    <t>and products to you. To find out more information about how Morgan Stanley processes personal data, how</t>
  </si>
  <si>
    <t>we use cookies and how to reject cookies see our Privacy Policy and our Global Cookies Policy</t>
  </si>
  <si>
    <t>(http://www.morganstanley.com/privacy_pledge.html).</t>
  </si>
  <si>
    <t>Morgan Stanley Research is provided to our clients through our proprietary research portal on Matrix and</t>
  </si>
  <si>
    <t>also distributed electronically by Morgan Stanley to clients. Certain, but not all, Morgan Stanley</t>
  </si>
  <si>
    <t>Research products are also made available to clients through third-party vendors or redistributed to</t>
  </si>
  <si>
    <t>clients through alternate electronic means as a convenience. For access to all available Morgan Stanley</t>
  </si>
  <si>
    <t>Research, please contact your sales representative or go to Matrix at</t>
  </si>
  <si>
    <t>http://www.morganstanley.com/matrix.</t>
  </si>
  <si>
    <t>Morgan Stanley produces an equity research product called a "Tactical Idea." Views contained in a</t>
  </si>
  <si>
    <t>"Tactical Idea" on a particular stock may be contrary to the recommendations or views expressed in</t>
  </si>
  <si>
    <t>research on the same stock. This may be the result of differing time horizons, methodologies, market</t>
  </si>
  <si>
    <t>events, or other factors. For all research available on a particular stock, please contact your sales</t>
  </si>
  <si>
    <t>representative or go to Matrix at http://www.morganstanley.com/matrix.</t>
  </si>
  <si>
    <t>Morgan Stanley is not acting as a municipal advisor and the opinions or views contained herein are not</t>
  </si>
  <si>
    <t>intended to be, and do not constitute, advice within the meaning of Section 975 of the Dodd-Frank Wall</t>
  </si>
  <si>
    <t>Street Reform and Consumer Protection Act.</t>
  </si>
  <si>
    <t>Morgan Stanley Research policy is to update research reports as and when the Research Analyst and</t>
  </si>
  <si>
    <t>Research Management deem appropriate, based on developments with the issuer, the sector, or the market</t>
  </si>
  <si>
    <t>that may have a material impact on the research views or opinions stated therein. In addition, certain</t>
  </si>
  <si>
    <t>Research publications are intended to be updated on a regular periodic basis</t>
  </si>
  <si>
    <t>(weekly/monthly/quarterly/annual) and will ordinarily be updated with that frequency, unless the</t>
  </si>
  <si>
    <t>Research Analyst and Research Management determine that a different publication schedule is appropriate</t>
  </si>
  <si>
    <t>based on current conditions.</t>
  </si>
  <si>
    <t>Morgan Stanley &amp; Co. International PLC and its affiliates have a significant financial interest in the</t>
  </si>
  <si>
    <t>debt securities of Raytheon Co.</t>
  </si>
  <si>
    <t>Each Morgan Stanley Equity Research report is reviewed and approved on behalf of Morgan Stanley Smith</t>
  </si>
  <si>
    <t>Barney LLC. This review and approval is conducted by the same person who reviews the Equity Research</t>
  </si>
  <si>
    <t>report on behalf of Morgan Stanley. This could create a conflict of interest.</t>
  </si>
  <si>
    <t>Important disclosures regarding the relationship between the companies that are the subject of Morgan</t>
  </si>
  <si>
    <t>Stanley Research and Morgan Stanley Smith Barney LLC or Morgan Stanley or any of their affiliates, are</t>
  </si>
  <si>
    <t>available on the Morgan Stanley Wealth Management disclosure website at</t>
  </si>
  <si>
    <t>www.morganstanley.com/online/researchdisclosures. For Morgan Stanley specific disclosures, you may refer</t>
  </si>
  <si>
    <t>to www.morganstanley.com/researchdisclosures.</t>
  </si>
  <si>
    <t>Benchmarks for each region are as follows: North America - S&amp;P 500; Latin America - relevant MSCI</t>
  </si>
  <si>
    <t>country index or MSCI Latin America Index; Europe - MSCI Europe; Japan - TOPIX; Asia - relevant MSCI</t>
  </si>
  <si>
    <t>country index or MSCI sub-regional index or MSCI AC Asia Pacific ex Japan Index.</t>
  </si>
  <si>
    <t>Cautious (C): The analyst views the performance of his or her industry coverage universe over the next</t>
  </si>
  <si>
    <t>12-18 months with caution vs. the relevant broad market benchmark, as indicated below.</t>
  </si>
  <si>
    <t>In-Line (I): The analyst expects the performance of his or her industry coverage universe over the next</t>
  </si>
  <si>
    <t>12-18 months to be in line with the relevant broad market benchmark, as indicated below.</t>
  </si>
  <si>
    <t>Attractive (A): The analyst expects the performance of his or her industry coverage universe over the</t>
  </si>
  <si>
    <t>next 12-18 months to be attractive vs. the relevant broad market benchmark, as indicated below.</t>
  </si>
  <si>
    <t>Unless otherwise specified, the time frame for price targets included in Morgan Stanley Research is 12</t>
  </si>
  <si>
    <t>to 18 months.</t>
  </si>
  <si>
    <t>Underweight (U). The stock's total return is expected to be below the average total return of the</t>
  </si>
  <si>
    <t>analyst's industry (or industry team's) coverage universe, on a risk-adjusted basis, over the next 12-18</t>
  </si>
  <si>
    <t>months.</t>
  </si>
  <si>
    <t>Not-Rated (NR). Currently the analyst does not have adequate conviction about the stock's total return</t>
  </si>
  <si>
    <t>relative to the average total return of the analyst's industry (or industry team's) coverage universe,</t>
  </si>
  <si>
    <t>on a risk-adjusted basis, over the next 12-18 months.</t>
  </si>
  <si>
    <t>Equal-weight (E). The stock's total return is expected to be in line with the average total return of</t>
  </si>
  <si>
    <t>the analyst's industry (or industry team's) coverage universe, on a risk-adjusted basis, over the next</t>
  </si>
  <si>
    <t>12-18 months.</t>
  </si>
  <si>
    <t>Overweight (O). The stock's total return is expected to exceed the average total return of the analyst's</t>
  </si>
  <si>
    <t>industry (or industry team's) coverage universe, on a risk-adjusted basis, over the next 12-18 months.</t>
  </si>
  <si>
    <t>Data include common stock and ADRs currently assigned ratings. Investment Banking Clients are companies</t>
  </si>
  <si>
    <t>from whom Morgan Stanley received investment banking compensation in the last 12 months. Due to rounding</t>
  </si>
  <si>
    <t>off of decimals, the percentages provided in the "% of total" column may not add up to exactly 100</t>
  </si>
  <si>
    <t>percent.</t>
  </si>
  <si>
    <t>For disclosure purposes only (in accordance with NASD and NYSE requirements), we include the category</t>
  </si>
  <si>
    <t>headings of Buy, Hold, and Sell alongside our ratings of Overweight, Equal-weight, Not-Rated and</t>
  </si>
  <si>
    <t>Underweight. Morgan Stanley does not assign ratings of Buy, Hold or Sell to the stocks we cover.</t>
  </si>
  <si>
    <t>Overweight, Equal-weight, Not-Rated and Underweight are not the equivalent of buy, hold, and sell but</t>
  </si>
  <si>
    <t>represent recommended relative weightings (see definitions below). To satisfy regulatory requirements,</t>
  </si>
  <si>
    <t>we correspond Overweight, our most positive stock rating, with a buy recommendation; we correspond</t>
  </si>
  <si>
    <t>Equal-weight and Not-Rated to hold and Underweight to sell recommendations, respectively.</t>
  </si>
  <si>
    <t>The Stock Ratings described below apply to Morgan Stanley's Fundamental Equity Research and do not apply</t>
  </si>
  <si>
    <t>to Debt Research produced by the Firm.</t>
  </si>
  <si>
    <t>Morgan Stanley uses a relative rating system using terms such as Overweight, Equal-weight, Not-Rated or</t>
  </si>
  <si>
    <t>Underweight (see definitions below). Morgan Stanley does not assign ratings of Buy, Hold or Sell to the</t>
  </si>
  <si>
    <t>stocks we cover. Overweight, Equal-weight, Not-Rated and Underweight are not the equivalent of buy, hold</t>
  </si>
  <si>
    <t>and sell. Investors should carefully read the definitions of all ratings used in Morgan Stanley</t>
  </si>
  <si>
    <t>Research. In addition, since Morgan Stanley Research contains more complete information concerning the</t>
  </si>
  <si>
    <t>analyst's views, investors should carefully read Morgan Stanley Research, in its entirety, and not infer</t>
  </si>
  <si>
    <t>the contents from the rating alone. In any case, ratings (or research) should not be used or relied upon</t>
  </si>
  <si>
    <t>as investment advice. An investor's decision to buy or sell a stock should depend on individual</t>
  </si>
  <si>
    <t>circumstances (such as the investor's existing holdings) and other considerations.</t>
  </si>
  <si>
    <t>Certain disclosures listed above are also for compliance with applicable regulations in non-US</t>
  </si>
  <si>
    <t>jurisdictions.</t>
  </si>
  <si>
    <t>Morgan Stanley and its affiliates do business that relates to companies/instruments covered in Morgan</t>
  </si>
  <si>
    <t>Stanley Research, including market making, providing liquidity, fund management, commercial banking,</t>
  </si>
  <si>
    <t>extension of credit, investment services and investment banking. Morgan Stanley sells to and buys from</t>
  </si>
  <si>
    <t>customers the securities/instruments of companies covered in Morgan Stanley Research on a principal</t>
  </si>
  <si>
    <t>basis. Morgan Stanley may have a position in the debt of the Company or instruments discussed in this</t>
  </si>
  <si>
    <t>report. Morgan Stanley trades or may trade as principal in the debt securities (or in related</t>
  </si>
  <si>
    <t>derivatives) that are the subject of the debt research report.</t>
  </si>
  <si>
    <t>The equity research analysts or strategists principally responsible for the preparation of Morgan</t>
  </si>
  <si>
    <t>Stanley Research have received compensation based upon various factors, including quality of research,</t>
  </si>
  <si>
    <t>investor client feedback, stock picking, competitive factors, firm revenues and overall investment</t>
  </si>
  <si>
    <t>banking revenues. Equity Research analysts' or strategists' compensation is not linked to investment</t>
  </si>
  <si>
    <t>banking or capital markets transactions performed by Morgan Stanley or the profitability or revenues of</t>
  </si>
  <si>
    <t>Within the last 12 months, Morgan Stanley has either provided or is providing non-investment banking,</t>
  </si>
  <si>
    <t>securities-related services to and/or in the past has entered into an agreement to provide services or</t>
  </si>
  <si>
    <t>has a client relationship with the following company: Raytheon Co.</t>
  </si>
  <si>
    <t>Within the last 12 months, Morgan Stanley has provided or is providing investment banking services to,</t>
  </si>
  <si>
    <t>or has an investment banking client relationship with, the following company: Raytheon Co.</t>
  </si>
  <si>
    <t>Within the last 12 months, Morgan Stanley has received compensation for products and services other than</t>
  </si>
  <si>
    <t>investment banking services from Raytheon Co.</t>
  </si>
  <si>
    <t>In the next 3 months, Morgan Stanley expects to receive or intends to seek compensation for investment</t>
  </si>
  <si>
    <t>banking services from Raytheon Co.</t>
  </si>
  <si>
    <t>As of March 29, 2018, Morgan Stanley beneficially owned 1% or more of a class of common equity</t>
  </si>
  <si>
    <t>securities of the following companies covered in Morgan Stanley Research: Raytheon Co.</t>
  </si>
  <si>
    <t>Morgan Stanley Research has been published in accordance with our conflict management policy, which is</t>
  </si>
  <si>
    <t>available at www.morganstanley.com/institutional/research/conflictpolicies.</t>
  </si>
  <si>
    <t>The following analysts hereby certify that their views about the companies and their securities</t>
  </si>
  <si>
    <t>discussed in this report are accurately expressed and that they have not received and will not receive</t>
  </si>
  <si>
    <t>direct or indirect compensation in exchange for expressing specific recommendations or views in this</t>
  </si>
  <si>
    <t>report: Rajeev Lalwani, CFA.</t>
  </si>
  <si>
    <t>For valuation methodology and risks associated with any recommendation, rating or price target</t>
  </si>
  <si>
    <t>referenced in this research report, please contact the Client Support Team as follows: US/Canada +1 800</t>
  </si>
  <si>
    <t>303-2495; Hong Kong +852 2848-5999; Latin America +1 718 754-5444 (U.S.); London +44 (0)20-7425-8169;</t>
  </si>
  <si>
    <t>Singapore +65 6834-6860; Sydney +61 (0)2-9770-1505; Tokyo +81 (0)3-6836-9000. Alternatively you may</t>
  </si>
  <si>
    <t>contact your investment representative or Morgan Stanley Research at 1585 Broadway, (Attention: Research</t>
  </si>
  <si>
    <t>Management), New York, NY 10036 USA.</t>
  </si>
  <si>
    <t>For important disclosures, stock price charts and equity rating histories regarding companies that are</t>
  </si>
  <si>
    <t>the subject of this report, please see the Morgan Stanley Research Disclosure Website at</t>
  </si>
  <si>
    <t>www.morganstanley.com/researchdisclosures, or contact your investment representative or Morgan Stanley</t>
  </si>
  <si>
    <t>Research at 1585 Broadway, (Attention: Research Management), New York, NY, 10036 USA.</t>
  </si>
  <si>
    <t>The information and opinions in Morgan Stanley Research were prepared by Morgan Stanley &amp; Co. LLC,</t>
  </si>
  <si>
    <t>and/or Morgan Stanley C.T.V.M. S.A., and/or Morgan Stanley Mexico, Casa de Bolsa, S.A. de C.V., and/or</t>
  </si>
  <si>
    <t>Morgan Stanley Canada Limited. As used in this disclosure section, "Morgan Stanley" includes Morgan</t>
  </si>
  <si>
    <t>Stanley &amp; Co. LLC, Morgan Stanley C.T.V.M. S.A., Morgan Stanley Mexico, Casa de Bolsa, S.A. de C.V.,</t>
  </si>
  <si>
    <t>Morgan Stanley Canada Limited and their affiliates as necessary.</t>
  </si>
  <si>
    <t>Morgan Stanley does and seeks to do business with companies covered in Morgan Stanley Research. As a</t>
  </si>
  <si>
    <t>result, investors should be aware that the firm may have a conflict of interest that could affect the</t>
  </si>
  <si>
    <t>objectivity of Morgan Stanley Research. Investors should consider Morgan Stanley Research as only a</t>
  </si>
  <si>
    <t>single factor in making their investment decision.</t>
  </si>
  <si>
    <t>© Copyright 2018 Morgan Stanley</t>
  </si>
  <si>
    <t>MacroVersion</t>
  </si>
  <si>
    <t>PublishDate</t>
  </si>
  <si>
    <t>Discipline</t>
  </si>
  <si>
    <t>ResearchTopic</t>
  </si>
  <si>
    <t>Company</t>
  </si>
  <si>
    <t>DocType</t>
  </si>
  <si>
    <t>Model</t>
  </si>
  <si>
    <t>SubjectCode</t>
  </si>
  <si>
    <t>Description</t>
  </si>
  <si>
    <t>KeepVersions</t>
  </si>
  <si>
    <t>All</t>
  </si>
  <si>
    <t>Rating</t>
  </si>
  <si>
    <t>CurrYearTotalRevenue*</t>
  </si>
  <si>
    <t>CurrYearEPS*</t>
  </si>
  <si>
    <t>NextYearTotalRevenue*</t>
  </si>
  <si>
    <t>NextYearEPS*</t>
  </si>
  <si>
    <t>FollowingYearTotalRevenue*</t>
  </si>
  <si>
    <t>FollowingYearEPS*</t>
  </si>
  <si>
    <t>5YearGrowthRate</t>
  </si>
  <si>
    <t>UpdateReason</t>
  </si>
  <si>
    <t>Authors</t>
  </si>
  <si>
    <t>Tickers</t>
  </si>
  <si>
    <t>CUSIP</t>
  </si>
  <si>
    <t>RIC</t>
  </si>
  <si>
    <t>SEDOL</t>
  </si>
  <si>
    <t xml:space="preserve"> </t>
  </si>
  <si>
    <t>PathName</t>
  </si>
  <si>
    <t>Distribution</t>
  </si>
  <si>
    <t>Deleted</t>
  </si>
  <si>
    <t>NO</t>
  </si>
  <si>
    <t>EmailAlert</t>
  </si>
  <si>
    <t>YES</t>
  </si>
  <si>
    <t>CurrQtrEPS</t>
  </si>
  <si>
    <t>CYEnd</t>
  </si>
  <si>
    <t>CQEnd</t>
  </si>
  <si>
    <t>CurrYearTotalRevenueActual*</t>
  </si>
  <si>
    <t>NextYearTotalRevenueActual*</t>
  </si>
  <si>
    <t>FollowingYearTotalRevenueActual*</t>
  </si>
  <si>
    <t>Multiplier</t>
  </si>
  <si>
    <t>TemplateRegion</t>
  </si>
  <si>
    <t>ObjectType</t>
  </si>
  <si>
    <t>excel</t>
  </si>
  <si>
    <t>LanguageCode</t>
  </si>
  <si>
    <t>en-US</t>
  </si>
  <si>
    <t>SubmitterUserId</t>
  </si>
  <si>
    <t>IndustryId</t>
  </si>
  <si>
    <t>TickerRegion</t>
  </si>
  <si>
    <t>AdditionalInstructions</t>
  </si>
  <si>
    <t>*Estimated</t>
  </si>
  <si>
    <t>Overweight / In-Line</t>
  </si>
  <si>
    <t>Regular Update</t>
  </si>
  <si>
    <t>NorthAmerica</t>
  </si>
  <si>
    <t>sharpmat</t>
  </si>
  <si>
    <t>L:\AERO\Companies\RTN\RTN.model.WIP.xlsm</t>
  </si>
  <si>
    <t>[BRO MSA]</t>
  </si>
  <si>
    <t>[PRODUCT MODEL]</t>
  </si>
  <si>
    <t>[EMAIL_ALERT YES]</t>
  </si>
  <si>
    <t>[DISCIPLINE Company]</t>
  </si>
  <si>
    <t>[SUPPRESSED NO]</t>
  </si>
  <si>
    <t>[DOCDAT 2018-04-11]</t>
  </si>
  <si>
    <t>[DOCTIME 12:46]</t>
  </si>
  <si>
    <t>[PSYM RTN.N(S&amp;P) (None)]</t>
  </si>
  <si>
    <t>[COU 1]</t>
  </si>
  <si>
    <t>[ANA ]</t>
  </si>
  <si>
    <t>[HL RTN.N Model]</t>
  </si>
  <si>
    <t>[IND AERODF DEFENS]</t>
  </si>
  <si>
    <t>[PANA MSA91FHR]</t>
  </si>
  <si>
    <t xml:space="preserve">The following analyst, strategist, or research associate received compensation in the last 12 months </t>
  </si>
  <si>
    <t xml:space="preserve">from a company that he or she covers or recommends in this report: Matthew Sharpe- Raytheon Co.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</si>
</sst>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4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5" formatCode="_(* #,##0_);_(* \(#,##0\);_(* &quot;-&quot;??_);_(@_)"/>
    <numFmt numFmtId="166" formatCode="0.00_)"/>
    <numFmt numFmtId="167" formatCode="&quot;$&quot;#,##0.00"/>
    <numFmt numFmtId="168" formatCode="_(* #,##0.0_);_(* \(#,##0.0\);_(* &quot;-&quot;??_);_(@_)"/>
    <numFmt numFmtId="169" formatCode="&quot;$&quot;#,##0.0_);\(&quot;$&quot;#,##0.0\)"/>
    <numFmt numFmtId="170" formatCode="#,##0.0_);\(#,##0.0\)"/>
    <numFmt numFmtId="171" formatCode="#,##0.0%_);\(#,##0.0%\)"/>
    <numFmt numFmtId="172" formatCode="#,##0%_);\(#,##0%\)"/>
    <numFmt numFmtId="173" formatCode="0.0%"/>
    <numFmt numFmtId="174" formatCode="_ * #,##0_ ;_ * \-#,##0_ ;_ * &quot;-&quot;_ ;_ @_ "/>
    <numFmt numFmtId="175" formatCode="#,##0.0\x_)"/>
    <numFmt numFmtId="176" formatCode="0.0"/>
    <numFmt numFmtId="177" formatCode="&quot;$&quot;#,##0.000_);\(&quot;$&quot;#,##0.000\)"/>
    <numFmt numFmtId="178" formatCode="0.0\x"/>
    <numFmt numFmtId="179" formatCode="#,##0.0"/>
    <numFmt numFmtId="180" formatCode="&quot;$&quot;#,##0"/>
    <numFmt numFmtId="181" formatCode="&quot;$&quot;#,##0.0"/>
    <numFmt numFmtId="182" formatCode="0_);\(0\)"/>
    <numFmt numFmtId="184" formatCode="_(* #,##0.000_);_(* \(#,##0.000\);_(* &quot;-&quot;???_);_(@_)"/>
    <numFmt numFmtId="185" formatCode="0.0000"/>
    <numFmt numFmtId="186" formatCode="0.00\x"/>
    <numFmt numFmtId="187" formatCode="[$-F400]h:mm:ss\ AM/PM"/>
    <numFmt numFmtId="188" formatCode="0&quot;E&quot;"/>
    <numFmt numFmtId="189" formatCode="0&quot;e&quot;"/>
    <numFmt numFmtId="190" formatCode="0&quot;A&quot;"/>
    <numFmt numFmtId="191" formatCode="_(&quot;$&quot;* #,##0_);_(&quot;$&quot;* \(#,##0\);_(&quot;$&quot;* &quot;-&quot;??_);_(@_)"/>
    <numFmt numFmtId="192" formatCode="mm/dd/yy\ hh:mm"/>
  </numFmts>
  <fonts count="67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i/>
      <sz val="8"/>
      <name val="Times New Roman"/>
      <family val="1"/>
    </font>
    <font>
      <sz val="9"/>
      <name val="Times New Roman"/>
      <family val="1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i/>
      <sz val="8"/>
      <name val="Arial"/>
      <family val="2"/>
    </font>
    <font>
      <sz val="10"/>
      <name val="MS Sans Serif"/>
      <family val="2"/>
    </font>
    <font>
      <b/>
      <sz val="10"/>
      <color indexed="8"/>
      <name val="Times New Roman"/>
      <family val="1"/>
    </font>
    <font>
      <sz val="10"/>
      <color indexed="8"/>
      <name val="Times New Roman"/>
      <family val="1"/>
    </font>
    <font>
      <sz val="8"/>
      <color indexed="9"/>
      <name val="Arial"/>
      <family val="2"/>
    </font>
    <font>
      <b/>
      <sz val="8"/>
      <color indexed="9"/>
      <name val="Arial"/>
      <family val="2"/>
    </font>
    <font>
      <sz val="10"/>
      <color indexed="9"/>
      <name val="Arial"/>
      <family val="2"/>
    </font>
    <font>
      <b/>
      <i/>
      <sz val="8"/>
      <name val="Arial"/>
      <family val="2"/>
    </font>
    <font>
      <sz val="8"/>
      <color indexed="12"/>
      <name val="Arial"/>
      <family val="2"/>
    </font>
    <font>
      <sz val="10"/>
      <color indexed="8"/>
      <name val="MS Sans Serif"/>
      <family val="2"/>
    </font>
    <font>
      <sz val="10"/>
      <color indexed="8"/>
      <name val="Arial"/>
      <family val="2"/>
    </font>
    <font>
      <i/>
      <sz val="10"/>
      <name val="Arial"/>
      <family val="2"/>
    </font>
    <font>
      <sz val="11"/>
      <name val="Arial"/>
      <family val="2"/>
    </font>
    <font>
      <sz val="12"/>
      <name val="바탕체"/>
      <family val="1"/>
      <charset val="129"/>
    </font>
    <font>
      <sz val="8"/>
      <color indexed="8"/>
      <name val="Arial"/>
      <family val="2"/>
    </font>
    <font>
      <b/>
      <sz val="8"/>
      <color indexed="12"/>
      <name val="Arial"/>
      <family val="2"/>
    </font>
    <font>
      <sz val="10"/>
      <name val="Courier"/>
      <family val="3"/>
    </font>
    <font>
      <sz val="10"/>
      <name val="Times New Roman"/>
      <family val="1"/>
    </font>
    <font>
      <b/>
      <sz val="8"/>
      <color indexed="10"/>
      <name val="Arial"/>
      <family val="2"/>
    </font>
    <font>
      <sz val="10"/>
      <name val="Helv"/>
    </font>
    <font>
      <b/>
      <sz val="8"/>
      <color indexed="22"/>
      <name val="Arial"/>
      <family val="2"/>
    </font>
    <font>
      <sz val="8"/>
      <color indexed="18"/>
      <name val="Arial"/>
      <family val="2"/>
    </font>
    <font>
      <sz val="12"/>
      <name val="Times New Roman"/>
      <family val="1"/>
    </font>
    <font>
      <b/>
      <sz val="14"/>
      <color indexed="9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indexed="9"/>
      <name val="Arial"/>
      <family val="2"/>
    </font>
    <font>
      <b/>
      <sz val="12"/>
      <color indexed="9"/>
      <name val="Arial"/>
      <family val="2"/>
    </font>
    <font>
      <sz val="10"/>
      <color indexed="16"/>
      <name val="Arial"/>
      <family val="2"/>
    </font>
    <font>
      <b/>
      <sz val="10"/>
      <color indexed="16"/>
      <name val="Arial"/>
      <family val="2"/>
    </font>
    <font>
      <b/>
      <sz val="11"/>
      <color indexed="16"/>
      <name val="Arial"/>
      <family val="2"/>
    </font>
    <font>
      <sz val="12"/>
      <color indexed="16"/>
      <name val="Arial"/>
      <family val="2"/>
    </font>
    <font>
      <b/>
      <sz val="12"/>
      <color indexed="12"/>
      <name val="Arial"/>
      <family val="2"/>
    </font>
    <font>
      <i/>
      <sz val="10"/>
      <color indexed="9"/>
      <name val="Arial"/>
      <family val="2"/>
    </font>
    <font>
      <sz val="8"/>
      <color rgb="FF0000FF"/>
      <name val="Arial"/>
      <family val="2"/>
    </font>
    <font>
      <b/>
      <sz val="8"/>
      <color rgb="FF0000FF"/>
      <name val="Arial"/>
      <family val="2"/>
    </font>
    <font>
      <sz val="10"/>
      <color rgb="FF002060"/>
      <name val="Times New Roman"/>
      <family val="1"/>
    </font>
    <font>
      <b/>
      <sz val="11"/>
      <color rgb="FF002060"/>
      <name val="Arial"/>
      <family val="2"/>
    </font>
    <font>
      <sz val="10"/>
      <color rgb="FF002060"/>
      <name val="Arial"/>
      <family val="2"/>
    </font>
    <font>
      <b/>
      <sz val="10"/>
      <color rgb="FF002060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b/>
      <u/>
      <sz val="10"/>
      <color rgb="FF0070C0"/>
      <name val="Arial"/>
      <family val="2"/>
    </font>
    <font>
      <sz val="10"/>
      <color rgb="FF0070C0"/>
      <name val="Arial"/>
      <family val="2"/>
    </font>
    <font>
      <i/>
      <sz val="10"/>
      <color rgb="FF0070C0"/>
      <name val="Arial"/>
      <family val="2"/>
    </font>
    <font>
      <b/>
      <sz val="10"/>
      <color rgb="FF0070C0"/>
      <name val="Arial"/>
      <family val="2"/>
    </font>
    <font>
      <sz val="10"/>
      <color rgb="FFFF0000"/>
      <name val="Arial"/>
      <family val="2"/>
    </font>
    <font>
      <sz val="8"/>
      <color theme="0"/>
      <name val="Arial"/>
      <family val="2"/>
    </font>
    <font>
      <sz val="10"/>
      <name val="Arial"/>
      <family val="2"/>
    </font>
    <font>
      <b/>
      <u/>
      <sz val="8"/>
      <name val="Arial"/>
      <family val="2"/>
    </font>
    <font>
      <sz val="8"/>
      <color theme="1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b/>
      <sz val="12"/>
      <color rgb="FF000080"/>
      <name val="Arial"/>
      <family val="2"/>
    </font>
    <font>
      <sz val="10"/>
      <color rgb="FF333333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5"/>
        <bgColor indexed="64"/>
      </patternFill>
    </fill>
  </fills>
  <borders count="38">
    <border>
      <left/>
      <right/>
      <top/>
      <bottom/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22"/>
      </bottom>
      <diagonal/>
    </border>
    <border>
      <left/>
      <right/>
      <top style="hair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9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9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36">
    <xf numFmtId="0" fontId="0" fillId="0" borderId="0"/>
    <xf numFmtId="0" fontId="1" fillId="0" borderId="0"/>
    <xf numFmtId="0" fontId="1" fillId="0" borderId="0">
      <alignment vertical="top"/>
    </xf>
    <xf numFmtId="0" fontId="1" fillId="0" borderId="0">
      <alignment vertical="top"/>
    </xf>
    <xf numFmtId="0" fontId="2" fillId="0" borderId="0" applyNumberFormat="0" applyFont="0" applyFill="0" applyBorder="0" applyAlignment="0" applyProtection="0"/>
    <xf numFmtId="0" fontId="7" fillId="0" borderId="0" applyNumberFormat="0" applyFill="0" applyBorder="0" applyAlignment="0" applyProtection="0"/>
    <xf numFmtId="0" fontId="1" fillId="0" borderId="0"/>
    <xf numFmtId="0" fontId="13" fillId="0" borderId="0"/>
    <xf numFmtId="0" fontId="13" fillId="0" borderId="0"/>
    <xf numFmtId="0" fontId="14" fillId="0" borderId="0"/>
    <xf numFmtId="43" fontId="2" fillId="0" borderId="0" applyFont="0" applyFill="0" applyBorder="0" applyAlignment="0" applyProtection="0"/>
    <xf numFmtId="43" fontId="29" fillId="0" borderId="0" applyFont="0" applyFill="0" applyBorder="0" applyAlignment="0" applyProtection="0"/>
    <xf numFmtId="4" fontId="31" fillId="0" borderId="0" applyFont="0" applyFill="0" applyBorder="0" applyAlignment="0" applyProtection="0"/>
    <xf numFmtId="0" fontId="7" fillId="0" borderId="0">
      <alignment vertical="center"/>
    </xf>
    <xf numFmtId="0" fontId="34" fillId="2" borderId="0" applyNumberFormat="0" applyFont="0" applyBorder="0" applyAlignment="0">
      <protection locked="0"/>
    </xf>
    <xf numFmtId="38" fontId="1" fillId="0" borderId="0" applyFont="0" applyFill="0" applyBorder="0" applyAlignment="0" applyProtection="0"/>
    <xf numFmtId="0" fontId="2" fillId="0" borderId="0"/>
    <xf numFmtId="0" fontId="29" fillId="0" borderId="0"/>
    <xf numFmtId="0" fontId="21" fillId="0" borderId="0" applyNumberFormat="0" applyFont="0" applyFill="0" applyBorder="0" applyAlignment="0" applyProtection="0"/>
    <xf numFmtId="0" fontId="29" fillId="0" borderId="0"/>
    <xf numFmtId="0" fontId="28" fillId="0" borderId="0"/>
    <xf numFmtId="0" fontId="9" fillId="0" borderId="0">
      <alignment vertical="center"/>
    </xf>
    <xf numFmtId="9" fontId="2" fillId="0" borderId="0" applyFont="0" applyFill="0" applyBorder="0" applyAlignment="0" applyProtection="0"/>
    <xf numFmtId="0" fontId="7" fillId="3" borderId="0" applyNumberFormat="0" applyFont="0" applyBorder="0" applyAlignment="0" applyProtection="0"/>
    <xf numFmtId="0" fontId="2" fillId="3" borderId="0" applyNumberFormat="0" applyFont="0" applyBorder="0" applyAlignment="0" applyProtection="0"/>
    <xf numFmtId="0" fontId="15" fillId="0" borderId="0"/>
    <xf numFmtId="0" fontId="15" fillId="0" borderId="1">
      <alignment horizontal="centerContinuous"/>
    </xf>
    <xf numFmtId="0" fontId="8" fillId="0" borderId="1"/>
    <xf numFmtId="0" fontId="1" fillId="0" borderId="0"/>
    <xf numFmtId="174" fontId="25" fillId="0" borderId="0" applyFont="0" applyFill="0" applyBorder="0" applyAlignment="0" applyProtection="0"/>
    <xf numFmtId="0" fontId="25" fillId="0" borderId="0" applyFont="0" applyFill="0" applyBorder="0" applyAlignment="0" applyProtection="0"/>
    <xf numFmtId="0" fontId="1" fillId="0" borderId="0"/>
    <xf numFmtId="0" fontId="1" fillId="3" borderId="0" applyNumberFormat="0" applyFont="0" applyBorder="0" applyAlignment="0" applyProtection="0"/>
    <xf numFmtId="44" fontId="1" fillId="0" borderId="0" applyFont="0" applyFill="0" applyBorder="0" applyAlignment="0" applyProtection="0"/>
    <xf numFmtId="44" fontId="60" fillId="0" borderId="0" applyFont="0" applyFill="0" applyBorder="0" applyAlignment="0" applyProtection="0"/>
    <xf numFmtId="0" fontId="28" fillId="0" borderId="0"/>
  </cellStyleXfs>
  <cellXfs count="1107">
    <xf numFmtId="0" fontId="0" fillId="0" borderId="0" xfId="0"/>
    <xf numFmtId="0" fontId="5" fillId="0" borderId="0" xfId="0" applyFont="1"/>
    <xf numFmtId="0" fontId="5" fillId="0" borderId="0" xfId="0" applyFont="1" applyFill="1" applyBorder="1"/>
    <xf numFmtId="0" fontId="7" fillId="5" borderId="0" xfId="0" applyFont="1" applyFill="1" applyBorder="1"/>
    <xf numFmtId="49" fontId="0" fillId="0" borderId="0" xfId="0" applyNumberFormat="1"/>
    <xf numFmtId="0" fontId="22" fillId="0" borderId="0" xfId="0" applyFont="1"/>
    <xf numFmtId="0" fontId="5" fillId="0" borderId="0" xfId="18" applyFont="1"/>
    <xf numFmtId="5" fontId="5" fillId="0" borderId="0" xfId="18" applyNumberFormat="1" applyFont="1"/>
    <xf numFmtId="165" fontId="20" fillId="0" borderId="5" xfId="10" applyNumberFormat="1" applyFont="1" applyFill="1" applyBorder="1"/>
    <xf numFmtId="165" fontId="20" fillId="0" borderId="0" xfId="10" applyNumberFormat="1" applyFont="1" applyFill="1" applyBorder="1"/>
    <xf numFmtId="165" fontId="5" fillId="0" borderId="0" xfId="10" applyNumberFormat="1" applyFont="1" applyFill="1"/>
    <xf numFmtId="165" fontId="5" fillId="0" borderId="5" xfId="10" applyNumberFormat="1" applyFont="1" applyFill="1" applyBorder="1"/>
    <xf numFmtId="165" fontId="5" fillId="0" borderId="0" xfId="10" applyNumberFormat="1" applyFont="1" applyFill="1" applyBorder="1"/>
    <xf numFmtId="171" fontId="5" fillId="0" borderId="0" xfId="18" applyNumberFormat="1" applyFont="1" applyBorder="1"/>
    <xf numFmtId="171" fontId="5" fillId="0" borderId="5" xfId="18" applyNumberFormat="1" applyFont="1" applyBorder="1"/>
    <xf numFmtId="171" fontId="5" fillId="0" borderId="0" xfId="18" applyNumberFormat="1" applyFont="1" applyFill="1" applyBorder="1"/>
    <xf numFmtId="171" fontId="5" fillId="0" borderId="0" xfId="18" applyNumberFormat="1" applyFont="1"/>
    <xf numFmtId="171" fontId="5" fillId="0" borderId="5" xfId="18" applyNumberFormat="1" applyFont="1" applyFill="1" applyBorder="1"/>
    <xf numFmtId="165" fontId="5" fillId="0" borderId="0" xfId="10" applyNumberFormat="1" applyFont="1" applyBorder="1"/>
    <xf numFmtId="165" fontId="20" fillId="0" borderId="6" xfId="10" applyNumberFormat="1" applyFont="1" applyFill="1" applyBorder="1"/>
    <xf numFmtId="41" fontId="5" fillId="0" borderId="0" xfId="18" applyNumberFormat="1" applyFont="1"/>
    <xf numFmtId="171" fontId="5" fillId="0" borderId="6" xfId="18" applyNumberFormat="1" applyFont="1" applyBorder="1"/>
    <xf numFmtId="171" fontId="5" fillId="0" borderId="0" xfId="18" applyNumberFormat="1" applyFont="1" applyFill="1"/>
    <xf numFmtId="171" fontId="5" fillId="0" borderId="6" xfId="18" applyNumberFormat="1" applyFont="1" applyFill="1" applyBorder="1"/>
    <xf numFmtId="171" fontId="4" fillId="0" borderId="0" xfId="18" applyNumberFormat="1" applyFont="1" applyFill="1" applyBorder="1"/>
    <xf numFmtId="171" fontId="4" fillId="0" borderId="0" xfId="18" applyNumberFormat="1" applyFont="1" applyFill="1"/>
    <xf numFmtId="37" fontId="5" fillId="0" borderId="0" xfId="18" applyNumberFormat="1" applyFont="1"/>
    <xf numFmtId="0" fontId="4" fillId="0" borderId="0" xfId="18" applyFont="1"/>
    <xf numFmtId="5" fontId="4" fillId="0" borderId="0" xfId="18" applyNumberFormat="1" applyFont="1" applyBorder="1"/>
    <xf numFmtId="5" fontId="4" fillId="0" borderId="0" xfId="18" applyNumberFormat="1" applyFont="1"/>
    <xf numFmtId="5" fontId="4" fillId="0" borderId="5" xfId="18" applyNumberFormat="1" applyFont="1" applyBorder="1"/>
    <xf numFmtId="37" fontId="5" fillId="0" borderId="0" xfId="18" applyNumberFormat="1" applyFont="1" applyBorder="1"/>
    <xf numFmtId="37" fontId="5" fillId="0" borderId="6" xfId="18" applyNumberFormat="1" applyFont="1" applyBorder="1"/>
    <xf numFmtId="37" fontId="5" fillId="0" borderId="5" xfId="18" applyNumberFormat="1" applyFont="1" applyBorder="1"/>
    <xf numFmtId="170" fontId="5" fillId="0" borderId="0" xfId="18" applyNumberFormat="1" applyFont="1" applyBorder="1"/>
    <xf numFmtId="5" fontId="5" fillId="0" borderId="0" xfId="18" applyNumberFormat="1" applyFont="1" applyBorder="1"/>
    <xf numFmtId="5" fontId="5" fillId="0" borderId="0" xfId="18" applyNumberFormat="1" applyFont="1" applyFill="1" applyBorder="1"/>
    <xf numFmtId="5" fontId="5" fillId="0" borderId="5" xfId="18" applyNumberFormat="1" applyFont="1" applyBorder="1"/>
    <xf numFmtId="41" fontId="5" fillId="0" borderId="0" xfId="18" applyNumberFormat="1" applyFont="1" applyBorder="1"/>
    <xf numFmtId="41" fontId="5" fillId="0" borderId="5" xfId="18" applyNumberFormat="1" applyFont="1" applyBorder="1"/>
    <xf numFmtId="165" fontId="5" fillId="0" borderId="6" xfId="10" applyNumberFormat="1" applyFont="1" applyFill="1" applyBorder="1"/>
    <xf numFmtId="37" fontId="5" fillId="0" borderId="0" xfId="18" applyNumberFormat="1" applyFont="1" applyFill="1" applyBorder="1"/>
    <xf numFmtId="41" fontId="20" fillId="0" borderId="0" xfId="18" applyNumberFormat="1" applyFont="1" applyBorder="1"/>
    <xf numFmtId="41" fontId="5" fillId="0" borderId="6" xfId="18" applyNumberFormat="1" applyFont="1" applyBorder="1"/>
    <xf numFmtId="41" fontId="20" fillId="0" borderId="0" xfId="18" applyNumberFormat="1" applyFont="1"/>
    <xf numFmtId="41" fontId="20" fillId="0" borderId="5" xfId="18" applyNumberFormat="1" applyFont="1" applyBorder="1"/>
    <xf numFmtId="0" fontId="5" fillId="4" borderId="0" xfId="18" applyFont="1" applyFill="1"/>
    <xf numFmtId="5" fontId="5" fillId="4" borderId="0" xfId="18" applyNumberFormat="1" applyFont="1" applyFill="1" applyBorder="1"/>
    <xf numFmtId="166" fontId="5" fillId="0" borderId="0" xfId="18" applyNumberFormat="1" applyFont="1" applyFill="1"/>
    <xf numFmtId="37" fontId="20" fillId="0" borderId="0" xfId="18" applyNumberFormat="1" applyFont="1" applyFill="1" applyBorder="1"/>
    <xf numFmtId="170" fontId="5" fillId="0" borderId="0" xfId="18" applyNumberFormat="1" applyFont="1"/>
    <xf numFmtId="0" fontId="5" fillId="4" borderId="5" xfId="18" applyFont="1" applyFill="1" applyBorder="1"/>
    <xf numFmtId="0" fontId="5" fillId="4" borderId="0" xfId="18" applyFont="1" applyFill="1" applyBorder="1"/>
    <xf numFmtId="170" fontId="5" fillId="0" borderId="0" xfId="18" applyNumberFormat="1" applyFont="1" applyFill="1" applyBorder="1"/>
    <xf numFmtId="0" fontId="5" fillId="0" borderId="5" xfId="0" applyFont="1" applyBorder="1"/>
    <xf numFmtId="0" fontId="17" fillId="6" borderId="0" xfId="18" applyFont="1" applyFill="1"/>
    <xf numFmtId="0" fontId="16" fillId="6" borderId="0" xfId="18" applyFont="1" applyFill="1"/>
    <xf numFmtId="0" fontId="16" fillId="6" borderId="5" xfId="18" applyFont="1" applyFill="1" applyBorder="1"/>
    <xf numFmtId="0" fontId="4" fillId="5" borderId="0" xfId="18" applyFont="1" applyFill="1"/>
    <xf numFmtId="5" fontId="4" fillId="5" borderId="0" xfId="18" applyNumberFormat="1" applyFont="1" applyFill="1" applyBorder="1"/>
    <xf numFmtId="5" fontId="4" fillId="5" borderId="5" xfId="18" applyNumberFormat="1" applyFont="1" applyFill="1" applyBorder="1"/>
    <xf numFmtId="0" fontId="16" fillId="5" borderId="0" xfId="18" applyFont="1" applyFill="1"/>
    <xf numFmtId="9" fontId="5" fillId="5" borderId="0" xfId="20" applyNumberFormat="1" applyFont="1" applyFill="1" applyBorder="1" applyAlignment="1" applyProtection="1">
      <alignment horizontal="left" indent="2"/>
      <protection locked="0"/>
    </xf>
    <xf numFmtId="0" fontId="4" fillId="4" borderId="0" xfId="18" applyFont="1" applyFill="1" applyBorder="1"/>
    <xf numFmtId="171" fontId="5" fillId="5" borderId="0" xfId="18" applyNumberFormat="1" applyFont="1" applyFill="1" applyBorder="1"/>
    <xf numFmtId="171" fontId="4" fillId="5" borderId="0" xfId="18" applyNumberFormat="1" applyFont="1" applyFill="1" applyBorder="1"/>
    <xf numFmtId="0" fontId="16" fillId="6" borderId="0" xfId="18" applyFont="1" applyFill="1" applyBorder="1"/>
    <xf numFmtId="0" fontId="5" fillId="0" borderId="0" xfId="0" applyFont="1" applyBorder="1"/>
    <xf numFmtId="0" fontId="17" fillId="6" borderId="7" xfId="18" quotePrefix="1" applyFont="1" applyFill="1" applyBorder="1" applyAlignment="1">
      <alignment horizontal="center"/>
    </xf>
    <xf numFmtId="0" fontId="16" fillId="6" borderId="8" xfId="18" applyFont="1" applyFill="1" applyBorder="1"/>
    <xf numFmtId="171" fontId="5" fillId="5" borderId="8" xfId="18" applyNumberFormat="1" applyFont="1" applyFill="1" applyBorder="1"/>
    <xf numFmtId="171" fontId="4" fillId="5" borderId="8" xfId="18" applyNumberFormat="1" applyFont="1" applyFill="1" applyBorder="1"/>
    <xf numFmtId="171" fontId="5" fillId="0" borderId="8" xfId="18" applyNumberFormat="1" applyFont="1" applyBorder="1"/>
    <xf numFmtId="165" fontId="5" fillId="0" borderId="8" xfId="10" applyNumberFormat="1" applyFont="1" applyBorder="1"/>
    <xf numFmtId="171" fontId="5" fillId="0" borderId="8" xfId="18" applyNumberFormat="1" applyFont="1" applyFill="1" applyBorder="1"/>
    <xf numFmtId="171" fontId="4" fillId="0" borderId="8" xfId="18" applyNumberFormat="1" applyFont="1" applyFill="1" applyBorder="1"/>
    <xf numFmtId="5" fontId="4" fillId="0" borderId="8" xfId="18" applyNumberFormat="1" applyFont="1" applyBorder="1"/>
    <xf numFmtId="37" fontId="5" fillId="0" borderId="8" xfId="18" applyNumberFormat="1" applyFont="1" applyBorder="1"/>
    <xf numFmtId="165" fontId="5" fillId="0" borderId="8" xfId="10" applyNumberFormat="1" applyFont="1" applyFill="1" applyBorder="1"/>
    <xf numFmtId="41" fontId="5" fillId="0" borderId="8" xfId="18" applyNumberFormat="1" applyFont="1" applyBorder="1"/>
    <xf numFmtId="5" fontId="5" fillId="0" borderId="8" xfId="18" applyNumberFormat="1" applyFont="1" applyBorder="1"/>
    <xf numFmtId="170" fontId="5" fillId="0" borderId="8" xfId="18" applyNumberFormat="1" applyFont="1" applyFill="1" applyBorder="1"/>
    <xf numFmtId="170" fontId="5" fillId="0" borderId="8" xfId="18" applyNumberFormat="1" applyFont="1" applyBorder="1"/>
    <xf numFmtId="41" fontId="20" fillId="0" borderId="8" xfId="18" applyNumberFormat="1" applyFont="1" applyBorder="1"/>
    <xf numFmtId="0" fontId="5" fillId="0" borderId="8" xfId="0" applyFont="1" applyBorder="1"/>
    <xf numFmtId="37" fontId="5" fillId="0" borderId="8" xfId="18" applyNumberFormat="1" applyFont="1" applyFill="1" applyBorder="1"/>
    <xf numFmtId="0" fontId="17" fillId="6" borderId="7" xfId="18" applyFont="1" applyFill="1" applyBorder="1" applyAlignment="1">
      <alignment horizontal="center"/>
    </xf>
    <xf numFmtId="170" fontId="20" fillId="0" borderId="8" xfId="18" applyNumberFormat="1" applyFont="1" applyBorder="1"/>
    <xf numFmtId="173" fontId="20" fillId="0" borderId="8" xfId="22" applyNumberFormat="1" applyFont="1" applyFill="1" applyBorder="1"/>
    <xf numFmtId="0" fontId="16" fillId="6" borderId="6" xfId="18" applyFont="1" applyFill="1" applyBorder="1"/>
    <xf numFmtId="5" fontId="4" fillId="0" borderId="6" xfId="18" applyNumberFormat="1" applyFont="1" applyBorder="1"/>
    <xf numFmtId="5" fontId="5" fillId="0" borderId="6" xfId="18" applyNumberFormat="1" applyFont="1" applyBorder="1"/>
    <xf numFmtId="41" fontId="20" fillId="0" borderId="6" xfId="18" applyNumberFormat="1" applyFont="1" applyBorder="1"/>
    <xf numFmtId="0" fontId="5" fillId="0" borderId="6" xfId="0" applyFont="1" applyBorder="1"/>
    <xf numFmtId="0" fontId="4" fillId="4" borderId="9" xfId="18" applyFont="1" applyFill="1" applyBorder="1"/>
    <xf numFmtId="0" fontId="17" fillId="7" borderId="0" xfId="18" applyFont="1" applyFill="1"/>
    <xf numFmtId="0" fontId="16" fillId="7" borderId="0" xfId="18" applyFont="1" applyFill="1"/>
    <xf numFmtId="0" fontId="16" fillId="7" borderId="8" xfId="18" applyFont="1" applyFill="1" applyBorder="1"/>
    <xf numFmtId="0" fontId="16" fillId="7" borderId="0" xfId="18" applyFont="1" applyFill="1" applyBorder="1"/>
    <xf numFmtId="0" fontId="16" fillId="7" borderId="6" xfId="18" applyFont="1" applyFill="1" applyBorder="1"/>
    <xf numFmtId="0" fontId="16" fillId="7" borderId="5" xfId="18" applyFont="1" applyFill="1" applyBorder="1"/>
    <xf numFmtId="171" fontId="4" fillId="4" borderId="8" xfId="18" applyNumberFormat="1" applyFont="1" applyFill="1" applyBorder="1"/>
    <xf numFmtId="171" fontId="4" fillId="4" borderId="0" xfId="18" applyNumberFormat="1" applyFont="1" applyFill="1" applyBorder="1"/>
    <xf numFmtId="171" fontId="4" fillId="4" borderId="6" xfId="18" applyNumberFormat="1" applyFont="1" applyFill="1" applyBorder="1"/>
    <xf numFmtId="171" fontId="4" fillId="4" borderId="5" xfId="18" applyNumberFormat="1" applyFont="1" applyFill="1" applyBorder="1"/>
    <xf numFmtId="0" fontId="4" fillId="5" borderId="0" xfId="18" applyFont="1" applyFill="1" applyBorder="1"/>
    <xf numFmtId="171" fontId="4" fillId="5" borderId="6" xfId="18" applyNumberFormat="1" applyFont="1" applyFill="1" applyBorder="1"/>
    <xf numFmtId="171" fontId="4" fillId="5" borderId="5" xfId="18" applyNumberFormat="1" applyFont="1" applyFill="1" applyBorder="1"/>
    <xf numFmtId="173" fontId="12" fillId="5" borderId="0" xfId="28" applyNumberFormat="1" applyFont="1" applyFill="1" applyBorder="1" applyAlignment="1">
      <alignment horizontal="left" indent="1"/>
    </xf>
    <xf numFmtId="5" fontId="4" fillId="0" borderId="0" xfId="18" applyNumberFormat="1" applyFont="1" applyFill="1" applyBorder="1"/>
    <xf numFmtId="5" fontId="4" fillId="0" borderId="0" xfId="18" applyNumberFormat="1" applyFont="1" applyFill="1"/>
    <xf numFmtId="5" fontId="4" fillId="0" borderId="8" xfId="18" applyNumberFormat="1" applyFont="1" applyFill="1" applyBorder="1"/>
    <xf numFmtId="179" fontId="5" fillId="5" borderId="0" xfId="28" applyNumberFormat="1" applyFont="1" applyFill="1" applyBorder="1" applyAlignment="1">
      <alignment horizontal="left" indent="2"/>
    </xf>
    <xf numFmtId="179" fontId="5" fillId="5" borderId="0" xfId="18" applyNumberFormat="1" applyFont="1" applyFill="1" applyBorder="1"/>
    <xf numFmtId="179" fontId="5" fillId="5" borderId="8" xfId="18" applyNumberFormat="1" applyFont="1" applyFill="1" applyBorder="1"/>
    <xf numFmtId="179" fontId="5" fillId="5" borderId="6" xfId="18" applyNumberFormat="1" applyFont="1" applyFill="1" applyBorder="1"/>
    <xf numFmtId="179" fontId="5" fillId="5" borderId="5" xfId="18" applyNumberFormat="1" applyFont="1" applyFill="1" applyBorder="1"/>
    <xf numFmtId="0" fontId="5" fillId="5" borderId="0" xfId="18" applyFont="1" applyFill="1" applyBorder="1"/>
    <xf numFmtId="172" fontId="5" fillId="5" borderId="0" xfId="18" applyNumberFormat="1" applyFont="1" applyFill="1" applyBorder="1"/>
    <xf numFmtId="0" fontId="16" fillId="5" borderId="0" xfId="18" applyFont="1" applyFill="1" applyBorder="1"/>
    <xf numFmtId="0" fontId="17" fillId="5" borderId="0" xfId="18" applyFont="1" applyFill="1"/>
    <xf numFmtId="171" fontId="5" fillId="5" borderId="6" xfId="18" applyNumberFormat="1" applyFont="1" applyFill="1" applyBorder="1"/>
    <xf numFmtId="171" fontId="5" fillId="5" borderId="5" xfId="18" applyNumberFormat="1" applyFont="1" applyFill="1" applyBorder="1"/>
    <xf numFmtId="0" fontId="17" fillId="7" borderId="0" xfId="13" applyFont="1" applyFill="1" applyAlignment="1">
      <alignment vertical="center"/>
    </xf>
    <xf numFmtId="5" fontId="5" fillId="5" borderId="10" xfId="0" applyNumberFormat="1" applyFont="1" applyFill="1" applyBorder="1" applyAlignment="1">
      <alignment horizontal="left" indent="1"/>
    </xf>
    <xf numFmtId="173" fontId="5" fillId="5" borderId="0" xfId="19" applyNumberFormat="1" applyFont="1" applyFill="1" applyBorder="1" applyAlignment="1">
      <alignment horizontal="left" indent="1"/>
    </xf>
    <xf numFmtId="5" fontId="30" fillId="5" borderId="0" xfId="19" applyNumberFormat="1" applyFont="1" applyFill="1" applyBorder="1" applyAlignment="1">
      <alignment horizontal="left" indent="1"/>
    </xf>
    <xf numFmtId="180" fontId="4" fillId="4" borderId="9" xfId="18" applyNumberFormat="1" applyFont="1" applyFill="1" applyBorder="1"/>
    <xf numFmtId="180" fontId="4" fillId="4" borderId="8" xfId="18" applyNumberFormat="1" applyFont="1" applyFill="1" applyBorder="1"/>
    <xf numFmtId="180" fontId="4" fillId="4" borderId="0" xfId="18" applyNumberFormat="1" applyFont="1" applyFill="1" applyBorder="1"/>
    <xf numFmtId="180" fontId="4" fillId="4" borderId="6" xfId="18" applyNumberFormat="1" applyFont="1" applyFill="1" applyBorder="1"/>
    <xf numFmtId="180" fontId="4" fillId="4" borderId="5" xfId="18" applyNumberFormat="1" applyFont="1" applyFill="1" applyBorder="1"/>
    <xf numFmtId="180" fontId="4" fillId="4" borderId="0" xfId="18" applyNumberFormat="1" applyFont="1" applyFill="1"/>
    <xf numFmtId="180" fontId="5" fillId="0" borderId="0" xfId="18" applyNumberFormat="1" applyFont="1"/>
    <xf numFmtId="180" fontId="5" fillId="0" borderId="8" xfId="10" applyNumberFormat="1" applyFont="1" applyBorder="1"/>
    <xf numFmtId="180" fontId="5" fillId="0" borderId="0" xfId="10" applyNumberFormat="1" applyFont="1" applyFill="1"/>
    <xf numFmtId="180" fontId="5" fillId="0" borderId="0" xfId="10" applyNumberFormat="1" applyFont="1" applyFill="1" applyBorder="1"/>
    <xf numFmtId="180" fontId="5" fillId="0" borderId="8" xfId="10" applyNumberFormat="1" applyFont="1" applyFill="1" applyBorder="1"/>
    <xf numFmtId="180" fontId="5" fillId="0" borderId="5" xfId="10" applyNumberFormat="1" applyFont="1" applyFill="1" applyBorder="1"/>
    <xf numFmtId="5" fontId="4" fillId="5" borderId="8" xfId="18" applyNumberFormat="1" applyFont="1" applyFill="1" applyBorder="1"/>
    <xf numFmtId="5" fontId="4" fillId="5" borderId="6" xfId="18" applyNumberFormat="1" applyFont="1" applyFill="1" applyBorder="1"/>
    <xf numFmtId="0" fontId="5" fillId="5" borderId="0" xfId="0" applyFont="1" applyFill="1" applyBorder="1"/>
    <xf numFmtId="7" fontId="4" fillId="5" borderId="11" xfId="18" applyNumberFormat="1" applyFont="1" applyFill="1" applyBorder="1"/>
    <xf numFmtId="7" fontId="4" fillId="5" borderId="4" xfId="18" applyNumberFormat="1" applyFont="1" applyFill="1" applyBorder="1"/>
    <xf numFmtId="7" fontId="4" fillId="5" borderId="12" xfId="18" applyNumberFormat="1" applyFont="1" applyFill="1" applyBorder="1"/>
    <xf numFmtId="7" fontId="4" fillId="5" borderId="13" xfId="18" applyNumberFormat="1" applyFont="1" applyFill="1" applyBorder="1"/>
    <xf numFmtId="43" fontId="12" fillId="5" borderId="8" xfId="10" applyFont="1" applyFill="1" applyBorder="1"/>
    <xf numFmtId="43" fontId="12" fillId="5" borderId="0" xfId="10" applyFont="1" applyFill="1" applyBorder="1"/>
    <xf numFmtId="165" fontId="12" fillId="5" borderId="0" xfId="10" applyNumberFormat="1" applyFont="1" applyFill="1" applyBorder="1"/>
    <xf numFmtId="43" fontId="12" fillId="5" borderId="6" xfId="10" applyFont="1" applyFill="1" applyBorder="1"/>
    <xf numFmtId="43" fontId="12" fillId="5" borderId="5" xfId="10" applyFont="1" applyFill="1" applyBorder="1"/>
    <xf numFmtId="168" fontId="12" fillId="5" borderId="0" xfId="10" applyNumberFormat="1" applyFont="1" applyFill="1" applyBorder="1"/>
    <xf numFmtId="5" fontId="4" fillId="5" borderId="0" xfId="28" applyNumberFormat="1" applyFont="1" applyFill="1" applyAlignment="1">
      <alignment horizontal="left" indent="1"/>
    </xf>
    <xf numFmtId="0" fontId="5" fillId="4" borderId="8" xfId="18" applyFont="1" applyFill="1" applyBorder="1"/>
    <xf numFmtId="0" fontId="5" fillId="4" borderId="6" xfId="18" applyFont="1" applyFill="1" applyBorder="1"/>
    <xf numFmtId="0" fontId="16" fillId="5" borderId="8" xfId="18" applyFont="1" applyFill="1" applyBorder="1"/>
    <xf numFmtId="0" fontId="16" fillId="5" borderId="6" xfId="18" applyFont="1" applyFill="1" applyBorder="1"/>
    <xf numFmtId="0" fontId="16" fillId="5" borderId="5" xfId="18" applyFont="1" applyFill="1" applyBorder="1"/>
    <xf numFmtId="171" fontId="12" fillId="5" borderId="8" xfId="18" applyNumberFormat="1" applyFont="1" applyFill="1" applyBorder="1"/>
    <xf numFmtId="171" fontId="12" fillId="5" borderId="0" xfId="18" applyNumberFormat="1" applyFont="1" applyFill="1" applyBorder="1"/>
    <xf numFmtId="171" fontId="19" fillId="5" borderId="8" xfId="18" applyNumberFormat="1" applyFont="1" applyFill="1" applyBorder="1"/>
    <xf numFmtId="171" fontId="19" fillId="5" borderId="0" xfId="18" applyNumberFormat="1" applyFont="1" applyFill="1" applyBorder="1"/>
    <xf numFmtId="171" fontId="19" fillId="5" borderId="6" xfId="18" applyNumberFormat="1" applyFont="1" applyFill="1" applyBorder="1"/>
    <xf numFmtId="171" fontId="19" fillId="5" borderId="5" xfId="18" applyNumberFormat="1" applyFont="1" applyFill="1" applyBorder="1"/>
    <xf numFmtId="9" fontId="5" fillId="5" borderId="0" xfId="20" applyNumberFormat="1" applyFont="1" applyFill="1" applyBorder="1" applyAlignment="1" applyProtection="1">
      <alignment horizontal="left" indent="3"/>
      <protection locked="0"/>
    </xf>
    <xf numFmtId="5" fontId="4" fillId="5" borderId="0" xfId="28" applyNumberFormat="1" applyFont="1" applyFill="1" applyAlignment="1">
      <alignment horizontal="left" indent="2"/>
    </xf>
    <xf numFmtId="9" fontId="5" fillId="5" borderId="0" xfId="20" applyNumberFormat="1" applyFont="1" applyFill="1" applyBorder="1" applyAlignment="1" applyProtection="1">
      <alignment horizontal="left" indent="4"/>
      <protection locked="0"/>
    </xf>
    <xf numFmtId="173" fontId="5" fillId="5" borderId="0" xfId="20" applyNumberFormat="1" applyFont="1" applyFill="1" applyBorder="1" applyAlignment="1" applyProtection="1">
      <alignment horizontal="left" indent="4"/>
      <protection locked="0"/>
    </xf>
    <xf numFmtId="180" fontId="5" fillId="0" borderId="0" xfId="28" applyNumberFormat="1" applyFont="1" applyAlignment="1">
      <alignment horizontal="left" indent="3"/>
    </xf>
    <xf numFmtId="180" fontId="5" fillId="0" borderId="0" xfId="28" applyNumberFormat="1" applyFont="1" applyFill="1" applyBorder="1" applyAlignment="1">
      <alignment horizontal="left" indent="3"/>
    </xf>
    <xf numFmtId="180" fontId="5" fillId="5" borderId="8" xfId="18" applyNumberFormat="1" applyFont="1" applyFill="1" applyBorder="1"/>
    <xf numFmtId="180" fontId="5" fillId="5" borderId="0" xfId="18" applyNumberFormat="1" applyFont="1" applyFill="1" applyBorder="1"/>
    <xf numFmtId="180" fontId="5" fillId="5" borderId="6" xfId="18" applyNumberFormat="1" applyFont="1" applyFill="1" applyBorder="1"/>
    <xf numFmtId="180" fontId="5" fillId="5" borderId="5" xfId="18" applyNumberFormat="1" applyFont="1" applyFill="1" applyBorder="1"/>
    <xf numFmtId="180" fontId="5" fillId="5" borderId="0" xfId="18" applyNumberFormat="1" applyFont="1" applyFill="1"/>
    <xf numFmtId="0" fontId="4" fillId="4" borderId="14" xfId="18" applyFont="1" applyFill="1" applyBorder="1"/>
    <xf numFmtId="180" fontId="5" fillId="5" borderId="8" xfId="10" applyNumberFormat="1" applyFont="1" applyFill="1" applyBorder="1"/>
    <xf numFmtId="180" fontId="5" fillId="5" borderId="0" xfId="10" applyNumberFormat="1" applyFont="1" applyFill="1" applyBorder="1"/>
    <xf numFmtId="180" fontId="5" fillId="5" borderId="6" xfId="10" applyNumberFormat="1" applyFont="1" applyFill="1" applyBorder="1"/>
    <xf numFmtId="180" fontId="5" fillId="5" borderId="5" xfId="10" applyNumberFormat="1" applyFont="1" applyFill="1" applyBorder="1"/>
    <xf numFmtId="180" fontId="5" fillId="5" borderId="0" xfId="0" applyNumberFormat="1" applyFont="1" applyFill="1" applyBorder="1"/>
    <xf numFmtId="180" fontId="5" fillId="0" borderId="0" xfId="18" applyNumberFormat="1" applyFont="1" applyBorder="1"/>
    <xf numFmtId="5" fontId="4" fillId="0" borderId="0" xfId="28" applyNumberFormat="1" applyFont="1" applyBorder="1" applyAlignment="1">
      <alignment horizontal="left" indent="1"/>
    </xf>
    <xf numFmtId="9" fontId="5" fillId="0" borderId="0" xfId="28" applyNumberFormat="1" applyFont="1" applyBorder="1" applyAlignment="1">
      <alignment horizontal="left" indent="2"/>
    </xf>
    <xf numFmtId="169" fontId="5" fillId="5" borderId="5" xfId="20" applyNumberFormat="1" applyFont="1" applyFill="1" applyBorder="1" applyAlignment="1" applyProtection="1">
      <alignment horizontal="left" indent="4"/>
      <protection locked="0"/>
    </xf>
    <xf numFmtId="180" fontId="5" fillId="0" borderId="15" xfId="18" applyNumberFormat="1" applyFont="1" applyFill="1" applyBorder="1"/>
    <xf numFmtId="180" fontId="5" fillId="0" borderId="16" xfId="10" applyNumberFormat="1" applyFont="1" applyFill="1" applyBorder="1"/>
    <xf numFmtId="180" fontId="5" fillId="0" borderId="15" xfId="10" applyNumberFormat="1" applyFont="1" applyFill="1" applyBorder="1"/>
    <xf numFmtId="180" fontId="5" fillId="5" borderId="0" xfId="28" applyNumberFormat="1" applyFont="1" applyFill="1" applyAlignment="1">
      <alignment horizontal="left" indent="1"/>
    </xf>
    <xf numFmtId="180" fontId="5" fillId="5" borderId="0" xfId="10" applyNumberFormat="1" applyFont="1" applyFill="1"/>
    <xf numFmtId="180" fontId="5" fillId="5" borderId="0" xfId="10" applyNumberFormat="1" applyFont="1" applyFill="1" applyBorder="1" applyAlignment="1">
      <alignment horizontal="right"/>
    </xf>
    <xf numFmtId="180" fontId="5" fillId="5" borderId="8" xfId="10" applyNumberFormat="1" applyFont="1" applyFill="1" applyBorder="1" applyAlignment="1">
      <alignment horizontal="right"/>
    </xf>
    <xf numFmtId="180" fontId="4" fillId="5" borderId="0" xfId="18" applyNumberFormat="1" applyFont="1" applyFill="1" applyBorder="1"/>
    <xf numFmtId="180" fontId="4" fillId="5" borderId="8" xfId="18" applyNumberFormat="1" applyFont="1" applyFill="1" applyBorder="1"/>
    <xf numFmtId="180" fontId="4" fillId="5" borderId="6" xfId="18" applyNumberFormat="1" applyFont="1" applyFill="1" applyBorder="1"/>
    <xf numFmtId="180" fontId="4" fillId="5" borderId="5" xfId="18" applyNumberFormat="1" applyFont="1" applyFill="1" applyBorder="1"/>
    <xf numFmtId="180" fontId="4" fillId="5" borderId="8" xfId="10" applyNumberFormat="1" applyFont="1" applyFill="1" applyBorder="1"/>
    <xf numFmtId="180" fontId="4" fillId="5" borderId="0" xfId="10" applyNumberFormat="1" applyFont="1" applyFill="1" applyBorder="1"/>
    <xf numFmtId="180" fontId="4" fillId="5" borderId="6" xfId="10" applyNumberFormat="1" applyFont="1" applyFill="1" applyBorder="1"/>
    <xf numFmtId="180" fontId="4" fillId="5" borderId="5" xfId="10" applyNumberFormat="1" applyFont="1" applyFill="1" applyBorder="1"/>
    <xf numFmtId="180" fontId="4" fillId="4" borderId="11" xfId="18" applyNumberFormat="1" applyFont="1" applyFill="1" applyBorder="1"/>
    <xf numFmtId="180" fontId="4" fillId="4" borderId="4" xfId="18" applyNumberFormat="1" applyFont="1" applyFill="1" applyBorder="1"/>
    <xf numFmtId="180" fontId="4" fillId="4" borderId="12" xfId="18" applyNumberFormat="1" applyFont="1" applyFill="1" applyBorder="1"/>
    <xf numFmtId="180" fontId="4" fillId="4" borderId="13" xfId="18" applyNumberFormat="1" applyFont="1" applyFill="1" applyBorder="1"/>
    <xf numFmtId="180" fontId="4" fillId="5" borderId="0" xfId="0" applyNumberFormat="1" applyFont="1" applyFill="1" applyBorder="1"/>
    <xf numFmtId="180" fontId="17" fillId="6" borderId="0" xfId="18" applyNumberFormat="1" applyFont="1" applyFill="1"/>
    <xf numFmtId="180" fontId="16" fillId="6" borderId="8" xfId="18" applyNumberFormat="1" applyFont="1" applyFill="1" applyBorder="1"/>
    <xf numFmtId="180" fontId="16" fillId="6" borderId="0" xfId="18" applyNumberFormat="1" applyFont="1" applyFill="1"/>
    <xf numFmtId="180" fontId="16" fillId="6" borderId="0" xfId="18" applyNumberFormat="1" applyFont="1" applyFill="1" applyBorder="1"/>
    <xf numFmtId="180" fontId="16" fillId="6" borderId="6" xfId="18" applyNumberFormat="1" applyFont="1" applyFill="1" applyBorder="1"/>
    <xf numFmtId="180" fontId="16" fillId="6" borderId="5" xfId="18" applyNumberFormat="1" applyFont="1" applyFill="1" applyBorder="1"/>
    <xf numFmtId="180" fontId="5" fillId="4" borderId="8" xfId="18" applyNumberFormat="1" applyFont="1" applyFill="1" applyBorder="1"/>
    <xf numFmtId="180" fontId="5" fillId="4" borderId="0" xfId="18" applyNumberFormat="1" applyFont="1" applyFill="1" applyBorder="1"/>
    <xf numFmtId="180" fontId="5" fillId="4" borderId="6" xfId="18" applyNumberFormat="1" applyFont="1" applyFill="1" applyBorder="1"/>
    <xf numFmtId="180" fontId="5" fillId="4" borderId="5" xfId="18" applyNumberFormat="1" applyFont="1" applyFill="1" applyBorder="1"/>
    <xf numFmtId="180" fontId="4" fillId="4" borderId="0" xfId="28" applyNumberFormat="1" applyFont="1" applyFill="1" applyAlignment="1"/>
    <xf numFmtId="0" fontId="4" fillId="4" borderId="5" xfId="18" applyFont="1" applyFill="1" applyBorder="1" applyAlignment="1">
      <alignment horizontal="left" vertical="center"/>
    </xf>
    <xf numFmtId="167" fontId="4" fillId="5" borderId="5" xfId="28" applyNumberFormat="1" applyFont="1" applyFill="1" applyBorder="1" applyAlignment="1">
      <alignment horizontal="left" vertical="center"/>
    </xf>
    <xf numFmtId="9" fontId="5" fillId="5" borderId="5" xfId="20" applyNumberFormat="1" applyFont="1" applyFill="1" applyBorder="1" applyAlignment="1" applyProtection="1">
      <alignment horizontal="left" vertical="center" indent="2"/>
      <protection locked="0"/>
    </xf>
    <xf numFmtId="181" fontId="4" fillId="4" borderId="5" xfId="28" applyNumberFormat="1" applyFont="1" applyFill="1" applyBorder="1" applyAlignment="1">
      <alignment horizontal="left" vertical="center"/>
    </xf>
    <xf numFmtId="5" fontId="5" fillId="0" borderId="5" xfId="18" applyNumberFormat="1" applyFont="1" applyFill="1" applyBorder="1" applyAlignment="1">
      <alignment horizontal="left" vertical="center" indent="1"/>
    </xf>
    <xf numFmtId="167" fontId="26" fillId="5" borderId="5" xfId="28" applyNumberFormat="1" applyFont="1" applyFill="1" applyBorder="1" applyAlignment="1">
      <alignment horizontal="left" vertical="center" indent="1"/>
    </xf>
    <xf numFmtId="0" fontId="4" fillId="5" borderId="13" xfId="18" applyFont="1" applyFill="1" applyBorder="1" applyAlignment="1">
      <alignment horizontal="left" vertical="center"/>
    </xf>
    <xf numFmtId="167" fontId="5" fillId="5" borderId="8" xfId="18" applyNumberFormat="1" applyFont="1" applyFill="1" applyBorder="1"/>
    <xf numFmtId="167" fontId="5" fillId="5" borderId="0" xfId="18" applyNumberFormat="1" applyFont="1" applyFill="1"/>
    <xf numFmtId="167" fontId="5" fillId="5" borderId="0" xfId="18" applyNumberFormat="1" applyFont="1" applyFill="1" applyBorder="1"/>
    <xf numFmtId="167" fontId="5" fillId="5" borderId="6" xfId="18" applyNumberFormat="1" applyFont="1" applyFill="1" applyBorder="1"/>
    <xf numFmtId="167" fontId="5" fillId="5" borderId="5" xfId="18" applyNumberFormat="1" applyFont="1" applyFill="1" applyBorder="1"/>
    <xf numFmtId="167" fontId="4" fillId="5" borderId="0" xfId="18" applyNumberFormat="1" applyFont="1" applyFill="1" applyBorder="1"/>
    <xf numFmtId="180" fontId="5" fillId="0" borderId="5" xfId="18" applyNumberFormat="1" applyFont="1" applyBorder="1" applyAlignment="1">
      <alignment horizontal="left" vertical="center" indent="1"/>
    </xf>
    <xf numFmtId="9" fontId="5" fillId="5" borderId="8" xfId="22" applyFont="1" applyFill="1" applyBorder="1"/>
    <xf numFmtId="173" fontId="5" fillId="5" borderId="8" xfId="22" applyNumberFormat="1" applyFont="1" applyFill="1" applyBorder="1"/>
    <xf numFmtId="173" fontId="4" fillId="5" borderId="0" xfId="22" applyNumberFormat="1" applyFont="1" applyFill="1" applyBorder="1"/>
    <xf numFmtId="173" fontId="5" fillId="5" borderId="0" xfId="22" applyNumberFormat="1" applyFont="1" applyFill="1" applyBorder="1"/>
    <xf numFmtId="173" fontId="5" fillId="5" borderId="6" xfId="22" applyNumberFormat="1" applyFont="1" applyFill="1" applyBorder="1"/>
    <xf numFmtId="173" fontId="5" fillId="5" borderId="5" xfId="22" applyNumberFormat="1" applyFont="1" applyFill="1" applyBorder="1"/>
    <xf numFmtId="9" fontId="5" fillId="5" borderId="5" xfId="22" applyFont="1" applyFill="1" applyBorder="1" applyAlignment="1">
      <alignment horizontal="left" vertical="center" indent="3"/>
    </xf>
    <xf numFmtId="180" fontId="5" fillId="5" borderId="0" xfId="18" applyNumberFormat="1" applyFont="1" applyFill="1" applyBorder="1" applyAlignment="1">
      <alignment horizontal="left" indent="1"/>
    </xf>
    <xf numFmtId="171" fontId="20" fillId="5" borderId="0" xfId="18" applyNumberFormat="1" applyFont="1" applyFill="1" applyBorder="1"/>
    <xf numFmtId="171" fontId="20" fillId="5" borderId="8" xfId="18" applyNumberFormat="1" applyFont="1" applyFill="1" applyBorder="1"/>
    <xf numFmtId="171" fontId="20" fillId="5" borderId="6" xfId="18" applyNumberFormat="1" applyFont="1" applyFill="1" applyBorder="1"/>
    <xf numFmtId="171" fontId="20" fillId="5" borderId="5" xfId="18" applyNumberFormat="1" applyFont="1" applyFill="1" applyBorder="1"/>
    <xf numFmtId="180" fontId="20" fillId="0" borderId="0" xfId="10" applyNumberFormat="1" applyFont="1" applyFill="1" applyBorder="1"/>
    <xf numFmtId="180" fontId="20" fillId="0" borderId="6" xfId="10" applyNumberFormat="1" applyFont="1" applyFill="1" applyBorder="1"/>
    <xf numFmtId="180" fontId="20" fillId="0" borderId="5" xfId="10" applyNumberFormat="1" applyFont="1" applyFill="1" applyBorder="1"/>
    <xf numFmtId="166" fontId="5" fillId="0" borderId="5" xfId="18" applyNumberFormat="1" applyFont="1" applyFill="1" applyBorder="1"/>
    <xf numFmtId="9" fontId="19" fillId="0" borderId="0" xfId="22" applyFont="1" applyFill="1" applyBorder="1" applyAlignment="1">
      <alignment horizontal="left" indent="2"/>
    </xf>
    <xf numFmtId="9" fontId="5" fillId="5" borderId="0" xfId="22" applyFont="1" applyFill="1" applyBorder="1"/>
    <xf numFmtId="9" fontId="5" fillId="5" borderId="6" xfId="22" applyFont="1" applyFill="1" applyBorder="1"/>
    <xf numFmtId="9" fontId="5" fillId="5" borderId="5" xfId="22" applyFont="1" applyFill="1" applyBorder="1"/>
    <xf numFmtId="9" fontId="4" fillId="5" borderId="0" xfId="22" applyFont="1" applyFill="1" applyBorder="1"/>
    <xf numFmtId="9" fontId="5" fillId="0" borderId="8" xfId="22" applyFont="1" applyBorder="1"/>
    <xf numFmtId="9" fontId="5" fillId="0" borderId="8" xfId="22" applyFont="1" applyFill="1" applyBorder="1"/>
    <xf numFmtId="173" fontId="5" fillId="5" borderId="0" xfId="22" applyNumberFormat="1" applyFont="1" applyFill="1" applyBorder="1" applyAlignment="1">
      <alignment horizontal="left" indent="1"/>
    </xf>
    <xf numFmtId="173" fontId="5" fillId="0" borderId="8" xfId="22" applyNumberFormat="1" applyFont="1" applyBorder="1"/>
    <xf numFmtId="173" fontId="5" fillId="0" borderId="0" xfId="22" applyNumberFormat="1" applyFont="1" applyBorder="1"/>
    <xf numFmtId="173" fontId="5" fillId="0" borderId="0" xfId="22" applyNumberFormat="1" applyFont="1" applyFill="1" applyBorder="1"/>
    <xf numFmtId="173" fontId="5" fillId="0" borderId="8" xfId="22" applyNumberFormat="1" applyFont="1" applyFill="1" applyBorder="1"/>
    <xf numFmtId="173" fontId="20" fillId="0" borderId="0" xfId="22" applyNumberFormat="1" applyFont="1" applyFill="1" applyBorder="1"/>
    <xf numFmtId="173" fontId="20" fillId="0" borderId="6" xfId="22" applyNumberFormat="1" applyFont="1" applyFill="1" applyBorder="1"/>
    <xf numFmtId="173" fontId="20" fillId="0" borderId="5" xfId="22" applyNumberFormat="1" applyFont="1" applyFill="1" applyBorder="1"/>
    <xf numFmtId="165" fontId="4" fillId="0" borderId="8" xfId="10" applyNumberFormat="1" applyFont="1" applyBorder="1"/>
    <xf numFmtId="180" fontId="30" fillId="5" borderId="0" xfId="19" applyNumberFormat="1" applyFont="1" applyFill="1" applyBorder="1" applyAlignment="1">
      <alignment horizontal="left" indent="1"/>
    </xf>
    <xf numFmtId="180" fontId="30" fillId="0" borderId="8" xfId="10" applyNumberFormat="1" applyFont="1" applyBorder="1"/>
    <xf numFmtId="180" fontId="30" fillId="0" borderId="0" xfId="10" applyNumberFormat="1" applyFont="1" applyBorder="1"/>
    <xf numFmtId="180" fontId="30" fillId="0" borderId="0" xfId="10" applyNumberFormat="1" applyFont="1" applyFill="1" applyBorder="1"/>
    <xf numFmtId="180" fontId="30" fillId="0" borderId="8" xfId="10" applyNumberFormat="1" applyFont="1" applyFill="1" applyBorder="1"/>
    <xf numFmtId="180" fontId="30" fillId="0" borderId="6" xfId="10" applyNumberFormat="1" applyFont="1" applyFill="1" applyBorder="1"/>
    <xf numFmtId="180" fontId="30" fillId="0" borderId="5" xfId="10" applyNumberFormat="1" applyFont="1" applyFill="1" applyBorder="1"/>
    <xf numFmtId="180" fontId="20" fillId="5" borderId="0" xfId="10" applyNumberFormat="1" applyFont="1" applyFill="1" applyBorder="1" applyAlignment="1">
      <alignment horizontal="right"/>
    </xf>
    <xf numFmtId="180" fontId="20" fillId="5" borderId="0" xfId="10" applyNumberFormat="1" applyFont="1" applyFill="1" applyBorder="1"/>
    <xf numFmtId="180" fontId="20" fillId="5" borderId="8" xfId="10" applyNumberFormat="1" applyFont="1" applyFill="1" applyBorder="1"/>
    <xf numFmtId="180" fontId="20" fillId="5" borderId="6" xfId="10" applyNumberFormat="1" applyFont="1" applyFill="1" applyBorder="1"/>
    <xf numFmtId="180" fontId="20" fillId="5" borderId="5" xfId="10" applyNumberFormat="1" applyFont="1" applyFill="1" applyBorder="1"/>
    <xf numFmtId="3" fontId="5" fillId="5" borderId="0" xfId="28" applyNumberFormat="1" applyFont="1" applyFill="1" applyBorder="1" applyAlignment="1">
      <alignment horizontal="left" indent="1"/>
    </xf>
    <xf numFmtId="9" fontId="5" fillId="5" borderId="0" xfId="22" applyFont="1" applyFill="1" applyBorder="1" applyAlignment="1" applyProtection="1">
      <alignment horizontal="left" indent="1"/>
      <protection locked="0"/>
    </xf>
    <xf numFmtId="9" fontId="20" fillId="5" borderId="8" xfId="22" applyFont="1" applyFill="1" applyBorder="1"/>
    <xf numFmtId="9" fontId="20" fillId="5" borderId="6" xfId="22" applyFont="1" applyFill="1" applyBorder="1"/>
    <xf numFmtId="9" fontId="20" fillId="5" borderId="0" xfId="22" applyFont="1" applyFill="1" applyBorder="1"/>
    <xf numFmtId="9" fontId="20" fillId="5" borderId="5" xfId="22" applyFont="1" applyFill="1" applyBorder="1"/>
    <xf numFmtId="3" fontId="5" fillId="5" borderId="8" xfId="10" applyNumberFormat="1" applyFont="1" applyFill="1" applyBorder="1"/>
    <xf numFmtId="3" fontId="5" fillId="5" borderId="0" xfId="10" applyNumberFormat="1" applyFont="1" applyFill="1" applyBorder="1"/>
    <xf numFmtId="3" fontId="5" fillId="5" borderId="0" xfId="0" applyNumberFormat="1" applyFont="1" applyFill="1" applyBorder="1"/>
    <xf numFmtId="3" fontId="20" fillId="5" borderId="0" xfId="10" applyNumberFormat="1" applyFont="1" applyFill="1" applyBorder="1"/>
    <xf numFmtId="3" fontId="20" fillId="5" borderId="8" xfId="10" applyNumberFormat="1" applyFont="1" applyFill="1" applyBorder="1"/>
    <xf numFmtId="3" fontId="20" fillId="5" borderId="6" xfId="10" applyNumberFormat="1" applyFont="1" applyFill="1" applyBorder="1"/>
    <xf numFmtId="3" fontId="20" fillId="5" borderId="5" xfId="10" applyNumberFormat="1" applyFont="1" applyFill="1" applyBorder="1"/>
    <xf numFmtId="167" fontId="4" fillId="5" borderId="0" xfId="28" applyNumberFormat="1" applyFont="1" applyFill="1" applyBorder="1"/>
    <xf numFmtId="9" fontId="5" fillId="0" borderId="0" xfId="22" applyFont="1" applyFill="1"/>
    <xf numFmtId="0" fontId="5" fillId="6" borderId="0" xfId="18" applyFont="1" applyFill="1" applyBorder="1"/>
    <xf numFmtId="0" fontId="4" fillId="6" borderId="0" xfId="18" applyFont="1" applyFill="1" applyBorder="1"/>
    <xf numFmtId="180" fontId="5" fillId="6" borderId="0" xfId="18" applyNumberFormat="1" applyFont="1" applyFill="1" applyBorder="1"/>
    <xf numFmtId="173" fontId="5" fillId="6" borderId="0" xfId="22" applyNumberFormat="1" applyFont="1" applyFill="1" applyBorder="1"/>
    <xf numFmtId="180" fontId="30" fillId="6" borderId="0" xfId="18" applyNumberFormat="1" applyFont="1" applyFill="1" applyBorder="1"/>
    <xf numFmtId="9" fontId="5" fillId="6" borderId="0" xfId="22" applyFont="1" applyFill="1" applyBorder="1"/>
    <xf numFmtId="9" fontId="4" fillId="6" borderId="0" xfId="22" applyFont="1" applyFill="1" applyBorder="1"/>
    <xf numFmtId="180" fontId="4" fillId="6" borderId="0" xfId="18" applyNumberFormat="1" applyFont="1" applyFill="1" applyBorder="1"/>
    <xf numFmtId="3" fontId="5" fillId="6" borderId="0" xfId="18" applyNumberFormat="1" applyFont="1" applyFill="1" applyBorder="1"/>
    <xf numFmtId="0" fontId="16" fillId="6" borderId="0" xfId="18" applyFont="1" applyFill="1" applyBorder="1" applyAlignment="1">
      <alignment horizontal="center"/>
    </xf>
    <xf numFmtId="0" fontId="4" fillId="5" borderId="0" xfId="0" applyFont="1" applyFill="1" applyBorder="1"/>
    <xf numFmtId="180" fontId="30" fillId="5" borderId="0" xfId="0" applyNumberFormat="1" applyFont="1" applyFill="1" applyBorder="1"/>
    <xf numFmtId="9" fontId="19" fillId="5" borderId="0" xfId="22" applyFont="1" applyFill="1" applyBorder="1"/>
    <xf numFmtId="173" fontId="12" fillId="5" borderId="0" xfId="22" applyNumberFormat="1" applyFont="1" applyFill="1" applyBorder="1"/>
    <xf numFmtId="165" fontId="5" fillId="0" borderId="10" xfId="10" applyNumberFormat="1" applyFont="1" applyFill="1" applyBorder="1"/>
    <xf numFmtId="180" fontId="30" fillId="0" borderId="19" xfId="10" applyNumberFormat="1" applyFont="1" applyFill="1" applyBorder="1"/>
    <xf numFmtId="0" fontId="16" fillId="5" borderId="0" xfId="0" applyFont="1" applyFill="1" applyBorder="1" applyAlignment="1">
      <alignment horizontal="center"/>
    </xf>
    <xf numFmtId="0" fontId="16" fillId="5" borderId="0" xfId="0" applyFont="1" applyFill="1" applyBorder="1"/>
    <xf numFmtId="179" fontId="5" fillId="6" borderId="0" xfId="18" applyNumberFormat="1" applyFont="1" applyFill="1" applyBorder="1"/>
    <xf numFmtId="179" fontId="5" fillId="5" borderId="0" xfId="0" applyNumberFormat="1" applyFont="1" applyFill="1" applyBorder="1"/>
    <xf numFmtId="0" fontId="19" fillId="6" borderId="0" xfId="18" applyFont="1" applyFill="1" applyBorder="1"/>
    <xf numFmtId="0" fontId="12" fillId="4" borderId="0" xfId="18" quotePrefix="1" applyFont="1" applyFill="1" applyBorder="1"/>
    <xf numFmtId="0" fontId="12" fillId="4" borderId="0" xfId="18" applyFont="1" applyFill="1" applyBorder="1"/>
    <xf numFmtId="0" fontId="19" fillId="5" borderId="0" xfId="0" applyFont="1" applyFill="1" applyBorder="1"/>
    <xf numFmtId="167" fontId="5" fillId="6" borderId="0" xfId="18" applyNumberFormat="1" applyFont="1" applyFill="1" applyBorder="1"/>
    <xf numFmtId="167" fontId="5" fillId="5" borderId="0" xfId="0" applyNumberFormat="1" applyFont="1" applyFill="1" applyBorder="1"/>
    <xf numFmtId="180" fontId="16" fillId="5" borderId="0" xfId="0" applyNumberFormat="1" applyFont="1" applyFill="1" applyBorder="1"/>
    <xf numFmtId="0" fontId="5" fillId="5" borderId="0" xfId="28" applyFont="1" applyFill="1" applyBorder="1"/>
    <xf numFmtId="0" fontId="5" fillId="6" borderId="0" xfId="0" applyFont="1" applyFill="1" applyBorder="1"/>
    <xf numFmtId="173" fontId="12" fillId="5" borderId="0" xfId="22" applyNumberFormat="1" applyFont="1" applyFill="1" applyBorder="1" applyAlignment="1">
      <alignment horizontal="left" indent="1"/>
    </xf>
    <xf numFmtId="173" fontId="12" fillId="4" borderId="0" xfId="22" applyNumberFormat="1" applyFont="1" applyFill="1" applyBorder="1"/>
    <xf numFmtId="173" fontId="12" fillId="5" borderId="8" xfId="22" applyNumberFormat="1" applyFont="1" applyFill="1" applyBorder="1"/>
    <xf numFmtId="173" fontId="12" fillId="5" borderId="6" xfId="22" applyNumberFormat="1" applyFont="1" applyFill="1" applyBorder="1"/>
    <xf numFmtId="173" fontId="12" fillId="5" borderId="5" xfId="22" applyNumberFormat="1" applyFont="1" applyFill="1" applyBorder="1"/>
    <xf numFmtId="173" fontId="12" fillId="6" borderId="0" xfId="22" applyNumberFormat="1" applyFont="1" applyFill="1" applyBorder="1"/>
    <xf numFmtId="167" fontId="32" fillId="5" borderId="0" xfId="10" applyNumberFormat="1" applyFont="1" applyFill="1" applyBorder="1"/>
    <xf numFmtId="167" fontId="32" fillId="5" borderId="8" xfId="10" applyNumberFormat="1" applyFont="1" applyFill="1" applyBorder="1"/>
    <xf numFmtId="167" fontId="32" fillId="5" borderId="6" xfId="10" applyNumberFormat="1" applyFont="1" applyFill="1" applyBorder="1"/>
    <xf numFmtId="167" fontId="32" fillId="5" borderId="5" xfId="10" applyNumberFormat="1" applyFont="1" applyFill="1" applyBorder="1"/>
    <xf numFmtId="167" fontId="32" fillId="6" borderId="0" xfId="18" applyNumberFormat="1" applyFont="1" applyFill="1" applyBorder="1"/>
    <xf numFmtId="167" fontId="32" fillId="5" borderId="0" xfId="0" applyNumberFormat="1" applyFont="1" applyFill="1" applyBorder="1"/>
    <xf numFmtId="173" fontId="4" fillId="0" borderId="8" xfId="22" applyNumberFormat="1" applyFont="1" applyBorder="1"/>
    <xf numFmtId="173" fontId="4" fillId="0" borderId="0" xfId="22" applyNumberFormat="1" applyFont="1"/>
    <xf numFmtId="173" fontId="4" fillId="0" borderId="0" xfId="22" applyNumberFormat="1" applyFont="1" applyBorder="1"/>
    <xf numFmtId="173" fontId="4" fillId="0" borderId="0" xfId="22" applyNumberFormat="1" applyFont="1" applyFill="1" applyBorder="1"/>
    <xf numFmtId="173" fontId="4" fillId="0" borderId="8" xfId="22" applyNumberFormat="1" applyFont="1" applyFill="1" applyBorder="1"/>
    <xf numFmtId="173" fontId="4" fillId="0" borderId="0" xfId="22" applyNumberFormat="1" applyFont="1" applyFill="1"/>
    <xf numFmtId="173" fontId="4" fillId="6" borderId="0" xfId="22" applyNumberFormat="1" applyFont="1" applyFill="1" applyBorder="1"/>
    <xf numFmtId="173" fontId="4" fillId="5" borderId="5" xfId="22" applyNumberFormat="1" applyFont="1" applyFill="1" applyBorder="1" applyAlignment="1">
      <alignment horizontal="left" vertical="center"/>
    </xf>
    <xf numFmtId="180" fontId="20" fillId="5" borderId="0" xfId="18" applyNumberFormat="1" applyFont="1" applyFill="1" applyBorder="1"/>
    <xf numFmtId="180" fontId="20" fillId="5" borderId="8" xfId="18" applyNumberFormat="1" applyFont="1" applyFill="1" applyBorder="1"/>
    <xf numFmtId="180" fontId="20" fillId="5" borderId="6" xfId="18" applyNumberFormat="1" applyFont="1" applyFill="1" applyBorder="1"/>
    <xf numFmtId="180" fontId="20" fillId="5" borderId="5" xfId="18" applyNumberFormat="1" applyFont="1" applyFill="1" applyBorder="1"/>
    <xf numFmtId="173" fontId="5" fillId="0" borderId="0" xfId="22" applyNumberFormat="1" applyFont="1" applyFill="1"/>
    <xf numFmtId="37" fontId="20" fillId="0" borderId="6" xfId="18" applyNumberFormat="1" applyFont="1" applyFill="1" applyBorder="1"/>
    <xf numFmtId="37" fontId="20" fillId="0" borderId="5" xfId="18" applyNumberFormat="1" applyFont="1" applyFill="1" applyBorder="1"/>
    <xf numFmtId="171" fontId="27" fillId="4" borderId="0" xfId="18" applyNumberFormat="1" applyFont="1" applyFill="1" applyBorder="1"/>
    <xf numFmtId="171" fontId="27" fillId="4" borderId="8" xfId="18" applyNumberFormat="1" applyFont="1" applyFill="1" applyBorder="1"/>
    <xf numFmtId="171" fontId="27" fillId="4" borderId="6" xfId="18" applyNumberFormat="1" applyFont="1" applyFill="1" applyBorder="1"/>
    <xf numFmtId="171" fontId="27" fillId="4" borderId="5" xfId="18" applyNumberFormat="1" applyFont="1" applyFill="1" applyBorder="1"/>
    <xf numFmtId="176" fontId="5" fillId="5" borderId="5" xfId="12" applyNumberFormat="1" applyFont="1" applyFill="1" applyBorder="1" applyAlignment="1" applyProtection="1">
      <alignment horizontal="left" vertical="center" indent="1"/>
      <protection locked="0"/>
    </xf>
    <xf numFmtId="180" fontId="20" fillId="5" borderId="8" xfId="10" applyNumberFormat="1" applyFont="1" applyFill="1" applyBorder="1" applyAlignment="1">
      <alignment horizontal="right"/>
    </xf>
    <xf numFmtId="180" fontId="20" fillId="5" borderId="6" xfId="10" applyNumberFormat="1" applyFont="1" applyFill="1" applyBorder="1" applyAlignment="1">
      <alignment horizontal="right"/>
    </xf>
    <xf numFmtId="180" fontId="20" fillId="5" borderId="5" xfId="10" applyNumberFormat="1" applyFont="1" applyFill="1" applyBorder="1" applyAlignment="1">
      <alignment horizontal="right"/>
    </xf>
    <xf numFmtId="180" fontId="5" fillId="0" borderId="0" xfId="18" applyNumberFormat="1" applyFont="1" applyFill="1" applyBorder="1"/>
    <xf numFmtId="180" fontId="5" fillId="0" borderId="8" xfId="18" applyNumberFormat="1" applyFont="1" applyBorder="1"/>
    <xf numFmtId="180" fontId="5" fillId="0" borderId="6" xfId="18" applyNumberFormat="1" applyFont="1" applyBorder="1"/>
    <xf numFmtId="180" fontId="5" fillId="0" borderId="5" xfId="18" applyNumberFormat="1" applyFont="1" applyBorder="1"/>
    <xf numFmtId="180" fontId="5" fillId="0" borderId="0" xfId="10" applyNumberFormat="1" applyFont="1"/>
    <xf numFmtId="180" fontId="5" fillId="0" borderId="0" xfId="10" applyNumberFormat="1" applyFont="1" applyBorder="1"/>
    <xf numFmtId="180" fontId="5" fillId="0" borderId="6" xfId="10" applyNumberFormat="1" applyFont="1" applyBorder="1"/>
    <xf numFmtId="180" fontId="5" fillId="0" borderId="5" xfId="10" applyNumberFormat="1" applyFont="1" applyBorder="1"/>
    <xf numFmtId="37" fontId="5" fillId="5" borderId="8" xfId="18" applyNumberFormat="1" applyFont="1" applyFill="1" applyBorder="1"/>
    <xf numFmtId="37" fontId="5" fillId="5" borderId="0" xfId="18" applyNumberFormat="1" applyFont="1" applyFill="1" applyBorder="1"/>
    <xf numFmtId="37" fontId="5" fillId="5" borderId="6" xfId="18" applyNumberFormat="1" applyFont="1" applyFill="1" applyBorder="1"/>
    <xf numFmtId="37" fontId="5" fillId="5" borderId="5" xfId="18" applyNumberFormat="1" applyFont="1" applyFill="1" applyBorder="1"/>
    <xf numFmtId="0" fontId="19" fillId="8" borderId="0" xfId="18" applyFont="1" applyFill="1"/>
    <xf numFmtId="0" fontId="12" fillId="8" borderId="8" xfId="18" applyFont="1" applyFill="1" applyBorder="1"/>
    <xf numFmtId="0" fontId="12" fillId="8" borderId="0" xfId="18" applyFont="1" applyFill="1"/>
    <xf numFmtId="0" fontId="12" fillId="8" borderId="0" xfId="18" applyFont="1" applyFill="1" applyBorder="1"/>
    <xf numFmtId="0" fontId="12" fillId="8" borderId="6" xfId="18" applyFont="1" applyFill="1" applyBorder="1"/>
    <xf numFmtId="0" fontId="12" fillId="8" borderId="5" xfId="18" applyFont="1" applyFill="1" applyBorder="1"/>
    <xf numFmtId="0" fontId="12" fillId="8" borderId="0" xfId="0" applyFont="1" applyFill="1" applyBorder="1"/>
    <xf numFmtId="180" fontId="4" fillId="0" borderId="16" xfId="10" applyNumberFormat="1" applyFont="1" applyBorder="1"/>
    <xf numFmtId="180" fontId="4" fillId="0" borderId="15" xfId="10" applyNumberFormat="1" applyFont="1" applyBorder="1"/>
    <xf numFmtId="180" fontId="4" fillId="0" borderId="17" xfId="10" applyNumberFormat="1" applyFont="1" applyBorder="1"/>
    <xf numFmtId="180" fontId="4" fillId="0" borderId="18" xfId="10" applyNumberFormat="1" applyFont="1" applyBorder="1"/>
    <xf numFmtId="5" fontId="4" fillId="0" borderId="15" xfId="28" applyNumberFormat="1" applyFont="1" applyFill="1" applyBorder="1" applyAlignment="1">
      <alignment horizontal="left" indent="1"/>
    </xf>
    <xf numFmtId="9" fontId="5" fillId="0" borderId="0" xfId="20" applyNumberFormat="1" applyFont="1" applyFill="1" applyBorder="1" applyAlignment="1" applyProtection="1">
      <alignment horizontal="left" indent="3"/>
      <protection locked="0"/>
    </xf>
    <xf numFmtId="171" fontId="26" fillId="5" borderId="8" xfId="18" applyNumberFormat="1" applyFont="1" applyFill="1" applyBorder="1"/>
    <xf numFmtId="171" fontId="5" fillId="5" borderId="0" xfId="22" applyNumberFormat="1" applyFont="1" applyFill="1"/>
    <xf numFmtId="171" fontId="5" fillId="5" borderId="0" xfId="22" applyNumberFormat="1" applyFont="1" applyFill="1" applyBorder="1"/>
    <xf numFmtId="171" fontId="26" fillId="5" borderId="0" xfId="22" applyNumberFormat="1" applyFont="1" applyFill="1" applyBorder="1"/>
    <xf numFmtId="171" fontId="26" fillId="5" borderId="0" xfId="18" applyNumberFormat="1" applyFont="1" applyFill="1" applyBorder="1"/>
    <xf numFmtId="175" fontId="5" fillId="5" borderId="8" xfId="18" applyNumberFormat="1" applyFont="1" applyFill="1" applyBorder="1"/>
    <xf numFmtId="175" fontId="5" fillId="5" borderId="0" xfId="18" applyNumberFormat="1" applyFont="1" applyFill="1" applyBorder="1"/>
    <xf numFmtId="9" fontId="5" fillId="0" borderId="0" xfId="20" applyNumberFormat="1" applyFont="1" applyFill="1" applyBorder="1" applyAlignment="1" applyProtection="1">
      <alignment horizontal="left" indent="4"/>
      <protection locked="0"/>
    </xf>
    <xf numFmtId="167" fontId="5" fillId="0" borderId="8" xfId="10" applyNumberFormat="1" applyFont="1" applyBorder="1"/>
    <xf numFmtId="167" fontId="5" fillId="0" borderId="0" xfId="10" applyNumberFormat="1" applyFont="1" applyFill="1" applyBorder="1"/>
    <xf numFmtId="167" fontId="5" fillId="0" borderId="8" xfId="10" applyNumberFormat="1" applyFont="1" applyFill="1" applyBorder="1"/>
    <xf numFmtId="167" fontId="5" fillId="0" borderId="0" xfId="10" applyNumberFormat="1" applyFont="1" applyFill="1"/>
    <xf numFmtId="167" fontId="5" fillId="0" borderId="6" xfId="10" applyNumberFormat="1" applyFont="1" applyFill="1" applyBorder="1"/>
    <xf numFmtId="167" fontId="5" fillId="0" borderId="5" xfId="10" applyNumberFormat="1" applyFont="1" applyFill="1" applyBorder="1"/>
    <xf numFmtId="9" fontId="20" fillId="0" borderId="0" xfId="22" applyFont="1" applyFill="1" applyBorder="1"/>
    <xf numFmtId="9" fontId="20" fillId="0" borderId="8" xfId="22" applyFont="1" applyFill="1" applyBorder="1"/>
    <xf numFmtId="9" fontId="20" fillId="0" borderId="6" xfId="22" applyFont="1" applyFill="1" applyBorder="1"/>
    <xf numFmtId="9" fontId="20" fillId="0" borderId="5" xfId="22" applyFont="1" applyFill="1" applyBorder="1"/>
    <xf numFmtId="167" fontId="5" fillId="5" borderId="5" xfId="28" applyNumberFormat="1" applyFont="1" applyFill="1" applyBorder="1" applyAlignment="1">
      <alignment horizontal="left" vertical="center"/>
    </xf>
    <xf numFmtId="9" fontId="5" fillId="5" borderId="5" xfId="22" applyFont="1" applyFill="1" applyBorder="1" applyAlignment="1" applyProtection="1">
      <alignment horizontal="left" vertical="center" indent="2"/>
      <protection locked="0"/>
    </xf>
    <xf numFmtId="5" fontId="5" fillId="5" borderId="8" xfId="18" applyNumberFormat="1" applyFont="1" applyFill="1" applyBorder="1"/>
    <xf numFmtId="0" fontId="17" fillId="6" borderId="0" xfId="18" applyFont="1" applyFill="1" applyBorder="1" applyAlignment="1">
      <alignment horizontal="left"/>
    </xf>
    <xf numFmtId="5" fontId="5" fillId="6" borderId="0" xfId="18" applyNumberFormat="1" applyFont="1" applyFill="1" applyBorder="1"/>
    <xf numFmtId="5" fontId="5" fillId="5" borderId="0" xfId="18" applyNumberFormat="1" applyFont="1" applyFill="1" applyBorder="1"/>
    <xf numFmtId="5" fontId="5" fillId="5" borderId="0" xfId="0" applyNumberFormat="1" applyFont="1" applyFill="1" applyBorder="1"/>
    <xf numFmtId="5" fontId="20" fillId="5" borderId="0" xfId="18" applyNumberFormat="1" applyFont="1" applyFill="1" applyBorder="1"/>
    <xf numFmtId="5" fontId="20" fillId="5" borderId="5" xfId="18" applyNumberFormat="1" applyFont="1" applyFill="1" applyBorder="1"/>
    <xf numFmtId="37" fontId="5" fillId="6" borderId="0" xfId="18" applyNumberFormat="1" applyFont="1" applyFill="1" applyBorder="1"/>
    <xf numFmtId="9" fontId="5" fillId="5" borderId="0" xfId="18" applyNumberFormat="1" applyFont="1" applyFill="1" applyBorder="1"/>
    <xf numFmtId="37" fontId="5" fillId="5" borderId="0" xfId="0" applyNumberFormat="1" applyFont="1" applyFill="1" applyBorder="1"/>
    <xf numFmtId="9" fontId="5" fillId="5" borderId="8" xfId="18" applyNumberFormat="1" applyFont="1" applyFill="1" applyBorder="1"/>
    <xf numFmtId="9" fontId="5" fillId="5" borderId="0" xfId="0" applyNumberFormat="1" applyFont="1" applyFill="1" applyBorder="1"/>
    <xf numFmtId="9" fontId="5" fillId="5" borderId="6" xfId="18" applyNumberFormat="1" applyFont="1" applyFill="1" applyBorder="1"/>
    <xf numFmtId="9" fontId="20" fillId="5" borderId="6" xfId="18" applyNumberFormat="1" applyFont="1" applyFill="1" applyBorder="1"/>
    <xf numFmtId="9" fontId="20" fillId="5" borderId="0" xfId="18" applyNumberFormat="1" applyFont="1" applyFill="1" applyBorder="1"/>
    <xf numFmtId="9" fontId="20" fillId="5" borderId="5" xfId="18" applyNumberFormat="1" applyFont="1" applyFill="1" applyBorder="1"/>
    <xf numFmtId="9" fontId="5" fillId="6" borderId="0" xfId="18" applyNumberFormat="1" applyFont="1" applyFill="1" applyBorder="1"/>
    <xf numFmtId="9" fontId="5" fillId="5" borderId="5" xfId="18" applyNumberFormat="1" applyFont="1" applyFill="1" applyBorder="1"/>
    <xf numFmtId="9" fontId="5" fillId="0" borderId="0" xfId="18" applyNumberFormat="1" applyFont="1" applyFill="1" applyBorder="1"/>
    <xf numFmtId="9" fontId="20" fillId="5" borderId="8" xfId="18" applyNumberFormat="1" applyFont="1" applyFill="1" applyBorder="1"/>
    <xf numFmtId="10" fontId="5" fillId="5" borderId="0" xfId="18" applyNumberFormat="1" applyFont="1" applyFill="1" applyBorder="1"/>
    <xf numFmtId="5" fontId="5" fillId="0" borderId="0" xfId="20" applyNumberFormat="1" applyFont="1" applyFill="1" applyBorder="1" applyAlignment="1" applyProtection="1">
      <alignment horizontal="left" indent="4"/>
      <protection locked="0"/>
    </xf>
    <xf numFmtId="177" fontId="5" fillId="5" borderId="0" xfId="18" applyNumberFormat="1" applyFont="1" applyFill="1" applyBorder="1"/>
    <xf numFmtId="5" fontId="5" fillId="5" borderId="6" xfId="18" applyNumberFormat="1" applyFont="1" applyFill="1" applyBorder="1"/>
    <xf numFmtId="5" fontId="5" fillId="5" borderId="5" xfId="18" applyNumberFormat="1" applyFont="1" applyFill="1" applyBorder="1"/>
    <xf numFmtId="9" fontId="5" fillId="0" borderId="0" xfId="20" applyNumberFormat="1" applyFont="1" applyFill="1" applyBorder="1" applyAlignment="1" applyProtection="1">
      <alignment horizontal="left" indent="6"/>
      <protection locked="0"/>
    </xf>
    <xf numFmtId="173" fontId="5" fillId="0" borderId="0" xfId="20" applyNumberFormat="1" applyFont="1" applyFill="1" applyBorder="1" applyAlignment="1" applyProtection="1">
      <alignment horizontal="left" indent="6"/>
      <protection locked="0"/>
    </xf>
    <xf numFmtId="173" fontId="26" fillId="5" borderId="8" xfId="18" applyNumberFormat="1" applyFont="1" applyFill="1" applyBorder="1"/>
    <xf numFmtId="173" fontId="5" fillId="0" borderId="8" xfId="10" applyNumberFormat="1" applyFont="1" applyBorder="1"/>
    <xf numFmtId="173" fontId="5" fillId="0" borderId="0" xfId="10" applyNumberFormat="1" applyFont="1" applyBorder="1"/>
    <xf numFmtId="173" fontId="5" fillId="0" borderId="6" xfId="10" applyNumberFormat="1" applyFont="1" applyBorder="1"/>
    <xf numFmtId="173" fontId="5" fillId="0" borderId="5" xfId="10" applyNumberFormat="1" applyFont="1" applyBorder="1"/>
    <xf numFmtId="173" fontId="5" fillId="6" borderId="0" xfId="18" applyNumberFormat="1" applyFont="1" applyFill="1" applyBorder="1"/>
    <xf numFmtId="173" fontId="5" fillId="5" borderId="0" xfId="18" applyNumberFormat="1" applyFont="1" applyFill="1" applyBorder="1"/>
    <xf numFmtId="173" fontId="5" fillId="5" borderId="0" xfId="0" applyNumberFormat="1" applyFont="1" applyFill="1" applyBorder="1"/>
    <xf numFmtId="5" fontId="26" fillId="5" borderId="8" xfId="18" applyNumberFormat="1" applyFont="1" applyFill="1" applyBorder="1"/>
    <xf numFmtId="5" fontId="5" fillId="5" borderId="0" xfId="22" applyNumberFormat="1" applyFont="1" applyFill="1"/>
    <xf numFmtId="5" fontId="5" fillId="5" borderId="0" xfId="22" applyNumberFormat="1" applyFont="1" applyFill="1" applyBorder="1"/>
    <xf numFmtId="5" fontId="26" fillId="5" borderId="0" xfId="22" applyNumberFormat="1" applyFont="1" applyFill="1" applyBorder="1"/>
    <xf numFmtId="5" fontId="26" fillId="5" borderId="0" xfId="18" applyNumberFormat="1" applyFont="1" applyFill="1" applyBorder="1"/>
    <xf numFmtId="5" fontId="16" fillId="6" borderId="0" xfId="18" applyNumberFormat="1" applyFont="1" applyFill="1" applyBorder="1"/>
    <xf numFmtId="171" fontId="26" fillId="5" borderId="6" xfId="18" applyNumberFormat="1" applyFont="1" applyFill="1" applyBorder="1"/>
    <xf numFmtId="5" fontId="26" fillId="0" borderId="8" xfId="18" applyNumberFormat="1" applyFont="1" applyFill="1" applyBorder="1"/>
    <xf numFmtId="171" fontId="26" fillId="0" borderId="8" xfId="18" applyNumberFormat="1" applyFont="1" applyFill="1" applyBorder="1"/>
    <xf numFmtId="9" fontId="5" fillId="0" borderId="0" xfId="20" applyNumberFormat="1" applyFont="1" applyFill="1" applyBorder="1" applyAlignment="1" applyProtection="1">
      <alignment horizontal="left" indent="5"/>
      <protection locked="0"/>
    </xf>
    <xf numFmtId="9" fontId="5" fillId="0" borderId="8" xfId="18" applyNumberFormat="1" applyFont="1" applyBorder="1"/>
    <xf numFmtId="9" fontId="5" fillId="0" borderId="0" xfId="10" applyNumberFormat="1" applyFont="1"/>
    <xf numFmtId="9" fontId="5" fillId="0" borderId="0" xfId="10" applyNumberFormat="1" applyFont="1" applyBorder="1"/>
    <xf numFmtId="9" fontId="5" fillId="0" borderId="8" xfId="10" applyNumberFormat="1" applyFont="1" applyBorder="1"/>
    <xf numFmtId="9" fontId="5" fillId="0" borderId="6" xfId="10" applyNumberFormat="1" applyFont="1" applyBorder="1"/>
    <xf numFmtId="9" fontId="5" fillId="0" borderId="5" xfId="10" applyNumberFormat="1" applyFont="1" applyBorder="1"/>
    <xf numFmtId="9" fontId="4" fillId="5" borderId="0" xfId="20" applyNumberFormat="1" applyFont="1" applyFill="1" applyBorder="1" applyAlignment="1" applyProtection="1">
      <alignment horizontal="left"/>
      <protection locked="0"/>
    </xf>
    <xf numFmtId="180" fontId="5" fillId="5" borderId="0" xfId="28" applyNumberFormat="1" applyFont="1" applyFill="1" applyAlignment="1">
      <alignment horizontal="left" indent="3"/>
    </xf>
    <xf numFmtId="180" fontId="33" fillId="6" borderId="0" xfId="18" applyNumberFormat="1" applyFont="1" applyFill="1" applyBorder="1"/>
    <xf numFmtId="173" fontId="5" fillId="0" borderId="6" xfId="22" applyNumberFormat="1" applyFont="1" applyFill="1" applyBorder="1"/>
    <xf numFmtId="173" fontId="5" fillId="0" borderId="5" xfId="22" applyNumberFormat="1" applyFont="1" applyFill="1" applyBorder="1"/>
    <xf numFmtId="173" fontId="5" fillId="0" borderId="0" xfId="10" applyNumberFormat="1" applyFont="1" applyFill="1"/>
    <xf numFmtId="180" fontId="5" fillId="0" borderId="6" xfId="10" applyNumberFormat="1" applyFont="1" applyFill="1" applyBorder="1"/>
    <xf numFmtId="180" fontId="5" fillId="0" borderId="0" xfId="10" applyNumberFormat="1" applyFont="1" applyFill="1" applyBorder="1" applyAlignment="1">
      <alignment horizontal="right"/>
    </xf>
    <xf numFmtId="180" fontId="5" fillId="0" borderId="8" xfId="10" applyNumberFormat="1" applyFont="1" applyFill="1" applyBorder="1" applyAlignment="1">
      <alignment horizontal="right"/>
    </xf>
    <xf numFmtId="182" fontId="5" fillId="5" borderId="0" xfId="18" applyNumberFormat="1" applyFont="1" applyFill="1" applyBorder="1" applyAlignment="1">
      <alignment horizontal="left" indent="1"/>
    </xf>
    <xf numFmtId="182" fontId="5" fillId="5" borderId="8" xfId="10" applyNumberFormat="1" applyFont="1" applyFill="1" applyBorder="1"/>
    <xf numFmtId="182" fontId="5" fillId="5" borderId="6" xfId="10" applyNumberFormat="1" applyFont="1" applyFill="1" applyBorder="1"/>
    <xf numFmtId="182" fontId="5" fillId="5" borderId="0" xfId="10" applyNumberFormat="1" applyFont="1" applyFill="1" applyBorder="1"/>
    <xf numFmtId="182" fontId="5" fillId="5" borderId="5" xfId="10" applyNumberFormat="1" applyFont="1" applyFill="1" applyBorder="1"/>
    <xf numFmtId="182" fontId="20" fillId="5" borderId="8" xfId="10" applyNumberFormat="1" applyFont="1" applyFill="1" applyBorder="1"/>
    <xf numFmtId="182" fontId="20" fillId="0" borderId="0" xfId="10" applyNumberFormat="1" applyFont="1" applyFill="1" applyBorder="1"/>
    <xf numFmtId="182" fontId="20" fillId="0" borderId="6" xfId="10" applyNumberFormat="1" applyFont="1" applyFill="1" applyBorder="1"/>
    <xf numFmtId="182" fontId="20" fillId="0" borderId="5" xfId="10" applyNumberFormat="1" applyFont="1" applyFill="1" applyBorder="1"/>
    <xf numFmtId="182" fontId="5" fillId="6" borderId="0" xfId="18" applyNumberFormat="1" applyFont="1" applyFill="1" applyBorder="1"/>
    <xf numFmtId="182" fontId="5" fillId="5" borderId="0" xfId="0" applyNumberFormat="1" applyFont="1" applyFill="1" applyBorder="1"/>
    <xf numFmtId="0" fontId="0" fillId="0" borderId="0" xfId="0" applyFill="1"/>
    <xf numFmtId="172" fontId="5" fillId="5" borderId="6" xfId="18" applyNumberFormat="1" applyFont="1" applyFill="1" applyBorder="1"/>
    <xf numFmtId="37" fontId="5" fillId="5" borderId="0" xfId="20" applyNumberFormat="1" applyFont="1" applyFill="1" applyBorder="1" applyAlignment="1" applyProtection="1">
      <alignment horizontal="left" indent="4"/>
      <protection locked="0"/>
    </xf>
    <xf numFmtId="9" fontId="5" fillId="5" borderId="0" xfId="20" applyNumberFormat="1" applyFont="1" applyFill="1" applyBorder="1" applyAlignment="1" applyProtection="1">
      <alignment horizontal="left" indent="5"/>
      <protection locked="0"/>
    </xf>
    <xf numFmtId="37" fontId="5" fillId="5" borderId="8" xfId="0" applyNumberFormat="1" applyFont="1" applyFill="1" applyBorder="1"/>
    <xf numFmtId="173" fontId="5" fillId="5" borderId="8" xfId="18" applyNumberFormat="1" applyFont="1" applyFill="1" applyBorder="1"/>
    <xf numFmtId="173" fontId="5" fillId="5" borderId="6" xfId="18" applyNumberFormat="1" applyFont="1" applyFill="1" applyBorder="1"/>
    <xf numFmtId="173" fontId="5" fillId="5" borderId="5" xfId="18" applyNumberFormat="1" applyFont="1" applyFill="1" applyBorder="1"/>
    <xf numFmtId="0" fontId="19" fillId="5" borderId="0" xfId="18" applyNumberFormat="1" applyFont="1" applyFill="1" applyBorder="1"/>
    <xf numFmtId="173" fontId="5" fillId="5" borderId="0" xfId="20" applyNumberFormat="1" applyFont="1" applyFill="1" applyBorder="1" applyAlignment="1" applyProtection="1">
      <alignment horizontal="left" indent="2"/>
      <protection locked="0"/>
    </xf>
    <xf numFmtId="173" fontId="20" fillId="5" borderId="0" xfId="18" applyNumberFormat="1" applyFont="1" applyFill="1" applyBorder="1"/>
    <xf numFmtId="173" fontId="20" fillId="5" borderId="6" xfId="18" applyNumberFormat="1" applyFont="1" applyFill="1" applyBorder="1"/>
    <xf numFmtId="173" fontId="20" fillId="5" borderId="5" xfId="18" applyNumberFormat="1" applyFont="1" applyFill="1" applyBorder="1"/>
    <xf numFmtId="173" fontId="20" fillId="5" borderId="8" xfId="18" applyNumberFormat="1" applyFont="1" applyFill="1" applyBorder="1"/>
    <xf numFmtId="180" fontId="5" fillId="0" borderId="0" xfId="10" applyNumberFormat="1" applyFont="1" applyBorder="1" applyAlignment="1">
      <alignment horizontal="right"/>
    </xf>
    <xf numFmtId="9" fontId="5" fillId="0" borderId="0" xfId="10" applyNumberFormat="1" applyFont="1" applyBorder="1" applyAlignment="1">
      <alignment horizontal="right"/>
    </xf>
    <xf numFmtId="180" fontId="5" fillId="0" borderId="6" xfId="18" applyNumberFormat="1" applyFont="1" applyBorder="1" applyAlignment="1">
      <alignment horizontal="right"/>
    </xf>
    <xf numFmtId="180" fontId="5" fillId="0" borderId="0" xfId="18" applyNumberFormat="1" applyFont="1" applyBorder="1" applyAlignment="1">
      <alignment horizontal="right"/>
    </xf>
    <xf numFmtId="180" fontId="5" fillId="0" borderId="5" xfId="18" applyNumberFormat="1" applyFont="1" applyBorder="1" applyAlignment="1">
      <alignment horizontal="right"/>
    </xf>
    <xf numFmtId="180" fontId="5" fillId="0" borderId="8" xfId="18" applyNumberFormat="1" applyFont="1" applyBorder="1" applyAlignment="1">
      <alignment horizontal="right"/>
    </xf>
    <xf numFmtId="9" fontId="5" fillId="0" borderId="8" xfId="18" applyNumberFormat="1" applyFont="1" applyBorder="1" applyAlignment="1">
      <alignment horizontal="right"/>
    </xf>
    <xf numFmtId="9" fontId="5" fillId="0" borderId="6" xfId="18" applyNumberFormat="1" applyFont="1" applyBorder="1" applyAlignment="1">
      <alignment horizontal="right"/>
    </xf>
    <xf numFmtId="9" fontId="5" fillId="0" borderId="0" xfId="18" applyNumberFormat="1" applyFont="1" applyBorder="1" applyAlignment="1">
      <alignment horizontal="right"/>
    </xf>
    <xf numFmtId="9" fontId="5" fillId="0" borderId="5" xfId="18" applyNumberFormat="1" applyFont="1" applyBorder="1" applyAlignment="1">
      <alignment horizontal="right"/>
    </xf>
    <xf numFmtId="173" fontId="5" fillId="5" borderId="20" xfId="18" applyNumberFormat="1" applyFont="1" applyFill="1" applyBorder="1"/>
    <xf numFmtId="173" fontId="5" fillId="0" borderId="20" xfId="18" applyNumberFormat="1" applyFont="1" applyFill="1" applyBorder="1"/>
    <xf numFmtId="173" fontId="27" fillId="5" borderId="6" xfId="18" applyNumberFormat="1" applyFont="1" applyFill="1" applyBorder="1"/>
    <xf numFmtId="173" fontId="27" fillId="5" borderId="0" xfId="18" applyNumberFormat="1" applyFont="1" applyFill="1" applyBorder="1"/>
    <xf numFmtId="173" fontId="27" fillId="5" borderId="5" xfId="18" applyNumberFormat="1" applyFont="1" applyFill="1" applyBorder="1"/>
    <xf numFmtId="173" fontId="4" fillId="6" borderId="0" xfId="18" applyNumberFormat="1" applyFont="1" applyFill="1" applyBorder="1"/>
    <xf numFmtId="173" fontId="4" fillId="5" borderId="0" xfId="18" applyNumberFormat="1" applyFont="1" applyFill="1" applyBorder="1"/>
    <xf numFmtId="173" fontId="4" fillId="5" borderId="0" xfId="0" applyNumberFormat="1" applyFont="1" applyFill="1" applyBorder="1"/>
    <xf numFmtId="173" fontId="5" fillId="0" borderId="0" xfId="18" applyNumberFormat="1" applyFont="1" applyBorder="1" applyAlignment="1">
      <alignment horizontal="left" indent="2"/>
    </xf>
    <xf numFmtId="173" fontId="5" fillId="0" borderId="0" xfId="10" applyNumberFormat="1" applyFont="1" applyFill="1" applyBorder="1"/>
    <xf numFmtId="173" fontId="5" fillId="0" borderId="8" xfId="10" applyNumberFormat="1" applyFont="1" applyFill="1" applyBorder="1"/>
    <xf numFmtId="173" fontId="5" fillId="5" borderId="0" xfId="10" applyNumberFormat="1" applyFont="1" applyFill="1" applyBorder="1"/>
    <xf numFmtId="173" fontId="20" fillId="0" borderId="0" xfId="10" applyNumberFormat="1" applyFont="1" applyFill="1" applyBorder="1"/>
    <xf numFmtId="173" fontId="20" fillId="0" borderId="6" xfId="10" applyNumberFormat="1" applyFont="1" applyFill="1" applyBorder="1"/>
    <xf numFmtId="173" fontId="20" fillId="0" borderId="5" xfId="10" applyNumberFormat="1" applyFont="1" applyFill="1" applyBorder="1"/>
    <xf numFmtId="173" fontId="20" fillId="0" borderId="8" xfId="10" applyNumberFormat="1" applyFont="1" applyFill="1" applyBorder="1"/>
    <xf numFmtId="173" fontId="5" fillId="0" borderId="0" xfId="22" applyNumberFormat="1" applyFont="1" applyFill="1" applyBorder="1" applyAlignment="1">
      <alignment horizontal="left" indent="1"/>
    </xf>
    <xf numFmtId="173" fontId="4" fillId="0" borderId="6" xfId="22" applyNumberFormat="1" applyFont="1" applyFill="1" applyBorder="1"/>
    <xf numFmtId="173" fontId="4" fillId="0" borderId="5" xfId="22" applyNumberFormat="1" applyFont="1" applyFill="1" applyBorder="1"/>
    <xf numFmtId="0" fontId="3" fillId="0" borderId="0" xfId="18" applyFont="1" applyFill="1"/>
    <xf numFmtId="37" fontId="5" fillId="5" borderId="0" xfId="28" applyNumberFormat="1" applyFont="1" applyFill="1" applyBorder="1" applyAlignment="1">
      <alignment horizontal="left" indent="1"/>
    </xf>
    <xf numFmtId="184" fontId="5" fillId="4" borderId="0" xfId="18" applyNumberFormat="1" applyFont="1" applyFill="1"/>
    <xf numFmtId="170" fontId="5" fillId="0" borderId="0" xfId="10" applyNumberFormat="1" applyFont="1"/>
    <xf numFmtId="170" fontId="5" fillId="0" borderId="6" xfId="18" applyNumberFormat="1" applyFont="1" applyBorder="1"/>
    <xf numFmtId="170" fontId="5" fillId="0" borderId="5" xfId="18" applyNumberFormat="1" applyFont="1" applyBorder="1"/>
    <xf numFmtId="170" fontId="16" fillId="6" borderId="0" xfId="18" applyNumberFormat="1" applyFont="1" applyFill="1" applyBorder="1"/>
    <xf numFmtId="170" fontId="5" fillId="6" borderId="0" xfId="18" applyNumberFormat="1" applyFont="1" applyFill="1" applyBorder="1"/>
    <xf numFmtId="170" fontId="5" fillId="5" borderId="0" xfId="18" applyNumberFormat="1" applyFont="1" applyFill="1" applyBorder="1"/>
    <xf numFmtId="170" fontId="5" fillId="5" borderId="0" xfId="0" applyNumberFormat="1" applyFont="1" applyFill="1" applyBorder="1"/>
    <xf numFmtId="170" fontId="5" fillId="5" borderId="0" xfId="28" applyNumberFormat="1" applyFont="1" applyFill="1" applyBorder="1" applyAlignment="1">
      <alignment horizontal="left" vertical="center" indent="1"/>
    </xf>
    <xf numFmtId="170" fontId="5" fillId="5" borderId="5" xfId="28" applyNumberFormat="1" applyFont="1" applyFill="1" applyBorder="1" applyAlignment="1">
      <alignment horizontal="left" vertical="center"/>
    </xf>
    <xf numFmtId="170" fontId="20" fillId="0" borderId="6" xfId="18" applyNumberFormat="1" applyFont="1" applyBorder="1"/>
    <xf numFmtId="170" fontId="20" fillId="0" borderId="0" xfId="18" applyNumberFormat="1" applyFont="1" applyBorder="1"/>
    <xf numFmtId="170" fontId="20" fillId="0" borderId="5" xfId="18" applyNumberFormat="1" applyFont="1" applyBorder="1"/>
    <xf numFmtId="173" fontId="5" fillId="0" borderId="8" xfId="18" applyNumberFormat="1" applyFont="1" applyFill="1" applyBorder="1"/>
    <xf numFmtId="5" fontId="5" fillId="0" borderId="0" xfId="22" applyNumberFormat="1" applyFont="1" applyFill="1" applyBorder="1"/>
    <xf numFmtId="173" fontId="4" fillId="5" borderId="6" xfId="18" applyNumberFormat="1" applyFont="1" applyFill="1" applyBorder="1"/>
    <xf numFmtId="173" fontId="4" fillId="5" borderId="5" xfId="18" applyNumberFormat="1" applyFont="1" applyFill="1" applyBorder="1"/>
    <xf numFmtId="5" fontId="5" fillId="4" borderId="8" xfId="18" applyNumberFormat="1" applyFont="1" applyFill="1" applyBorder="1"/>
    <xf numFmtId="7" fontId="5" fillId="4" borderId="0" xfId="18" applyNumberFormat="1" applyFont="1" applyFill="1" applyBorder="1"/>
    <xf numFmtId="2" fontId="5" fillId="4" borderId="0" xfId="18" applyNumberFormat="1" applyFont="1" applyFill="1"/>
    <xf numFmtId="7" fontId="5" fillId="4" borderId="0" xfId="18" applyNumberFormat="1" applyFont="1" applyFill="1"/>
    <xf numFmtId="5" fontId="5" fillId="4" borderId="0" xfId="18" applyNumberFormat="1" applyFont="1" applyFill="1"/>
    <xf numFmtId="180" fontId="5" fillId="5" borderId="15" xfId="10" applyNumberFormat="1" applyFont="1" applyFill="1" applyBorder="1"/>
    <xf numFmtId="5" fontId="4" fillId="5" borderId="15" xfId="28" applyNumberFormat="1" applyFont="1" applyFill="1" applyBorder="1" applyAlignment="1">
      <alignment horizontal="left" indent="1"/>
    </xf>
    <xf numFmtId="9" fontId="5" fillId="0" borderId="8" xfId="18" applyNumberFormat="1" applyFont="1" applyFill="1" applyBorder="1"/>
    <xf numFmtId="175" fontId="5" fillId="0" borderId="0" xfId="18" applyNumberFormat="1" applyFont="1" applyFill="1" applyBorder="1"/>
    <xf numFmtId="180" fontId="5" fillId="0" borderId="8" xfId="18" applyNumberFormat="1" applyFont="1" applyFill="1" applyBorder="1"/>
    <xf numFmtId="180" fontId="5" fillId="0" borderId="0" xfId="18" applyNumberFormat="1" applyFont="1" applyFill="1" applyBorder="1" applyAlignment="1">
      <alignment horizontal="right"/>
    </xf>
    <xf numFmtId="5" fontId="4" fillId="0" borderId="6" xfId="18" applyNumberFormat="1" applyFont="1" applyFill="1" applyBorder="1"/>
    <xf numFmtId="5" fontId="4" fillId="0" borderId="5" xfId="18" applyNumberFormat="1" applyFont="1" applyFill="1" applyBorder="1"/>
    <xf numFmtId="167" fontId="12" fillId="5" borderId="8" xfId="10" applyNumberFormat="1" applyFont="1" applyFill="1" applyBorder="1"/>
    <xf numFmtId="170" fontId="5" fillId="0" borderId="0" xfId="10" applyNumberFormat="1" applyFont="1" applyFill="1"/>
    <xf numFmtId="180" fontId="26" fillId="0" borderId="0" xfId="28" applyNumberFormat="1" applyFont="1" applyAlignment="1">
      <alignment horizontal="left" indent="4"/>
    </xf>
    <xf numFmtId="173" fontId="5" fillId="5" borderId="0" xfId="20" applyNumberFormat="1" applyFont="1" applyFill="1" applyBorder="1" applyAlignment="1" applyProtection="1">
      <alignment horizontal="left" indent="5"/>
      <protection locked="0"/>
    </xf>
    <xf numFmtId="37" fontId="20" fillId="0" borderId="8" xfId="18" applyNumberFormat="1" applyFont="1" applyFill="1" applyBorder="1"/>
    <xf numFmtId="5" fontId="4" fillId="0" borderId="26" xfId="18" applyNumberFormat="1" applyFont="1" applyFill="1" applyBorder="1" applyAlignment="1">
      <alignment horizontal="left" vertical="center"/>
    </xf>
    <xf numFmtId="180" fontId="4" fillId="0" borderId="27" xfId="18" applyNumberFormat="1" applyFont="1" applyFill="1" applyBorder="1"/>
    <xf numFmtId="180" fontId="4" fillId="0" borderId="28" xfId="18" applyNumberFormat="1" applyFont="1" applyFill="1" applyBorder="1"/>
    <xf numFmtId="180" fontId="4" fillId="0" borderId="28" xfId="10" applyNumberFormat="1" applyFont="1" applyFill="1" applyBorder="1" applyAlignment="1">
      <alignment horizontal="right"/>
    </xf>
    <xf numFmtId="180" fontId="4" fillId="0" borderId="29" xfId="18" applyNumberFormat="1" applyFont="1" applyFill="1" applyBorder="1"/>
    <xf numFmtId="180" fontId="4" fillId="0" borderId="26" xfId="18" applyNumberFormat="1" applyFont="1" applyFill="1" applyBorder="1"/>
    <xf numFmtId="9" fontId="19" fillId="5" borderId="8" xfId="22" applyFont="1" applyFill="1" applyBorder="1"/>
    <xf numFmtId="9" fontId="19" fillId="0" borderId="8" xfId="22" applyFont="1" applyFill="1" applyBorder="1"/>
    <xf numFmtId="9" fontId="19" fillId="0" borderId="0" xfId="22" applyFont="1" applyFill="1" applyBorder="1"/>
    <xf numFmtId="9" fontId="19" fillId="0" borderId="0" xfId="22" applyFont="1" applyFill="1" applyBorder="1" applyAlignment="1">
      <alignment horizontal="right"/>
    </xf>
    <xf numFmtId="9" fontId="19" fillId="0" borderId="6" xfId="22" applyFont="1" applyFill="1" applyBorder="1"/>
    <xf numFmtId="9" fontId="19" fillId="0" borderId="5" xfId="22" applyFont="1" applyFill="1" applyBorder="1"/>
    <xf numFmtId="0" fontId="17" fillId="6" borderId="0" xfId="28" applyFont="1" applyFill="1" applyBorder="1" applyAlignment="1">
      <alignment horizontal="center"/>
    </xf>
    <xf numFmtId="0" fontId="17" fillId="6" borderId="24" xfId="18" applyFont="1" applyFill="1" applyBorder="1" applyAlignment="1">
      <alignment horizontal="center"/>
    </xf>
    <xf numFmtId="0" fontId="17" fillId="6" borderId="3" xfId="18" applyFont="1" applyFill="1" applyBorder="1" applyAlignment="1">
      <alignment horizontal="center"/>
    </xf>
    <xf numFmtId="0" fontId="17" fillId="6" borderId="25" xfId="18" applyFont="1" applyFill="1" applyBorder="1" applyAlignment="1">
      <alignment horizontal="center"/>
    </xf>
    <xf numFmtId="173" fontId="12" fillId="0" borderId="0" xfId="22" applyNumberFormat="1" applyFont="1" applyFill="1" applyBorder="1"/>
    <xf numFmtId="185" fontId="16" fillId="6" borderId="0" xfId="18" applyNumberFormat="1" applyFont="1" applyFill="1" applyBorder="1" applyAlignment="1">
      <alignment horizontal="center"/>
    </xf>
    <xf numFmtId="185" fontId="12" fillId="4" borderId="0" xfId="18" applyNumberFormat="1" applyFont="1" applyFill="1" applyBorder="1"/>
    <xf numFmtId="185" fontId="12" fillId="4" borderId="0" xfId="22" applyNumberFormat="1" applyFont="1" applyFill="1" applyBorder="1"/>
    <xf numFmtId="185" fontId="5" fillId="0" borderId="0" xfId="0" applyNumberFormat="1" applyFont="1" applyFill="1" applyBorder="1"/>
    <xf numFmtId="180" fontId="5" fillId="5" borderId="16" xfId="10" applyNumberFormat="1" applyFont="1" applyFill="1" applyBorder="1"/>
    <xf numFmtId="180" fontId="4" fillId="5" borderId="28" xfId="18" applyNumberFormat="1" applyFont="1" applyFill="1" applyBorder="1"/>
    <xf numFmtId="180" fontId="4" fillId="5" borderId="27" xfId="18" applyNumberFormat="1" applyFont="1" applyFill="1" applyBorder="1"/>
    <xf numFmtId="180" fontId="4" fillId="5" borderId="28" xfId="10" applyNumberFormat="1" applyFont="1" applyFill="1" applyBorder="1" applyAlignment="1">
      <alignment horizontal="right"/>
    </xf>
    <xf numFmtId="9" fontId="19" fillId="5" borderId="0" xfId="22" applyFont="1" applyFill="1" applyBorder="1" applyAlignment="1">
      <alignment horizontal="right"/>
    </xf>
    <xf numFmtId="180" fontId="5" fillId="0" borderId="0" xfId="18" applyNumberFormat="1" applyFont="1" applyFill="1"/>
    <xf numFmtId="173" fontId="5" fillId="5" borderId="0" xfId="20" applyNumberFormat="1" applyFont="1" applyFill="1" applyBorder="1" applyAlignment="1" applyProtection="1">
      <alignment horizontal="left" indent="1"/>
      <protection locked="0"/>
    </xf>
    <xf numFmtId="5" fontId="5" fillId="5" borderId="3" xfId="0" applyNumberFormat="1" applyFont="1" applyFill="1" applyBorder="1"/>
    <xf numFmtId="165" fontId="5" fillId="5" borderId="0" xfId="10" applyNumberFormat="1" applyFont="1" applyFill="1" applyBorder="1"/>
    <xf numFmtId="180" fontId="30" fillId="5" borderId="0" xfId="10" applyNumberFormat="1" applyFont="1" applyFill="1" applyBorder="1"/>
    <xf numFmtId="43" fontId="5" fillId="4" borderId="8" xfId="18" applyNumberFormat="1" applyFont="1" applyFill="1" applyBorder="1"/>
    <xf numFmtId="9" fontId="5" fillId="5" borderId="0" xfId="28" applyNumberFormat="1" applyFont="1" applyFill="1" applyAlignment="1">
      <alignment horizontal="left" indent="1"/>
    </xf>
    <xf numFmtId="173" fontId="5" fillId="5" borderId="5" xfId="22" applyNumberFormat="1" applyFont="1" applyFill="1" applyBorder="1" applyAlignment="1">
      <alignment horizontal="left" vertical="center" indent="3"/>
    </xf>
    <xf numFmtId="170" fontId="5" fillId="5" borderId="0" xfId="10" applyNumberFormat="1" applyFont="1" applyFill="1"/>
    <xf numFmtId="167" fontId="5" fillId="5" borderId="0" xfId="10" applyNumberFormat="1" applyFont="1" applyFill="1"/>
    <xf numFmtId="7" fontId="4" fillId="5" borderId="0" xfId="18" applyNumberFormat="1" applyFont="1" applyFill="1" applyBorder="1"/>
    <xf numFmtId="180" fontId="5" fillId="6" borderId="0" xfId="18" applyNumberFormat="1" applyFont="1" applyFill="1"/>
    <xf numFmtId="7" fontId="4" fillId="5" borderId="8" xfId="18" applyNumberFormat="1" applyFont="1" applyFill="1" applyBorder="1"/>
    <xf numFmtId="7" fontId="4" fillId="5" borderId="6" xfId="18" applyNumberFormat="1" applyFont="1" applyFill="1" applyBorder="1"/>
    <xf numFmtId="7" fontId="4" fillId="5" borderId="5" xfId="18" applyNumberFormat="1" applyFont="1" applyFill="1" applyBorder="1"/>
    <xf numFmtId="7" fontId="4" fillId="5" borderId="30" xfId="18" applyNumberFormat="1" applyFont="1" applyFill="1" applyBorder="1"/>
    <xf numFmtId="7" fontId="4" fillId="5" borderId="21" xfId="18" applyNumberFormat="1" applyFont="1" applyFill="1" applyBorder="1"/>
    <xf numFmtId="0" fontId="6" fillId="5" borderId="13" xfId="18" applyFont="1" applyFill="1" applyBorder="1" applyAlignment="1">
      <alignment horizontal="left" vertical="center"/>
    </xf>
    <xf numFmtId="7" fontId="6" fillId="5" borderId="4" xfId="18" applyNumberFormat="1" applyFont="1" applyFill="1" applyBorder="1"/>
    <xf numFmtId="7" fontId="6" fillId="5" borderId="11" xfId="18" applyNumberFormat="1" applyFont="1" applyFill="1" applyBorder="1"/>
    <xf numFmtId="7" fontId="6" fillId="5" borderId="12" xfId="18" applyNumberFormat="1" applyFont="1" applyFill="1" applyBorder="1"/>
    <xf numFmtId="7" fontId="6" fillId="5" borderId="13" xfId="18" applyNumberFormat="1" applyFont="1" applyFill="1" applyBorder="1"/>
    <xf numFmtId="0" fontId="7" fillId="6" borderId="0" xfId="18" applyFont="1" applyFill="1" applyBorder="1"/>
    <xf numFmtId="180" fontId="4" fillId="5" borderId="11" xfId="18" applyNumberFormat="1" applyFont="1" applyFill="1" applyBorder="1"/>
    <xf numFmtId="180" fontId="4" fillId="5" borderId="4" xfId="18" applyNumberFormat="1" applyFont="1" applyFill="1" applyBorder="1"/>
    <xf numFmtId="180" fontId="4" fillId="5" borderId="12" xfId="18" applyNumberFormat="1" applyFont="1" applyFill="1" applyBorder="1"/>
    <xf numFmtId="180" fontId="4" fillId="5" borderId="13" xfId="18" applyNumberFormat="1" applyFont="1" applyFill="1" applyBorder="1"/>
    <xf numFmtId="170" fontId="5" fillId="5" borderId="8" xfId="18" applyNumberFormat="1" applyFont="1" applyFill="1" applyBorder="1"/>
    <xf numFmtId="170" fontId="5" fillId="5" borderId="6" xfId="18" applyNumberFormat="1" applyFont="1" applyFill="1" applyBorder="1"/>
    <xf numFmtId="170" fontId="5" fillId="5" borderId="5" xfId="18" applyNumberFormat="1" applyFont="1" applyFill="1" applyBorder="1"/>
    <xf numFmtId="180" fontId="4" fillId="5" borderId="16" xfId="10" applyNumberFormat="1" applyFont="1" applyFill="1" applyBorder="1"/>
    <xf numFmtId="180" fontId="4" fillId="5" borderId="15" xfId="10" applyNumberFormat="1" applyFont="1" applyFill="1" applyBorder="1"/>
    <xf numFmtId="180" fontId="4" fillId="5" borderId="17" xfId="10" applyNumberFormat="1" applyFont="1" applyFill="1" applyBorder="1"/>
    <xf numFmtId="180" fontId="4" fillId="5" borderId="18" xfId="10" applyNumberFormat="1" applyFont="1" applyFill="1" applyBorder="1"/>
    <xf numFmtId="173" fontId="26" fillId="5" borderId="0" xfId="18" applyNumberFormat="1" applyFont="1" applyFill="1" applyBorder="1"/>
    <xf numFmtId="173" fontId="26" fillId="5" borderId="5" xfId="18" applyNumberFormat="1" applyFont="1" applyFill="1" applyBorder="1"/>
    <xf numFmtId="173" fontId="16" fillId="6" borderId="0" xfId="18" applyNumberFormat="1" applyFont="1" applyFill="1" applyBorder="1"/>
    <xf numFmtId="173" fontId="5" fillId="5" borderId="0" xfId="28" applyNumberFormat="1" applyFont="1" applyFill="1" applyBorder="1"/>
    <xf numFmtId="170" fontId="5" fillId="5" borderId="0" xfId="20" applyNumberFormat="1" applyFont="1" applyFill="1" applyBorder="1" applyAlignment="1" applyProtection="1">
      <alignment horizontal="left" indent="2"/>
      <protection locked="0"/>
    </xf>
    <xf numFmtId="171" fontId="26" fillId="0" borderId="8" xfId="18" applyNumberFormat="1" applyFont="1" applyBorder="1"/>
    <xf numFmtId="179" fontId="5" fillId="0" borderId="0" xfId="18" applyNumberFormat="1" applyFont="1" applyBorder="1"/>
    <xf numFmtId="179" fontId="5" fillId="0" borderId="0" xfId="18" applyNumberFormat="1" applyFont="1" applyFill="1" applyBorder="1"/>
    <xf numFmtId="179" fontId="5" fillId="0" borderId="8" xfId="18" applyNumberFormat="1" applyFont="1" applyFill="1" applyBorder="1"/>
    <xf numFmtId="170" fontId="5" fillId="0" borderId="5" xfId="18" applyNumberFormat="1" applyFont="1" applyFill="1" applyBorder="1"/>
    <xf numFmtId="171" fontId="20" fillId="0" borderId="0" xfId="18" applyNumberFormat="1" applyFont="1" applyFill="1" applyBorder="1"/>
    <xf numFmtId="171" fontId="20" fillId="0" borderId="5" xfId="18" applyNumberFormat="1" applyFont="1" applyFill="1" applyBorder="1"/>
    <xf numFmtId="5" fontId="4" fillId="5" borderId="0" xfId="20" applyNumberFormat="1" applyFont="1" applyFill="1" applyBorder="1" applyAlignment="1" applyProtection="1">
      <alignment horizontal="left"/>
      <protection locked="0"/>
    </xf>
    <xf numFmtId="5" fontId="26" fillId="5" borderId="5" xfId="18" applyNumberFormat="1" applyFont="1" applyFill="1" applyBorder="1"/>
    <xf numFmtId="5" fontId="5" fillId="5" borderId="0" xfId="28" applyNumberFormat="1" applyFont="1" applyFill="1" applyBorder="1"/>
    <xf numFmtId="9" fontId="3" fillId="5" borderId="0" xfId="20" applyNumberFormat="1" applyFont="1" applyFill="1" applyBorder="1" applyAlignment="1" applyProtection="1">
      <alignment horizontal="left" indent="2"/>
      <protection locked="0"/>
    </xf>
    <xf numFmtId="5" fontId="3" fillId="5" borderId="0" xfId="20" applyNumberFormat="1" applyFont="1" applyFill="1" applyBorder="1" applyAlignment="1" applyProtection="1">
      <alignment horizontal="left" indent="1"/>
      <protection locked="0"/>
    </xf>
    <xf numFmtId="173" fontId="3" fillId="5" borderId="0" xfId="20" applyNumberFormat="1" applyFont="1" applyFill="1" applyBorder="1" applyAlignment="1" applyProtection="1">
      <alignment horizontal="left" indent="1"/>
      <protection locked="0"/>
    </xf>
    <xf numFmtId="173" fontId="4" fillId="5" borderId="15" xfId="20" applyNumberFormat="1" applyFont="1" applyFill="1" applyBorder="1" applyAlignment="1" applyProtection="1">
      <alignment horizontal="left"/>
      <protection locked="0"/>
    </xf>
    <xf numFmtId="173" fontId="26" fillId="5" borderId="16" xfId="18" applyNumberFormat="1" applyFont="1" applyFill="1" applyBorder="1"/>
    <xf numFmtId="173" fontId="26" fillId="5" borderId="15" xfId="18" applyNumberFormat="1" applyFont="1" applyFill="1" applyBorder="1"/>
    <xf numFmtId="173" fontId="5" fillId="5" borderId="15" xfId="18" applyNumberFormat="1" applyFont="1" applyFill="1" applyBorder="1"/>
    <xf numFmtId="173" fontId="5" fillId="5" borderId="16" xfId="18" applyNumberFormat="1" applyFont="1" applyFill="1" applyBorder="1"/>
    <xf numFmtId="173" fontId="26" fillId="5" borderId="18" xfId="18" applyNumberFormat="1" applyFont="1" applyFill="1" applyBorder="1"/>
    <xf numFmtId="173" fontId="20" fillId="5" borderId="15" xfId="18" applyNumberFormat="1" applyFont="1" applyFill="1" applyBorder="1"/>
    <xf numFmtId="173" fontId="20" fillId="5" borderId="18" xfId="18" applyNumberFormat="1" applyFont="1" applyFill="1" applyBorder="1"/>
    <xf numFmtId="5" fontId="26" fillId="5" borderId="6" xfId="18" applyNumberFormat="1" applyFont="1" applyFill="1" applyBorder="1"/>
    <xf numFmtId="173" fontId="26" fillId="5" borderId="17" xfId="18" applyNumberFormat="1" applyFont="1" applyFill="1" applyBorder="1"/>
    <xf numFmtId="171" fontId="26" fillId="0" borderId="6" xfId="18" applyNumberFormat="1" applyFont="1" applyBorder="1"/>
    <xf numFmtId="173" fontId="26" fillId="5" borderId="6" xfId="18" applyNumberFormat="1" applyFont="1" applyFill="1" applyBorder="1"/>
    <xf numFmtId="179" fontId="5" fillId="5" borderId="31" xfId="18" applyNumberFormat="1" applyFont="1" applyFill="1" applyBorder="1"/>
    <xf numFmtId="173" fontId="4" fillId="5" borderId="16" xfId="18" applyNumberFormat="1" applyFont="1" applyFill="1" applyBorder="1"/>
    <xf numFmtId="173" fontId="4" fillId="5" borderId="15" xfId="18" applyNumberFormat="1" applyFont="1" applyFill="1" applyBorder="1"/>
    <xf numFmtId="173" fontId="4" fillId="5" borderId="17" xfId="18" applyNumberFormat="1" applyFont="1" applyFill="1" applyBorder="1"/>
    <xf numFmtId="173" fontId="4" fillId="5" borderId="18" xfId="18" applyNumberFormat="1" applyFont="1" applyFill="1" applyBorder="1"/>
    <xf numFmtId="186" fontId="5" fillId="0" borderId="0" xfId="20" applyNumberFormat="1" applyFont="1" applyFill="1" applyBorder="1" applyAlignment="1" applyProtection="1">
      <alignment horizontal="left" indent="4"/>
      <protection locked="0"/>
    </xf>
    <xf numFmtId="186" fontId="5" fillId="5" borderId="8" xfId="18" applyNumberFormat="1" applyFont="1" applyFill="1" applyBorder="1"/>
    <xf numFmtId="186" fontId="5" fillId="5" borderId="0" xfId="18" applyNumberFormat="1" applyFont="1" applyFill="1" applyBorder="1"/>
    <xf numFmtId="186" fontId="5" fillId="0" borderId="0" xfId="18" applyNumberFormat="1" applyFont="1" applyFill="1" applyBorder="1"/>
    <xf numFmtId="186" fontId="5" fillId="5" borderId="6" xfId="18" applyNumberFormat="1" applyFont="1" applyFill="1" applyBorder="1"/>
    <xf numFmtId="186" fontId="5" fillId="5" borderId="5" xfId="18" applyNumberFormat="1" applyFont="1" applyFill="1" applyBorder="1"/>
    <xf numFmtId="186" fontId="16" fillId="6" borderId="0" xfId="18" applyNumberFormat="1" applyFont="1" applyFill="1" applyBorder="1"/>
    <xf numFmtId="186" fontId="5" fillId="6" borderId="0" xfId="18" applyNumberFormat="1" applyFont="1" applyFill="1" applyBorder="1"/>
    <xf numFmtId="186" fontId="5" fillId="5" borderId="0" xfId="0" applyNumberFormat="1" applyFont="1" applyFill="1" applyBorder="1"/>
    <xf numFmtId="186" fontId="5" fillId="5" borderId="0" xfId="18" applyNumberFormat="1" applyFont="1" applyFill="1" applyBorder="1" applyAlignment="1">
      <alignment horizontal="right"/>
    </xf>
    <xf numFmtId="186" fontId="5" fillId="5" borderId="6" xfId="18" applyNumberFormat="1" applyFont="1" applyFill="1" applyBorder="1" applyAlignment="1">
      <alignment horizontal="right"/>
    </xf>
    <xf numFmtId="186" fontId="5" fillId="5" borderId="5" xfId="18" applyNumberFormat="1" applyFont="1" applyFill="1" applyBorder="1" applyAlignment="1">
      <alignment horizontal="right"/>
    </xf>
    <xf numFmtId="186" fontId="5" fillId="5" borderId="8" xfId="18" applyNumberFormat="1" applyFont="1" applyFill="1" applyBorder="1" applyAlignment="1">
      <alignment horizontal="right"/>
    </xf>
    <xf numFmtId="180" fontId="3" fillId="4" borderId="0" xfId="18" applyNumberFormat="1" applyFont="1" applyFill="1" applyBorder="1"/>
    <xf numFmtId="0" fontId="3" fillId="4" borderId="0" xfId="18" applyFont="1" applyFill="1" applyBorder="1"/>
    <xf numFmtId="37" fontId="3" fillId="4" borderId="0" xfId="18" applyNumberFormat="1" applyFont="1" applyFill="1" applyBorder="1"/>
    <xf numFmtId="180" fontId="5" fillId="9" borderId="0" xfId="10" applyNumberFormat="1" applyFont="1" applyFill="1" applyBorder="1"/>
    <xf numFmtId="171" fontId="5" fillId="9" borderId="0" xfId="22" applyNumberFormat="1" applyFont="1" applyFill="1" applyBorder="1"/>
    <xf numFmtId="170" fontId="5" fillId="9" borderId="0" xfId="10" applyNumberFormat="1" applyFont="1" applyFill="1"/>
    <xf numFmtId="170" fontId="5" fillId="9" borderId="0" xfId="18" applyNumberFormat="1" applyFont="1" applyFill="1" applyBorder="1"/>
    <xf numFmtId="173" fontId="5" fillId="9" borderId="0" xfId="22" applyNumberFormat="1" applyFont="1" applyFill="1"/>
    <xf numFmtId="167" fontId="5" fillId="9" borderId="0" xfId="10" applyNumberFormat="1" applyFont="1" applyFill="1"/>
    <xf numFmtId="7" fontId="4" fillId="9" borderId="0" xfId="18" applyNumberFormat="1" applyFont="1" applyFill="1" applyBorder="1"/>
    <xf numFmtId="180" fontId="3" fillId="5" borderId="0" xfId="10" applyNumberFormat="1" applyFont="1" applyFill="1" applyBorder="1"/>
    <xf numFmtId="180" fontId="3" fillId="0" borderId="0" xfId="10" applyNumberFormat="1" applyFont="1" applyFill="1" applyBorder="1"/>
    <xf numFmtId="180" fontId="3" fillId="5" borderId="0" xfId="18" applyNumberFormat="1" applyFont="1" applyFill="1" applyBorder="1"/>
    <xf numFmtId="180" fontId="5" fillId="9" borderId="0" xfId="18" applyNumberFormat="1" applyFont="1" applyFill="1" applyBorder="1"/>
    <xf numFmtId="180" fontId="5" fillId="9" borderId="0" xfId="10" applyNumberFormat="1" applyFont="1" applyFill="1" applyBorder="1" applyAlignment="1">
      <alignment horizontal="right"/>
    </xf>
    <xf numFmtId="5" fontId="26" fillId="9" borderId="0" xfId="18" applyNumberFormat="1" applyFont="1" applyFill="1" applyBorder="1"/>
    <xf numFmtId="5" fontId="5" fillId="9" borderId="0" xfId="18" applyNumberFormat="1" applyFont="1" applyFill="1" applyBorder="1"/>
    <xf numFmtId="180" fontId="5" fillId="9" borderId="0" xfId="10" applyNumberFormat="1" applyFont="1" applyFill="1"/>
    <xf numFmtId="179" fontId="3" fillId="4" borderId="0" xfId="18" applyNumberFormat="1" applyFont="1" applyFill="1" applyBorder="1"/>
    <xf numFmtId="173" fontId="3" fillId="4" borderId="0" xfId="0" applyNumberFormat="1" applyFont="1" applyFill="1" applyBorder="1"/>
    <xf numFmtId="173" fontId="3" fillId="4" borderId="0" xfId="18" applyNumberFormat="1" applyFont="1" applyFill="1" applyBorder="1"/>
    <xf numFmtId="5" fontId="3" fillId="4" borderId="0" xfId="18" applyNumberFormat="1" applyFont="1" applyFill="1" applyBorder="1"/>
    <xf numFmtId="180" fontId="3" fillId="4" borderId="0" xfId="10" applyNumberFormat="1" applyFont="1" applyFill="1" applyBorder="1"/>
    <xf numFmtId="173" fontId="3" fillId="4" borderId="0" xfId="22" applyNumberFormat="1" applyFont="1" applyFill="1" applyBorder="1"/>
    <xf numFmtId="9" fontId="3" fillId="4" borderId="0" xfId="22" applyFont="1" applyFill="1" applyBorder="1"/>
    <xf numFmtId="185" fontId="3" fillId="4" borderId="0" xfId="18" applyNumberFormat="1" applyFont="1" applyFill="1" applyBorder="1"/>
    <xf numFmtId="176" fontId="4" fillId="5" borderId="8" xfId="10" applyNumberFormat="1" applyFont="1" applyFill="1" applyBorder="1"/>
    <xf numFmtId="176" fontId="4" fillId="0" borderId="0" xfId="10" applyNumberFormat="1" applyFont="1"/>
    <xf numFmtId="176" fontId="4" fillId="0" borderId="0" xfId="10" applyNumberFormat="1" applyFont="1" applyBorder="1"/>
    <xf numFmtId="176" fontId="4" fillId="0" borderId="8" xfId="10" applyNumberFormat="1" applyFont="1" applyBorder="1"/>
    <xf numFmtId="176" fontId="4" fillId="0" borderId="0" xfId="10" applyNumberFormat="1" applyFont="1" applyFill="1" applyBorder="1"/>
    <xf numFmtId="176" fontId="4" fillId="0" borderId="8" xfId="10" applyNumberFormat="1" applyFont="1" applyFill="1" applyBorder="1"/>
    <xf numFmtId="176" fontId="4" fillId="0" borderId="0" xfId="10" applyNumberFormat="1" applyFont="1" applyFill="1"/>
    <xf numFmtId="176" fontId="4" fillId="9" borderId="0" xfId="10" applyNumberFormat="1" applyFont="1" applyFill="1"/>
    <xf numFmtId="176" fontId="4" fillId="0" borderId="6" xfId="10" applyNumberFormat="1" applyFont="1" applyFill="1" applyBorder="1"/>
    <xf numFmtId="176" fontId="4" fillId="0" borderId="5" xfId="10" applyNumberFormat="1" applyFont="1" applyFill="1" applyBorder="1"/>
    <xf numFmtId="170" fontId="5" fillId="0" borderId="0" xfId="10" applyNumberFormat="1" applyFont="1" applyBorder="1"/>
    <xf numFmtId="170" fontId="5" fillId="5" borderId="0" xfId="10" applyNumberFormat="1" applyFont="1" applyFill="1" applyBorder="1"/>
    <xf numFmtId="170" fontId="5" fillId="0" borderId="6" xfId="18" applyNumberFormat="1" applyFont="1" applyFill="1" applyBorder="1"/>
    <xf numFmtId="180" fontId="3" fillId="5" borderId="8" xfId="10" applyNumberFormat="1" applyFont="1" applyFill="1" applyBorder="1"/>
    <xf numFmtId="180" fontId="46" fillId="0" borderId="6" xfId="10" applyNumberFormat="1" applyFont="1" applyFill="1" applyBorder="1"/>
    <xf numFmtId="180" fontId="46" fillId="0" borderId="0" xfId="10" applyNumberFormat="1" applyFont="1" applyFill="1" applyBorder="1"/>
    <xf numFmtId="180" fontId="46" fillId="0" borderId="5" xfId="10" applyNumberFormat="1" applyFont="1" applyFill="1" applyBorder="1"/>
    <xf numFmtId="185" fontId="3" fillId="4" borderId="0" xfId="18" quotePrefix="1" applyNumberFormat="1" applyFont="1" applyFill="1" applyBorder="1"/>
    <xf numFmtId="180" fontId="3" fillId="5" borderId="8" xfId="18" applyNumberFormat="1" applyFont="1" applyFill="1" applyBorder="1"/>
    <xf numFmtId="180" fontId="3" fillId="0" borderId="16" xfId="10" applyNumberFormat="1" applyFont="1" applyFill="1" applyBorder="1"/>
    <xf numFmtId="171" fontId="5" fillId="0" borderId="0" xfId="22" applyNumberFormat="1" applyFont="1" applyFill="1" applyBorder="1"/>
    <xf numFmtId="5" fontId="26" fillId="0" borderId="0" xfId="18" applyNumberFormat="1" applyFont="1" applyFill="1" applyBorder="1"/>
    <xf numFmtId="167" fontId="3" fillId="0" borderId="0" xfId="10" applyNumberFormat="1" applyFont="1" applyFill="1"/>
    <xf numFmtId="7" fontId="4" fillId="0" borderId="0" xfId="18" applyNumberFormat="1" applyFont="1" applyFill="1" applyBorder="1"/>
    <xf numFmtId="180" fontId="4" fillId="9" borderId="15" xfId="10" applyNumberFormat="1" applyFont="1" applyFill="1" applyBorder="1"/>
    <xf numFmtId="180" fontId="5" fillId="9" borderId="8" xfId="18" applyNumberFormat="1" applyFont="1" applyFill="1" applyBorder="1"/>
    <xf numFmtId="0" fontId="17" fillId="6" borderId="0" xfId="18" applyFont="1" applyFill="1" applyAlignment="1">
      <alignment horizontal="center"/>
    </xf>
    <xf numFmtId="180" fontId="3" fillId="5" borderId="0" xfId="10" applyNumberFormat="1" applyFont="1" applyFill="1" applyBorder="1" applyAlignment="1">
      <alignment horizontal="right"/>
    </xf>
    <xf numFmtId="37" fontId="5" fillId="9" borderId="0" xfId="18" applyNumberFormat="1" applyFont="1" applyFill="1" applyBorder="1"/>
    <xf numFmtId="37" fontId="5" fillId="9" borderId="8" xfId="18" applyNumberFormat="1" applyFont="1" applyFill="1" applyBorder="1"/>
    <xf numFmtId="37" fontId="5" fillId="9" borderId="6" xfId="18" applyNumberFormat="1" applyFont="1" applyFill="1" applyBorder="1"/>
    <xf numFmtId="5" fontId="5" fillId="9" borderId="8" xfId="18" applyNumberFormat="1" applyFont="1" applyFill="1" applyBorder="1"/>
    <xf numFmtId="5" fontId="4" fillId="9" borderId="8" xfId="18" applyNumberFormat="1" applyFont="1" applyFill="1" applyBorder="1"/>
    <xf numFmtId="171" fontId="5" fillId="9" borderId="0" xfId="18" applyNumberFormat="1" applyFont="1" applyFill="1" applyBorder="1"/>
    <xf numFmtId="5" fontId="26" fillId="9" borderId="8" xfId="18" applyNumberFormat="1" applyFont="1" applyFill="1" applyBorder="1"/>
    <xf numFmtId="180" fontId="5" fillId="9" borderId="6" xfId="10" applyNumberFormat="1" applyFont="1" applyFill="1" applyBorder="1"/>
    <xf numFmtId="171" fontId="5" fillId="9" borderId="6" xfId="18" applyNumberFormat="1" applyFont="1" applyFill="1" applyBorder="1"/>
    <xf numFmtId="180" fontId="3" fillId="5" borderId="6" xfId="10" applyNumberFormat="1" applyFont="1" applyFill="1" applyBorder="1"/>
    <xf numFmtId="180" fontId="3" fillId="0" borderId="6" xfId="10" applyNumberFormat="1" applyFont="1" applyFill="1" applyBorder="1"/>
    <xf numFmtId="180" fontId="3" fillId="5" borderId="6" xfId="18" applyNumberFormat="1" applyFont="1" applyFill="1" applyBorder="1"/>
    <xf numFmtId="173" fontId="3" fillId="5" borderId="0" xfId="22" applyNumberFormat="1" applyFont="1" applyFill="1" applyBorder="1"/>
    <xf numFmtId="9" fontId="3" fillId="5" borderId="0" xfId="22" applyFont="1" applyFill="1" applyBorder="1"/>
    <xf numFmtId="180" fontId="4" fillId="11" borderId="0" xfId="18" applyNumberFormat="1" applyFont="1" applyFill="1"/>
    <xf numFmtId="180" fontId="3" fillId="0" borderId="0" xfId="18" applyNumberFormat="1" applyFont="1"/>
    <xf numFmtId="180" fontId="3" fillId="0" borderId="8" xfId="10" applyNumberFormat="1" applyFont="1" applyFill="1" applyBorder="1"/>
    <xf numFmtId="180" fontId="46" fillId="0" borderId="8" xfId="10" applyNumberFormat="1" applyFont="1" applyFill="1" applyBorder="1"/>
    <xf numFmtId="171" fontId="47" fillId="4" borderId="8" xfId="18" applyNumberFormat="1" applyFont="1" applyFill="1" applyBorder="1"/>
    <xf numFmtId="171" fontId="47" fillId="4" borderId="6" xfId="18" applyNumberFormat="1" applyFont="1" applyFill="1" applyBorder="1"/>
    <xf numFmtId="171" fontId="47" fillId="4" borderId="0" xfId="18" applyNumberFormat="1" applyFont="1" applyFill="1" applyBorder="1"/>
    <xf numFmtId="171" fontId="47" fillId="4" borderId="5" xfId="18" applyNumberFormat="1" applyFont="1" applyFill="1" applyBorder="1"/>
    <xf numFmtId="180" fontId="3" fillId="0" borderId="15" xfId="18" applyNumberFormat="1" applyFont="1" applyFill="1" applyBorder="1"/>
    <xf numFmtId="180" fontId="3" fillId="0" borderId="15" xfId="10" applyNumberFormat="1" applyFont="1" applyFill="1" applyBorder="1"/>
    <xf numFmtId="180" fontId="3" fillId="5" borderId="16" xfId="10" applyNumberFormat="1" applyFont="1" applyFill="1" applyBorder="1"/>
    <xf numFmtId="180" fontId="3" fillId="5" borderId="15" xfId="10" applyNumberFormat="1" applyFont="1" applyFill="1" applyBorder="1"/>
    <xf numFmtId="180" fontId="3" fillId="0" borderId="17" xfId="10" applyNumberFormat="1" applyFont="1" applyFill="1" applyBorder="1"/>
    <xf numFmtId="180" fontId="3" fillId="0" borderId="18" xfId="10" applyNumberFormat="1" applyFont="1" applyFill="1" applyBorder="1"/>
    <xf numFmtId="180" fontId="3" fillId="6" borderId="0" xfId="18" applyNumberFormat="1" applyFont="1" applyFill="1" applyBorder="1"/>
    <xf numFmtId="180" fontId="3" fillId="5" borderId="0" xfId="0" applyNumberFormat="1" applyFont="1" applyFill="1" applyBorder="1"/>
    <xf numFmtId="180" fontId="4" fillId="9" borderId="0" xfId="10" applyNumberFormat="1" applyFont="1" applyFill="1" applyBorder="1"/>
    <xf numFmtId="180" fontId="4" fillId="9" borderId="0" xfId="18" applyNumberFormat="1" applyFont="1" applyFill="1" applyBorder="1"/>
    <xf numFmtId="180" fontId="3" fillId="4" borderId="0" xfId="0" applyNumberFormat="1" applyFont="1" applyFill="1" applyBorder="1"/>
    <xf numFmtId="186" fontId="3" fillId="4" borderId="0" xfId="18" applyNumberFormat="1" applyFont="1" applyFill="1" applyBorder="1"/>
    <xf numFmtId="0" fontId="3" fillId="4" borderId="0" xfId="0" applyFont="1" applyFill="1" applyBorder="1"/>
    <xf numFmtId="182" fontId="3" fillId="4" borderId="0" xfId="10" applyNumberFormat="1" applyFont="1" applyFill="1" applyBorder="1"/>
    <xf numFmtId="180" fontId="3" fillId="9" borderId="0" xfId="18" applyNumberFormat="1" applyFont="1" applyFill="1" applyBorder="1"/>
    <xf numFmtId="180" fontId="5" fillId="9" borderId="8" xfId="10" applyNumberFormat="1" applyFont="1" applyFill="1" applyBorder="1"/>
    <xf numFmtId="180" fontId="3" fillId="9" borderId="0" xfId="10" applyNumberFormat="1" applyFont="1" applyFill="1" applyBorder="1"/>
    <xf numFmtId="180" fontId="3" fillId="9" borderId="6" xfId="10" applyNumberFormat="1" applyFont="1" applyFill="1" applyBorder="1"/>
    <xf numFmtId="180" fontId="3" fillId="9" borderId="8" xfId="10" applyNumberFormat="1" applyFont="1" applyFill="1" applyBorder="1"/>
    <xf numFmtId="180" fontId="5" fillId="9" borderId="5" xfId="10" applyNumberFormat="1" applyFont="1" applyFill="1" applyBorder="1"/>
    <xf numFmtId="180" fontId="5" fillId="10" borderId="0" xfId="18" applyNumberFormat="1" applyFont="1" applyFill="1" applyBorder="1"/>
    <xf numFmtId="5" fontId="26" fillId="10" borderId="0" xfId="18" applyNumberFormat="1" applyFont="1" applyFill="1" applyBorder="1"/>
    <xf numFmtId="5" fontId="26" fillId="10" borderId="8" xfId="18" applyNumberFormat="1" applyFont="1" applyFill="1" applyBorder="1"/>
    <xf numFmtId="180" fontId="3" fillId="5" borderId="5" xfId="10" applyNumberFormat="1" applyFont="1" applyFill="1" applyBorder="1"/>
    <xf numFmtId="180" fontId="3" fillId="0" borderId="5" xfId="10" applyNumberFormat="1" applyFont="1" applyFill="1" applyBorder="1"/>
    <xf numFmtId="182" fontId="3" fillId="5" borderId="8" xfId="10" applyNumberFormat="1" applyFont="1" applyFill="1" applyBorder="1"/>
    <xf numFmtId="182" fontId="3" fillId="5" borderId="6" xfId="10" applyNumberFormat="1" applyFont="1" applyFill="1" applyBorder="1"/>
    <xf numFmtId="9" fontId="3" fillId="5" borderId="8" xfId="22" applyFont="1" applyFill="1" applyBorder="1"/>
    <xf numFmtId="9" fontId="3" fillId="5" borderId="6" xfId="22" applyFont="1" applyFill="1" applyBorder="1"/>
    <xf numFmtId="180" fontId="3" fillId="5" borderId="5" xfId="18" applyNumberFormat="1" applyFont="1" applyFill="1" applyBorder="1"/>
    <xf numFmtId="180" fontId="3" fillId="0" borderId="0" xfId="18" applyNumberFormat="1" applyFont="1" applyFill="1" applyBorder="1"/>
    <xf numFmtId="180" fontId="3" fillId="4" borderId="5" xfId="18" applyNumberFormat="1" applyFont="1" applyFill="1" applyBorder="1"/>
    <xf numFmtId="180" fontId="3" fillId="4" borderId="8" xfId="18" applyNumberFormat="1" applyFont="1" applyFill="1" applyBorder="1"/>
    <xf numFmtId="180" fontId="3" fillId="4" borderId="6" xfId="18" applyNumberFormat="1" applyFont="1" applyFill="1" applyBorder="1"/>
    <xf numFmtId="37" fontId="3" fillId="0" borderId="8" xfId="18" applyNumberFormat="1" applyFont="1" applyFill="1" applyBorder="1"/>
    <xf numFmtId="3" fontId="3" fillId="5" borderId="8" xfId="10" applyNumberFormat="1" applyFont="1" applyFill="1" applyBorder="1"/>
    <xf numFmtId="180" fontId="3" fillId="9" borderId="5" xfId="10" applyNumberFormat="1" applyFont="1" applyFill="1" applyBorder="1"/>
    <xf numFmtId="180" fontId="3" fillId="0" borderId="8" xfId="10" applyNumberFormat="1" applyFont="1" applyFill="1" applyBorder="1" applyAlignment="1">
      <alignment horizontal="right"/>
    </xf>
    <xf numFmtId="173" fontId="3" fillId="5" borderId="6" xfId="22" applyNumberFormat="1" applyFont="1" applyFill="1" applyBorder="1"/>
    <xf numFmtId="180" fontId="3" fillId="0" borderId="0" xfId="10" applyNumberFormat="1" applyFont="1" applyFill="1" applyBorder="1" applyAlignment="1">
      <alignment horizontal="right"/>
    </xf>
    <xf numFmtId="173" fontId="5" fillId="0" borderId="0" xfId="18" applyNumberFormat="1" applyFont="1" applyAlignment="1">
      <alignment horizontal="left" indent="2"/>
    </xf>
    <xf numFmtId="173" fontId="5" fillId="0" borderId="6" xfId="10" applyNumberFormat="1" applyFont="1" applyFill="1" applyBorder="1"/>
    <xf numFmtId="167" fontId="5" fillId="9" borderId="0" xfId="10" applyNumberFormat="1" applyFont="1" applyFill="1" applyAlignment="1">
      <alignment horizontal="right"/>
    </xf>
    <xf numFmtId="0" fontId="18" fillId="12" borderId="0" xfId="4" applyFont="1" applyFill="1"/>
    <xf numFmtId="0" fontId="29" fillId="12" borderId="0" xfId="17" applyFill="1"/>
    <xf numFmtId="0" fontId="38" fillId="12" borderId="0" xfId="4" applyFont="1" applyFill="1"/>
    <xf numFmtId="0" fontId="39" fillId="12" borderId="0" xfId="4" applyFont="1" applyFill="1"/>
    <xf numFmtId="8" fontId="39" fillId="12" borderId="0" xfId="4" applyNumberFormat="1" applyFont="1" applyFill="1" applyAlignment="1">
      <alignment horizontal="left"/>
    </xf>
    <xf numFmtId="14" fontId="39" fillId="12" borderId="0" xfId="4" applyNumberFormat="1" applyFont="1" applyFill="1" applyAlignment="1">
      <alignment horizontal="left"/>
    </xf>
    <xf numFmtId="0" fontId="0" fillId="5" borderId="0" xfId="4" applyFont="1" applyFill="1"/>
    <xf numFmtId="0" fontId="40" fillId="5" borderId="0" xfId="4" applyFont="1" applyFill="1"/>
    <xf numFmtId="0" fontId="29" fillId="0" borderId="0" xfId="17"/>
    <xf numFmtId="0" fontId="48" fillId="5" borderId="0" xfId="4" applyFont="1" applyFill="1"/>
    <xf numFmtId="0" fontId="49" fillId="5" borderId="0" xfId="4" applyFont="1" applyFill="1"/>
    <xf numFmtId="0" fontId="50" fillId="5" borderId="0" xfId="4" applyFont="1" applyFill="1"/>
    <xf numFmtId="0" fontId="51" fillId="5" borderId="0" xfId="4" applyFont="1" applyFill="1"/>
    <xf numFmtId="0" fontId="48" fillId="0" borderId="0" xfId="17" applyFont="1"/>
    <xf numFmtId="0" fontId="41" fillId="5" borderId="0" xfId="4" applyFont="1" applyFill="1"/>
    <xf numFmtId="0" fontId="6" fillId="5" borderId="0" xfId="4" applyFont="1" applyFill="1"/>
    <xf numFmtId="0" fontId="42" fillId="5" borderId="0" xfId="4" applyFont="1" applyFill="1"/>
    <xf numFmtId="187" fontId="35" fillId="12" borderId="0" xfId="4" applyNumberFormat="1" applyFont="1" applyFill="1"/>
    <xf numFmtId="187" fontId="43" fillId="12" borderId="0" xfId="4" applyNumberFormat="1" applyFont="1" applyFill="1"/>
    <xf numFmtId="0" fontId="43" fillId="12" borderId="0" xfId="4" applyNumberFormat="1" applyFont="1" applyFill="1"/>
    <xf numFmtId="0" fontId="2" fillId="12" borderId="0" xfId="17" applyFont="1" applyFill="1"/>
    <xf numFmtId="0" fontId="2" fillId="12" borderId="0" xfId="4" applyFont="1" applyFill="1"/>
    <xf numFmtId="187" fontId="44" fillId="12" borderId="0" xfId="4" applyNumberFormat="1" applyFont="1" applyFill="1"/>
    <xf numFmtId="187" fontId="39" fillId="12" borderId="0" xfId="4" applyNumberFormat="1" applyFont="1" applyFill="1"/>
    <xf numFmtId="187" fontId="41" fillId="12" borderId="0" xfId="4" applyNumberFormat="1" applyFont="1" applyFill="1"/>
    <xf numFmtId="187" fontId="45" fillId="12" borderId="0" xfId="4" applyNumberFormat="1" applyFont="1" applyFill="1"/>
    <xf numFmtId="187" fontId="40" fillId="12" borderId="0" xfId="4" applyNumberFormat="1" applyFont="1" applyFill="1"/>
    <xf numFmtId="0" fontId="40" fillId="12" borderId="0" xfId="4" applyNumberFormat="1" applyFont="1" applyFill="1"/>
    <xf numFmtId="0" fontId="2" fillId="0" borderId="0" xfId="17" applyFont="1" applyFill="1"/>
    <xf numFmtId="0" fontId="2" fillId="0" borderId="0" xfId="17" applyNumberFormat="1" applyFont="1" applyFill="1"/>
    <xf numFmtId="0" fontId="2" fillId="0" borderId="0" xfId="17" applyFont="1"/>
    <xf numFmtId="0" fontId="52" fillId="12" borderId="0" xfId="17" applyFont="1" applyFill="1"/>
    <xf numFmtId="0" fontId="53" fillId="12" borderId="0" xfId="17" applyFont="1" applyFill="1"/>
    <xf numFmtId="0" fontId="51" fillId="0" borderId="0" xfId="4" applyFont="1" applyAlignment="1">
      <alignment horizontal="right"/>
    </xf>
    <xf numFmtId="0" fontId="51" fillId="0" borderId="0" xfId="4" applyNumberFormat="1" applyFont="1" applyAlignment="1">
      <alignment horizontal="right"/>
    </xf>
    <xf numFmtId="188" fontId="51" fillId="0" borderId="0" xfId="17" applyNumberFormat="1" applyFont="1"/>
    <xf numFmtId="189" fontId="2" fillId="0" borderId="0" xfId="17" applyNumberFormat="1" applyFont="1"/>
    <xf numFmtId="0" fontId="2" fillId="0" borderId="0" xfId="17" applyNumberFormat="1" applyFont="1"/>
    <xf numFmtId="0" fontId="54" fillId="0" borderId="0" xfId="17" applyFont="1"/>
    <xf numFmtId="0" fontId="6" fillId="13" borderId="12" xfId="17" applyFont="1" applyFill="1" applyBorder="1"/>
    <xf numFmtId="0" fontId="2" fillId="13" borderId="11" xfId="17" applyFont="1" applyFill="1" applyBorder="1"/>
    <xf numFmtId="165" fontId="2" fillId="0" borderId="0" xfId="11" applyNumberFormat="1" applyFont="1"/>
    <xf numFmtId="8" fontId="2" fillId="0" borderId="0" xfId="17" applyNumberFormat="1" applyFont="1"/>
    <xf numFmtId="0" fontId="23" fillId="0" borderId="0" xfId="17" applyFont="1"/>
    <xf numFmtId="9" fontId="23" fillId="0" borderId="0" xfId="17" applyNumberFormat="1" applyFont="1"/>
    <xf numFmtId="0" fontId="23" fillId="0" borderId="22" xfId="17" applyFont="1" applyBorder="1"/>
    <xf numFmtId="0" fontId="23" fillId="0" borderId="2" xfId="17" applyFont="1" applyBorder="1"/>
    <xf numFmtId="178" fontId="23" fillId="0" borderId="2" xfId="17" applyNumberFormat="1" applyFont="1" applyBorder="1" applyAlignment="1">
      <alignment horizontal="right"/>
    </xf>
    <xf numFmtId="178" fontId="23" fillId="0" borderId="23" xfId="17" applyNumberFormat="1" applyFont="1" applyBorder="1" applyAlignment="1">
      <alignment horizontal="right"/>
    </xf>
    <xf numFmtId="0" fontId="6" fillId="0" borderId="0" xfId="17" applyFont="1"/>
    <xf numFmtId="165" fontId="6" fillId="0" borderId="0" xfId="11" applyNumberFormat="1" applyFont="1" applyFill="1"/>
    <xf numFmtId="0" fontId="23" fillId="0" borderId="6" xfId="17" applyFont="1" applyFill="1" applyBorder="1"/>
    <xf numFmtId="0" fontId="23" fillId="0" borderId="0" xfId="17" applyFont="1" applyFill="1" applyBorder="1"/>
    <xf numFmtId="178" fontId="23" fillId="0" borderId="0" xfId="17" applyNumberFormat="1" applyFont="1" applyFill="1" applyBorder="1" applyAlignment="1">
      <alignment horizontal="right"/>
    </xf>
    <xf numFmtId="178" fontId="23" fillId="0" borderId="5" xfId="17" applyNumberFormat="1" applyFont="1" applyFill="1" applyBorder="1" applyAlignment="1">
      <alignment horizontal="right"/>
    </xf>
    <xf numFmtId="9" fontId="2" fillId="0" borderId="0" xfId="11" applyNumberFormat="1" applyFont="1"/>
    <xf numFmtId="0" fontId="23" fillId="0" borderId="24" xfId="17" applyFont="1" applyBorder="1"/>
    <xf numFmtId="0" fontId="23" fillId="0" borderId="3" xfId="17" applyFont="1" applyBorder="1"/>
    <xf numFmtId="173" fontId="23" fillId="0" borderId="3" xfId="17" applyNumberFormat="1" applyFont="1" applyBorder="1"/>
    <xf numFmtId="173" fontId="23" fillId="0" borderId="3" xfId="17" applyNumberFormat="1" applyFont="1" applyBorder="1" applyAlignment="1">
      <alignment horizontal="right"/>
    </xf>
    <xf numFmtId="173" fontId="23" fillId="0" borderId="25" xfId="17" applyNumberFormat="1" applyFont="1" applyBorder="1" applyAlignment="1">
      <alignment horizontal="right"/>
    </xf>
    <xf numFmtId="165" fontId="6" fillId="0" borderId="0" xfId="11" applyNumberFormat="1" applyFont="1"/>
    <xf numFmtId="0" fontId="23" fillId="0" borderId="0" xfId="17" applyFont="1" applyFill="1"/>
    <xf numFmtId="0" fontId="6" fillId="0" borderId="0" xfId="17" applyFont="1" applyFill="1"/>
    <xf numFmtId="178" fontId="55" fillId="0" borderId="0" xfId="17" applyNumberFormat="1" applyFont="1" applyFill="1" applyAlignment="1">
      <alignment horizontal="right"/>
    </xf>
    <xf numFmtId="0" fontId="6" fillId="0" borderId="12" xfId="17" applyFont="1" applyFill="1" applyBorder="1"/>
    <xf numFmtId="0" fontId="2" fillId="0" borderId="11" xfId="17" applyFont="1" applyFill="1" applyBorder="1"/>
    <xf numFmtId="0" fontId="0" fillId="0" borderId="0" xfId="17" applyFont="1"/>
    <xf numFmtId="165" fontId="2" fillId="0" borderId="0" xfId="17" applyNumberFormat="1" applyFont="1"/>
    <xf numFmtId="165" fontId="57" fillId="0" borderId="0" xfId="11" applyNumberFormat="1" applyFont="1" applyFill="1"/>
    <xf numFmtId="43" fontId="2" fillId="0" borderId="0" xfId="17" applyNumberFormat="1" applyFont="1"/>
    <xf numFmtId="9" fontId="55" fillId="0" borderId="0" xfId="17" applyNumberFormat="1" applyFont="1" applyFill="1"/>
    <xf numFmtId="9" fontId="2" fillId="0" borderId="0" xfId="17" applyNumberFormat="1" applyFont="1" applyFill="1"/>
    <xf numFmtId="165" fontId="2" fillId="0" borderId="0" xfId="11" applyNumberFormat="1" applyFont="1" applyFill="1"/>
    <xf numFmtId="165" fontId="23" fillId="0" borderId="0" xfId="17" applyNumberFormat="1" applyFont="1" applyFill="1"/>
    <xf numFmtId="165" fontId="23" fillId="0" borderId="0" xfId="11" applyNumberFormat="1" applyFont="1" applyFill="1"/>
    <xf numFmtId="173" fontId="2" fillId="0" borderId="0" xfId="17" applyNumberFormat="1" applyFont="1"/>
    <xf numFmtId="9" fontId="2" fillId="0" borderId="0" xfId="17" applyNumberFormat="1" applyFont="1"/>
    <xf numFmtId="165" fontId="6" fillId="0" borderId="0" xfId="17" applyNumberFormat="1" applyFont="1"/>
    <xf numFmtId="8" fontId="6" fillId="0" borderId="0" xfId="11" applyNumberFormat="1" applyFont="1" applyFill="1"/>
    <xf numFmtId="173" fontId="2" fillId="0" borderId="0" xfId="17" applyNumberFormat="1" applyFont="1" applyFill="1"/>
    <xf numFmtId="173" fontId="6" fillId="0" borderId="0" xfId="17" applyNumberFormat="1" applyFont="1" applyFill="1"/>
    <xf numFmtId="0" fontId="0" fillId="0" borderId="0" xfId="17" applyFont="1" applyFill="1"/>
    <xf numFmtId="178" fontId="2" fillId="0" borderId="0" xfId="17" applyNumberFormat="1" applyFont="1" applyFill="1" applyAlignment="1">
      <alignment horizontal="right"/>
    </xf>
    <xf numFmtId="0" fontId="23" fillId="0" borderId="12" xfId="17" applyFont="1" applyBorder="1"/>
    <xf numFmtId="0" fontId="23" fillId="0" borderId="11" xfId="17" applyFont="1" applyBorder="1"/>
    <xf numFmtId="165" fontId="23" fillId="0" borderId="11" xfId="17" applyNumberFormat="1" applyFont="1" applyBorder="1"/>
    <xf numFmtId="165" fontId="23" fillId="0" borderId="13" xfId="17" applyNumberFormat="1" applyFont="1" applyBorder="1"/>
    <xf numFmtId="0" fontId="23" fillId="0" borderId="0" xfId="17" applyFont="1" applyBorder="1"/>
    <xf numFmtId="9" fontId="23" fillId="0" borderId="0" xfId="17" applyNumberFormat="1" applyFont="1" applyBorder="1"/>
    <xf numFmtId="8" fontId="23" fillId="0" borderId="0" xfId="17" applyNumberFormat="1" applyFont="1"/>
    <xf numFmtId="0" fontId="53" fillId="0" borderId="0" xfId="17" applyFont="1"/>
    <xf numFmtId="178" fontId="2" fillId="0" borderId="0" xfId="17" applyNumberFormat="1" applyFont="1" applyAlignment="1">
      <alignment horizontal="right"/>
    </xf>
    <xf numFmtId="8" fontId="55" fillId="0" borderId="0" xfId="17" applyNumberFormat="1" applyFont="1" applyAlignment="1">
      <alignment horizontal="right"/>
    </xf>
    <xf numFmtId="180" fontId="46" fillId="0" borderId="17" xfId="10" applyNumberFormat="1" applyFont="1" applyFill="1" applyBorder="1"/>
    <xf numFmtId="180" fontId="46" fillId="0" borderId="15" xfId="10" applyNumberFormat="1" applyFont="1" applyFill="1" applyBorder="1"/>
    <xf numFmtId="180" fontId="46" fillId="0" borderId="18" xfId="10" applyNumberFormat="1" applyFont="1" applyFill="1" applyBorder="1"/>
    <xf numFmtId="180" fontId="5" fillId="9" borderId="8" xfId="10" applyNumberFormat="1" applyFont="1" applyFill="1" applyBorder="1" applyAlignment="1">
      <alignment horizontal="right"/>
    </xf>
    <xf numFmtId="180" fontId="46" fillId="5" borderId="0" xfId="18" applyNumberFormat="1" applyFont="1" applyFill="1" applyBorder="1"/>
    <xf numFmtId="180" fontId="46" fillId="5" borderId="5" xfId="18" applyNumberFormat="1" applyFont="1" applyFill="1" applyBorder="1"/>
    <xf numFmtId="37" fontId="46" fillId="5" borderId="0" xfId="18" applyNumberFormat="1" applyFont="1" applyFill="1" applyBorder="1"/>
    <xf numFmtId="37" fontId="46" fillId="5" borderId="5" xfId="18" applyNumberFormat="1" applyFont="1" applyFill="1" applyBorder="1"/>
    <xf numFmtId="167" fontId="3" fillId="9" borderId="0" xfId="10" applyNumberFormat="1" applyFont="1" applyFill="1"/>
    <xf numFmtId="171" fontId="46" fillId="9" borderId="0" xfId="18" applyNumberFormat="1" applyFont="1" applyFill="1" applyBorder="1"/>
    <xf numFmtId="37" fontId="46" fillId="9" borderId="6" xfId="18" applyNumberFormat="1" applyFont="1" applyFill="1" applyBorder="1"/>
    <xf numFmtId="37" fontId="5" fillId="9" borderId="5" xfId="18" applyNumberFormat="1" applyFont="1" applyFill="1" applyBorder="1"/>
    <xf numFmtId="171" fontId="3" fillId="9" borderId="8" xfId="18" applyNumberFormat="1" applyFont="1" applyFill="1" applyBorder="1"/>
    <xf numFmtId="171" fontId="5" fillId="9" borderId="5" xfId="18" applyNumberFormat="1" applyFont="1" applyFill="1" applyBorder="1"/>
    <xf numFmtId="37" fontId="46" fillId="9" borderId="8" xfId="18" applyNumberFormat="1" applyFont="1" applyFill="1" applyBorder="1"/>
    <xf numFmtId="37" fontId="20" fillId="9" borderId="6" xfId="18" applyNumberFormat="1" applyFont="1" applyFill="1" applyBorder="1"/>
    <xf numFmtId="37" fontId="20" fillId="9" borderId="0" xfId="18" applyNumberFormat="1" applyFont="1" applyFill="1" applyBorder="1"/>
    <xf numFmtId="37" fontId="20" fillId="9" borderId="5" xfId="18" applyNumberFormat="1" applyFont="1" applyFill="1" applyBorder="1"/>
    <xf numFmtId="180" fontId="20" fillId="9" borderId="8" xfId="10" applyNumberFormat="1" applyFont="1" applyFill="1" applyBorder="1"/>
    <xf numFmtId="180" fontId="20" fillId="9" borderId="6" xfId="10" applyNumberFormat="1" applyFont="1" applyFill="1" applyBorder="1"/>
    <xf numFmtId="180" fontId="20" fillId="9" borderId="0" xfId="10" applyNumberFormat="1" applyFont="1" applyFill="1" applyBorder="1"/>
    <xf numFmtId="180" fontId="20" fillId="9" borderId="5" xfId="10" applyNumberFormat="1" applyFont="1" applyFill="1" applyBorder="1"/>
    <xf numFmtId="180" fontId="5" fillId="9" borderId="5" xfId="18" applyNumberFormat="1" applyFont="1" applyFill="1" applyBorder="1"/>
    <xf numFmtId="180" fontId="46" fillId="0" borderId="16" xfId="10" applyNumberFormat="1" applyFont="1" applyFill="1" applyBorder="1"/>
    <xf numFmtId="5" fontId="4" fillId="9" borderId="0" xfId="18" applyNumberFormat="1" applyFont="1" applyFill="1" applyBorder="1"/>
    <xf numFmtId="0" fontId="58" fillId="0" borderId="0" xfId="17" applyFont="1"/>
    <xf numFmtId="0" fontId="17" fillId="14" borderId="0" xfId="20" applyFont="1" applyFill="1" applyBorder="1" applyAlignment="1" applyProtection="1">
      <alignment horizontal="centerContinuous" wrapText="1"/>
    </xf>
    <xf numFmtId="0" fontId="17" fillId="14" borderId="8" xfId="20" applyFont="1" applyFill="1" applyBorder="1" applyAlignment="1" applyProtection="1">
      <alignment horizontal="center"/>
    </xf>
    <xf numFmtId="5" fontId="4" fillId="9" borderId="0" xfId="18" applyNumberFormat="1" applyFont="1" applyFill="1"/>
    <xf numFmtId="180" fontId="4" fillId="9" borderId="6" xfId="18" applyNumberFormat="1" applyFont="1" applyFill="1" applyBorder="1"/>
    <xf numFmtId="5" fontId="4" fillId="9" borderId="6" xfId="18" applyNumberFormat="1" applyFont="1" applyFill="1" applyBorder="1"/>
    <xf numFmtId="180" fontId="5" fillId="9" borderId="6" xfId="18" applyNumberFormat="1" applyFont="1" applyFill="1" applyBorder="1"/>
    <xf numFmtId="180" fontId="5" fillId="9" borderId="17" xfId="10" applyNumberFormat="1" applyFont="1" applyFill="1" applyBorder="1"/>
    <xf numFmtId="180" fontId="3" fillId="9" borderId="17" xfId="10" applyNumberFormat="1" applyFont="1" applyFill="1" applyBorder="1"/>
    <xf numFmtId="180" fontId="3" fillId="9" borderId="0" xfId="10" applyNumberFormat="1" applyFont="1" applyFill="1" applyBorder="1" applyAlignment="1">
      <alignment horizontal="right"/>
    </xf>
    <xf numFmtId="180" fontId="3" fillId="9" borderId="6" xfId="18" applyNumberFormat="1" applyFont="1" applyFill="1" applyBorder="1"/>
    <xf numFmtId="182" fontId="3" fillId="9" borderId="5" xfId="10" applyNumberFormat="1" applyFont="1" applyFill="1" applyBorder="1"/>
    <xf numFmtId="182" fontId="3" fillId="9" borderId="6" xfId="10" applyNumberFormat="1" applyFont="1" applyFill="1" applyBorder="1"/>
    <xf numFmtId="9" fontId="3" fillId="9" borderId="6" xfId="22" applyFont="1" applyFill="1" applyBorder="1"/>
    <xf numFmtId="9" fontId="3" fillId="9" borderId="5" xfId="22" applyFont="1" applyFill="1" applyBorder="1"/>
    <xf numFmtId="180" fontId="4" fillId="9" borderId="5" xfId="18" applyNumberFormat="1" applyFont="1" applyFill="1" applyBorder="1"/>
    <xf numFmtId="180" fontId="3" fillId="9" borderId="5" xfId="18" applyNumberFormat="1" applyFont="1" applyFill="1" applyBorder="1"/>
    <xf numFmtId="180" fontId="4" fillId="9" borderId="8" xfId="18" applyNumberFormat="1" applyFont="1" applyFill="1" applyBorder="1"/>
    <xf numFmtId="180" fontId="3" fillId="9" borderId="8" xfId="18" applyNumberFormat="1" applyFont="1" applyFill="1" applyBorder="1"/>
    <xf numFmtId="37" fontId="3" fillId="9" borderId="5" xfId="18" applyNumberFormat="1" applyFont="1" applyFill="1" applyBorder="1"/>
    <xf numFmtId="37" fontId="3" fillId="9" borderId="8" xfId="18" applyNumberFormat="1" applyFont="1" applyFill="1" applyBorder="1"/>
    <xf numFmtId="37" fontId="3" fillId="9" borderId="6" xfId="18" applyNumberFormat="1" applyFont="1" applyFill="1" applyBorder="1"/>
    <xf numFmtId="3" fontId="3" fillId="9" borderId="5" xfId="10" applyNumberFormat="1" applyFont="1" applyFill="1" applyBorder="1"/>
    <xf numFmtId="3" fontId="3" fillId="9" borderId="6" xfId="10" applyNumberFormat="1" applyFont="1" applyFill="1" applyBorder="1"/>
    <xf numFmtId="182" fontId="3" fillId="9" borderId="0" xfId="10" applyNumberFormat="1" applyFont="1" applyFill="1" applyBorder="1"/>
    <xf numFmtId="9" fontId="3" fillId="9" borderId="0" xfId="22" applyFont="1" applyFill="1" applyBorder="1"/>
    <xf numFmtId="37" fontId="3" fillId="9" borderId="0" xfId="18" applyNumberFormat="1" applyFont="1" applyFill="1" applyBorder="1"/>
    <xf numFmtId="3" fontId="3" fillId="9" borderId="0" xfId="10" applyNumberFormat="1" applyFont="1" applyFill="1" applyBorder="1"/>
    <xf numFmtId="180" fontId="5" fillId="9" borderId="15" xfId="10" applyNumberFormat="1" applyFont="1" applyFill="1" applyBorder="1"/>
    <xf numFmtId="180" fontId="3" fillId="9" borderId="15" xfId="10" applyNumberFormat="1" applyFont="1" applyFill="1" applyBorder="1"/>
    <xf numFmtId="180" fontId="3" fillId="9" borderId="0" xfId="10" applyNumberFormat="1" applyFont="1" applyFill="1"/>
    <xf numFmtId="171" fontId="3" fillId="9" borderId="6" xfId="18" applyNumberFormat="1" applyFont="1" applyFill="1" applyBorder="1"/>
    <xf numFmtId="171" fontId="3" fillId="9" borderId="0" xfId="18" applyNumberFormat="1" applyFont="1" applyFill="1" applyBorder="1"/>
    <xf numFmtId="180" fontId="5" fillId="9" borderId="0" xfId="18" applyNumberFormat="1" applyFont="1" applyFill="1" applyBorder="1" applyAlignment="1">
      <alignment horizontal="right"/>
    </xf>
    <xf numFmtId="9" fontId="5" fillId="9" borderId="8" xfId="18" applyNumberFormat="1" applyFont="1" applyFill="1" applyBorder="1"/>
    <xf numFmtId="5" fontId="4" fillId="9" borderId="5" xfId="18" applyNumberFormat="1" applyFont="1" applyFill="1" applyBorder="1"/>
    <xf numFmtId="171" fontId="3" fillId="9" borderId="5" xfId="18" applyNumberFormat="1" applyFont="1" applyFill="1" applyBorder="1"/>
    <xf numFmtId="180" fontId="5" fillId="9" borderId="18" xfId="10" applyNumberFormat="1" applyFont="1" applyFill="1" applyBorder="1"/>
    <xf numFmtId="180" fontId="3" fillId="9" borderId="18" xfId="10" applyNumberFormat="1" applyFont="1" applyFill="1" applyBorder="1"/>
    <xf numFmtId="180" fontId="3" fillId="9" borderId="5" xfId="10" applyNumberFormat="1" applyFont="1" applyFill="1" applyBorder="1" applyAlignment="1">
      <alignment horizontal="right"/>
    </xf>
    <xf numFmtId="7" fontId="4" fillId="9" borderId="6" xfId="18" applyNumberFormat="1" applyFont="1" applyFill="1" applyBorder="1"/>
    <xf numFmtId="170" fontId="3" fillId="0" borderId="8" xfId="18" applyNumberFormat="1" applyFont="1" applyBorder="1"/>
    <xf numFmtId="180" fontId="46" fillId="5" borderId="8" xfId="18" applyNumberFormat="1" applyFont="1" applyFill="1" applyBorder="1"/>
    <xf numFmtId="0" fontId="2" fillId="0" borderId="0" xfId="17" applyFont="1" applyBorder="1"/>
    <xf numFmtId="5" fontId="23" fillId="0" borderId="0" xfId="11" applyNumberFormat="1" applyFont="1"/>
    <xf numFmtId="5" fontId="56" fillId="0" borderId="0" xfId="11" applyNumberFormat="1" applyFont="1"/>
    <xf numFmtId="6" fontId="6" fillId="0" borderId="0" xfId="11" applyNumberFormat="1" applyFont="1"/>
    <xf numFmtId="6" fontId="56" fillId="0" borderId="0" xfId="11" applyNumberFormat="1" applyFont="1"/>
    <xf numFmtId="6" fontId="6" fillId="0" borderId="11" xfId="17" applyNumberFormat="1" applyFont="1" applyFill="1" applyBorder="1"/>
    <xf numFmtId="6" fontId="6" fillId="0" borderId="13" xfId="17" applyNumberFormat="1" applyFont="1" applyFill="1" applyBorder="1"/>
    <xf numFmtId="0" fontId="5" fillId="9" borderId="0" xfId="0" applyFont="1" applyFill="1" applyBorder="1"/>
    <xf numFmtId="182" fontId="3" fillId="0" borderId="8" xfId="10" applyNumberFormat="1" applyFont="1" applyFill="1" applyBorder="1"/>
    <xf numFmtId="9" fontId="3" fillId="0" borderId="8" xfId="22" applyFont="1" applyFill="1" applyBorder="1"/>
    <xf numFmtId="180" fontId="4" fillId="0" borderId="8" xfId="18" applyNumberFormat="1" applyFont="1" applyFill="1" applyBorder="1"/>
    <xf numFmtId="180" fontId="3" fillId="0" borderId="8" xfId="18" applyNumberFormat="1" applyFont="1" applyFill="1" applyBorder="1"/>
    <xf numFmtId="3" fontId="3" fillId="0" borderId="8" xfId="10" applyNumberFormat="1" applyFont="1" applyFill="1" applyBorder="1"/>
    <xf numFmtId="180" fontId="59" fillId="0" borderId="6" xfId="18" applyNumberFormat="1" applyFont="1" applyFill="1" applyBorder="1"/>
    <xf numFmtId="180" fontId="59" fillId="0" borderId="0" xfId="18" applyNumberFormat="1" applyFont="1" applyFill="1" applyBorder="1"/>
    <xf numFmtId="180" fontId="59" fillId="0" borderId="5" xfId="18" applyNumberFormat="1" applyFont="1" applyFill="1" applyBorder="1"/>
    <xf numFmtId="6" fontId="6" fillId="13" borderId="11" xfId="17" applyNumberFormat="1" applyFont="1" applyFill="1" applyBorder="1"/>
    <xf numFmtId="6" fontId="2" fillId="0" borderId="0" xfId="17" applyNumberFormat="1" applyFont="1"/>
    <xf numFmtId="6" fontId="55" fillId="0" borderId="0" xfId="17" applyNumberFormat="1" applyFont="1"/>
    <xf numFmtId="180" fontId="3" fillId="4" borderId="0" xfId="18" quotePrefix="1" applyNumberFormat="1" applyFont="1" applyFill="1" applyBorder="1"/>
    <xf numFmtId="6" fontId="6" fillId="13" borderId="13" xfId="17" applyNumberFormat="1" applyFont="1" applyFill="1" applyBorder="1"/>
    <xf numFmtId="0" fontId="1" fillId="0" borderId="0" xfId="17" applyFont="1"/>
    <xf numFmtId="8" fontId="55" fillId="0" borderId="0" xfId="17" applyNumberFormat="1" applyFont="1"/>
    <xf numFmtId="8" fontId="55" fillId="0" borderId="0" xfId="11" applyNumberFormat="1" applyFont="1"/>
    <xf numFmtId="165" fontId="55" fillId="0" borderId="0" xfId="10" applyNumberFormat="1" applyFont="1"/>
    <xf numFmtId="173" fontId="3" fillId="5" borderId="0" xfId="18" applyNumberFormat="1" applyFont="1" applyFill="1" applyBorder="1"/>
    <xf numFmtId="173" fontId="3" fillId="0" borderId="0" xfId="10" applyNumberFormat="1" applyFont="1" applyFill="1" applyBorder="1"/>
    <xf numFmtId="9" fontId="3" fillId="5" borderId="0" xfId="18" applyNumberFormat="1" applyFont="1" applyFill="1" applyBorder="1"/>
    <xf numFmtId="170" fontId="3" fillId="9" borderId="0" xfId="10" applyNumberFormat="1" applyFont="1" applyFill="1"/>
    <xf numFmtId="170" fontId="3" fillId="9" borderId="0" xfId="18" applyNumberFormat="1" applyFont="1" applyFill="1" applyBorder="1"/>
    <xf numFmtId="9" fontId="3" fillId="0" borderId="0" xfId="22" applyFont="1" applyFill="1"/>
    <xf numFmtId="182" fontId="3" fillId="5" borderId="0" xfId="10" applyNumberFormat="1" applyFont="1" applyFill="1" applyBorder="1"/>
    <xf numFmtId="37" fontId="3" fillId="5" borderId="0" xfId="18" applyNumberFormat="1" applyFont="1" applyFill="1" applyBorder="1"/>
    <xf numFmtId="3" fontId="3" fillId="5" borderId="0" xfId="10" applyNumberFormat="1" applyFont="1" applyFill="1" applyBorder="1"/>
    <xf numFmtId="9" fontId="2" fillId="0" borderId="0" xfId="22" applyFont="1"/>
    <xf numFmtId="165" fontId="55" fillId="0" borderId="0" xfId="17" applyNumberFormat="1" applyFont="1" applyAlignment="1">
      <alignment horizontal="right"/>
    </xf>
    <xf numFmtId="0" fontId="1" fillId="0" borderId="0" xfId="31"/>
    <xf numFmtId="9" fontId="1" fillId="0" borderId="0" xfId="17" applyNumberFormat="1" applyFont="1"/>
    <xf numFmtId="186" fontId="3" fillId="4" borderId="0" xfId="0" applyNumberFormat="1" applyFont="1" applyFill="1" applyBorder="1"/>
    <xf numFmtId="185" fontId="3" fillId="4" borderId="0" xfId="0" applyNumberFormat="1" applyFont="1" applyFill="1" applyBorder="1"/>
    <xf numFmtId="5" fontId="3" fillId="4" borderId="0" xfId="0" applyNumberFormat="1" applyFont="1" applyFill="1" applyBorder="1"/>
    <xf numFmtId="9" fontId="3" fillId="4" borderId="0" xfId="0" applyNumberFormat="1" applyFont="1" applyFill="1" applyBorder="1"/>
    <xf numFmtId="9" fontId="3" fillId="4" borderId="0" xfId="18" applyNumberFormat="1" applyFont="1" applyFill="1" applyBorder="1"/>
    <xf numFmtId="173" fontId="3" fillId="4" borderId="0" xfId="28" applyNumberFormat="1" applyFont="1" applyFill="1" applyBorder="1"/>
    <xf numFmtId="5" fontId="3" fillId="4" borderId="0" xfId="28" applyNumberFormat="1" applyFont="1" applyFill="1" applyBorder="1"/>
    <xf numFmtId="0" fontId="3" fillId="4" borderId="0" xfId="18" quotePrefix="1" applyFont="1" applyFill="1" applyBorder="1"/>
    <xf numFmtId="179" fontId="3" fillId="4" borderId="0" xfId="18" quotePrefix="1" applyNumberFormat="1" applyFont="1" applyFill="1" applyBorder="1"/>
    <xf numFmtId="2" fontId="3" fillId="4" borderId="0" xfId="18" applyNumberFormat="1" applyFont="1" applyFill="1" applyBorder="1"/>
    <xf numFmtId="173" fontId="3" fillId="4" borderId="0" xfId="22" quotePrefix="1" applyNumberFormat="1" applyFont="1" applyFill="1" applyBorder="1"/>
    <xf numFmtId="185" fontId="3" fillId="4" borderId="0" xfId="22" applyNumberFormat="1" applyFont="1" applyFill="1" applyBorder="1"/>
    <xf numFmtId="167" fontId="3" fillId="4" borderId="0" xfId="22" applyNumberFormat="1" applyFont="1" applyFill="1" applyBorder="1"/>
    <xf numFmtId="167" fontId="3" fillId="4" borderId="0" xfId="18" applyNumberFormat="1" applyFont="1" applyFill="1" applyBorder="1"/>
    <xf numFmtId="170" fontId="3" fillId="4" borderId="0" xfId="18" applyNumberFormat="1" applyFont="1" applyFill="1" applyBorder="1"/>
    <xf numFmtId="180" fontId="3" fillId="4" borderId="0" xfId="22" applyNumberFormat="1" applyFont="1" applyFill="1" applyBorder="1"/>
    <xf numFmtId="182" fontId="3" fillId="4" borderId="0" xfId="18" applyNumberFormat="1" applyFont="1" applyFill="1" applyBorder="1"/>
    <xf numFmtId="3" fontId="3" fillId="4" borderId="0" xfId="10" applyNumberFormat="1" applyFont="1" applyFill="1" applyBorder="1"/>
    <xf numFmtId="3" fontId="3" fillId="4" borderId="0" xfId="18" applyNumberFormat="1" applyFont="1" applyFill="1" applyBorder="1"/>
    <xf numFmtId="0" fontId="3" fillId="0" borderId="0" xfId="0" applyFont="1" applyFill="1" applyBorder="1"/>
    <xf numFmtId="185" fontId="3" fillId="0" borderId="0" xfId="0" applyNumberFormat="1" applyFont="1" applyFill="1" applyBorder="1"/>
    <xf numFmtId="173" fontId="5" fillId="0" borderId="0" xfId="18" applyNumberFormat="1" applyFont="1" applyFill="1" applyBorder="1"/>
    <xf numFmtId="180" fontId="4" fillId="0" borderId="15" xfId="10" applyNumberFormat="1" applyFont="1" applyFill="1" applyBorder="1"/>
    <xf numFmtId="171" fontId="26" fillId="0" borderId="0" xfId="18" applyNumberFormat="1" applyFont="1" applyFill="1" applyBorder="1"/>
    <xf numFmtId="9" fontId="5" fillId="0" borderId="0" xfId="10" applyNumberFormat="1" applyFont="1" applyFill="1" applyBorder="1" applyAlignment="1">
      <alignment horizontal="right"/>
    </xf>
    <xf numFmtId="186" fontId="5" fillId="0" borderId="0" xfId="18" applyNumberFormat="1" applyFont="1" applyFill="1" applyBorder="1" applyAlignment="1">
      <alignment horizontal="right"/>
    </xf>
    <xf numFmtId="37" fontId="3" fillId="0" borderId="0" xfId="18" applyNumberFormat="1" applyFont="1" applyFill="1" applyBorder="1"/>
    <xf numFmtId="171" fontId="3" fillId="0" borderId="0" xfId="18" applyNumberFormat="1" applyFont="1" applyFill="1" applyBorder="1"/>
    <xf numFmtId="180" fontId="5" fillId="0" borderId="8" xfId="0" applyNumberFormat="1" applyFont="1" applyBorder="1"/>
    <xf numFmtId="171" fontId="3" fillId="5" borderId="6" xfId="18" applyNumberFormat="1" applyFont="1" applyFill="1" applyBorder="1"/>
    <xf numFmtId="171" fontId="3" fillId="5" borderId="0" xfId="18" applyNumberFormat="1" applyFont="1" applyFill="1" applyBorder="1"/>
    <xf numFmtId="171" fontId="3" fillId="5" borderId="5" xfId="18" applyNumberFormat="1" applyFont="1" applyFill="1" applyBorder="1"/>
    <xf numFmtId="171" fontId="20" fillId="0" borderId="6" xfId="18" applyNumberFormat="1" applyFont="1" applyFill="1" applyBorder="1"/>
    <xf numFmtId="37" fontId="46" fillId="0" borderId="6" xfId="18" applyNumberFormat="1" applyFont="1" applyFill="1" applyBorder="1"/>
    <xf numFmtId="37" fontId="46" fillId="0" borderId="0" xfId="18" applyNumberFormat="1" applyFont="1" applyFill="1" applyBorder="1"/>
    <xf numFmtId="37" fontId="46" fillId="0" borderId="5" xfId="18" applyNumberFormat="1" applyFont="1" applyFill="1" applyBorder="1"/>
    <xf numFmtId="5" fontId="46" fillId="5" borderId="6" xfId="18" applyNumberFormat="1" applyFont="1" applyFill="1" applyBorder="1"/>
    <xf numFmtId="5" fontId="46" fillId="5" borderId="0" xfId="18" applyNumberFormat="1" applyFont="1" applyFill="1" applyBorder="1"/>
    <xf numFmtId="5" fontId="46" fillId="5" borderId="5" xfId="18" applyNumberFormat="1" applyFont="1" applyFill="1" applyBorder="1"/>
    <xf numFmtId="173" fontId="3" fillId="5" borderId="8" xfId="18" applyNumberFormat="1" applyFont="1" applyFill="1" applyBorder="1"/>
    <xf numFmtId="173" fontId="3" fillId="0" borderId="6" xfId="10" applyNumberFormat="1" applyFont="1" applyFill="1" applyBorder="1"/>
    <xf numFmtId="173" fontId="3" fillId="0" borderId="5" xfId="10" applyNumberFormat="1" applyFont="1" applyFill="1" applyBorder="1"/>
    <xf numFmtId="173" fontId="3" fillId="0" borderId="8" xfId="10" applyNumberFormat="1" applyFont="1" applyFill="1" applyBorder="1"/>
    <xf numFmtId="170" fontId="20" fillId="0" borderId="6" xfId="18" applyNumberFormat="1" applyFont="1" applyFill="1" applyBorder="1"/>
    <xf numFmtId="170" fontId="20" fillId="0" borderId="0" xfId="18" applyNumberFormat="1" applyFont="1" applyFill="1" applyBorder="1"/>
    <xf numFmtId="170" fontId="20" fillId="0" borderId="5" xfId="18" applyNumberFormat="1" applyFont="1" applyFill="1" applyBorder="1"/>
    <xf numFmtId="7" fontId="4" fillId="0" borderId="6" xfId="18" applyNumberFormat="1" applyFont="1" applyFill="1" applyBorder="1"/>
    <xf numFmtId="7" fontId="4" fillId="0" borderId="5" xfId="18" applyNumberFormat="1" applyFont="1" applyFill="1" applyBorder="1"/>
    <xf numFmtId="180" fontId="46" fillId="5" borderId="6" xfId="18" applyNumberFormat="1" applyFont="1" applyFill="1" applyBorder="1"/>
    <xf numFmtId="0" fontId="3" fillId="4" borderId="0" xfId="18" applyNumberFormat="1" applyFont="1" applyFill="1" applyBorder="1"/>
    <xf numFmtId="6" fontId="3" fillId="4" borderId="0" xfId="22" applyNumberFormat="1" applyFont="1" applyFill="1" applyBorder="1"/>
    <xf numFmtId="171" fontId="3" fillId="5" borderId="0" xfId="18" applyNumberFormat="1" applyFont="1" applyFill="1" applyBorder="1" applyAlignment="1">
      <alignment horizontal="right"/>
    </xf>
    <xf numFmtId="44" fontId="3" fillId="4" borderId="0" xfId="34" applyFont="1" applyFill="1" applyBorder="1"/>
    <xf numFmtId="44" fontId="3" fillId="4" borderId="0" xfId="18" applyNumberFormat="1" applyFont="1" applyFill="1" applyBorder="1"/>
    <xf numFmtId="0" fontId="61" fillId="4" borderId="0" xfId="18" applyNumberFormat="1" applyFont="1" applyFill="1" applyBorder="1" applyAlignment="1">
      <alignment horizontal="center"/>
    </xf>
    <xf numFmtId="5" fontId="3" fillId="4" borderId="0" xfId="34" applyNumberFormat="1" applyFont="1" applyFill="1" applyBorder="1" applyAlignment="1">
      <alignment horizontal="center"/>
    </xf>
    <xf numFmtId="37" fontId="3" fillId="4" borderId="0" xfId="18" applyNumberFormat="1" applyFont="1" applyFill="1" applyBorder="1" applyAlignment="1">
      <alignment horizontal="right"/>
    </xf>
    <xf numFmtId="187" fontId="43" fillId="12" borderId="0" xfId="4" applyNumberFormat="1" applyFont="1" applyFill="1" applyAlignment="1"/>
    <xf numFmtId="187" fontId="40" fillId="12" borderId="0" xfId="4" applyNumberFormat="1" applyFont="1" applyFill="1" applyAlignment="1"/>
    <xf numFmtId="0" fontId="2" fillId="0" borderId="0" xfId="17" applyFont="1" applyFill="1" applyAlignment="1"/>
    <xf numFmtId="0" fontId="2" fillId="0" borderId="0" xfId="17" applyFont="1" applyAlignment="1"/>
    <xf numFmtId="0" fontId="23" fillId="0" borderId="0" xfId="17" applyFont="1" applyAlignment="1"/>
    <xf numFmtId="165" fontId="2" fillId="0" borderId="0" xfId="10" applyNumberFormat="1" applyFont="1" applyAlignment="1"/>
    <xf numFmtId="173" fontId="2" fillId="0" borderId="0" xfId="17" applyNumberFormat="1" applyFont="1" applyAlignment="1"/>
    <xf numFmtId="9" fontId="2" fillId="0" borderId="0" xfId="17" applyNumberFormat="1" applyFont="1" applyAlignment="1"/>
    <xf numFmtId="165" fontId="0" fillId="0" borderId="0" xfId="0" applyNumberFormat="1" applyAlignment="1"/>
    <xf numFmtId="165" fontId="6" fillId="0" borderId="0" xfId="10" applyNumberFormat="1" applyFont="1" applyAlignment="1"/>
    <xf numFmtId="43" fontId="2" fillId="0" borderId="0" xfId="17" applyNumberFormat="1" applyFont="1" applyAlignment="1"/>
    <xf numFmtId="165" fontId="2" fillId="0" borderId="0" xfId="17" applyNumberFormat="1" applyFont="1" applyAlignment="1"/>
    <xf numFmtId="165" fontId="6" fillId="0" borderId="0" xfId="17" applyNumberFormat="1" applyFont="1" applyAlignment="1"/>
    <xf numFmtId="0" fontId="0" fillId="0" borderId="0" xfId="17" applyFont="1" applyAlignment="1"/>
    <xf numFmtId="9" fontId="2" fillId="0" borderId="0" xfId="22" applyFont="1" applyAlignment="1"/>
    <xf numFmtId="190" fontId="17" fillId="6" borderId="7" xfId="18" applyNumberFormat="1" applyFont="1" applyFill="1" applyBorder="1" applyAlignment="1">
      <alignment horizontal="center"/>
    </xf>
    <xf numFmtId="180" fontId="4" fillId="0" borderId="18" xfId="10" applyNumberFormat="1" applyFont="1" applyFill="1" applyBorder="1"/>
    <xf numFmtId="180" fontId="3" fillId="0" borderId="5" xfId="18" applyNumberFormat="1" applyFont="1" applyFill="1" applyBorder="1"/>
    <xf numFmtId="180" fontId="5" fillId="0" borderId="5" xfId="18" applyNumberFormat="1" applyFont="1" applyFill="1" applyBorder="1"/>
    <xf numFmtId="181" fontId="3" fillId="4" borderId="0" xfId="18" applyNumberFormat="1" applyFont="1" applyFill="1" applyBorder="1"/>
    <xf numFmtId="7" fontId="4" fillId="0" borderId="11" xfId="18" applyNumberFormat="1" applyFont="1" applyFill="1" applyBorder="1"/>
    <xf numFmtId="7" fontId="4" fillId="0" borderId="4" xfId="18" applyNumberFormat="1" applyFont="1" applyFill="1" applyBorder="1"/>
    <xf numFmtId="37" fontId="3" fillId="0" borderId="5" xfId="18" applyNumberFormat="1" applyFont="1" applyFill="1" applyBorder="1"/>
    <xf numFmtId="171" fontId="3" fillId="0" borderId="5" xfId="18" applyNumberFormat="1" applyFont="1" applyFill="1" applyBorder="1"/>
    <xf numFmtId="180" fontId="3" fillId="5" borderId="5" xfId="10" applyNumberFormat="1" applyFont="1" applyFill="1" applyBorder="1" applyAlignment="1">
      <alignment horizontal="right"/>
    </xf>
    <xf numFmtId="182" fontId="3" fillId="0" borderId="5" xfId="10" applyNumberFormat="1" applyFont="1" applyFill="1" applyBorder="1"/>
    <xf numFmtId="9" fontId="3" fillId="5" borderId="5" xfId="22" applyFont="1" applyFill="1" applyBorder="1"/>
    <xf numFmtId="37" fontId="3" fillId="5" borderId="5" xfId="18" applyNumberFormat="1" applyFont="1" applyFill="1" applyBorder="1"/>
    <xf numFmtId="3" fontId="3" fillId="5" borderId="5" xfId="10" applyNumberFormat="1" applyFont="1" applyFill="1" applyBorder="1"/>
    <xf numFmtId="37" fontId="5" fillId="5" borderId="6" xfId="0" applyNumberFormat="1" applyFont="1" applyFill="1" applyBorder="1"/>
    <xf numFmtId="180" fontId="3" fillId="5" borderId="0" xfId="28" applyNumberFormat="1" applyFont="1" applyFill="1" applyAlignment="1">
      <alignment horizontal="left" indent="3"/>
    </xf>
    <xf numFmtId="191" fontId="3" fillId="4" borderId="0" xfId="34" applyNumberFormat="1" applyFont="1" applyFill="1" applyBorder="1"/>
    <xf numFmtId="173" fontId="46" fillId="5" borderId="8" xfId="22" applyNumberFormat="1" applyFont="1" applyFill="1" applyBorder="1"/>
    <xf numFmtId="180" fontId="62" fillId="5" borderId="8" xfId="18" applyNumberFormat="1" applyFont="1" applyFill="1" applyBorder="1"/>
    <xf numFmtId="7" fontId="3" fillId="4" borderId="0" xfId="18" applyNumberFormat="1" applyFont="1" applyFill="1" applyBorder="1"/>
    <xf numFmtId="8" fontId="63" fillId="0" borderId="0" xfId="11" applyNumberFormat="1" applyFont="1" applyFill="1" applyAlignment="1"/>
    <xf numFmtId="165" fontId="58" fillId="0" borderId="0" xfId="10" applyNumberFormat="1" applyFont="1" applyAlignment="1"/>
    <xf numFmtId="0" fontId="58" fillId="0" borderId="0" xfId="17" applyNumberFormat="1" applyFont="1" applyFill="1"/>
    <xf numFmtId="173" fontId="2" fillId="0" borderId="0" xfId="22" applyNumberFormat="1" applyFont="1"/>
    <xf numFmtId="180" fontId="3" fillId="9" borderId="16" xfId="10" applyNumberFormat="1" applyFont="1" applyFill="1" applyBorder="1"/>
    <xf numFmtId="9" fontId="1" fillId="0" borderId="0" xfId="17" applyNumberFormat="1" applyFont="1" applyFill="1"/>
    <xf numFmtId="165" fontId="1" fillId="0" borderId="0" xfId="11" applyNumberFormat="1" applyFont="1"/>
    <xf numFmtId="0" fontId="1" fillId="0" borderId="0" xfId="17" applyNumberFormat="1" applyFont="1"/>
    <xf numFmtId="165" fontId="1" fillId="0" borderId="0" xfId="17" applyNumberFormat="1" applyFont="1"/>
    <xf numFmtId="178" fontId="1" fillId="0" borderId="0" xfId="17" applyNumberFormat="1" applyFont="1" applyAlignment="1">
      <alignment horizontal="right"/>
    </xf>
    <xf numFmtId="0" fontId="1" fillId="15" borderId="0" xfId="35" applyFont="1" applyFill="1" applyAlignment="1">
      <alignment vertical="top"/>
    </xf>
    <xf numFmtId="0" fontId="1" fillId="15" borderId="0" xfId="31" applyFill="1" applyAlignment="1">
      <alignment vertical="top"/>
    </xf>
    <xf numFmtId="0" fontId="1" fillId="15" borderId="0" xfId="31" applyFill="1"/>
    <xf numFmtId="0" fontId="24" fillId="15" borderId="0" xfId="35" applyFont="1" applyFill="1" applyAlignment="1">
      <alignment horizontal="left" vertical="top"/>
    </xf>
    <xf numFmtId="0" fontId="1" fillId="15" borderId="0" xfId="31" applyFont="1" applyFill="1" applyAlignment="1">
      <alignment vertical="top"/>
    </xf>
    <xf numFmtId="0" fontId="23" fillId="15" borderId="0" xfId="35" applyFont="1" applyFill="1" applyAlignment="1">
      <alignment vertical="top"/>
    </xf>
    <xf numFmtId="0" fontId="0" fillId="15" borderId="0" xfId="0" applyFill="1" applyAlignment="1">
      <alignment vertical="top"/>
    </xf>
    <xf numFmtId="0" fontId="64" fillId="15" borderId="0" xfId="0" applyFont="1" applyFill="1" applyAlignment="1">
      <alignment vertical="top"/>
    </xf>
    <xf numFmtId="0" fontId="65" fillId="15" borderId="0" xfId="0" applyFont="1" applyFill="1" applyAlignment="1">
      <alignment vertical="top"/>
    </xf>
    <xf numFmtId="0" fontId="64" fillId="15" borderId="0" xfId="0" applyFont="1" applyFill="1" applyAlignment="1">
      <alignment vertical="top"/>
    </xf>
    <xf numFmtId="0" fontId="0" fillId="15" borderId="0" xfId="0" applyFill="1" applyAlignment="1">
      <alignment vertical="top"/>
    </xf>
    <xf numFmtId="0" fontId="64" fillId="15" borderId="32" xfId="0" applyFont="1" applyFill="1" applyBorder="1" applyAlignment="1">
      <alignment vertical="top"/>
    </xf>
    <xf numFmtId="9" fontId="64" fillId="15" borderId="32" xfId="0" applyNumberFormat="1" applyFont="1" applyFill="1" applyBorder="1" applyAlignment="1">
      <alignment vertical="top"/>
    </xf>
    <xf numFmtId="3" fontId="64" fillId="15" borderId="32" xfId="0" applyNumberFormat="1" applyFont="1" applyFill="1" applyBorder="1" applyAlignment="1">
      <alignment vertical="top"/>
    </xf>
    <xf numFmtId="2" fontId="1" fillId="0" borderId="0" xfId="31" applyNumberFormat="1" applyAlignment="1">
      <alignment horizontal="left"/>
    </xf>
    <xf numFmtId="0" fontId="1" fillId="0" borderId="0" xfId="31" applyNumberFormat="1" applyAlignment="1">
      <alignment horizontal="left"/>
    </xf>
    <xf numFmtId="1" fontId="1" fillId="0" borderId="0" xfId="31" applyNumberFormat="1" applyAlignment="1">
      <alignment horizontal="left"/>
    </xf>
    <xf numFmtId="0" fontId="1" fillId="0" borderId="0" xfId="31" applyFont="1"/>
    <xf numFmtId="192" fontId="1" fillId="0" borderId="0" xfId="31" applyNumberFormat="1" applyAlignment="1">
      <alignment horizontal="left"/>
    </xf>
    <xf numFmtId="49" fontId="1" fillId="0" borderId="0" xfId="31" applyNumberFormat="1"/>
    <xf numFmtId="0" fontId="0" fillId="15" borderId="37" xfId="0" applyFill="1" applyBorder="1" applyAlignment="1">
      <alignment vertical="top"/>
    </xf>
    <xf numFmtId="0" fontId="64" fillId="15" borderId="0" xfId="0" applyFont="1" applyFill="1" applyAlignment="1">
      <alignment vertical="top"/>
    </xf>
    <xf numFmtId="0" fontId="64" fillId="15" borderId="33" xfId="0" applyFont="1" applyFill="1" applyBorder="1" applyAlignment="1">
      <alignment vertical="top"/>
    </xf>
    <xf numFmtId="0" fontId="64" fillId="15" borderId="34" xfId="0" applyFont="1" applyFill="1" applyBorder="1" applyAlignment="1">
      <alignment vertical="top"/>
    </xf>
    <xf numFmtId="0" fontId="64" fillId="15" borderId="35" xfId="0" applyFont="1" applyFill="1" applyBorder="1" applyAlignment="1">
      <alignment vertical="top"/>
    </xf>
    <xf numFmtId="0" fontId="65" fillId="15" borderId="0" xfId="0" applyFont="1" applyFill="1" applyAlignment="1">
      <alignment vertical="top"/>
    </xf>
    <xf numFmtId="0" fontId="0" fillId="15" borderId="0" xfId="0" applyFill="1" applyAlignment="1">
      <alignment vertical="top"/>
    </xf>
    <xf numFmtId="0" fontId="0" fillId="15" borderId="36" xfId="0" applyFill="1" applyBorder="1" applyAlignment="1">
      <alignment vertical="top"/>
    </xf>
    <xf numFmtId="0" fontId="66" fillId="0" borderId="0" xfId="0" applyFont="1" applyAlignment="1">
      <alignment vertical="center"/>
    </xf>
  </cellXfs>
  <cellStyles count="36">
    <cellStyle name=" 1" xfId="1"/>
    <cellStyle name=" 2" xfId="2"/>
    <cellStyle name=" 3" xfId="3"/>
    <cellStyle name="****************************************** 2" xfId="4"/>
    <cellStyle name="_Pension+Analyzer_US_NEW" xfId="5"/>
    <cellStyle name="_SUMMARY " xfId="6"/>
    <cellStyle name="0_Capex &amp; Depreciation " xfId="7"/>
    <cellStyle name="0_Valuing BP " xfId="8"/>
    <cellStyle name="c_HardInc " xfId="9"/>
    <cellStyle name="Comma" xfId="10" builtinId="3"/>
    <cellStyle name="Comma 2 2" xfId="11"/>
    <cellStyle name="Comma_JBHTqq" xfId="12"/>
    <cellStyle name="Currency" xfId="34" builtinId="4"/>
    <cellStyle name="Currency 2" xfId="33"/>
    <cellStyle name="f‰H_x0010_‹Ëf‰h,ÿt$_x0018_è¸Wÿÿé&gt;Ëÿÿ÷Ç_x0001__PCP.Abel.new" xfId="13"/>
    <cellStyle name="Input" xfId="14" builtinId="20" customBuiltin="1"/>
    <cellStyle name="Normal" xfId="0" builtinId="0"/>
    <cellStyle name="Normal 2" xfId="15"/>
    <cellStyle name="Normal 3" xfId="16"/>
    <cellStyle name="Normal 3 2" xfId="17"/>
    <cellStyle name="Normal 4" xfId="31"/>
    <cellStyle name="Normal_DisclaimerSheet Samples" xfId="35"/>
    <cellStyle name="Normal_GRx" xfId="18"/>
    <cellStyle name="Normal_Inc Statement" xfId="19"/>
    <cellStyle name="Normal_JBHTqq" xfId="20"/>
    <cellStyle name="p " xfId="21"/>
    <cellStyle name="Percent" xfId="22" builtinId="5"/>
    <cellStyle name="RRSInstruction" xfId="23"/>
    <cellStyle name="RRSInstruction 2" xfId="24"/>
    <cellStyle name="RRSInstruction 3" xfId="32"/>
    <cellStyle name="s_HardInc " xfId="25"/>
    <cellStyle name="s_Valuation " xfId="26"/>
    <cellStyle name="ssp " xfId="27"/>
    <cellStyle name="Style 1" xfId="28"/>
    <cellStyle name="콤마 [0]_#3이설 견적_준공내역총괄표 " xfId="29"/>
    <cellStyle name="콤마_#3이설 견적_준공내역총괄표 " xfId="30"/>
  </cellStyles>
  <dxfs count="11"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  <dxf>
      <font>
        <b/>
        <i val="0"/>
        <condense val="0"/>
        <extend val="0"/>
        <color indexed="10"/>
      </font>
      <fill>
        <patternFill>
          <bgColor indexed="51"/>
        </patternFill>
      </fill>
    </dxf>
  </dxfs>
  <tableStyles count="0" defaultTableStyle="TableStyleMedium9" defaultPivotStyle="PivotStyleLight16"/>
  <colors>
    <mruColors>
      <color rgb="FF137CB1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
<Relationships xmlns="http://schemas.openxmlformats.org/package/2006/relationships">
<Relationship Id="rId1" Target="worksheets/sheet1.xml" Type="http://schemas.openxmlformats.org/officeDocument/2006/relationships/worksheet"/>
<Relationship Id="rId10" Target="worksheets/sheet10.xml" Type="http://schemas.openxmlformats.org/officeDocument/2006/relationships/worksheet"/>
<Relationship Id="rId11" Target="externalLinks/externalLink1.xml" Type="http://schemas.openxmlformats.org/officeDocument/2006/relationships/externalLink"/>
<Relationship Id="rId12" Target="externalLinks/externalLink2.xml" Type="http://schemas.openxmlformats.org/officeDocument/2006/relationships/externalLink"/>
<Relationship Id="rId13" Target="externalLinks/externalLink3.xml" Type="http://schemas.openxmlformats.org/officeDocument/2006/relationships/externalLink"/>
<Relationship Id="rId14" Target="externalLinks/externalLink4.xml" Type="http://schemas.openxmlformats.org/officeDocument/2006/relationships/externalLink"/>
<Relationship Id="rId15" Target="externalLinks/externalLink5.xml" Type="http://schemas.openxmlformats.org/officeDocument/2006/relationships/externalLink"/>
<Relationship Id="rId16" Target="externalLinks/externalLink6.xml" Type="http://schemas.openxmlformats.org/officeDocument/2006/relationships/externalLink"/>
<Relationship Id="rId17" Target="externalLinks/externalLink7.xml" Type="http://schemas.openxmlformats.org/officeDocument/2006/relationships/externalLink"/>
<Relationship Id="rId18" Target="externalLinks/externalLink8.xml" Type="http://schemas.openxmlformats.org/officeDocument/2006/relationships/externalLink"/>
<Relationship Id="rId19" Target="externalLinks/externalLink9.xml" Type="http://schemas.openxmlformats.org/officeDocument/2006/relationships/externalLink"/>
<Relationship Id="rId2" Target="worksheets/sheet2.xml" Type="http://schemas.openxmlformats.org/officeDocument/2006/relationships/worksheet"/>
<Relationship Id="rId20" Target="externalLinks/externalLink10.xml" Type="http://schemas.openxmlformats.org/officeDocument/2006/relationships/externalLink"/>
<Relationship Id="rId21" Target="externalLinks/externalLink11.xml" Type="http://schemas.openxmlformats.org/officeDocument/2006/relationships/externalLink"/>
<Relationship Id="rId22" Target="externalLinks/externalLink12.xml" Type="http://schemas.openxmlformats.org/officeDocument/2006/relationships/externalLink"/>
<Relationship Id="rId23" Target="externalLinks/externalLink13.xml" Type="http://schemas.openxmlformats.org/officeDocument/2006/relationships/externalLink"/>
<Relationship Id="rId24" Target="externalLinks/externalLink14.xml" Type="http://schemas.openxmlformats.org/officeDocument/2006/relationships/externalLink"/>
<Relationship Id="rId25" Target="externalLinks/externalLink15.xml" Type="http://schemas.openxmlformats.org/officeDocument/2006/relationships/externalLink"/>
<Relationship Id="rId26" Target="externalLinks/externalLink16.xml" Type="http://schemas.openxmlformats.org/officeDocument/2006/relationships/externalLink"/>
<Relationship Id="rId27" Target="externalLinks/externalLink17.xml" Type="http://schemas.openxmlformats.org/officeDocument/2006/relationships/externalLink"/>
<Relationship Id="rId28" Target="externalLinks/externalLink18.xml" Type="http://schemas.openxmlformats.org/officeDocument/2006/relationships/externalLink"/>
<Relationship Id="rId29" Target="externalLinks/externalLink19.xml" Type="http://schemas.openxmlformats.org/officeDocument/2006/relationships/externalLink"/>
<Relationship Id="rId3" Target="worksheets/sheet3.xml" Type="http://schemas.openxmlformats.org/officeDocument/2006/relationships/worksheet"/>
<Relationship Id="rId30" Target="externalLinks/externalLink20.xml" Type="http://schemas.openxmlformats.org/officeDocument/2006/relationships/externalLink"/>
<Relationship Id="rId31" Target="externalLinks/externalLink21.xml" Type="http://schemas.openxmlformats.org/officeDocument/2006/relationships/externalLink"/>
<Relationship Id="rId32" Target="externalLinks/externalLink22.xml" Type="http://schemas.openxmlformats.org/officeDocument/2006/relationships/externalLink"/>
<Relationship Id="rId33" Target="externalLinks/externalLink23.xml" Type="http://schemas.openxmlformats.org/officeDocument/2006/relationships/externalLink"/>
<Relationship Id="rId34" Target="externalLinks/externalLink24.xml" Type="http://schemas.openxmlformats.org/officeDocument/2006/relationships/externalLink"/>
<Relationship Id="rId35" Target="externalLinks/externalLink25.xml" Type="http://schemas.openxmlformats.org/officeDocument/2006/relationships/externalLink"/>
<Relationship Id="rId36" Target="externalLinks/externalLink26.xml" Type="http://schemas.openxmlformats.org/officeDocument/2006/relationships/externalLink"/>
<Relationship Id="rId37" Target="theme/theme1.xml" Type="http://schemas.openxmlformats.org/officeDocument/2006/relationships/theme"/>
<Relationship Id="rId38" Target="styles.xml" Type="http://schemas.openxmlformats.org/officeDocument/2006/relationships/styles"/>
<Relationship Id="rId39" Target="sharedStrings.xml" Type="http://schemas.openxmlformats.org/officeDocument/2006/relationships/sharedStrings"/>
<Relationship Id="rId4" Target="worksheets/sheet4.xml" Type="http://schemas.openxmlformats.org/officeDocument/2006/relationships/worksheet"/>
<Relationship Id="rId40" Target="calcChain.xml" Type="http://schemas.openxmlformats.org/officeDocument/2006/relationships/calcChain"/>
<Relationship Id="rId41" Target="../customXml/item1.xml" Type="http://schemas.openxmlformats.org/officeDocument/2006/relationships/customXml"/>
<Relationship Id="rId42" Target="../customXml/item2.xml" Type="http://schemas.openxmlformats.org/officeDocument/2006/relationships/customXml"/>
<Relationship Id="rId5" Target="worksheets/sheet5.xml" Type="http://schemas.openxmlformats.org/officeDocument/2006/relationships/worksheet"/>
<Relationship Id="rId6" Target="worksheets/sheet6.xml" Type="http://schemas.openxmlformats.org/officeDocument/2006/relationships/worksheet"/>
<Relationship Id="rId7" Target="worksheets/sheet7.xml" Type="http://schemas.openxmlformats.org/officeDocument/2006/relationships/worksheet"/>
<Relationship Id="rId8" Target="worksheets/sheet8.xml" Type="http://schemas.openxmlformats.org/officeDocument/2006/relationships/worksheet"/>
<Relationship Id="rId9" Target="worksheets/sheet9.xml" Type="http://schemas.openxmlformats.org/officeDocument/2006/relationships/worksheet"/>
</Relationships>

</file>

<file path=xl/drawings/_rels/drawing1.xml.rels><?xml version="1.0" encoding="UTF-8" standalone="yes"?>
<Relationships xmlns="http://schemas.openxmlformats.org/package/2006/relationships">
<Relationship Id="rId1" Target="../media/image1.png" Type="http://schemas.openxmlformats.org/officeDocument/2006/relationships/image"/>
<Relationship Id="rId2" Target="../media/image2.jpeg" Type="http://schemas.openxmlformats.org/officeDocument/2006/relationships/image"/>
<Relationship Id="rId3" Target="../media/image3.gif" Type="http://schemas.openxmlformats.org/officeDocument/2006/relationships/image"/>
</Relationships>
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28575</xdr:rowOff>
    </xdr:from>
    <xdr:to>
      <xdr:col>0</xdr:col>
      <xdr:colOff>1581150</xdr:colOff>
      <xdr:row>0</xdr:row>
      <xdr:rowOff>323850</xdr:rowOff>
    </xdr:to>
    <xdr:pic>
      <xdr:nvPicPr>
        <xdr:cNvPr id="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575"/>
          <a:ext cx="15621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0</xdr:row>
      <xdr:rowOff>95250</xdr:rowOff>
    </xdr:from>
    <xdr:to>
      <xdr:col>1</xdr:col>
      <xdr:colOff>523875</xdr:colOff>
      <xdr:row>0</xdr:row>
      <xdr:rowOff>314325</xdr:rowOff>
    </xdr:to>
    <xdr:pic>
      <xdr:nvPicPr>
        <xdr:cNvPr id="3" name="Picture 6" descr="MSMS_logo_3" hidden="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5250"/>
          <a:ext cx="2219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180</xdr:row>
      <xdr:rowOff>0</xdr:rowOff>
    </xdr:from>
    <xdr:to>
      <xdr:col>7</xdr:col>
      <xdr:colOff>390525</xdr:colOff>
      <xdr:row>203</xdr:row>
      <xdr:rowOff>104775</xdr:rowOff>
    </xdr:to>
    <xdr:pic>
      <xdr:nvPicPr>
        <xdr:cNvPr id="975873" name="Picture 1" descr="C:\Users\sharpmat\AppData\Local\Temp\MercuryPriceRatingHistoryChart\RTN.N_2018_04_11_12_20_56.gif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7289125"/>
          <a:ext cx="6400800" cy="382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
<Relationships xmlns="http://schemas.openxmlformats.org/package/2006/relationships">
<Relationship Id="rId1" Target="AERO/Wood/Models/GD.xls" TargetMode="External" Type="http://schemas.microsoft.com/office/2006/relationships/xlExternalLinkPath/xlStartup"/>
</Relationships>

</file>

<file path=xl/externalLinks/_rels/externalLink2.xml.rels><?xml version="1.0" encoding="UTF-8" standalone="yes"?>
<Relationships xmlns="http://schemas.openxmlformats.org/package/2006/relationships">
<Relationship Id="rId1" Target="file://///Sony/c/business/&#38750;&#37444;/&#38750;&#37444;&#20250;~1/&#21516;&#21644;&#37489;&#26989;/5714work.wk4" TargetMode="External" Type="http://schemas.openxmlformats.org/officeDocument/2006/relationships/externalLinkPath"/>
</Relationships>

</file>

<file path=xl/externalLinks/_rels/externalLink3.xml.rels><?xml version="1.0" encoding="UTF-8" standalone="yes"?>
<Relationships xmlns="http://schemas.openxmlformats.org/package/2006/relationships">
<Relationship Id="rId1" Target="AERO/Companies/RTN/RTN.model.Abelv1.Marco.xls" TargetMode="External" Type="http://schemas.microsoft.com/office/2006/relationships/xlExternalLinkPath/xlAlternateStartup"/>
</Relationships>

</file>

<file path=xl/externalLinks/_rels/externalLink4.xml.rels><?xml version="1.0" encoding="UTF-8" standalone="yes"?>
<Relationships xmlns="http://schemas.openxmlformats.org/package/2006/relationships">
<Relationship Id="rId1" Target="file://///msad/root/Documents%20and%20Settings/warjohn/Local%20Settings/Temporary%20Internet%20Files/OLK1DA/Funded%20status%20Chart.xls" TargetMode="External" Type="http://schemas.openxmlformats.org/officeDocument/2006/relationships/externalLinkPath"/>
</Relationships>

</file>

<file path=xl/externalLinks/_rels/externalLink5.xml.rels><?xml version="1.0" encoding="UTF-8" standalone="yes"?>
<Relationships xmlns="http://schemas.openxmlformats.org/package/2006/relationships">
<Relationship Id="rId1" Target="/Documents%20and%20Settings/sanclaur/Local%20Settings/Temporary%20Internet%20Files/OLK8A2/MS_Rolls-Royce_PUBLIC_WIP%20(2).xls" TargetMode="External" Type="http://schemas.openxmlformats.org/officeDocument/2006/relationships/externalLinkPath"/>
</Relationships>

</file>

<file path=xl/externalLinks/_rels/externalLink6.xml.rels><?xml version="1.0" encoding="UTF-8" standalone="yes"?>
<Relationships xmlns="http://schemas.openxmlformats.org/package/2006/relationships">
<Relationship Id="rId1" Target="AERO/Companies/BEAV/BEAV.jdg.xls" TargetMode="External" Type="http://schemas.microsoft.com/office/2006/relationships/xlExternalLinkPath/xlAlternateStartup"/>
</Relationships>

</file>

<file path=xl/externalLinks/_rels/externalLink7.xml.rels><?xml version="1.0" encoding="UTF-8" standalone="yes"?>
<Relationships xmlns="http://schemas.openxmlformats.org/package/2006/relationships">
<Relationship Id="rId1" Target="file://///msad/root/na/ny/users/johndasc/Docs/ID/Charts/Chart_Gallery/From%20Vlad/B11_BarSingle_AverageLine.xls" TargetMode="External" Type="http://schemas.openxmlformats.org/officeDocument/2006/relationships/externalLinkPath"/>
</Relationships>

</file>

<file path=xl/externalLinks/_rels/externalLink8.xml.rels><?xml version="1.0" encoding="UTF-8" standalone="yes"?>
<Relationships xmlns="http://schemas.openxmlformats.org/package/2006/relationships">
<Relationship Id="rId1" Target="AERO/Wood/Industry/Aerospace/Global%20Fleet%20Boeing%20&amp;%20Airbus/World%20Fleet.xls" TargetMode="External" Type="http://schemas.microsoft.com/office/2006/relationships/xlExternalLinkPath/xlStartup"/>
</Relationships>

</file>

<file path=xl/externalLinks/_rels/externalLink9.xml.rels><?xml version="1.0" encoding="UTF-8" standalone="yes"?>
<Relationships xmlns="http://schemas.openxmlformats.org/package/2006/relationships">
<Relationship Id="rId1" Target="AERO/AD/Industry/Aero/Storage/ACSTORx.xls" TargetMode="External" Type="http://schemas.microsoft.com/office/2006/relationships/xlExternalLinkPath/xlStartup"/>
</Relationships>

</file>

<file path=xl/externalLinks/_rels/externalLink10.xml.rels><?xml version="1.0" encoding="UTF-8" standalone="yes"?>
<Relationships xmlns="http://schemas.openxmlformats.org/package/2006/relationships">
<Relationship Id="rId1" Target="AERO/AD/Models/GR/GRx.xls" TargetMode="External" Type="http://schemas.microsoft.com/office/2006/relationships/xlExternalLinkPath/xlStartup"/>
</Relationships>

</file>

<file path=xl/externalLinks/_rels/externalLink11.xml.rels><?xml version="1.0" encoding="UTF-8" standalone="yes"?>
<Relationships xmlns="http://schemas.openxmlformats.org/package/2006/relationships">
<Relationship Id="rId1" Target="file://///msad/root/NA/NY/LIB/ER/AERO/AD/Models/COL/COLx.xls" TargetMode="External" Type="http://schemas.openxmlformats.org/officeDocument/2006/relationships/externalLinkPath"/>
</Relationships>

</file>

<file path=xl/externalLinks/_rels/externalLink12.xml.rels><?xml version="1.0" encoding="UTF-8" standalone="yes"?>
<Relationships xmlns="http://schemas.openxmlformats.org/package/2006/relationships">
<Relationship Id="rId1" Target="AERO/AD/Models/LMT/LMTx.xls" TargetMode="External" Type="http://schemas.microsoft.com/office/2006/relationships/xlExternalLinkPath/xlAlternateStartup"/>
</Relationships>

</file>

<file path=xl/externalLinks/_rels/externalLink13.xml.rels><?xml version="1.0" encoding="UTF-8" standalone="yes"?>
<Relationships xmlns="http://schemas.openxmlformats.org/package/2006/relationships">
<Relationship Id="rId1" Target="AERO/Industry/Aero/Aero%20Data%20Pack.xls" TargetMode="External" Type="http://schemas.microsoft.com/office/2006/relationships/xlExternalLinkPath/xlAlternateStartup"/>
</Relationships>

</file>

<file path=xl/externalLinks/_rels/externalLink14.xml.rels><?xml version="1.0" encoding="UTF-8" standalone="yes"?>
<Relationships xmlns="http://schemas.openxmlformats.org/package/2006/relationships">
<Relationship Id="rId1" Target="AERO/AD/Models/VSAT/VSAT.xls" TargetMode="External" Type="http://schemas.microsoft.com/office/2006/relationships/xlExternalLinkPath/xlStartup"/>
</Relationships>

</file>

<file path=xl/externalLinks/_rels/externalLink15.xml.rels><?xml version="1.0" encoding="UTF-8" standalone="yes"?>
<Relationships xmlns="http://schemas.openxmlformats.org/package/2006/relationships">
<Relationship Id="rId1" Target="AERO/AD/Models/GR/Archive/GRx1Q10.xls" TargetMode="External" Type="http://schemas.microsoft.com/office/2006/relationships/xlExternalLinkPath/xlStartup"/>
</Relationships>

</file>

<file path=xl/externalLinks/_rels/externalLink16.xml.rels><?xml version="1.0" encoding="UTF-8" standalone="yes"?>
<Relationships xmlns="http://schemas.openxmlformats.org/package/2006/relationships">
<Relationship Id="rId1" Target="AERO/AD/Industry/Aero/Commercial%20Traffic.xls" TargetMode="External" Type="http://schemas.microsoft.com/office/2006/relationships/xlExternalLinkPath/xlAlternateStartup"/>
</Relationships>

</file>

<file path=xl/externalLinks/_rels/externalLink17.xml.rels><?xml version="1.0" encoding="UTF-8" standalone="yes"?>
<Relationships xmlns="http://schemas.openxmlformats.org/package/2006/relationships">
<Relationship Id="rId1" Target="AERO/AD/Industry/Aero/Biz%20Jets%20Data.xls" TargetMode="External" Type="http://schemas.microsoft.com/office/2006/relationships/xlExternalLinkPath/xlStartup"/>
</Relationships>

</file>

<file path=xl/externalLinks/_rels/externalLink18.xml.rels><?xml version="1.0" encoding="UTF-8" standalone="yes"?>
<Relationships xmlns="http://schemas.openxmlformats.org/package/2006/relationships">
<Relationship Id="rId1" Target="TEMPLATE/Excel/LINKTAB.XLS" TargetMode="External" Type="http://schemas.microsoft.com/office/2006/relationships/xlExternalLinkPath/xlStartup"/>
</Relationships>

</file>

<file path=xl/externalLinks/_rels/externalLink19.xml.rels><?xml version="1.0" encoding="UTF-8" standalone="yes"?>
<Relationships xmlns="http://schemas.openxmlformats.org/package/2006/relationships">
<Relationship Id="rId1" Target="AERO/Wood/Industry/Aerospace/Airord.xls" TargetMode="External" Type="http://schemas.microsoft.com/office/2006/relationships/xlExternalLinkPath/xlStartup"/>
</Relationships>

</file>

<file path=xl/externalLinks/_rels/externalLink20.xml.rels><?xml version="1.0" encoding="UTF-8" standalone="yes"?>
<Relationships xmlns="http://schemas.openxmlformats.org/package/2006/relationships">
<Relationship Id="rId1" Target="AERO/Wood/Models/txt.xls" TargetMode="External" Type="http://schemas.microsoft.com/office/2006/relationships/xlExternalLinkPath/xlStartup"/>
</Relationships>

</file>

<file path=xl/externalLinks/_rels/externalLink21.xml.rels><?xml version="1.0" encoding="UTF-8" standalone="yes"?>
<Relationships xmlns="http://schemas.openxmlformats.org/package/2006/relationships">
<Relationship Id="rId1" Target="Documents%20and%20Settings/boonekev/Desktop/Bespoke/SPR%20787%20Cash%20Flow%20Analysis.xls" TargetMode="External" Type="http://schemas.microsoft.com/office/2006/relationships/xlExternalLinkPath/xlAlternateStartup"/>
</Relationships>

</file>

<file path=xl/externalLinks/_rels/externalLink22.xml.rels><?xml version="1.0" encoding="UTF-8" standalone="yes"?>
<Relationships xmlns="http://schemas.openxmlformats.org/package/2006/relationships">
<Relationship Id="rId1" Target="AERO/Industry/Aero/Biz%20Jets%20Data.xls" TargetMode="External" Type="http://schemas.microsoft.com/office/2006/relationships/xlExternalLinkPath/xlAlternateStartup"/>
</Relationships>

</file>

<file path=xl/externalLinks/_rels/externalLink23.xml.rels><?xml version="1.0" encoding="UTF-8" standalone="yes"?>
<Relationships xmlns="http://schemas.openxmlformats.org/package/2006/relationships">
<Relationship Id="rId1" Target="MultipleSecurities" TargetMode="External" Type="http://schemas.microsoft.com/office/2006/relationships/xlExternalLinkPath/xlPathMissing"/>
</Relationships>

</file>

<file path=xl/externalLinks/_rels/externalLink24.xml.rels><?xml version="1.0" encoding="UTF-8" standalone="yes"?>
<Relationships xmlns="http://schemas.openxmlformats.org/package/2006/relationships">
<Relationship Id="rId1" Target="file://///MSSERVER/Home/Comman%20Access/Book1.xls" TargetMode="External" Type="http://schemas.openxmlformats.org/officeDocument/2006/relationships/externalLinkPath"/>
</Relationships>

</file>

<file path=xl/externalLinks/_rels/externalLink25.xml.rels><?xml version="1.0" encoding="UTF-8" standalone="yes"?>
<Relationships xmlns="http://schemas.openxmlformats.org/package/2006/relationships">
<Relationship Id="rId1" Target="AERO/AD/Models/LMT/F-35%20Model.xls" TargetMode="External" Type="http://schemas.microsoft.com/office/2006/relationships/xlExternalLinkPath/xlStartup"/>
</Relationships>

</file>

<file path=xl/externalLinks/_rels/externalLink26.xml.rels><?xml version="1.0" encoding="UTF-8" standalone="yes"?>
<Relationships xmlns="http://schemas.openxmlformats.org/package/2006/relationships">
<Relationship Id="rId1" Target="TEMP/TOS.XLS" TargetMode="External" Type="http://schemas.microsoft.com/office/2006/relationships/xlExternalLinkPath/xlStartup"/>
</Relationships>
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_FDSCACHE__"/>
      <sheetName val="Main"/>
      <sheetName val="Quarterly"/>
      <sheetName val="Variance Analysis"/>
      <sheetName val="Sum of Parts"/>
      <sheetName val="Aerospace"/>
      <sheetName val="Aerospacemodel"/>
      <sheetName val="Marine"/>
      <sheetName val="Combatmodel"/>
      <sheetName val="ISTmodel"/>
      <sheetName val="Tables"/>
      <sheetName val="DCF"/>
      <sheetName val="Scenario Analysis Assumptions"/>
      <sheetName val="MWA RR"/>
      <sheetName val="Acquisitions"/>
      <sheetName val="Historical"/>
      <sheetName val="Resources"/>
      <sheetName val="Gulf Backlog"/>
      <sheetName val="Gulf Del By Cust"/>
      <sheetName val="DCF Old"/>
      <sheetName val="Gulf AC In Oper"/>
      <sheetName val="MW-Cache"/>
      <sheetName val="MWA Pension"/>
      <sheetName val="MWA OPEB"/>
      <sheetName val="Combat Sys"/>
      <sheetName val="Pension (old)"/>
      <sheetName val="OPEB (old)"/>
      <sheetName val="mwareDates"/>
      <sheetName val="mwareSettings"/>
      <sheetName val="MainCode"/>
      <sheetName val="Valuation"/>
      <sheetName val="Pension"/>
      <sheetName val="OPEB"/>
      <sheetName val="Model_Template"/>
      <sheetName val="PensionOld"/>
      <sheetName val="OPEBOld"/>
      <sheetName val="ImportantDisclosures"/>
      <sheetName val="Menu"/>
      <sheetName val="DCF New"/>
      <sheetName val="mwareTaxoPres"/>
      <sheetName val="mwareValPrintout"/>
      <sheetName val="NY UPLOAD"/>
      <sheetName val="NY UPLOAD shadow"/>
      <sheetName val="ValuationParts"/>
      <sheetName val="ValuationDCF"/>
      <sheetName val="Parts"/>
      <sheetName val="Scenario"/>
    </sheetNames>
    <sheetDataSet>
      <sheetData sheetId="0" refreshError="1"/>
      <sheetData sheetId="1">
        <row r="1">
          <cell r="A1" t="str">
            <v>last updated 10/09</v>
          </cell>
        </row>
      </sheetData>
      <sheetData sheetId="2" refreshError="1"/>
      <sheetData sheetId="3" refreshError="1"/>
      <sheetData sheetId="4" refreshError="1"/>
      <sheetData sheetId="5" refreshError="1">
        <row r="1">
          <cell r="G1" t="str">
            <v>last updated 4/07</v>
          </cell>
        </row>
        <row r="342">
          <cell r="A342" t="str">
            <v xml:space="preserve">  - prior GAC owner</v>
          </cell>
          <cell r="L342">
            <v>2</v>
          </cell>
          <cell r="AD342">
            <v>2</v>
          </cell>
          <cell r="AI342">
            <v>1.99</v>
          </cell>
          <cell r="AJ342">
            <v>1</v>
          </cell>
          <cell r="AK342">
            <v>1</v>
          </cell>
          <cell r="AL342">
            <v>1</v>
          </cell>
        </row>
        <row r="343">
          <cell r="A343">
            <v>1968</v>
          </cell>
          <cell r="L343">
            <v>35</v>
          </cell>
          <cell r="AD343">
            <v>37</v>
          </cell>
          <cell r="AI343">
            <v>36.814999999999998</v>
          </cell>
          <cell r="AJ343">
            <v>2</v>
          </cell>
          <cell r="AK343">
            <v>11</v>
          </cell>
          <cell r="AL343">
            <v>2</v>
          </cell>
        </row>
        <row r="344">
          <cell r="A344">
            <v>1969</v>
          </cell>
          <cell r="L344">
            <v>37</v>
          </cell>
          <cell r="AD344">
            <v>74</v>
          </cell>
          <cell r="AI344">
            <v>73.63</v>
          </cell>
          <cell r="AJ344">
            <v>3</v>
          </cell>
          <cell r="AK344">
            <v>37</v>
          </cell>
          <cell r="AL344">
            <v>3</v>
          </cell>
        </row>
        <row r="345">
          <cell r="A345">
            <v>1970</v>
          </cell>
          <cell r="L345">
            <v>16</v>
          </cell>
          <cell r="AD345">
            <v>90</v>
          </cell>
          <cell r="AI345">
            <v>89.55</v>
          </cell>
          <cell r="AJ345">
            <v>4</v>
          </cell>
          <cell r="AK345">
            <v>86</v>
          </cell>
          <cell r="AL345">
            <v>4</v>
          </cell>
        </row>
        <row r="346">
          <cell r="A346">
            <v>1971</v>
          </cell>
          <cell r="L346">
            <v>12</v>
          </cell>
          <cell r="AD346">
            <v>102</v>
          </cell>
          <cell r="AI346">
            <v>101.49</v>
          </cell>
          <cell r="AJ346">
            <v>5</v>
          </cell>
          <cell r="AK346">
            <v>124</v>
          </cell>
          <cell r="AL346">
            <v>5</v>
          </cell>
        </row>
        <row r="347">
          <cell r="A347">
            <v>1972</v>
          </cell>
          <cell r="L347">
            <v>16</v>
          </cell>
          <cell r="AD347">
            <v>118</v>
          </cell>
          <cell r="AI347">
            <v>117.41</v>
          </cell>
          <cell r="AJ347">
            <v>6</v>
          </cell>
          <cell r="AK347">
            <v>155</v>
          </cell>
          <cell r="AL347">
            <v>6</v>
          </cell>
        </row>
        <row r="348">
          <cell r="A348">
            <v>1973</v>
          </cell>
          <cell r="L348">
            <v>17</v>
          </cell>
          <cell r="AD348">
            <v>135</v>
          </cell>
          <cell r="AI348">
            <v>134.32499999999999</v>
          </cell>
          <cell r="AJ348">
            <v>7</v>
          </cell>
          <cell r="AK348">
            <v>184</v>
          </cell>
          <cell r="AL348">
            <v>7</v>
          </cell>
        </row>
        <row r="349">
          <cell r="A349">
            <v>1974</v>
          </cell>
          <cell r="L349">
            <v>17</v>
          </cell>
          <cell r="AD349">
            <v>152</v>
          </cell>
          <cell r="AI349">
            <v>151.24</v>
          </cell>
          <cell r="AJ349">
            <v>8</v>
          </cell>
          <cell r="AK349">
            <v>209</v>
          </cell>
          <cell r="AL349">
            <v>8</v>
          </cell>
        </row>
        <row r="350">
          <cell r="A350">
            <v>1975</v>
          </cell>
          <cell r="L350">
            <v>14</v>
          </cell>
          <cell r="AD350">
            <v>166</v>
          </cell>
          <cell r="AI350">
            <v>165.17</v>
          </cell>
          <cell r="AJ350">
            <v>9</v>
          </cell>
          <cell r="AK350">
            <v>235</v>
          </cell>
          <cell r="AL350">
            <v>9</v>
          </cell>
        </row>
        <row r="351">
          <cell r="A351" t="str">
            <v>Gulfstream Product  Lifecycle</v>
          </cell>
          <cell r="L351">
            <v>23</v>
          </cell>
          <cell r="AD351">
            <v>189</v>
          </cell>
          <cell r="AI351">
            <v>188.05500000000001</v>
          </cell>
          <cell r="AJ351">
            <v>10</v>
          </cell>
          <cell r="AK351">
            <v>257</v>
          </cell>
          <cell r="AL351">
            <v>10</v>
          </cell>
        </row>
        <row r="352">
          <cell r="A352">
            <v>1977</v>
          </cell>
          <cell r="L352">
            <v>16</v>
          </cell>
          <cell r="AD352">
            <v>205</v>
          </cell>
          <cell r="AI352">
            <v>203.97499999999999</v>
          </cell>
          <cell r="AJ352">
            <v>11</v>
          </cell>
          <cell r="AK352">
            <v>283</v>
          </cell>
          <cell r="AL352">
            <v>11</v>
          </cell>
        </row>
        <row r="353">
          <cell r="A353">
            <v>1978</v>
          </cell>
          <cell r="L353" t="str">
            <v>G500</v>
          </cell>
          <cell r="R353" t="str">
            <v>GIII</v>
          </cell>
          <cell r="AD353" t="str">
            <v>YEAR</v>
          </cell>
          <cell r="AI353" t="str">
            <v>GIV/SP</v>
          </cell>
          <cell r="AJ353" t="str">
            <v>GV</v>
          </cell>
          <cell r="AK353" t="str">
            <v>GVSP</v>
          </cell>
          <cell r="AL353" t="str">
            <v>G100</v>
          </cell>
        </row>
        <row r="354">
          <cell r="A354">
            <v>1967</v>
          </cell>
          <cell r="L354">
            <v>19</v>
          </cell>
          <cell r="AD354">
            <v>1</v>
          </cell>
          <cell r="AI354">
            <v>1</v>
          </cell>
          <cell r="AJ354">
            <v>3</v>
          </cell>
          <cell r="AK354">
            <v>1</v>
          </cell>
          <cell r="AL354">
            <v>5</v>
          </cell>
        </row>
        <row r="355">
          <cell r="A355">
            <v>1968</v>
          </cell>
          <cell r="L355">
            <v>27</v>
          </cell>
          <cell r="AD355">
            <v>2</v>
          </cell>
          <cell r="AI355">
            <v>11</v>
          </cell>
          <cell r="AJ355">
            <v>32</v>
          </cell>
          <cell r="AK355">
            <v>29</v>
          </cell>
          <cell r="AL355">
            <v>14</v>
          </cell>
        </row>
        <row r="356">
          <cell r="A356">
            <v>1969</v>
          </cell>
          <cell r="L356">
            <v>25</v>
          </cell>
          <cell r="R356">
            <v>58</v>
          </cell>
          <cell r="AD356">
            <v>3</v>
          </cell>
        </row>
        <row r="357">
          <cell r="A357">
            <v>1970</v>
          </cell>
          <cell r="L357">
            <v>36</v>
          </cell>
          <cell r="R357">
            <v>37</v>
          </cell>
          <cell r="AD357">
            <v>4</v>
          </cell>
        </row>
        <row r="358">
          <cell r="A358">
            <v>1971</v>
          </cell>
          <cell r="L358">
            <v>36</v>
          </cell>
          <cell r="R358">
            <v>55</v>
          </cell>
          <cell r="AD358">
            <v>5</v>
          </cell>
        </row>
        <row r="359">
          <cell r="A359">
            <v>1972</v>
          </cell>
          <cell r="L359">
            <v>36</v>
          </cell>
          <cell r="R359">
            <v>79</v>
          </cell>
          <cell r="AD359">
            <v>6</v>
          </cell>
        </row>
        <row r="360">
          <cell r="A360">
            <v>1973</v>
          </cell>
          <cell r="L360">
            <v>25</v>
          </cell>
          <cell r="R360">
            <v>72</v>
          </cell>
          <cell r="AD360">
            <v>7</v>
          </cell>
        </row>
        <row r="361">
          <cell r="A361">
            <v>1974</v>
          </cell>
          <cell r="L361">
            <v>26</v>
          </cell>
          <cell r="R361">
            <v>68</v>
          </cell>
          <cell r="AD361">
            <v>8</v>
          </cell>
        </row>
        <row r="362">
          <cell r="A362">
            <v>1975</v>
          </cell>
          <cell r="L362">
            <v>32</v>
          </cell>
          <cell r="R362">
            <v>63</v>
          </cell>
          <cell r="AD362">
            <v>9</v>
          </cell>
        </row>
        <row r="363">
          <cell r="A363">
            <v>1976</v>
          </cell>
          <cell r="L363">
            <v>51</v>
          </cell>
          <cell r="R363">
            <v>24</v>
          </cell>
          <cell r="AD363">
            <v>10</v>
          </cell>
        </row>
        <row r="364">
          <cell r="A364">
            <v>1977</v>
          </cell>
          <cell r="L364">
            <v>38</v>
          </cell>
          <cell r="R364">
            <v>13</v>
          </cell>
          <cell r="AD364">
            <v>11</v>
          </cell>
        </row>
        <row r="365">
          <cell r="A365">
            <v>1978</v>
          </cell>
          <cell r="L365">
            <v>31</v>
          </cell>
          <cell r="R365">
            <v>2</v>
          </cell>
          <cell r="AD365">
            <v>12</v>
          </cell>
        </row>
        <row r="366">
          <cell r="A366">
            <v>1979</v>
          </cell>
          <cell r="L366">
            <v>29</v>
          </cell>
          <cell r="R366">
            <v>1</v>
          </cell>
          <cell r="AD366">
            <v>13</v>
          </cell>
        </row>
        <row r="367">
          <cell r="A367">
            <v>1980</v>
          </cell>
          <cell r="L367">
            <v>25</v>
          </cell>
          <cell r="R367">
            <v>20</v>
          </cell>
          <cell r="AD367">
            <v>14</v>
          </cell>
        </row>
        <row r="368">
          <cell r="A368">
            <v>1981</v>
          </cell>
          <cell r="L368">
            <v>26</v>
          </cell>
          <cell r="R368">
            <v>45</v>
          </cell>
          <cell r="AD368">
            <v>15</v>
          </cell>
        </row>
        <row r="369">
          <cell r="A369">
            <v>1982</v>
          </cell>
          <cell r="L369">
            <v>22</v>
          </cell>
          <cell r="R369">
            <v>81</v>
          </cell>
          <cell r="AD369">
            <v>16</v>
          </cell>
        </row>
        <row r="370">
          <cell r="A370">
            <v>1983</v>
          </cell>
          <cell r="L370">
            <v>26</v>
          </cell>
          <cell r="R370">
            <v>117</v>
          </cell>
          <cell r="AD370">
            <v>17</v>
          </cell>
        </row>
        <row r="371">
          <cell r="A371">
            <v>1984</v>
          </cell>
          <cell r="L371">
            <v>27</v>
          </cell>
          <cell r="R371">
            <v>153</v>
          </cell>
          <cell r="AD371">
            <v>18</v>
          </cell>
        </row>
        <row r="372">
          <cell r="A372">
            <v>1985</v>
          </cell>
          <cell r="L372">
            <v>51</v>
          </cell>
          <cell r="R372">
            <v>177</v>
          </cell>
          <cell r="AD372">
            <v>19</v>
          </cell>
        </row>
        <row r="373">
          <cell r="A373">
            <v>1986</v>
          </cell>
          <cell r="L373">
            <v>61</v>
          </cell>
          <cell r="R373">
            <v>193</v>
          </cell>
          <cell r="AD373">
            <v>20</v>
          </cell>
        </row>
        <row r="374">
          <cell r="A374">
            <v>1987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>
        <row r="4">
          <cell r="AO4" t="str">
            <v>$ Val deals</v>
          </cell>
          <cell r="AP4">
            <v>300</v>
          </cell>
          <cell r="AR4">
            <v>505</v>
          </cell>
          <cell r="AS4">
            <v>505</v>
          </cell>
          <cell r="AT4">
            <v>900</v>
          </cell>
          <cell r="AU4">
            <v>415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/>
      <sheetData sheetId="31"/>
      <sheetData sheetId="32"/>
      <sheetData sheetId="33"/>
      <sheetData sheetId="34"/>
      <sheetData sheetId="35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/>
      <sheetData sheetId="44"/>
      <sheetData sheetId="45"/>
      <sheetData sheetId="4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単独"/>
      <sheetName val="連結"/>
      <sheetName val="期中"/>
      <sheetName val="valu"/>
      <sheetName val="増減分析"/>
      <sheetName val="新素材"/>
      <sheetName val="子会社"/>
      <sheetName val="環境"/>
      <sheetName val="製錬拠点"/>
      <sheetName val="ﾃｨｻﾊﾟ"/>
      <sheetName val="ﾚｲﾃﾞﾌﾟﾗﾀ"/>
      <sheetName val="小坂"/>
      <sheetName val="中計"/>
      <sheetName val="cash"/>
      <sheetName val="ｾｸﾞﾒﾝﾄ"/>
      <sheetName val="含み益"/>
      <sheetName val="capx"/>
      <sheetName val="dep"/>
      <sheetName val="人"/>
      <sheetName val="exp"/>
      <sheetName val="Valuation Matrix"/>
      <sheetName val="HANDOUT"/>
      <sheetName val="Interm-Euro"/>
      <sheetName val="SCATTER DATA"/>
      <sheetName val="10 Yr DCF"/>
      <sheetName val="Annual-Euro"/>
      <sheetName val="Residual Income Model"/>
      <sheetName val="P"/>
      <sheetName val="Exclusion List"/>
      <sheetName val="EARNMOD"/>
      <sheetName val="Good 12-00 (2)"/>
      <sheetName val="Good 11-36"/>
      <sheetName val="Good 11-50"/>
      <sheetName val="Sheet3 (5)"/>
      <sheetName val="IS Quarterly"/>
      <sheetName val="Sheet1 (2)"/>
      <sheetName val="1Q11 Preview"/>
      <sheetName val="2Q11 Preview"/>
      <sheetName val="exh 11"/>
      <sheetName val="exh 14"/>
      <sheetName val="exh 12"/>
      <sheetName val="exh 10"/>
      <sheetName val="exh 1 and 5"/>
      <sheetName val="exh 15"/>
      <sheetName val="exh 3"/>
      <sheetName val="exh 9"/>
      <sheetName val="Operating Leases tagged"/>
      <sheetName val="WACC"/>
      <sheetName val="Sheet1"/>
      <sheetName val="Fixed Line Mkt"/>
      <sheetName val="Cash Flow"/>
      <sheetName val="upside_downside"/>
      <sheetName val="Income Statement"/>
      <sheetName val="Balance Sheet"/>
      <sheetName val="Valsum"/>
      <sheetName val="Total_Production"/>
      <sheetName val="RFS"/>
      <sheetName val="Corn_Uses"/>
      <sheetName val="US_Production"/>
      <sheetName val="DCF"/>
      <sheetName val="OP"/>
      <sheetName val="Inputs"/>
      <sheetName val="MWA RR"/>
      <sheetName val="Summary"/>
      <sheetName val="IS"/>
      <sheetName val="Risk-Reward_View_Chart"/>
      <sheetName val="variables"/>
      <sheetName val="Model"/>
      <sheetName val="Intrinsic Value"/>
      <sheetName val="Rev by Geo"/>
      <sheetName val="fin"/>
      <sheetName val="Report template"/>
      <sheetName val="Model (WIP)"/>
      <sheetName val="sales bkd"/>
      <sheetName val="Presentation"/>
      <sheetName val="Valuation"/>
    </sheetNames>
    <sheetDataSet>
      <sheetData sheetId="0" refreshError="1">
        <row r="14">
          <cell r="AR14">
            <v>28</v>
          </cell>
        </row>
        <row r="15">
          <cell r="AR15">
            <v>5</v>
          </cell>
        </row>
        <row r="16">
          <cell r="AR16">
            <v>14</v>
          </cell>
        </row>
        <row r="17">
          <cell r="AR17">
            <v>6</v>
          </cell>
        </row>
        <row r="18">
          <cell r="AR18">
            <v>-5</v>
          </cell>
        </row>
        <row r="512">
          <cell r="B512" t="str">
            <v>売上高</v>
          </cell>
          <cell r="D512" t="str">
            <v>M\</v>
          </cell>
          <cell r="Q512">
            <v>210000</v>
          </cell>
          <cell r="R512">
            <v>105000</v>
          </cell>
          <cell r="S512">
            <v>105000</v>
          </cell>
          <cell r="T512">
            <v>210000</v>
          </cell>
          <cell r="U512">
            <v>105000</v>
          </cell>
          <cell r="V512">
            <v>105000</v>
          </cell>
          <cell r="W512">
            <v>210000</v>
          </cell>
          <cell r="X512">
            <v>93000</v>
          </cell>
          <cell r="Y512">
            <v>100000</v>
          </cell>
          <cell r="Z512">
            <v>193000</v>
          </cell>
          <cell r="AA512">
            <v>91000</v>
          </cell>
          <cell r="AB512">
            <v>94000</v>
          </cell>
          <cell r="AC512">
            <v>185000</v>
          </cell>
        </row>
        <row r="513">
          <cell r="B513" t="str">
            <v>営業利益</v>
          </cell>
          <cell r="D513" t="str">
            <v>M\</v>
          </cell>
          <cell r="Q513">
            <v>8000</v>
          </cell>
          <cell r="R513">
            <v>5000</v>
          </cell>
          <cell r="S513">
            <v>5000</v>
          </cell>
          <cell r="T513">
            <v>10000</v>
          </cell>
          <cell r="V513">
            <v>0</v>
          </cell>
          <cell r="X513">
            <v>3000</v>
          </cell>
          <cell r="Y513">
            <v>4500</v>
          </cell>
          <cell r="Z513">
            <v>7500</v>
          </cell>
          <cell r="AA513">
            <v>3300</v>
          </cell>
          <cell r="AB513">
            <v>4400</v>
          </cell>
          <cell r="AC513">
            <v>7700</v>
          </cell>
        </row>
        <row r="514">
          <cell r="B514" t="str">
            <v>経常利益</v>
          </cell>
          <cell r="D514" t="str">
            <v>M\</v>
          </cell>
          <cell r="Q514">
            <v>6000</v>
          </cell>
          <cell r="R514">
            <v>4000</v>
          </cell>
          <cell r="S514">
            <v>4000</v>
          </cell>
          <cell r="T514">
            <v>8000</v>
          </cell>
          <cell r="U514">
            <v>3600</v>
          </cell>
          <cell r="V514">
            <v>3600</v>
          </cell>
          <cell r="W514">
            <v>7200</v>
          </cell>
          <cell r="X514">
            <v>2000</v>
          </cell>
          <cell r="Y514">
            <v>3000</v>
          </cell>
          <cell r="Z514">
            <v>5000</v>
          </cell>
          <cell r="AA514">
            <v>2500</v>
          </cell>
          <cell r="AB514">
            <v>3500</v>
          </cell>
          <cell r="AC514">
            <v>6000</v>
          </cell>
        </row>
        <row r="515">
          <cell r="B515" t="str">
            <v>当期利益</v>
          </cell>
          <cell r="D515" t="str">
            <v>M\</v>
          </cell>
          <cell r="Q515">
            <v>3000</v>
          </cell>
          <cell r="R515">
            <v>2000</v>
          </cell>
          <cell r="S515">
            <v>2000</v>
          </cell>
          <cell r="T515">
            <v>4000</v>
          </cell>
          <cell r="U515">
            <v>2000</v>
          </cell>
          <cell r="V515">
            <v>2000</v>
          </cell>
          <cell r="W515">
            <v>4000</v>
          </cell>
          <cell r="X515">
            <v>1200</v>
          </cell>
          <cell r="Y515">
            <v>1600</v>
          </cell>
          <cell r="Z515">
            <v>2800</v>
          </cell>
          <cell r="AA515">
            <v>1300</v>
          </cell>
          <cell r="AB515">
            <v>1700</v>
          </cell>
          <cell r="AC515">
            <v>3000</v>
          </cell>
        </row>
        <row r="516">
          <cell r="D516" t="str">
            <v xml:space="preserve"> </v>
          </cell>
        </row>
        <row r="517">
          <cell r="A517" t="str">
            <v>中間決算後の会社予想</v>
          </cell>
          <cell r="D517" t="str">
            <v xml:space="preserve"> </v>
          </cell>
          <cell r="Q517" t="str">
            <v>97/3期</v>
          </cell>
          <cell r="R517" t="str">
            <v>97/9上</v>
          </cell>
          <cell r="S517" t="str">
            <v>下</v>
          </cell>
          <cell r="T517" t="str">
            <v>98/3期</v>
          </cell>
          <cell r="U517" t="str">
            <v>98/9上</v>
          </cell>
          <cell r="V517" t="str">
            <v>下</v>
          </cell>
          <cell r="W517" t="str">
            <v>99/3期</v>
          </cell>
          <cell r="Z517" t="str">
            <v>00/3期</v>
          </cell>
          <cell r="AC517" t="str">
            <v>01/3期</v>
          </cell>
        </row>
        <row r="518">
          <cell r="B518" t="str">
            <v>売上高</v>
          </cell>
          <cell r="D518" t="str">
            <v>M\</v>
          </cell>
          <cell r="Q518">
            <v>200000</v>
          </cell>
          <cell r="S518">
            <v>109491</v>
          </cell>
          <cell r="T518">
            <v>222000</v>
          </cell>
          <cell r="U518">
            <v>104114</v>
          </cell>
          <cell r="V518">
            <v>105886</v>
          </cell>
          <cell r="W518">
            <v>210000</v>
          </cell>
          <cell r="X518">
            <v>91000</v>
          </cell>
          <cell r="Y518">
            <v>93000</v>
          </cell>
          <cell r="Z518">
            <v>184000</v>
          </cell>
          <cell r="AA518">
            <v>92800</v>
          </cell>
          <cell r="AB518">
            <v>94200</v>
          </cell>
          <cell r="AC518">
            <v>187000</v>
          </cell>
        </row>
        <row r="519">
          <cell r="B519" t="str">
            <v>営業利益</v>
          </cell>
          <cell r="D519" t="str">
            <v>M\</v>
          </cell>
          <cell r="Q519">
            <v>7500</v>
          </cell>
          <cell r="S519">
            <v>5552</v>
          </cell>
          <cell r="T519">
            <v>11000</v>
          </cell>
          <cell r="U519">
            <v>4811</v>
          </cell>
          <cell r="V519">
            <v>5689</v>
          </cell>
          <cell r="W519">
            <v>10500</v>
          </cell>
          <cell r="X519">
            <v>750</v>
          </cell>
          <cell r="Y519">
            <v>2350</v>
          </cell>
          <cell r="Z519">
            <v>3100</v>
          </cell>
          <cell r="AA519">
            <v>4000</v>
          </cell>
          <cell r="AB519">
            <v>4600</v>
          </cell>
          <cell r="AC519">
            <v>8600</v>
          </cell>
        </row>
        <row r="520">
          <cell r="B520" t="str">
            <v>経常利益</v>
          </cell>
          <cell r="D520" t="str">
            <v>M\</v>
          </cell>
          <cell r="Q520">
            <v>6000</v>
          </cell>
          <cell r="S520">
            <v>4344</v>
          </cell>
          <cell r="T520">
            <v>8500</v>
          </cell>
          <cell r="U520">
            <v>2863</v>
          </cell>
          <cell r="V520">
            <v>4337</v>
          </cell>
          <cell r="W520">
            <v>7200</v>
          </cell>
          <cell r="X520">
            <v>1200</v>
          </cell>
          <cell r="Y520">
            <v>1300</v>
          </cell>
          <cell r="Z520">
            <v>2500</v>
          </cell>
          <cell r="AA520">
            <v>3200</v>
          </cell>
          <cell r="AB520">
            <v>3800</v>
          </cell>
          <cell r="AC520">
            <v>7000</v>
          </cell>
        </row>
        <row r="521">
          <cell r="B521" t="str">
            <v>当期利益</v>
          </cell>
          <cell r="D521" t="str">
            <v>M\</v>
          </cell>
          <cell r="Q521">
            <v>3000</v>
          </cell>
          <cell r="S521">
            <v>1985</v>
          </cell>
          <cell r="T521">
            <v>4500</v>
          </cell>
          <cell r="U521">
            <v>1269</v>
          </cell>
          <cell r="V521">
            <v>2731</v>
          </cell>
          <cell r="W521">
            <v>4000</v>
          </cell>
          <cell r="X521">
            <v>900</v>
          </cell>
          <cell r="Y521">
            <v>700</v>
          </cell>
          <cell r="Z521">
            <v>1600</v>
          </cell>
          <cell r="AA521">
            <v>1700</v>
          </cell>
          <cell r="AB521">
            <v>1800</v>
          </cell>
          <cell r="AC521">
            <v>3500</v>
          </cell>
        </row>
        <row r="522">
          <cell r="D522" t="str">
            <v xml:space="preserve"> </v>
          </cell>
        </row>
        <row r="523">
          <cell r="A523" t="str">
            <v>修正後の会社予想</v>
          </cell>
          <cell r="D523" t="str">
            <v xml:space="preserve"> </v>
          </cell>
          <cell r="Q523" t="str">
            <v>97/3期</v>
          </cell>
          <cell r="R523" t="str">
            <v>97/9上</v>
          </cell>
          <cell r="S523" t="str">
            <v>下</v>
          </cell>
          <cell r="T523" t="str">
            <v>98/3期</v>
          </cell>
          <cell r="U523" t="str">
            <v>98/9上</v>
          </cell>
          <cell r="V523" t="str">
            <v>下</v>
          </cell>
          <cell r="W523" t="str">
            <v>99/3期</v>
          </cell>
          <cell r="Z523" t="str">
            <v>00/3期</v>
          </cell>
          <cell r="AC523" t="str">
            <v>01/3期</v>
          </cell>
        </row>
        <row r="524">
          <cell r="B524" t="str">
            <v>売上高</v>
          </cell>
          <cell r="D524" t="str">
            <v>M\</v>
          </cell>
          <cell r="U524">
            <v>112509</v>
          </cell>
          <cell r="V524">
            <v>82491</v>
          </cell>
          <cell r="W524">
            <v>195000</v>
          </cell>
          <cell r="X524">
            <v>92411</v>
          </cell>
          <cell r="Y524">
            <v>91589</v>
          </cell>
          <cell r="Z524">
            <v>184000</v>
          </cell>
          <cell r="AC524">
            <v>188600</v>
          </cell>
        </row>
        <row r="525">
          <cell r="B525" t="str">
            <v>営業利益</v>
          </cell>
          <cell r="D525" t="str">
            <v>M\</v>
          </cell>
          <cell r="U525">
            <v>5448</v>
          </cell>
          <cell r="V525">
            <v>-5448</v>
          </cell>
          <cell r="W525" t="str">
            <v>-</v>
          </cell>
          <cell r="X525">
            <v>739</v>
          </cell>
          <cell r="Y525">
            <v>2261</v>
          </cell>
          <cell r="Z525">
            <v>3000</v>
          </cell>
          <cell r="AC525">
            <v>8500</v>
          </cell>
        </row>
        <row r="526">
          <cell r="B526" t="str">
            <v>経常利益</v>
          </cell>
          <cell r="D526" t="str">
            <v>M\</v>
          </cell>
          <cell r="U526">
            <v>4156</v>
          </cell>
          <cell r="V526">
            <v>1144</v>
          </cell>
          <cell r="W526">
            <v>5300</v>
          </cell>
          <cell r="X526">
            <v>1209</v>
          </cell>
          <cell r="Y526">
            <v>1291</v>
          </cell>
          <cell r="Z526">
            <v>2500</v>
          </cell>
          <cell r="AC526">
            <v>7000</v>
          </cell>
        </row>
        <row r="527">
          <cell r="B527" t="str">
            <v>当期利益</v>
          </cell>
          <cell r="D527" t="str">
            <v>M\</v>
          </cell>
          <cell r="U527">
            <v>2515</v>
          </cell>
          <cell r="V527">
            <v>-1515</v>
          </cell>
          <cell r="W527">
            <v>1000</v>
          </cell>
          <cell r="X527">
            <v>1015</v>
          </cell>
          <cell r="Y527">
            <v>585</v>
          </cell>
          <cell r="Z527">
            <v>1600</v>
          </cell>
          <cell r="AC527">
            <v>3500</v>
          </cell>
        </row>
        <row r="529">
          <cell r="A529" t="str">
            <v>自分の業績予想の要約</v>
          </cell>
          <cell r="D529" t="str">
            <v xml:space="preserve"> </v>
          </cell>
          <cell r="Q529" t="str">
            <v>97/3期</v>
          </cell>
          <cell r="R529" t="str">
            <v>97/9上</v>
          </cell>
          <cell r="S529" t="str">
            <v>下</v>
          </cell>
          <cell r="T529" t="str">
            <v>98/3期</v>
          </cell>
          <cell r="U529" t="str">
            <v>98/9上</v>
          </cell>
          <cell r="V529" t="str">
            <v>下</v>
          </cell>
          <cell r="W529" t="str">
            <v>99/3期</v>
          </cell>
          <cell r="Z529" t="str">
            <v>00/3期</v>
          </cell>
          <cell r="AC529" t="str">
            <v>01/3期</v>
          </cell>
        </row>
        <row r="530">
          <cell r="B530" t="str">
            <v>売上高</v>
          </cell>
          <cell r="D530" t="str">
            <v>M\</v>
          </cell>
          <cell r="Q530">
            <v>212588</v>
          </cell>
          <cell r="R530">
            <v>112509</v>
          </cell>
          <cell r="S530">
            <v>108769</v>
          </cell>
          <cell r="T530">
            <v>221278</v>
          </cell>
          <cell r="U530">
            <v>104114</v>
          </cell>
          <cell r="V530">
            <v>105886</v>
          </cell>
          <cell r="W530">
            <v>196247</v>
          </cell>
          <cell r="X530">
            <v>92411</v>
          </cell>
          <cell r="Y530">
            <v>94325</v>
          </cell>
          <cell r="Z530">
            <v>186736</v>
          </cell>
          <cell r="AA530">
            <v>93449</v>
          </cell>
          <cell r="AB530">
            <v>95973</v>
          </cell>
          <cell r="AC530">
            <v>189422</v>
          </cell>
        </row>
        <row r="531">
          <cell r="B531" t="str">
            <v>営業利益</v>
          </cell>
          <cell r="D531" t="str">
            <v>M\</v>
          </cell>
          <cell r="Q531">
            <v>8473</v>
          </cell>
          <cell r="R531">
            <v>5448</v>
          </cell>
          <cell r="S531">
            <v>6280</v>
          </cell>
          <cell r="T531">
            <v>11728</v>
          </cell>
          <cell r="U531">
            <v>4811</v>
          </cell>
          <cell r="V531">
            <v>-4811</v>
          </cell>
          <cell r="W531">
            <v>9099</v>
          </cell>
          <cell r="X531">
            <v>739</v>
          </cell>
          <cell r="Y531">
            <v>2937</v>
          </cell>
          <cell r="Z531">
            <v>3676</v>
          </cell>
          <cell r="AA531">
            <v>3823</v>
          </cell>
          <cell r="AB531">
            <v>4774</v>
          </cell>
          <cell r="AC531">
            <v>8597</v>
          </cell>
        </row>
        <row r="532">
          <cell r="B532" t="str">
            <v>経常利益</v>
          </cell>
          <cell r="D532" t="str">
            <v>M\</v>
          </cell>
          <cell r="Q532">
            <v>6780</v>
          </cell>
          <cell r="R532">
            <v>4156</v>
          </cell>
          <cell r="S532">
            <v>4254</v>
          </cell>
          <cell r="T532">
            <v>8410</v>
          </cell>
          <cell r="U532">
            <v>2863</v>
          </cell>
          <cell r="V532">
            <v>4337</v>
          </cell>
          <cell r="W532">
            <v>5436</v>
          </cell>
          <cell r="X532">
            <v>1209</v>
          </cell>
          <cell r="Y532">
            <v>2206</v>
          </cell>
          <cell r="Z532">
            <v>3415</v>
          </cell>
          <cell r="AA532">
            <v>3188</v>
          </cell>
          <cell r="AB532">
            <v>4246</v>
          </cell>
          <cell r="AC532">
            <v>7434</v>
          </cell>
        </row>
        <row r="533">
          <cell r="B533" t="str">
            <v>当期利益</v>
          </cell>
          <cell r="D533" t="str">
            <v>M\</v>
          </cell>
          <cell r="Q533">
            <v>2642</v>
          </cell>
          <cell r="R533">
            <v>2515</v>
          </cell>
          <cell r="S533">
            <v>1930</v>
          </cell>
          <cell r="T533">
            <v>4445</v>
          </cell>
          <cell r="U533">
            <v>1269</v>
          </cell>
          <cell r="V533">
            <v>2731</v>
          </cell>
          <cell r="W533">
            <v>1249</v>
          </cell>
          <cell r="X533">
            <v>1015</v>
          </cell>
          <cell r="Y533">
            <v>-371</v>
          </cell>
          <cell r="Z533">
            <v>644</v>
          </cell>
          <cell r="AA533">
            <v>1886</v>
          </cell>
          <cell r="AB533">
            <v>1735</v>
          </cell>
          <cell r="AC533">
            <v>3621</v>
          </cell>
        </row>
        <row r="534">
          <cell r="B534" t="str">
            <v>ｷｬｯｼｭﾌﾛｰ</v>
          </cell>
          <cell r="D534" t="str">
            <v>M\</v>
          </cell>
          <cell r="Q534">
            <v>6569</v>
          </cell>
          <cell r="T534">
            <v>8397</v>
          </cell>
          <cell r="W534">
            <v>5219</v>
          </cell>
          <cell r="X534">
            <v>0</v>
          </cell>
          <cell r="Y534">
            <v>0</v>
          </cell>
          <cell r="Z534">
            <v>5272</v>
          </cell>
          <cell r="AA534">
            <v>0</v>
          </cell>
          <cell r="AB534">
            <v>0</v>
          </cell>
          <cell r="AC534">
            <v>7744</v>
          </cell>
        </row>
        <row r="535">
          <cell r="B535" t="str">
            <v>ＥＰＳ</v>
          </cell>
          <cell r="D535" t="str">
            <v xml:space="preserve"> </v>
          </cell>
          <cell r="Q535">
            <v>9.3778729053303369</v>
          </cell>
          <cell r="T535">
            <v>15.777685489853653</v>
          </cell>
          <cell r="W535">
            <v>4.4585484502642458</v>
          </cell>
          <cell r="X535">
            <v>0</v>
          </cell>
          <cell r="Y535">
            <v>0</v>
          </cell>
          <cell r="Z535">
            <v>2.3091291751816403</v>
          </cell>
          <cell r="AA535">
            <v>0</v>
          </cell>
          <cell r="AB535">
            <v>0</v>
          </cell>
          <cell r="AC535">
            <v>12.474266786471992</v>
          </cell>
        </row>
        <row r="536">
          <cell r="B536" t="str">
            <v>ＣＦＰＳ</v>
          </cell>
          <cell r="Q536">
            <v>23.316898983767974</v>
          </cell>
          <cell r="T536">
            <v>29.805449956873144</v>
          </cell>
          <cell r="W536">
            <v>18.63023567808575</v>
          </cell>
          <cell r="X536">
            <v>0</v>
          </cell>
          <cell r="Y536">
            <v>0</v>
          </cell>
          <cell r="Z536">
            <v>18.903305918567714</v>
          </cell>
          <cell r="AA536">
            <v>0</v>
          </cell>
          <cell r="AB536">
            <v>0</v>
          </cell>
          <cell r="AC536">
            <v>26.677912729753963</v>
          </cell>
        </row>
        <row r="537">
          <cell r="B537" t="str">
            <v>ＢＰＳ</v>
          </cell>
          <cell r="D537" t="str">
            <v xml:space="preserve"> </v>
          </cell>
          <cell r="Q537">
            <v>274.47138541921788</v>
          </cell>
          <cell r="T537">
            <v>285.04545180263165</v>
          </cell>
          <cell r="W537">
            <v>283.40518700030344</v>
          </cell>
          <cell r="X537">
            <v>0</v>
          </cell>
          <cell r="Y537">
            <v>0</v>
          </cell>
          <cell r="Z537">
            <v>284.88701918588026</v>
          </cell>
          <cell r="AA537">
            <v>0</v>
          </cell>
          <cell r="AB537">
            <v>0</v>
          </cell>
          <cell r="AC537">
            <v>301.13934185933795</v>
          </cell>
        </row>
        <row r="538">
          <cell r="B538" t="str">
            <v>ＲＯＥ</v>
          </cell>
          <cell r="D538" t="str">
            <v xml:space="preserve"> </v>
          </cell>
          <cell r="Q538">
            <v>3.4167033080723171E-2</v>
          </cell>
          <cell r="T538">
            <v>5.5351472511051616E-2</v>
          </cell>
          <cell r="W538">
            <v>1.5732063683998387E-2</v>
          </cell>
          <cell r="X538">
            <v>0</v>
          </cell>
          <cell r="Y538">
            <v>0</v>
          </cell>
          <cell r="Z538">
            <v>8.1054208148213392E-3</v>
          </cell>
          <cell r="AA538">
            <v>0</v>
          </cell>
          <cell r="AB538">
            <v>0</v>
          </cell>
          <cell r="AC538">
            <v>4.1423570595099185E-2</v>
          </cell>
        </row>
        <row r="539">
          <cell r="B539" t="str">
            <v>発行済株式数</v>
          </cell>
          <cell r="D539" t="str">
            <v xml:space="preserve"> </v>
          </cell>
          <cell r="Q539">
            <v>281727</v>
          </cell>
          <cell r="T539">
            <v>281727</v>
          </cell>
          <cell r="W539">
            <v>280136.016</v>
          </cell>
          <cell r="X539">
            <v>0</v>
          </cell>
          <cell r="Y539">
            <v>0</v>
          </cell>
          <cell r="Z539">
            <v>278893.016</v>
          </cell>
          <cell r="AA539">
            <v>0</v>
          </cell>
          <cell r="AB539">
            <v>0</v>
          </cell>
          <cell r="AC539">
            <v>290277.58199999999</v>
          </cell>
        </row>
        <row r="540">
          <cell r="C540" t="str">
            <v>売上前期比</v>
          </cell>
          <cell r="D540" t="str">
            <v xml:space="preserve"> </v>
          </cell>
          <cell r="T540">
            <v>4.0877189681449488E-2</v>
          </cell>
          <cell r="U540">
            <v>-7.461625292198848E-2</v>
          </cell>
          <cell r="V540">
            <v>-2.6505713944230402E-2</v>
          </cell>
          <cell r="W540">
            <v>-0.11312014750675625</v>
          </cell>
          <cell r="X540">
            <v>-0.11240563228768463</v>
          </cell>
          <cell r="Y540">
            <v>-0.10918346145854974</v>
          </cell>
          <cell r="Z540">
            <v>-4.8464435125122884E-2</v>
          </cell>
          <cell r="AA540">
            <v>1.1232429039832903E-2</v>
          </cell>
          <cell r="AB540">
            <v>1.7471508083753085E-2</v>
          </cell>
          <cell r="AC540">
            <v>1.4383943106845987E-2</v>
          </cell>
        </row>
        <row r="541">
          <cell r="C541" t="str">
            <v>営業前期比</v>
          </cell>
          <cell r="D541" t="str">
            <v xml:space="preserve"> </v>
          </cell>
          <cell r="T541">
            <v>0.38416145403044966</v>
          </cell>
          <cell r="U541">
            <v>-0.11692364170337743</v>
          </cell>
          <cell r="V541">
            <v>-1.7660828025477708</v>
          </cell>
          <cell r="W541">
            <v>-0.22416439290586632</v>
          </cell>
          <cell r="X541">
            <v>-0.84639368114737057</v>
          </cell>
          <cell r="Y541">
            <v>-1.6104759925171481</v>
          </cell>
          <cell r="Z541">
            <v>-0.59599956039125179</v>
          </cell>
          <cell r="AA541">
            <v>4.1732070365358593</v>
          </cell>
          <cell r="AB541">
            <v>0.62546816479400746</v>
          </cell>
          <cell r="AC541">
            <v>1.3386833514689882</v>
          </cell>
        </row>
        <row r="542">
          <cell r="C542" t="str">
            <v>経常前期比</v>
          </cell>
          <cell r="D542" t="str">
            <v xml:space="preserve"> </v>
          </cell>
          <cell r="T542">
            <v>0.24041297935103234</v>
          </cell>
          <cell r="U542">
            <v>-0.31111645813282007</v>
          </cell>
          <cell r="V542">
            <v>1.9511048425011834E-2</v>
          </cell>
          <cell r="W542">
            <v>-0.35362663495838287</v>
          </cell>
          <cell r="X542">
            <v>-0.57771568285015718</v>
          </cell>
          <cell r="Y542">
            <v>-0.49135347014065023</v>
          </cell>
          <cell r="Z542">
            <v>-0.37178072111846949</v>
          </cell>
          <cell r="AA542">
            <v>1.6368899917287014</v>
          </cell>
          <cell r="AB542">
            <v>0.92475067996373528</v>
          </cell>
          <cell r="AC542">
            <v>1.1768667642752564</v>
          </cell>
        </row>
        <row r="543">
          <cell r="C543" t="str">
            <v>当期前期比</v>
          </cell>
          <cell r="D543" t="str">
            <v xml:space="preserve"> </v>
          </cell>
          <cell r="I543" t="str">
            <v>-</v>
          </cell>
          <cell r="J543" t="str">
            <v>-</v>
          </cell>
          <cell r="K543" t="str">
            <v>-</v>
          </cell>
          <cell r="T543">
            <v>0.68243754731264183</v>
          </cell>
          <cell r="U543">
            <v>-0.49542743538767398</v>
          </cell>
          <cell r="V543">
            <v>0.41502590673575135</v>
          </cell>
          <cell r="W543">
            <v>-0.71901012373453321</v>
          </cell>
          <cell r="X543">
            <v>-0.20015760441292352</v>
          </cell>
          <cell r="Y543">
            <v>-1.1358476748443793</v>
          </cell>
          <cell r="Z543">
            <v>-0.48438751000800639</v>
          </cell>
          <cell r="AA543">
            <v>0.8581280788177339</v>
          </cell>
          <cell r="AB543">
            <v>-5.6765498652291102</v>
          </cell>
          <cell r="AC543">
            <v>4.6226708074534164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>
        <row r="164">
          <cell r="E164">
            <v>1247</v>
          </cell>
          <cell r="F164">
            <v>1807</v>
          </cell>
          <cell r="G164">
            <v>2812</v>
          </cell>
          <cell r="H164">
            <v>2828</v>
          </cell>
          <cell r="I164">
            <v>6670</v>
          </cell>
        </row>
        <row r="165">
          <cell r="E165" t="e">
            <v>#VALUE!</v>
          </cell>
          <cell r="F165" t="e">
            <v>#VALUE!</v>
          </cell>
          <cell r="G165" t="e">
            <v>#VALUE!</v>
          </cell>
          <cell r="H165" t="e">
            <v>#VALUE!</v>
          </cell>
          <cell r="I165" t="e">
            <v>#VALUE!</v>
          </cell>
        </row>
        <row r="167">
          <cell r="E167">
            <v>2721</v>
          </cell>
          <cell r="F167">
            <v>1584</v>
          </cell>
          <cell r="G167">
            <v>1802</v>
          </cell>
          <cell r="H167">
            <v>1616</v>
          </cell>
          <cell r="I167">
            <v>795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Ware_Cached"/>
      <sheetName val="__FDSCACHE__"/>
      <sheetName val="TOC"/>
      <sheetName val="AFOSHEET"/>
      <sheetName val="Model"/>
      <sheetName val="MW-Cache"/>
      <sheetName val="mStartup"/>
      <sheetName val="Guidance"/>
      <sheetName val="Pension"/>
      <sheetName val="OPEB"/>
      <sheetName val="Cons 2013"/>
      <sheetName val="Cons 2014"/>
      <sheetName val="Cons 2015"/>
      <sheetName val="Cons 2016"/>
      <sheetName val="10-K"/>
      <sheetName val="10-Q"/>
      <sheetName val="mwareDates"/>
      <sheetName val="MWA RR"/>
      <sheetName val="TR Convert"/>
      <sheetName val="mwareSettings"/>
      <sheetName val="LinkingMetadata"/>
      <sheetName val="P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/>
      <sheetData sheetId="8">
        <row r="9">
          <cell r="L9">
            <v>0.1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1500"/>
      <sheetName val="Sheet1"/>
    </sheetNames>
    <sheetDataSet>
      <sheetData sheetId="0" refreshError="1"/>
      <sheetData sheetId="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s for earnings"/>
      <sheetName val="Earnings "/>
      <sheetName val="AFOSHEET"/>
      <sheetName val="Rolls Royce Valuation Summary"/>
      <sheetName val="UK GAAP Financials"/>
      <sheetName val="__FDSCACHE__"/>
      <sheetName val="Segment Summary"/>
      <sheetName val="Civil Aero. Segment Fin."/>
      <sheetName val="Defence Aero. Segment Fin."/>
      <sheetName val="Marine Segment Fin."/>
      <sheetName val="Energy Segment Fin."/>
      <sheetName val="Pension"/>
      <sheetName val="FCF"/>
      <sheetName val="2010e Fair Market Value"/>
      <sheetName val="ROIC"/>
      <sheetName val="Segment DCF"/>
      <sheetName val="Sensitivity"/>
      <sheetName val="Hedge Book Analysis"/>
      <sheetName val="Contingent Lia"/>
      <sheetName val="LBO Analysis-Margin improvement"/>
      <sheetName val="LBO Analysis"/>
      <sheetName val="Charts"/>
      <sheetName val="MW-Cache"/>
      <sheetName val="MWA RR"/>
      <sheetName val="mwareDates"/>
      <sheetName val="mwareValPrintout"/>
      <sheetName val="mwareSetting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>
        <row r="1">
          <cell r="A1" t="str">
            <v xml:space="preserve">Rolls Royce - Free Cash Flow </v>
          </cell>
        </row>
        <row r="3">
          <cell r="G3" t="str">
            <v>IFRS</v>
          </cell>
        </row>
        <row r="4">
          <cell r="A4" t="str">
            <v>(in millions £)</v>
          </cell>
          <cell r="B4">
            <v>2000</v>
          </cell>
          <cell r="C4">
            <v>2001</v>
          </cell>
          <cell r="D4">
            <v>2002</v>
          </cell>
          <cell r="E4">
            <v>2003</v>
          </cell>
          <cell r="F4">
            <v>2004</v>
          </cell>
          <cell r="G4" t="str">
            <v>Adjustment</v>
          </cell>
          <cell r="H4" t="str">
            <v>2004 IFRS</v>
          </cell>
          <cell r="I4">
            <v>2005</v>
          </cell>
          <cell r="J4">
            <v>2006</v>
          </cell>
          <cell r="K4">
            <v>2007</v>
          </cell>
          <cell r="L4">
            <v>2008</v>
          </cell>
          <cell r="M4">
            <v>2009</v>
          </cell>
          <cell r="N4" t="str">
            <v>2010E</v>
          </cell>
          <cell r="O4" t="str">
            <v>2011E</v>
          </cell>
          <cell r="P4" t="str">
            <v>2012E</v>
          </cell>
          <cell r="Q4" t="str">
            <v>2013E</v>
          </cell>
          <cell r="R4" t="str">
            <v>2014E</v>
          </cell>
        </row>
        <row r="5">
          <cell r="A5" t="str">
            <v>Consolidated EBIT</v>
          </cell>
          <cell r="D5">
            <v>168</v>
          </cell>
          <cell r="E5">
            <v>223</v>
          </cell>
          <cell r="F5">
            <v>320</v>
          </cell>
          <cell r="I5">
            <v>633</v>
          </cell>
          <cell r="J5">
            <v>653</v>
          </cell>
          <cell r="K5">
            <v>476</v>
          </cell>
          <cell r="L5">
            <v>788</v>
          </cell>
          <cell r="M5">
            <v>1081</v>
          </cell>
          <cell r="N5">
            <v>986.85709092824584</v>
          </cell>
          <cell r="O5">
            <v>1090.206544392222</v>
          </cell>
          <cell r="P5">
            <v>1273.8541951046338</v>
          </cell>
          <cell r="Q5">
            <v>1479.4717180275675</v>
          </cell>
          <cell r="R5">
            <v>1662.2582343491893</v>
          </cell>
          <cell r="T5" t="str">
            <v>Consolidated EBIT ex.JVs</v>
          </cell>
        </row>
        <row r="6">
          <cell r="A6" t="str">
            <v>Depreciation &amp; Amortisation</v>
          </cell>
          <cell r="D6">
            <v>258</v>
          </cell>
          <cell r="E6">
            <v>238</v>
          </cell>
          <cell r="F6">
            <v>237</v>
          </cell>
          <cell r="I6">
            <v>254</v>
          </cell>
          <cell r="J6">
            <v>205</v>
          </cell>
          <cell r="K6">
            <v>233</v>
          </cell>
          <cell r="L6">
            <v>315</v>
          </cell>
          <cell r="M6">
            <v>315</v>
          </cell>
          <cell r="N6">
            <v>296.5282812986008</v>
          </cell>
          <cell r="O6">
            <v>310.27420402342739</v>
          </cell>
          <cell r="P6">
            <v>325.6287405500529</v>
          </cell>
          <cell r="Q6">
            <v>342.48794483357085</v>
          </cell>
          <cell r="R6">
            <v>361.85038037676804</v>
          </cell>
          <cell r="T6" t="str">
            <v>Reported D&amp;A was £109mm in 1H06, we expect an increase in 2H06</v>
          </cell>
        </row>
        <row r="7">
          <cell r="A7" t="str">
            <v>Consolidated EBITDA</v>
          </cell>
          <cell r="C7">
            <v>853</v>
          </cell>
          <cell r="D7">
            <v>426</v>
          </cell>
          <cell r="E7">
            <v>461</v>
          </cell>
          <cell r="F7">
            <v>557</v>
          </cell>
          <cell r="G7">
            <v>402</v>
          </cell>
          <cell r="H7">
            <v>959</v>
          </cell>
          <cell r="I7">
            <v>887</v>
          </cell>
          <cell r="J7">
            <v>858</v>
          </cell>
          <cell r="K7">
            <v>709</v>
          </cell>
          <cell r="L7">
            <v>1103</v>
          </cell>
          <cell r="M7">
            <v>1396</v>
          </cell>
          <cell r="N7">
            <v>1283.3853722268466</v>
          </cell>
          <cell r="O7">
            <v>1400.4807484156495</v>
          </cell>
          <cell r="P7">
            <v>1599.4829356546868</v>
          </cell>
          <cell r="Q7">
            <v>1821.9596628611384</v>
          </cell>
          <cell r="R7">
            <v>2024.1086147259573</v>
          </cell>
        </row>
        <row r="9">
          <cell r="A9" t="str">
            <v>Cash Taxes</v>
          </cell>
          <cell r="C9">
            <v>0</v>
          </cell>
          <cell r="D9">
            <v>-41</v>
          </cell>
          <cell r="E9">
            <v>-43</v>
          </cell>
          <cell r="F9">
            <v>-84</v>
          </cell>
          <cell r="G9">
            <v>0</v>
          </cell>
          <cell r="H9">
            <v>-84</v>
          </cell>
          <cell r="I9">
            <v>-60</v>
          </cell>
          <cell r="J9">
            <v>-25</v>
          </cell>
          <cell r="K9">
            <v>-71</v>
          </cell>
          <cell r="L9">
            <v>-117</v>
          </cell>
          <cell r="M9">
            <v>-119</v>
          </cell>
          <cell r="N9">
            <v>-40.921743637129836</v>
          </cell>
          <cell r="O9">
            <v>-44.822759173399163</v>
          </cell>
          <cell r="P9">
            <v>-54.607173581772926</v>
          </cell>
          <cell r="Q9">
            <v>-66.590608801859076</v>
          </cell>
          <cell r="R9">
            <v>-78.754349173500884</v>
          </cell>
          <cell r="T9" t="str">
            <v>Tax loss carryforwards in the UK drive cash taxes below 50% of tax provision</v>
          </cell>
        </row>
        <row r="10">
          <cell r="A10" t="str">
            <v>Net interest expense (ex RRSPs)</v>
          </cell>
          <cell r="D10">
            <v>-72</v>
          </cell>
          <cell r="E10">
            <v>-66</v>
          </cell>
          <cell r="F10">
            <v>-48</v>
          </cell>
          <cell r="G10">
            <v>-5</v>
          </cell>
          <cell r="H10">
            <v>-53</v>
          </cell>
          <cell r="I10">
            <v>-53</v>
          </cell>
          <cell r="J10">
            <v>-13</v>
          </cell>
          <cell r="K10">
            <v>24</v>
          </cell>
          <cell r="L10">
            <v>-32</v>
          </cell>
          <cell r="M10">
            <v>-140</v>
          </cell>
          <cell r="N10">
            <v>-57.843499999999999</v>
          </cell>
          <cell r="O10">
            <v>-60.425790057242892</v>
          </cell>
          <cell r="P10">
            <v>-53.754189610092482</v>
          </cell>
          <cell r="Q10">
            <v>-32.404905699880402</v>
          </cell>
          <cell r="R10">
            <v>-0.56674330645421378</v>
          </cell>
          <cell r="T10" t="str">
            <v>Excludes non-cash RRSP finance charge</v>
          </cell>
        </row>
        <row r="11">
          <cell r="A11" t="str">
            <v>Capital Expenditures- fixed assets</v>
          </cell>
          <cell r="C11">
            <v>0</v>
          </cell>
          <cell r="D11">
            <v>-314</v>
          </cell>
          <cell r="E11">
            <v>-182</v>
          </cell>
          <cell r="F11">
            <v>-175</v>
          </cell>
          <cell r="G11">
            <v>0</v>
          </cell>
          <cell r="H11">
            <v>-175</v>
          </cell>
          <cell r="I11">
            <v>-235</v>
          </cell>
          <cell r="J11">
            <v>-273</v>
          </cell>
          <cell r="K11">
            <v>-304</v>
          </cell>
          <cell r="L11">
            <v>-286</v>
          </cell>
          <cell r="M11">
            <v>-258</v>
          </cell>
          <cell r="N11">
            <v>-213.2</v>
          </cell>
          <cell r="O11">
            <v>-225</v>
          </cell>
          <cell r="P11">
            <v>-240</v>
          </cell>
          <cell r="Q11">
            <v>-250</v>
          </cell>
          <cell r="R11">
            <v>-300</v>
          </cell>
          <cell r="T11" t="str">
            <v>Increased investment in PPE for factory modernisation</v>
          </cell>
          <cell r="AH11">
            <v>-189</v>
          </cell>
        </row>
        <row r="12">
          <cell r="A12" t="str">
            <v>Cash outflows for financial RRSPs</v>
          </cell>
          <cell r="F12">
            <v>0</v>
          </cell>
          <cell r="H12">
            <v>0</v>
          </cell>
          <cell r="I12">
            <v>-58</v>
          </cell>
          <cell r="J12">
            <v>-87</v>
          </cell>
          <cell r="K12">
            <v>-55</v>
          </cell>
          <cell r="L12">
            <v>-53</v>
          </cell>
          <cell r="M12">
            <v>-55</v>
          </cell>
          <cell r="N12">
            <v>-25</v>
          </cell>
          <cell r="O12">
            <v>-25</v>
          </cell>
          <cell r="P12">
            <v>-25</v>
          </cell>
          <cell r="Q12">
            <v>-25</v>
          </cell>
          <cell r="R12">
            <v>-25</v>
          </cell>
          <cell r="T12" t="str">
            <v>Cash outflows to financial RRSPs increased to £58mm in 1H06</v>
          </cell>
        </row>
        <row r="13">
          <cell r="A13" t="str">
            <v>Engine certification fees &amp; other capitalised intangibles</v>
          </cell>
          <cell r="C13">
            <v>0</v>
          </cell>
          <cell r="D13">
            <v>-50</v>
          </cell>
          <cell r="E13">
            <v>-37</v>
          </cell>
          <cell r="F13">
            <v>-110</v>
          </cell>
          <cell r="G13">
            <v>0</v>
          </cell>
          <cell r="H13">
            <v>-110</v>
          </cell>
          <cell r="I13">
            <v>-10</v>
          </cell>
          <cell r="J13">
            <v>-120</v>
          </cell>
          <cell r="K13">
            <v>-168</v>
          </cell>
          <cell r="L13">
            <v>-183</v>
          </cell>
          <cell r="M13">
            <v>-98</v>
          </cell>
          <cell r="N13">
            <v>-102.9</v>
          </cell>
          <cell r="O13">
            <v>-108.04500000000002</v>
          </cell>
          <cell r="P13">
            <v>-113.44725000000003</v>
          </cell>
          <cell r="Q13">
            <v>-119.11961250000003</v>
          </cell>
          <cell r="R13">
            <v>-125.07559312500004</v>
          </cell>
          <cell r="T13" t="str">
            <v>Certification fees on Trent 900 &amp; payments to Boeing for position on Trent 1000</v>
          </cell>
        </row>
        <row r="14">
          <cell r="A14" t="str">
            <v>Excess of cash over expensed R&amp;D</v>
          </cell>
          <cell r="E14">
            <v>0</v>
          </cell>
          <cell r="F14">
            <v>0</v>
          </cell>
          <cell r="H14">
            <v>6</v>
          </cell>
          <cell r="I14">
            <v>-57</v>
          </cell>
          <cell r="J14">
            <v>-25</v>
          </cell>
          <cell r="K14">
            <v>-73</v>
          </cell>
          <cell r="L14">
            <v>-87</v>
          </cell>
          <cell r="M14">
            <v>-92</v>
          </cell>
          <cell r="N14">
            <v>-104.14962626262633</v>
          </cell>
          <cell r="O14">
            <v>-103.51685716763598</v>
          </cell>
          <cell r="P14">
            <v>-103.28014472354141</v>
          </cell>
          <cell r="Q14">
            <v>-103.42797065666593</v>
          </cell>
          <cell r="R14">
            <v>-103.95053449702368</v>
          </cell>
          <cell r="T14" t="str">
            <v>Capitalised Trent 900 development costs</v>
          </cell>
        </row>
        <row r="15">
          <cell r="A15" t="str">
            <v>Recoverable engine costs</v>
          </cell>
          <cell r="E15">
            <v>0</v>
          </cell>
          <cell r="F15">
            <v>-21</v>
          </cell>
          <cell r="H15">
            <v>-21</v>
          </cell>
          <cell r="I15">
            <v>-36</v>
          </cell>
          <cell r="J15">
            <v>-64</v>
          </cell>
          <cell r="K15">
            <v>-37</v>
          </cell>
          <cell r="L15">
            <v>-97</v>
          </cell>
          <cell r="M15">
            <v>-123</v>
          </cell>
          <cell r="N15">
            <v>-123</v>
          </cell>
          <cell r="O15">
            <v>-123</v>
          </cell>
          <cell r="P15">
            <v>-123</v>
          </cell>
          <cell r="Q15">
            <v>-123</v>
          </cell>
          <cell r="R15">
            <v>-123</v>
          </cell>
          <cell r="T15" t="str">
            <v>Increase in capitalised losses on engine sales driven by Trent 900 deliveries (on A380)</v>
          </cell>
        </row>
        <row r="16">
          <cell r="A16" t="str">
            <v>Change in working capital</v>
          </cell>
          <cell r="C16">
            <v>0</v>
          </cell>
          <cell r="D16">
            <v>258</v>
          </cell>
          <cell r="E16">
            <v>161</v>
          </cell>
          <cell r="F16">
            <v>28</v>
          </cell>
          <cell r="G16">
            <v>-36</v>
          </cell>
          <cell r="H16">
            <v>-8</v>
          </cell>
          <cell r="I16">
            <v>274</v>
          </cell>
          <cell r="J16">
            <v>166</v>
          </cell>
          <cell r="K16">
            <v>249</v>
          </cell>
          <cell r="L16">
            <v>278</v>
          </cell>
          <cell r="M16">
            <v>122</v>
          </cell>
          <cell r="N16">
            <v>-18.703215398714747</v>
          </cell>
          <cell r="O16">
            <v>-113.53194811519461</v>
          </cell>
          <cell r="P16">
            <v>-227.2776762299909</v>
          </cell>
          <cell r="Q16">
            <v>-273.37041081903863</v>
          </cell>
          <cell r="R16">
            <v>-268.60125593563589</v>
          </cell>
          <cell r="T16" t="str">
            <v>Largest swing factor in our forecasts, RR will try to reduce inventories to drive up FCF</v>
          </cell>
        </row>
        <row r="17">
          <cell r="A17" t="str">
            <v>Cash flow from JVs</v>
          </cell>
          <cell r="D17">
            <v>22</v>
          </cell>
          <cell r="E17">
            <v>18</v>
          </cell>
          <cell r="F17">
            <v>15</v>
          </cell>
          <cell r="G17">
            <v>0</v>
          </cell>
          <cell r="H17">
            <v>15</v>
          </cell>
          <cell r="I17">
            <v>35</v>
          </cell>
          <cell r="J17">
            <v>44</v>
          </cell>
          <cell r="K17">
            <v>42</v>
          </cell>
          <cell r="L17">
            <v>59</v>
          </cell>
          <cell r="M17">
            <v>77</v>
          </cell>
          <cell r="N17">
            <v>77.004000000000005</v>
          </cell>
          <cell r="O17">
            <v>78.544080000000008</v>
          </cell>
          <cell r="P17">
            <v>80.114961600000015</v>
          </cell>
          <cell r="Q17">
            <v>81.717260832000022</v>
          </cell>
          <cell r="R17">
            <v>83.351606048640008</v>
          </cell>
        </row>
        <row r="18">
          <cell r="A18" t="str">
            <v>Free Cash Flow</v>
          </cell>
          <cell r="D18">
            <v>229</v>
          </cell>
          <cell r="E18">
            <v>312</v>
          </cell>
          <cell r="F18">
            <v>162</v>
          </cell>
          <cell r="G18">
            <v>361</v>
          </cell>
          <cell r="H18">
            <v>529</v>
          </cell>
          <cell r="I18">
            <v>687</v>
          </cell>
          <cell r="J18">
            <v>461</v>
          </cell>
          <cell r="K18">
            <v>316</v>
          </cell>
          <cell r="L18">
            <v>585</v>
          </cell>
          <cell r="M18">
            <v>710</v>
          </cell>
          <cell r="N18">
            <v>674.67128692837571</v>
          </cell>
          <cell r="O18">
            <v>675.68247390217675</v>
          </cell>
          <cell r="P18">
            <v>739.23146310928917</v>
          </cell>
          <cell r="Q18">
            <v>910.76341521569407</v>
          </cell>
          <cell r="R18">
            <v>1082.5117447369823</v>
          </cell>
          <cell r="AE18" t="str">
            <v>275/</v>
          </cell>
        </row>
        <row r="20">
          <cell r="A20" t="str">
            <v>FCF as a % of Underlying Net Income</v>
          </cell>
          <cell r="F20">
            <v>0.61596958174904948</v>
          </cell>
          <cell r="H20">
            <v>2.0114068441064639</v>
          </cell>
          <cell r="I20">
            <v>1.9628571428571429</v>
          </cell>
          <cell r="J20">
            <v>0.4619238476953908</v>
          </cell>
          <cell r="K20">
            <v>0.52145214521452143</v>
          </cell>
          <cell r="L20">
            <v>-0.43656716417910446</v>
          </cell>
          <cell r="M20">
            <v>0.31967582170193609</v>
          </cell>
          <cell r="N20">
            <v>0.87929949796987128</v>
          </cell>
          <cell r="O20">
            <v>0.80397546408750575</v>
          </cell>
          <cell r="P20">
            <v>0.76101349032011989</v>
          </cell>
          <cell r="Q20">
            <v>0.80938188150934365</v>
          </cell>
          <cell r="R20">
            <v>0.85527068722007737</v>
          </cell>
        </row>
        <row r="22">
          <cell r="A22" t="str">
            <v>Diluted Shares Outstanding</v>
          </cell>
          <cell r="D22">
            <v>1624</v>
          </cell>
          <cell r="E22">
            <v>1671</v>
          </cell>
          <cell r="F22">
            <v>1752</v>
          </cell>
          <cell r="H22">
            <v>1752</v>
          </cell>
          <cell r="I22">
            <v>1813</v>
          </cell>
          <cell r="J22">
            <v>1810</v>
          </cell>
          <cell r="K22">
            <v>1838</v>
          </cell>
          <cell r="L22">
            <v>1820</v>
          </cell>
          <cell r="M22">
            <v>1845</v>
          </cell>
          <cell r="N22">
            <v>1847.2727272727273</v>
          </cell>
          <cell r="O22">
            <v>1851.6498316498316</v>
          </cell>
          <cell r="P22">
            <v>1855.7027060730766</v>
          </cell>
          <cell r="Q22">
            <v>1859.4553675760808</v>
          </cell>
          <cell r="R22">
            <v>1862.9300541529369</v>
          </cell>
        </row>
        <row r="23">
          <cell r="A23" t="str">
            <v>FCF/share</v>
          </cell>
          <cell r="D23">
            <v>14.100985221674877</v>
          </cell>
          <cell r="E23">
            <v>18.671454219030519</v>
          </cell>
          <cell r="F23">
            <v>9.2465753424657535</v>
          </cell>
          <cell r="H23">
            <v>30.19406392694064</v>
          </cell>
          <cell r="I23">
            <v>37.892995035852181</v>
          </cell>
          <cell r="J23">
            <v>25.46961325966851</v>
          </cell>
          <cell r="K23">
            <v>17.19260065288357</v>
          </cell>
          <cell r="L23">
            <v>32.142857142857146</v>
          </cell>
          <cell r="M23">
            <v>38.482384823848236</v>
          </cell>
          <cell r="N23">
            <v>36.522559823878609</v>
          </cell>
          <cell r="O23">
            <v>36.490834409016706</v>
          </cell>
          <cell r="P23">
            <v>39.835662290626559</v>
          </cell>
          <cell r="Q23">
            <v>48.980117033028471</v>
          </cell>
          <cell r="R23">
            <v>58.108018726940017</v>
          </cell>
        </row>
        <row r="24">
          <cell r="A24" t="str">
            <v xml:space="preserve">P/FCF </v>
          </cell>
          <cell r="I24">
            <v>11.611644832605531</v>
          </cell>
          <cell r="J24">
            <v>17.275488069414315</v>
          </cell>
          <cell r="K24">
            <v>25.592405063291139</v>
          </cell>
          <cell r="L24">
            <v>11.2</v>
          </cell>
          <cell r="M24">
            <v>9.3549295774647891</v>
          </cell>
        </row>
        <row r="25">
          <cell r="A25" t="str">
            <v>FCF Yield</v>
          </cell>
          <cell r="I25">
            <v>8.61204432633004E-2</v>
          </cell>
          <cell r="J25">
            <v>5.7885484681064796E-2</v>
          </cell>
          <cell r="K25">
            <v>3.9074092392917203E-2</v>
          </cell>
          <cell r="L25">
            <v>8.9285714285714288E-2</v>
          </cell>
          <cell r="M25">
            <v>0.10689551339957844</v>
          </cell>
        </row>
        <row r="27">
          <cell r="A27" t="str">
            <v>Target Value per Share</v>
          </cell>
          <cell r="N27">
            <v>698.51863232985727</v>
          </cell>
          <cell r="O27">
            <v>768.37049556284308</v>
          </cell>
          <cell r="P27">
            <v>845.20754511912742</v>
          </cell>
          <cell r="Q27">
            <v>929.72829963104027</v>
          </cell>
        </row>
        <row r="28">
          <cell r="A28" t="str">
            <v>Target Forward FCF multiple</v>
          </cell>
          <cell r="N28">
            <v>19.142303639876669</v>
          </cell>
          <cell r="O28">
            <v>19.288508120113338</v>
          </cell>
          <cell r="P28">
            <v>17.256135679487734</v>
          </cell>
          <cell r="Q28">
            <v>16</v>
          </cell>
        </row>
        <row r="29">
          <cell r="A29" t="str">
            <v>Required Return on Equity</v>
          </cell>
          <cell r="F29">
            <v>0.1</v>
          </cell>
          <cell r="I29">
            <v>0.1</v>
          </cell>
        </row>
        <row r="30">
          <cell r="A30" t="str">
            <v>Cash from operations</v>
          </cell>
          <cell r="B30">
            <v>479</v>
          </cell>
          <cell r="C30">
            <v>418</v>
          </cell>
          <cell r="D30">
            <v>611</v>
          </cell>
          <cell r="E30">
            <v>673</v>
          </cell>
          <cell r="F30">
            <v>640</v>
          </cell>
          <cell r="I30">
            <v>1060</v>
          </cell>
          <cell r="AB30">
            <v>164</v>
          </cell>
          <cell r="AC30">
            <v>446</v>
          </cell>
          <cell r="AE30">
            <v>340</v>
          </cell>
        </row>
        <row r="31">
          <cell r="A31" t="str">
            <v>Interest, dividends, taxation</v>
          </cell>
          <cell r="B31">
            <v>-162</v>
          </cell>
          <cell r="C31">
            <v>-147</v>
          </cell>
          <cell r="D31">
            <v>-222</v>
          </cell>
          <cell r="E31">
            <v>-176</v>
          </cell>
          <cell r="F31">
            <v>-150</v>
          </cell>
          <cell r="I31">
            <v>-224</v>
          </cell>
        </row>
        <row r="32">
          <cell r="A32" t="str">
            <v>Capital expenditure and financial investment</v>
          </cell>
          <cell r="B32">
            <v>-253</v>
          </cell>
          <cell r="C32">
            <v>-181</v>
          </cell>
          <cell r="D32">
            <v>-381</v>
          </cell>
          <cell r="E32">
            <v>-198</v>
          </cell>
          <cell r="F32">
            <v>-219</v>
          </cell>
          <cell r="I32">
            <v>-289</v>
          </cell>
        </row>
        <row r="33">
          <cell r="A33" t="str">
            <v>Dividends</v>
          </cell>
          <cell r="B33">
            <v>126</v>
          </cell>
          <cell r="C33">
            <v>132</v>
          </cell>
          <cell r="D33">
            <v>133</v>
          </cell>
          <cell r="E33">
            <v>53</v>
          </cell>
          <cell r="I33">
            <v>149</v>
          </cell>
        </row>
        <row r="34">
          <cell r="A34" t="str">
            <v>FCF</v>
          </cell>
          <cell r="B34">
            <v>190</v>
          </cell>
          <cell r="C34">
            <v>222</v>
          </cell>
          <cell r="D34">
            <v>141</v>
          </cell>
          <cell r="E34">
            <v>352</v>
          </cell>
          <cell r="F34">
            <v>271</v>
          </cell>
          <cell r="I34">
            <v>696</v>
          </cell>
          <cell r="J34">
            <v>461</v>
          </cell>
          <cell r="K34">
            <v>316</v>
          </cell>
          <cell r="L34">
            <v>585</v>
          </cell>
          <cell r="M34">
            <v>710</v>
          </cell>
          <cell r="N34">
            <v>674.67128692837571</v>
          </cell>
          <cell r="O34">
            <v>675.68247390217675</v>
          </cell>
          <cell r="P34">
            <v>739.23146310928917</v>
          </cell>
          <cell r="Q34">
            <v>910.76341521569407</v>
          </cell>
          <cell r="R34">
            <v>1082.5117447369823</v>
          </cell>
          <cell r="AB34">
            <v>44</v>
          </cell>
          <cell r="AE34">
            <v>175</v>
          </cell>
        </row>
        <row r="36">
          <cell r="I36">
            <v>103</v>
          </cell>
        </row>
        <row r="41">
          <cell r="O41" t="str">
            <v xml:space="preserve"> </v>
          </cell>
        </row>
        <row r="43">
          <cell r="I43">
            <v>8.9198544395924309</v>
          </cell>
          <cell r="J43">
            <v>13.270715835140997</v>
          </cell>
          <cell r="K43">
            <v>19.659620253164555</v>
          </cell>
        </row>
        <row r="44">
          <cell r="A44" t="str">
            <v>Base Case Valuation</v>
          </cell>
        </row>
        <row r="45">
          <cell r="A45" t="str">
            <v>Base-case 2010E FCF</v>
          </cell>
        </row>
        <row r="46">
          <cell r="A46" t="str">
            <v>FCF/share</v>
          </cell>
          <cell r="I46">
            <v>674.67128692837571</v>
          </cell>
        </row>
        <row r="47">
          <cell r="A47" t="str">
            <v>Target P/FCF</v>
          </cell>
          <cell r="I47">
            <v>36.522559823878609</v>
          </cell>
        </row>
        <row r="48">
          <cell r="A48" t="str">
            <v>YE 2009 Fair Value</v>
          </cell>
          <cell r="I48">
            <v>15</v>
          </cell>
        </row>
        <row r="49">
          <cell r="I49">
            <v>547.83839735817912</v>
          </cell>
        </row>
        <row r="50">
          <cell r="A50" t="str">
            <v>YE 2006 Fair Value</v>
          </cell>
        </row>
        <row r="51">
          <cell r="A51" t="str">
            <v>YE 2005 Fair Value</v>
          </cell>
          <cell r="I51">
            <v>411.59909643739968</v>
          </cell>
        </row>
        <row r="52">
          <cell r="A52" t="str">
            <v>12 month Target Value</v>
          </cell>
          <cell r="I52">
            <v>374.18099676127241</v>
          </cell>
        </row>
        <row r="53">
          <cell r="A53" t="str">
            <v>Required Return on Equity</v>
          </cell>
          <cell r="I53">
            <v>392.89004659933607</v>
          </cell>
        </row>
        <row r="54">
          <cell r="I54">
            <v>0.1</v>
          </cell>
        </row>
        <row r="55">
          <cell r="A55" t="str">
            <v>Bull Case Valuation</v>
          </cell>
        </row>
        <row r="56">
          <cell r="A56" t="str">
            <v>Base-case 2010E FCF</v>
          </cell>
        </row>
        <row r="57">
          <cell r="A57" t="str">
            <v>Incremental FCF in Bull Case</v>
          </cell>
          <cell r="I57">
            <v>674.67128692837571</v>
          </cell>
        </row>
        <row r="58">
          <cell r="A58" t="str">
            <v>Bull Case 2010 FCF</v>
          </cell>
        </row>
        <row r="59">
          <cell r="A59" t="str">
            <v>Bull Case 2010E FCF/share</v>
          </cell>
          <cell r="I59">
            <v>674.67128692837571</v>
          </cell>
        </row>
        <row r="60">
          <cell r="A60" t="str">
            <v>Target P/FCF</v>
          </cell>
          <cell r="I60">
            <v>36.522559823878609</v>
          </cell>
        </row>
        <row r="61">
          <cell r="A61" t="str">
            <v>YE 2009 Fair Value</v>
          </cell>
          <cell r="I61">
            <v>15</v>
          </cell>
        </row>
        <row r="62">
          <cell r="I62">
            <v>547.83839735817912</v>
          </cell>
        </row>
        <row r="63">
          <cell r="A63" t="str">
            <v>YE 2006 Fair Value</v>
          </cell>
        </row>
        <row r="64">
          <cell r="A64" t="str">
            <v>YE 2005 Fair Value</v>
          </cell>
          <cell r="I64">
            <v>411.59909643739968</v>
          </cell>
        </row>
        <row r="65">
          <cell r="A65" t="str">
            <v>12 month Target Value</v>
          </cell>
          <cell r="I65">
            <v>374.18099676127241</v>
          </cell>
        </row>
        <row r="66">
          <cell r="A66" t="str">
            <v>Required Return on Equity</v>
          </cell>
          <cell r="I66">
            <v>392.89004659933607</v>
          </cell>
        </row>
        <row r="67">
          <cell r="I67">
            <v>0.1</v>
          </cell>
        </row>
        <row r="68">
          <cell r="A68" t="str">
            <v>Bear Case Valuation</v>
          </cell>
        </row>
        <row r="69">
          <cell r="A69" t="str">
            <v>Base-case 2010E FCF</v>
          </cell>
        </row>
        <row r="70">
          <cell r="A70" t="str">
            <v>Downside FCF in Bear Case</v>
          </cell>
          <cell r="I70">
            <v>674.67128692837571</v>
          </cell>
        </row>
        <row r="71">
          <cell r="A71" t="str">
            <v>Bear Case 2010E FCF</v>
          </cell>
        </row>
        <row r="72">
          <cell r="A72" t="str">
            <v>Bull Case 2010E FCF/share</v>
          </cell>
          <cell r="I72">
            <v>674.67128692837571</v>
          </cell>
        </row>
        <row r="73">
          <cell r="I73">
            <v>36.522559823878609</v>
          </cell>
        </row>
        <row r="74">
          <cell r="A74" t="str">
            <v>Target P/FCF</v>
          </cell>
        </row>
        <row r="75">
          <cell r="A75" t="str">
            <v>YE 2009 Fair Value</v>
          </cell>
          <cell r="I75">
            <v>15</v>
          </cell>
        </row>
        <row r="76">
          <cell r="I76">
            <v>547.83839735817912</v>
          </cell>
        </row>
        <row r="78">
          <cell r="I78">
            <v>411.59909643739968</v>
          </cell>
        </row>
        <row r="79">
          <cell r="I79">
            <v>374.18099676127241</v>
          </cell>
        </row>
        <row r="80">
          <cell r="I80">
            <v>392.89004659933607</v>
          </cell>
        </row>
        <row r="81">
          <cell r="I81">
            <v>0.1</v>
          </cell>
        </row>
      </sheetData>
      <sheetData sheetId="13" refreshError="1">
        <row r="2">
          <cell r="A2" t="str">
            <v>(in millions £)</v>
          </cell>
          <cell r="G2" t="str">
            <v xml:space="preserve">2011E </v>
          </cell>
        </row>
        <row r="3">
          <cell r="A3" t="str">
            <v>Segment</v>
          </cell>
          <cell r="B3" t="str">
            <v xml:space="preserve">Value </v>
          </cell>
          <cell r="C3" t="str">
            <v>Value/share (p)</v>
          </cell>
          <cell r="D3" t="str">
            <v xml:space="preserve">% of Total </v>
          </cell>
          <cell r="G3" t="str">
            <v>EBITA</v>
          </cell>
          <cell r="H3" t="str">
            <v>Multiple</v>
          </cell>
        </row>
        <row r="4">
          <cell r="A4" t="str">
            <v>Civil Aerospace</v>
          </cell>
          <cell r="B4">
            <v>6333.6349989401715</v>
          </cell>
          <cell r="C4">
            <v>342.44278686823242</v>
          </cell>
          <cell r="D4">
            <v>0.50540320273456019</v>
          </cell>
          <cell r="G4">
            <v>554.72726895351991</v>
          </cell>
          <cell r="H4">
            <v>11.417565628039931</v>
          </cell>
        </row>
        <row r="5">
          <cell r="A5" t="str">
            <v>Defence Aero</v>
          </cell>
          <cell r="B5">
            <v>2558.856187926338</v>
          </cell>
          <cell r="C5">
            <v>138.35054346124215</v>
          </cell>
          <cell r="D5">
            <v>0.20418829202054165</v>
          </cell>
          <cell r="G5">
            <v>288.13661679501985</v>
          </cell>
          <cell r="H5">
            <v>8.880704633756098</v>
          </cell>
        </row>
        <row r="6">
          <cell r="A6" t="str">
            <v>Marine</v>
          </cell>
          <cell r="B6">
            <v>3239.5376671221748</v>
          </cell>
          <cell r="C6">
            <v>175.15317934796718</v>
          </cell>
          <cell r="D6">
            <v>0.25850443112316435</v>
          </cell>
          <cell r="G6">
            <v>343.32754372199997</v>
          </cell>
          <cell r="H6">
            <v>9.4357057170609693</v>
          </cell>
        </row>
        <row r="7">
          <cell r="A7" t="str">
            <v xml:space="preserve">Energy </v>
          </cell>
          <cell r="B7">
            <v>843.1166669776328</v>
          </cell>
          <cell r="C7">
            <v>45.585074154602907</v>
          </cell>
          <cell r="D7">
            <v>6.7277931841775898E-2</v>
          </cell>
          <cell r="G7">
            <v>52.195214921682258</v>
          </cell>
          <cell r="H7" t="str">
            <v>NM</v>
          </cell>
        </row>
        <row r="8">
          <cell r="A8" t="str">
            <v>Corporate</v>
          </cell>
          <cell r="B8">
            <v>-443.29972997986181</v>
          </cell>
          <cell r="C8">
            <v>-23.968036518940675</v>
          </cell>
          <cell r="D8">
            <v>-3.5373857720041986E-2</v>
          </cell>
          <cell r="G8">
            <v>-50</v>
          </cell>
          <cell r="H8">
            <v>8.8659945995972365</v>
          </cell>
        </row>
        <row r="9">
          <cell r="A9" t="str">
            <v>Consolidated Asset Value</v>
          </cell>
          <cell r="B9">
            <v>12531.845790986454</v>
          </cell>
          <cell r="C9">
            <v>677.56354731310398</v>
          </cell>
          <cell r="D9">
            <v>1.0000000000000002</v>
          </cell>
          <cell r="G9">
            <v>1188.386644392222</v>
          </cell>
          <cell r="H9">
            <v>10.545259701564241</v>
          </cell>
        </row>
        <row r="11">
          <cell r="A11" t="str">
            <v>Contingent liabilities</v>
          </cell>
          <cell r="B11">
            <v>-200</v>
          </cell>
        </row>
        <row r="12">
          <cell r="A12" t="str">
            <v>Long-term Debt</v>
          </cell>
          <cell r="B12">
            <v>-1913</v>
          </cell>
        </row>
        <row r="13">
          <cell r="A13" t="str">
            <v>Average 2010e cash</v>
          </cell>
          <cell r="B13">
            <v>3274.2954971378549</v>
          </cell>
        </row>
        <row r="14">
          <cell r="A14" t="str">
            <v>Pension deficit</v>
          </cell>
          <cell r="B14">
            <v>-435.08699999999953</v>
          </cell>
        </row>
        <row r="15">
          <cell r="A15" t="str">
            <v>Total Net Debt</v>
          </cell>
          <cell r="B15">
            <v>726.20849713785537</v>
          </cell>
        </row>
        <row r="17">
          <cell r="A17" t="str">
            <v>Total Equity Value</v>
          </cell>
          <cell r="B17">
            <v>13258.054288124309</v>
          </cell>
        </row>
        <row r="19">
          <cell r="A19" t="str">
            <v>2010e Fair Market Value</v>
          </cell>
          <cell r="B19">
            <v>716.82770788580683</v>
          </cell>
        </row>
        <row r="20">
          <cell r="A20" t="str">
            <v>Total Shares Outstanding</v>
          </cell>
          <cell r="B20">
            <v>1849.5454545454545</v>
          </cell>
        </row>
      </sheetData>
      <sheetData sheetId="14"/>
      <sheetData sheetId="15"/>
      <sheetData sheetId="16" refreshError="1">
        <row r="1">
          <cell r="B1">
            <v>2007</v>
          </cell>
          <cell r="C1">
            <v>2008</v>
          </cell>
          <cell r="D1">
            <v>2009</v>
          </cell>
          <cell r="E1" t="str">
            <v>2010e</v>
          </cell>
          <cell r="F1" t="str">
            <v>2011e</v>
          </cell>
          <cell r="G1" t="str">
            <v>2012e</v>
          </cell>
          <cell r="H1" t="str">
            <v>2013e</v>
          </cell>
        </row>
        <row r="3">
          <cell r="A3" t="str">
            <v>Base Case - topline</v>
          </cell>
        </row>
        <row r="4">
          <cell r="A4" t="str">
            <v>Revenue</v>
          </cell>
          <cell r="B4">
            <v>7435</v>
          </cell>
          <cell r="C4">
            <v>9082</v>
          </cell>
          <cell r="D4">
            <v>10414</v>
          </cell>
          <cell r="E4">
            <v>10504.628687793149</v>
          </cell>
          <cell r="F4">
            <v>11333.869412789531</v>
          </cell>
          <cell r="G4">
            <v>12197.254435587442</v>
          </cell>
          <cell r="H4">
            <v>13099.104931524082</v>
          </cell>
        </row>
        <row r="5">
          <cell r="A5" t="str">
            <v>Change %</v>
          </cell>
          <cell r="C5">
            <v>0.22151983860121049</v>
          </cell>
          <cell r="D5">
            <v>0.14666373045584669</v>
          </cell>
          <cell r="E5">
            <v>8.7025818891059981E-3</v>
          </cell>
          <cell r="F5">
            <v>7.8940508002914633E-2</v>
          </cell>
          <cell r="G5">
            <v>7.6177428145028481E-2</v>
          </cell>
          <cell r="H5">
            <v>7.3938811451317088E-2</v>
          </cell>
        </row>
        <row r="6">
          <cell r="A6" t="str">
            <v>EBIT</v>
          </cell>
          <cell r="B6">
            <v>832</v>
          </cell>
          <cell r="C6">
            <v>919</v>
          </cell>
          <cell r="D6">
            <v>983</v>
          </cell>
          <cell r="E6">
            <v>1083.1120909282458</v>
          </cell>
          <cell r="F6">
            <v>1188.386644392222</v>
          </cell>
          <cell r="G6">
            <v>1373.9978971046339</v>
          </cell>
          <cell r="H6">
            <v>1581.6182940675674</v>
          </cell>
        </row>
        <row r="7">
          <cell r="A7" t="str">
            <v>Margin %</v>
          </cell>
          <cell r="B7">
            <v>0.11190316072629455</v>
          </cell>
          <cell r="C7">
            <v>0.10118916538207444</v>
          </cell>
          <cell r="D7">
            <v>9.439216439408489E-2</v>
          </cell>
          <cell r="E7">
            <v>0.10310807960179219</v>
          </cell>
          <cell r="F7">
            <v>0.1048526854430849</v>
          </cell>
          <cell r="G7">
            <v>0.11264812949181212</v>
          </cell>
          <cell r="H7">
            <v>0.1207424707516673</v>
          </cell>
        </row>
        <row r="8">
          <cell r="A8" t="str">
            <v>EPS</v>
          </cell>
          <cell r="B8">
            <v>32.970620239390641</v>
          </cell>
          <cell r="C8">
            <v>-73.626373626373635</v>
          </cell>
          <cell r="D8">
            <v>39.674796747967477</v>
          </cell>
          <cell r="E8">
            <v>41.535972564754076</v>
          </cell>
          <cell r="F8">
            <v>45.387995080711818</v>
          </cell>
          <cell r="G8">
            <v>52.345540252998276</v>
          </cell>
          <cell r="H8">
            <v>60.515460194994539</v>
          </cell>
        </row>
        <row r="10">
          <cell r="A10" t="str">
            <v>Base Case - Civil after-market</v>
          </cell>
        </row>
        <row r="11">
          <cell r="B11">
            <v>2007</v>
          </cell>
          <cell r="C11">
            <v>2008</v>
          </cell>
          <cell r="D11">
            <v>2009</v>
          </cell>
          <cell r="E11" t="str">
            <v>2010e</v>
          </cell>
          <cell r="F11" t="str">
            <v>2011e</v>
          </cell>
          <cell r="G11" t="str">
            <v>2012e</v>
          </cell>
          <cell r="H11" t="str">
            <v>2013e</v>
          </cell>
        </row>
        <row r="12">
          <cell r="A12" t="str">
            <v>Revenue (USD terms)</v>
          </cell>
          <cell r="B12">
            <v>5108</v>
          </cell>
          <cell r="C12">
            <v>4988.58</v>
          </cell>
          <cell r="D12">
            <v>4201.6000000000004</v>
          </cell>
          <cell r="E12">
            <v>4586.282339260064</v>
          </cell>
          <cell r="F12">
            <v>5022.6528532213715</v>
          </cell>
          <cell r="G12">
            <v>5505.3337504966257</v>
          </cell>
          <cell r="H12">
            <v>6000.5503645203335</v>
          </cell>
        </row>
        <row r="13">
          <cell r="C13">
            <v>-2.3379013312451069E-2</v>
          </cell>
          <cell r="D13">
            <v>-0.15775631542442936</v>
          </cell>
          <cell r="E13">
            <v>9.155615462206379E-2</v>
          </cell>
          <cell r="F13">
            <v>9.5146892773223746E-2</v>
          </cell>
          <cell r="G13">
            <v>9.6100788045838659E-2</v>
          </cell>
          <cell r="H13">
            <v>8.9952151216815102E-2</v>
          </cell>
        </row>
        <row r="15">
          <cell r="A15" t="str">
            <v>Factor 1 - Top-line</v>
          </cell>
          <cell r="B15">
            <v>2007</v>
          </cell>
          <cell r="C15">
            <v>2008</v>
          </cell>
          <cell r="D15">
            <v>2009</v>
          </cell>
          <cell r="E15" t="str">
            <v>2010e</v>
          </cell>
          <cell r="F15" t="str">
            <v>2011e</v>
          </cell>
          <cell r="G15" t="str">
            <v>2012e</v>
          </cell>
          <cell r="H15" t="str">
            <v>2013e</v>
          </cell>
        </row>
        <row r="17">
          <cell r="A17" t="str">
            <v>Top-line upside</v>
          </cell>
        </row>
        <row r="18">
          <cell r="A18" t="str">
            <v>Revenue</v>
          </cell>
          <cell r="D18">
            <v>10414</v>
          </cell>
          <cell r="E18">
            <v>10660.838687793148</v>
          </cell>
          <cell r="F18">
            <v>11662.323289861561</v>
          </cell>
          <cell r="G18">
            <v>12725.663933627004</v>
          </cell>
          <cell r="H18">
            <v>13857.469358812681</v>
          </cell>
        </row>
        <row r="19">
          <cell r="A19" t="str">
            <v>Change %</v>
          </cell>
          <cell r="E19">
            <v>2.3702581889105998E-2</v>
          </cell>
          <cell r="F19">
            <v>9.3940508002914633E-2</v>
          </cell>
          <cell r="G19">
            <v>9.117742814502848E-2</v>
          </cell>
          <cell r="H19">
            <v>8.8938811451317087E-2</v>
          </cell>
        </row>
        <row r="20">
          <cell r="A20" t="str">
            <v>Incremental revenue</v>
          </cell>
          <cell r="E20">
            <v>156.20999999999913</v>
          </cell>
          <cell r="F20">
            <v>328.45387707203008</v>
          </cell>
          <cell r="G20">
            <v>528.4094980395621</v>
          </cell>
          <cell r="H20">
            <v>758.36442728859947</v>
          </cell>
        </row>
        <row r="21">
          <cell r="A21" t="str">
            <v>Incremental EBIT</v>
          </cell>
          <cell r="E21">
            <v>23.431499999999868</v>
          </cell>
          <cell r="F21">
            <v>49.268081560804511</v>
          </cell>
          <cell r="G21">
            <v>79.261424705934317</v>
          </cell>
          <cell r="H21">
            <v>113.75466409328992</v>
          </cell>
        </row>
        <row r="22">
          <cell r="A22" t="str">
            <v>Incremental margin</v>
          </cell>
          <cell r="E22">
            <v>0.15</v>
          </cell>
          <cell r="F22">
            <v>0.15</v>
          </cell>
          <cell r="G22">
            <v>0.15</v>
          </cell>
          <cell r="H22">
            <v>0.15</v>
          </cell>
        </row>
        <row r="24">
          <cell r="A24" t="str">
            <v>Valuation impact</v>
          </cell>
          <cell r="E24">
            <v>940.12119085363554</v>
          </cell>
          <cell r="F24">
            <v>1034.1333099389992</v>
          </cell>
          <cell r="G24">
            <v>1137.5466409328992</v>
          </cell>
        </row>
        <row r="25">
          <cell r="A25" t="str">
            <v>Upside per share</v>
          </cell>
          <cell r="E25">
            <v>50.89238730014759</v>
          </cell>
        </row>
        <row r="28">
          <cell r="A28" t="str">
            <v>Top-line downside</v>
          </cell>
        </row>
        <row r="29">
          <cell r="A29" t="str">
            <v>Revenue</v>
          </cell>
          <cell r="D29">
            <v>10414</v>
          </cell>
          <cell r="E29">
            <v>10192.208687793149</v>
          </cell>
          <cell r="F29">
            <v>10691.020558645465</v>
          </cell>
          <cell r="G29">
            <v>11184.704392289337</v>
          </cell>
          <cell r="H29">
            <v>11676.147009720857</v>
          </cell>
        </row>
        <row r="30">
          <cell r="A30" t="str">
            <v>Change %</v>
          </cell>
          <cell r="E30">
            <v>-2.1297418110894001E-2</v>
          </cell>
          <cell r="F30">
            <v>4.8940508002914634E-2</v>
          </cell>
          <cell r="G30">
            <v>4.6177428145028482E-2</v>
          </cell>
          <cell r="H30">
            <v>4.3938811451317089E-2</v>
          </cell>
        </row>
        <row r="31">
          <cell r="A31" t="str">
            <v>Revenue downside</v>
          </cell>
          <cell r="E31">
            <v>-312.42000000000007</v>
          </cell>
          <cell r="F31">
            <v>-642.84885414406563</v>
          </cell>
          <cell r="G31">
            <v>-1012.5500432981044</v>
          </cell>
          <cell r="H31">
            <v>-1422.957921803225</v>
          </cell>
        </row>
        <row r="32">
          <cell r="A32" t="str">
            <v>EBIT downside</v>
          </cell>
          <cell r="E32">
            <v>-46.863000000000007</v>
          </cell>
          <cell r="F32">
            <v>-96.427328121609847</v>
          </cell>
          <cell r="G32">
            <v>-151.88250649471564</v>
          </cell>
          <cell r="H32">
            <v>-213.44368827048373</v>
          </cell>
        </row>
        <row r="33">
          <cell r="A33" t="str">
            <v>Incremental margin</v>
          </cell>
          <cell r="E33">
            <v>0.15</v>
          </cell>
          <cell r="F33">
            <v>0.15</v>
          </cell>
          <cell r="G33">
            <v>0.15</v>
          </cell>
          <cell r="H33">
            <v>0.15</v>
          </cell>
        </row>
        <row r="35">
          <cell r="A35" t="str">
            <v>Valuation impact</v>
          </cell>
          <cell r="E35">
            <v>-1763.9974237230058</v>
          </cell>
          <cell r="F35">
            <v>-1940.3971660953066</v>
          </cell>
          <cell r="G35">
            <v>-2134.4368827048374</v>
          </cell>
        </row>
        <row r="36">
          <cell r="A36" t="str">
            <v>Upside per share</v>
          </cell>
          <cell r="E36">
            <v>-95.491986520438303</v>
          </cell>
        </row>
        <row r="40">
          <cell r="A40" t="str">
            <v>Factor 2 - margins</v>
          </cell>
          <cell r="B40">
            <v>2007</v>
          </cell>
          <cell r="C40">
            <v>2008</v>
          </cell>
          <cell r="D40">
            <v>2009</v>
          </cell>
          <cell r="E40" t="str">
            <v>2010e</v>
          </cell>
          <cell r="F40" t="str">
            <v>2011e</v>
          </cell>
          <cell r="G40" t="str">
            <v>2012e</v>
          </cell>
          <cell r="H40" t="str">
            <v>2013e</v>
          </cell>
        </row>
        <row r="43">
          <cell r="A43" t="str">
            <v>Margin upside</v>
          </cell>
        </row>
        <row r="44">
          <cell r="A44" t="str">
            <v>Revenue</v>
          </cell>
          <cell r="D44">
            <v>10414</v>
          </cell>
          <cell r="E44">
            <v>10504.628687793149</v>
          </cell>
          <cell r="F44">
            <v>11333.869412789531</v>
          </cell>
          <cell r="G44">
            <v>12197.254435587442</v>
          </cell>
          <cell r="H44">
            <v>13099.104931524082</v>
          </cell>
        </row>
        <row r="45">
          <cell r="A45" t="str">
            <v>Change %</v>
          </cell>
          <cell r="E45">
            <v>8.7025818891059981E-3</v>
          </cell>
          <cell r="F45">
            <v>7.8940508002914633E-2</v>
          </cell>
          <cell r="G45">
            <v>7.6177428145028481E-2</v>
          </cell>
          <cell r="H45">
            <v>7.3938811451317088E-2</v>
          </cell>
        </row>
        <row r="46">
          <cell r="A46" t="str">
            <v xml:space="preserve">EBIT </v>
          </cell>
          <cell r="E46">
            <v>1188.1583778061772</v>
          </cell>
          <cell r="F46">
            <v>1301.7253385201172</v>
          </cell>
          <cell r="G46">
            <v>1495.9704414605083</v>
          </cell>
          <cell r="H46">
            <v>1712.6093433828082</v>
          </cell>
        </row>
        <row r="47">
          <cell r="A47" t="str">
            <v>EBIT margin</v>
          </cell>
          <cell r="E47">
            <v>0.11310807960179219</v>
          </cell>
          <cell r="F47">
            <v>0.1148526854430849</v>
          </cell>
          <cell r="G47">
            <v>0.12264812949181211</v>
          </cell>
          <cell r="H47">
            <v>0.13074247075166731</v>
          </cell>
        </row>
        <row r="48">
          <cell r="A48" t="str">
            <v>EBIT upside</v>
          </cell>
          <cell r="E48">
            <v>105.04628687793138</v>
          </cell>
          <cell r="F48">
            <v>113.33869412789522</v>
          </cell>
          <cell r="G48">
            <v>121.97254435587433</v>
          </cell>
          <cell r="H48">
            <v>130.99104931524084</v>
          </cell>
        </row>
        <row r="50">
          <cell r="A50" t="str">
            <v>Valuation impact</v>
          </cell>
          <cell r="E50">
            <v>1082.5706554978581</v>
          </cell>
          <cell r="F50">
            <v>1190.827721047644</v>
          </cell>
          <cell r="G50">
            <v>1309.9104931524084</v>
          </cell>
        </row>
        <row r="51">
          <cell r="A51" t="str">
            <v>Upside per share</v>
          </cell>
          <cell r="E51">
            <v>58.60372642951004</v>
          </cell>
        </row>
        <row r="54">
          <cell r="A54" t="str">
            <v>Margin downside</v>
          </cell>
        </row>
        <row r="55">
          <cell r="A55" t="str">
            <v>Revenue</v>
          </cell>
          <cell r="D55">
            <v>10414</v>
          </cell>
          <cell r="E55">
            <v>10504.628687793149</v>
          </cell>
          <cell r="F55">
            <v>11333.869412789531</v>
          </cell>
          <cell r="G55">
            <v>12197.254435587442</v>
          </cell>
          <cell r="H55">
            <v>13099.104931524082</v>
          </cell>
        </row>
        <row r="56">
          <cell r="A56" t="str">
            <v>Change %</v>
          </cell>
          <cell r="E56">
            <v>8.7025818891059981E-3</v>
          </cell>
          <cell r="F56">
            <v>7.8940508002914633E-2</v>
          </cell>
          <cell r="G56">
            <v>7.6177428145028481E-2</v>
          </cell>
          <cell r="H56">
            <v>7.3938811451317088E-2</v>
          </cell>
        </row>
        <row r="57">
          <cell r="A57" t="str">
            <v xml:space="preserve">EBIT </v>
          </cell>
          <cell r="E57">
            <v>925.54266061134865</v>
          </cell>
          <cell r="F57">
            <v>1018.3786032003791</v>
          </cell>
          <cell r="G57">
            <v>1130.052808392885</v>
          </cell>
          <cell r="H57">
            <v>1385.1317200947062</v>
          </cell>
        </row>
        <row r="58">
          <cell r="A58" t="str">
            <v>EBIT margin</v>
          </cell>
          <cell r="E58">
            <v>8.8108079601792191E-2</v>
          </cell>
          <cell r="F58">
            <v>8.9852685443084904E-2</v>
          </cell>
          <cell r="G58">
            <v>9.2648129491812115E-2</v>
          </cell>
          <cell r="H58">
            <v>0.1057424707516673</v>
          </cell>
        </row>
        <row r="59">
          <cell r="A59" t="str">
            <v>EBIT downside</v>
          </cell>
          <cell r="E59">
            <v>-157.56943031689718</v>
          </cell>
          <cell r="F59">
            <v>-170.00804119184295</v>
          </cell>
          <cell r="G59">
            <v>-243.94508871174889</v>
          </cell>
          <cell r="H59">
            <v>-196.48657397286115</v>
          </cell>
        </row>
        <row r="61">
          <cell r="A61" t="str">
            <v>Valuation impact</v>
          </cell>
          <cell r="E61">
            <v>-1623.8559832467861</v>
          </cell>
          <cell r="F61">
            <v>-1786.2415815714648</v>
          </cell>
          <cell r="G61">
            <v>-1964.8657397286115</v>
          </cell>
        </row>
        <row r="62">
          <cell r="A62" t="str">
            <v>Upside per share</v>
          </cell>
          <cell r="E62">
            <v>-87.905589644264992</v>
          </cell>
        </row>
        <row r="67">
          <cell r="A67" t="str">
            <v>Summary</v>
          </cell>
        </row>
        <row r="69">
          <cell r="J69" t="str">
            <v>2010-13e</v>
          </cell>
        </row>
        <row r="70">
          <cell r="A70" t="str">
            <v>£mn</v>
          </cell>
          <cell r="D70">
            <v>2009</v>
          </cell>
          <cell r="E70" t="str">
            <v>2010e</v>
          </cell>
          <cell r="F70" t="str">
            <v>2011e</v>
          </cell>
          <cell r="G70" t="str">
            <v>2012e</v>
          </cell>
          <cell r="H70" t="str">
            <v>2013e</v>
          </cell>
          <cell r="J70" t="str">
            <v>CAGR %</v>
          </cell>
        </row>
        <row r="71">
          <cell r="A71" t="str">
            <v>Base Case</v>
          </cell>
        </row>
        <row r="72">
          <cell r="A72" t="str">
            <v>Revenue</v>
          </cell>
          <cell r="E72">
            <v>10504.628687793149</v>
          </cell>
          <cell r="F72">
            <v>11333.869412789531</v>
          </cell>
          <cell r="G72">
            <v>12197.254435587442</v>
          </cell>
          <cell r="H72">
            <v>13099.104931524082</v>
          </cell>
          <cell r="J72">
            <v>7.6350305548355868E-2</v>
          </cell>
        </row>
        <row r="73">
          <cell r="A73" t="str">
            <v>EBIT</v>
          </cell>
          <cell r="E73">
            <v>1083.1120909282458</v>
          </cell>
          <cell r="F73">
            <v>1188.386644392222</v>
          </cell>
          <cell r="G73">
            <v>1373.9978971046339</v>
          </cell>
          <cell r="H73">
            <v>1581.6182940675674</v>
          </cell>
          <cell r="J73">
            <v>0.13451286562294129</v>
          </cell>
        </row>
        <row r="74">
          <cell r="A74" t="str">
            <v>Margin %</v>
          </cell>
          <cell r="E74">
            <v>0.10310807960179219</v>
          </cell>
          <cell r="F74">
            <v>0.1048526854430849</v>
          </cell>
          <cell r="G74">
            <v>0.11264812949181212</v>
          </cell>
          <cell r="H74">
            <v>0.1207424707516673</v>
          </cell>
        </row>
        <row r="75">
          <cell r="A75" t="str">
            <v xml:space="preserve"> Base Case EPS</v>
          </cell>
          <cell r="E75">
            <v>41.535972564754076</v>
          </cell>
          <cell r="F75">
            <v>45.387995080711818</v>
          </cell>
          <cell r="G75">
            <v>52.345540252998276</v>
          </cell>
          <cell r="H75">
            <v>60.515460194994539</v>
          </cell>
          <cell r="J75">
            <v>0.1336543325046986</v>
          </cell>
        </row>
        <row r="77">
          <cell r="A77" t="str">
            <v>Consolidated asset value</v>
          </cell>
          <cell r="E77">
            <v>675.17248977886447</v>
          </cell>
          <cell r="F77">
            <v>742.68973875675101</v>
          </cell>
          <cell r="G77">
            <v>816.95871263242623</v>
          </cell>
        </row>
        <row r="78">
          <cell r="A78" t="str">
            <v>Target forward P/E</v>
          </cell>
          <cell r="G78">
            <v>13.5</v>
          </cell>
        </row>
        <row r="79">
          <cell r="A79" t="str">
            <v>Present value of dividends</v>
          </cell>
          <cell r="E79">
            <v>44.219973163716098</v>
          </cell>
        </row>
        <row r="80">
          <cell r="A80" t="str">
            <v>Target Price</v>
          </cell>
          <cell r="E80">
            <v>720</v>
          </cell>
          <cell r="I80">
            <v>720</v>
          </cell>
        </row>
        <row r="81">
          <cell r="A81" t="str">
            <v>Implied multiples</v>
          </cell>
          <cell r="E81">
            <v>17.334372004351859</v>
          </cell>
          <cell r="F81">
            <v>15.8632254788882</v>
          </cell>
          <cell r="G81">
            <v>13.754753442606019</v>
          </cell>
        </row>
        <row r="83">
          <cell r="D83">
            <v>2009</v>
          </cell>
          <cell r="E83" t="str">
            <v>2010e</v>
          </cell>
          <cell r="F83" t="str">
            <v>2011e</v>
          </cell>
          <cell r="G83" t="str">
            <v>2012e</v>
          </cell>
          <cell r="H83" t="str">
            <v>2013e</v>
          </cell>
        </row>
        <row r="84">
          <cell r="A84" t="str">
            <v>Bull Case</v>
          </cell>
        </row>
        <row r="85">
          <cell r="A85" t="str">
            <v>Revenue</v>
          </cell>
          <cell r="E85">
            <v>10660.838687793148</v>
          </cell>
          <cell r="F85">
            <v>11662.323289861561</v>
          </cell>
          <cell r="G85">
            <v>12725.663933627004</v>
          </cell>
          <cell r="H85">
            <v>13857.469358812681</v>
          </cell>
          <cell r="J85">
            <v>9.1350332258545608E-2</v>
          </cell>
        </row>
        <row r="86">
          <cell r="A86" t="str">
            <v>EBIT</v>
          </cell>
          <cell r="E86">
            <v>1211.5898778061771</v>
          </cell>
          <cell r="F86">
            <v>1350.9934200809219</v>
          </cell>
          <cell r="G86">
            <v>1575.2318661664426</v>
          </cell>
          <cell r="H86">
            <v>1826.3640074760981</v>
          </cell>
          <cell r="J86">
            <v>0.14659638401751418</v>
          </cell>
        </row>
        <row r="87">
          <cell r="A87" t="str">
            <v>Margin %</v>
          </cell>
          <cell r="E87">
            <v>0.11364864559797433</v>
          </cell>
          <cell r="F87">
            <v>0.11584256296988309</v>
          </cell>
          <cell r="G87">
            <v>0.12378386498200397</v>
          </cell>
          <cell r="H87">
            <v>0.13179635907436582</v>
          </cell>
        </row>
        <row r="88">
          <cell r="A88" t="str">
            <v>NOPAT</v>
          </cell>
          <cell r="E88">
            <v>884.46061079850926</v>
          </cell>
          <cell r="F88">
            <v>986.22519665907294</v>
          </cell>
          <cell r="G88">
            <v>1149.9192623015031</v>
          </cell>
          <cell r="H88">
            <v>1333.2457254575515</v>
          </cell>
        </row>
        <row r="89">
          <cell r="A89" t="str">
            <v>Bull Case EPS</v>
          </cell>
          <cell r="E89">
            <v>46.619375514395799</v>
          </cell>
          <cell r="F89">
            <v>51.813843549118602</v>
          </cell>
          <cell r="G89">
            <v>60.279048787073037</v>
          </cell>
          <cell r="H89">
            <v>70.143315465319915</v>
          </cell>
          <cell r="J89">
            <v>0.14588212838028447</v>
          </cell>
        </row>
        <row r="91">
          <cell r="A91" t="str">
            <v>Consolidated asset value</v>
          </cell>
          <cell r="E91">
            <v>840.56039193978404</v>
          </cell>
          <cell r="F91">
            <v>924.61643113376249</v>
          </cell>
          <cell r="G91">
            <v>1017.0780742471388</v>
          </cell>
        </row>
        <row r="92">
          <cell r="A92" t="str">
            <v>Target forward P/E</v>
          </cell>
          <cell r="G92">
            <v>14.5</v>
          </cell>
        </row>
        <row r="93">
          <cell r="A93" t="str">
            <v>Present value of dividends</v>
          </cell>
          <cell r="E93">
            <v>44.219973163716098</v>
          </cell>
        </row>
        <row r="94">
          <cell r="A94" t="str">
            <v>Target Price</v>
          </cell>
          <cell r="E94">
            <v>884.78036510350012</v>
          </cell>
          <cell r="I94">
            <v>885</v>
          </cell>
        </row>
        <row r="95">
          <cell r="A95" t="str">
            <v>Implied multiples</v>
          </cell>
          <cell r="E95">
            <v>18.983523271921928</v>
          </cell>
          <cell r="F95">
            <v>17.080377354384755</v>
          </cell>
          <cell r="G95">
            <v>14.68171807299305</v>
          </cell>
          <cell r="I95" t="str">
            <v>.</v>
          </cell>
        </row>
        <row r="97">
          <cell r="A97" t="str">
            <v>Bear Case</v>
          </cell>
        </row>
        <row r="98">
          <cell r="A98" t="str">
            <v>Revenue</v>
          </cell>
          <cell r="E98">
            <v>10192.208687793149</v>
          </cell>
          <cell r="F98">
            <v>10691.020558645465</v>
          </cell>
          <cell r="G98">
            <v>11184.704392289337</v>
          </cell>
          <cell r="H98">
            <v>11676.147009720857</v>
          </cell>
          <cell r="J98">
            <v>4.6350249830918955E-2</v>
          </cell>
        </row>
        <row r="99">
          <cell r="A99" t="str">
            <v>EBIT</v>
          </cell>
          <cell r="E99">
            <v>878.6796606113486</v>
          </cell>
          <cell r="F99">
            <v>921.95127507876919</v>
          </cell>
          <cell r="G99">
            <v>978.17030189816933</v>
          </cell>
          <cell r="H99">
            <v>1171.6880318242224</v>
          </cell>
          <cell r="J99">
            <v>0.10067847492641824</v>
          </cell>
        </row>
        <row r="100">
          <cell r="A100" t="str">
            <v>Margin %</v>
          </cell>
          <cell r="E100">
            <v>8.6210917331756801E-2</v>
          </cell>
          <cell r="F100">
            <v>8.623603986367967E-2</v>
          </cell>
          <cell r="G100">
            <v>8.7456071040421385E-2</v>
          </cell>
          <cell r="H100">
            <v>0.10034885916122378</v>
          </cell>
        </row>
        <row r="101">
          <cell r="A101" t="str">
            <v>NOPAT</v>
          </cell>
          <cell r="E101">
            <v>641.43615224628445</v>
          </cell>
          <cell r="F101">
            <v>673.02443080750152</v>
          </cell>
          <cell r="G101">
            <v>714.06432038566356</v>
          </cell>
          <cell r="H101">
            <v>855.3322632316823</v>
          </cell>
        </row>
        <row r="102">
          <cell r="A102" t="str">
            <v>Bear Case EPS</v>
          </cell>
          <cell r="E102">
            <v>33.447318140291472</v>
          </cell>
          <cell r="F102">
            <v>34.859077681169367</v>
          </cell>
          <cell r="G102">
            <v>36.740314061647659</v>
          </cell>
          <cell r="H102">
            <v>44.389542478848384</v>
          </cell>
          <cell r="J102">
            <v>9.8937826747595992E-2</v>
          </cell>
        </row>
        <row r="104">
          <cell r="A104" t="str">
            <v>Consolidated asset value</v>
          </cell>
          <cell r="E104">
            <v>458.56965370711129</v>
          </cell>
          <cell r="F104">
            <v>504.42661907782247</v>
          </cell>
          <cell r="G104">
            <v>554.86928098560475</v>
          </cell>
        </row>
        <row r="105">
          <cell r="A105" t="str">
            <v>Target forward P/E</v>
          </cell>
          <cell r="G105">
            <v>12.5</v>
          </cell>
        </row>
        <row r="106">
          <cell r="A106" t="str">
            <v>Present value of dividends</v>
          </cell>
          <cell r="E106">
            <v>44.219973163716098</v>
          </cell>
        </row>
        <row r="107">
          <cell r="A107" t="str">
            <v>Target Price</v>
          </cell>
          <cell r="E107">
            <v>500</v>
          </cell>
          <cell r="I107">
            <v>500</v>
          </cell>
        </row>
        <row r="108">
          <cell r="A108" t="str">
            <v>Implied multiples</v>
          </cell>
          <cell r="E108">
            <v>14.948881638366323</v>
          </cell>
          <cell r="F108">
            <v>14.343466128769567</v>
          </cell>
          <cell r="G108">
            <v>13.609029012681688</v>
          </cell>
        </row>
        <row r="111">
          <cell r="K111" t="str">
            <v>Current share price</v>
          </cell>
          <cell r="L111">
            <v>580</v>
          </cell>
        </row>
        <row r="112">
          <cell r="K112" t="str">
            <v>Upside to bull</v>
          </cell>
          <cell r="L112">
            <v>0.52586206896551735</v>
          </cell>
        </row>
        <row r="113">
          <cell r="K113" t="str">
            <v>Upside to base</v>
          </cell>
          <cell r="L113">
            <v>0.24137931034482762</v>
          </cell>
        </row>
        <row r="114">
          <cell r="K114" t="str">
            <v>Dowside to bear</v>
          </cell>
          <cell r="L114">
            <v>-0.13793103448275867</v>
          </cell>
        </row>
        <row r="115">
          <cell r="E115">
            <v>790.67182637761948</v>
          </cell>
          <cell r="F115">
            <v>867.52225040632209</v>
          </cell>
          <cell r="G115">
            <v>1003.0184648863827</v>
          </cell>
          <cell r="H115">
            <v>1154.5813546693241</v>
          </cell>
        </row>
        <row r="118">
          <cell r="D118">
            <v>2009</v>
          </cell>
          <cell r="E118" t="str">
            <v>2010e</v>
          </cell>
          <cell r="F118" t="str">
            <v>2011e</v>
          </cell>
          <cell r="G118" t="str">
            <v>2012e</v>
          </cell>
          <cell r="H118" t="str">
            <v>2013e</v>
          </cell>
        </row>
        <row r="119">
          <cell r="A119" t="str">
            <v>Dividends</v>
          </cell>
          <cell r="D119">
            <v>15.011513216700001</v>
          </cell>
          <cell r="E119">
            <v>15.762088877535001</v>
          </cell>
          <cell r="F119">
            <v>16.550193321411751</v>
          </cell>
          <cell r="G119">
            <v>17.377702987482341</v>
          </cell>
          <cell r="H119">
            <v>18.24658813685646</v>
          </cell>
        </row>
      </sheetData>
      <sheetData sheetId="17"/>
      <sheetData sheetId="18"/>
      <sheetData sheetId="19"/>
      <sheetData sheetId="20"/>
      <sheetData sheetId="21" refreshError="1">
        <row r="4">
          <cell r="A4" t="str">
            <v>Dollarised content</v>
          </cell>
        </row>
        <row r="6">
          <cell r="B6" t="str">
            <v>Percentage USD costs</v>
          </cell>
          <cell r="E6" t="str">
            <v>EIS</v>
          </cell>
        </row>
        <row r="7">
          <cell r="A7" t="str">
            <v>RB211</v>
          </cell>
          <cell r="B7">
            <v>0.25</v>
          </cell>
          <cell r="E7">
            <v>1972</v>
          </cell>
        </row>
        <row r="8">
          <cell r="A8" t="str">
            <v>Trent 700</v>
          </cell>
          <cell r="B8">
            <v>0.45</v>
          </cell>
          <cell r="E8">
            <v>1993</v>
          </cell>
        </row>
        <row r="9">
          <cell r="A9" t="str">
            <v>Trent 1000</v>
          </cell>
          <cell r="B9">
            <v>0.7</v>
          </cell>
          <cell r="E9" t="str">
            <v>3Q09</v>
          </cell>
        </row>
        <row r="10">
          <cell r="A10" t="str">
            <v>RB282</v>
          </cell>
          <cell r="B10">
            <v>0.85</v>
          </cell>
          <cell r="E10">
            <v>2012</v>
          </cell>
        </row>
        <row r="14">
          <cell r="A14" t="str">
            <v>Changes to estimates</v>
          </cell>
        </row>
        <row r="15">
          <cell r="B15" t="str">
            <v>2008e</v>
          </cell>
          <cell r="C15" t="str">
            <v>2009e</v>
          </cell>
          <cell r="D15" t="str">
            <v>2010e</v>
          </cell>
          <cell r="E15" t="str">
            <v>2011e</v>
          </cell>
          <cell r="F15" t="str">
            <v>2012e</v>
          </cell>
        </row>
        <row r="16">
          <cell r="A16" t="str">
            <v>Current</v>
          </cell>
        </row>
        <row r="17">
          <cell r="A17" t="str">
            <v>Revenue</v>
          </cell>
          <cell r="B17">
            <v>9082</v>
          </cell>
          <cell r="C17">
            <v>10414</v>
          </cell>
          <cell r="D17">
            <v>10504.628687793149</v>
          </cell>
          <cell r="E17">
            <v>11333.869412789531</v>
          </cell>
          <cell r="F17">
            <v>12197.254435587442</v>
          </cell>
          <cell r="H17">
            <v>7.6627748591430844E-2</v>
          </cell>
        </row>
        <row r="18">
          <cell r="A18" t="str">
            <v xml:space="preserve">Underlying EBIT </v>
          </cell>
          <cell r="B18">
            <v>919</v>
          </cell>
          <cell r="C18">
            <v>983</v>
          </cell>
          <cell r="D18">
            <v>1083.1120909282458</v>
          </cell>
          <cell r="E18">
            <v>1188.386644392222</v>
          </cell>
          <cell r="F18">
            <v>1373.9978971046339</v>
          </cell>
          <cell r="H18">
            <v>8.9467009223566984E-2</v>
          </cell>
        </row>
        <row r="19">
          <cell r="A19" t="str">
            <v>Margin %</v>
          </cell>
          <cell r="B19">
            <v>0.10118916538207444</v>
          </cell>
          <cell r="C19">
            <v>9.439216439408489E-2</v>
          </cell>
          <cell r="D19">
            <v>0.10310807960179219</v>
          </cell>
          <cell r="E19">
            <v>0.1048526854430849</v>
          </cell>
          <cell r="F19">
            <v>0.11264812949181212</v>
          </cell>
          <cell r="H19">
            <v>1.1925440941805476E-2</v>
          </cell>
        </row>
        <row r="20">
          <cell r="A20" t="str">
            <v>EPS</v>
          </cell>
          <cell r="B20">
            <v>-73.626373626373635</v>
          </cell>
          <cell r="C20">
            <v>120.37940379403793</v>
          </cell>
          <cell r="D20">
            <v>41.535972564754076</v>
          </cell>
          <cell r="E20">
            <v>45.387995080711818</v>
          </cell>
          <cell r="F20">
            <v>52.345540252998276</v>
          </cell>
          <cell r="H20">
            <v>-1.8510776706010228</v>
          </cell>
        </row>
        <row r="22">
          <cell r="A22" t="str">
            <v>Prior</v>
          </cell>
        </row>
        <row r="23">
          <cell r="A23" t="str">
            <v>Revenue</v>
          </cell>
          <cell r="B23">
            <v>8028.001201904106</v>
          </cell>
          <cell r="C23">
            <v>8592.4855591195756</v>
          </cell>
          <cell r="D23">
            <v>9238.1087377510903</v>
          </cell>
          <cell r="E23">
            <v>9584.8931342761462</v>
          </cell>
          <cell r="F23">
            <v>10095.928147389963</v>
          </cell>
        </row>
        <row r="24">
          <cell r="A24" t="str">
            <v xml:space="preserve">Underlying EBIT </v>
          </cell>
          <cell r="B24">
            <v>916.76796025048441</v>
          </cell>
          <cell r="C24">
            <v>969.2546835260755</v>
          </cell>
          <cell r="D24">
            <v>1045.1409000307481</v>
          </cell>
          <cell r="E24">
            <v>1074.397143580898</v>
          </cell>
          <cell r="F24">
            <v>1133.2909731549125</v>
          </cell>
        </row>
        <row r="25">
          <cell r="A25" t="str">
            <v>Margin %</v>
          </cell>
          <cell r="B25">
            <v>0.11419629085668828</v>
          </cell>
          <cell r="C25">
            <v>0.11280259674074909</v>
          </cell>
          <cell r="D25">
            <v>0.11313364344368775</v>
          </cell>
          <cell r="E25">
            <v>0.11209276186280995</v>
          </cell>
          <cell r="F25">
            <v>0.11225228197051849</v>
          </cell>
        </row>
        <row r="26">
          <cell r="A26" t="str">
            <v>EPS</v>
          </cell>
          <cell r="B26">
            <v>35.623517741419313</v>
          </cell>
          <cell r="C26">
            <v>37.961719406606811</v>
          </cell>
          <cell r="D26">
            <v>41.175894534746114</v>
          </cell>
          <cell r="E26">
            <v>42.96894110681103</v>
          </cell>
          <cell r="F26">
            <v>46.190081547557483</v>
          </cell>
        </row>
        <row r="28">
          <cell r="A28" t="str">
            <v>Change %</v>
          </cell>
        </row>
        <row r="29">
          <cell r="A29" t="str">
            <v>Revenue</v>
          </cell>
          <cell r="B29">
            <v>0.13129031393840651</v>
          </cell>
          <cell r="C29">
            <v>0.21198923505285072</v>
          </cell>
          <cell r="D29">
            <v>0.1370973200246588</v>
          </cell>
          <cell r="E29">
            <v>0.18247217303434948</v>
          </cell>
          <cell r="F29">
            <v>0.20813601855325414</v>
          </cell>
        </row>
        <row r="30">
          <cell r="A30" t="str">
            <v xml:space="preserve">Underlying EBIT </v>
          </cell>
          <cell r="B30">
            <v>2.4346834164075126E-3</v>
          </cell>
          <cell r="C30">
            <v>1.4181325824416113E-2</v>
          </cell>
          <cell r="D30">
            <v>3.6331169219748993E-2</v>
          </cell>
          <cell r="E30">
            <v>0.10609624336062939</v>
          </cell>
          <cell r="F30">
            <v>0.21239640096984913</v>
          </cell>
        </row>
        <row r="31">
          <cell r="A31" t="str">
            <v>EPS</v>
          </cell>
          <cell r="B31">
            <v>-3.0667912181162436</v>
          </cell>
          <cell r="C31">
            <v>2.1710735360708462</v>
          </cell>
          <cell r="D31">
            <v>8.7448744969975678E-3</v>
          </cell>
          <cell r="E31">
            <v>5.6297733004115003E-2</v>
          </cell>
          <cell r="F31">
            <v>0.13326364663597978</v>
          </cell>
        </row>
        <row r="35">
          <cell r="A35" t="str">
            <v xml:space="preserve">Marine growth </v>
          </cell>
        </row>
        <row r="36">
          <cell r="B36" t="str">
            <v>1H05</v>
          </cell>
          <cell r="C36" t="str">
            <v>2H05</v>
          </cell>
          <cell r="D36" t="str">
            <v>1H06</v>
          </cell>
          <cell r="E36" t="str">
            <v>2H06</v>
          </cell>
          <cell r="F36" t="str">
            <v>1H07</v>
          </cell>
          <cell r="G36" t="str">
            <v>2H07</v>
          </cell>
          <cell r="H36" t="str">
            <v>1H08</v>
          </cell>
        </row>
        <row r="37">
          <cell r="A37" t="str">
            <v>Marine revenue</v>
          </cell>
          <cell r="B37">
            <v>488</v>
          </cell>
          <cell r="C37">
            <v>609</v>
          </cell>
          <cell r="D37">
            <v>620</v>
          </cell>
          <cell r="E37">
            <v>679</v>
          </cell>
          <cell r="F37">
            <v>698</v>
          </cell>
          <cell r="G37">
            <v>850</v>
          </cell>
          <cell r="H37">
            <v>1009</v>
          </cell>
        </row>
        <row r="38">
          <cell r="A38" t="str">
            <v xml:space="preserve">Marine underlying EBIT </v>
          </cell>
          <cell r="B38">
            <v>39</v>
          </cell>
          <cell r="C38">
            <v>50</v>
          </cell>
          <cell r="D38">
            <v>50</v>
          </cell>
          <cell r="E38">
            <v>51</v>
          </cell>
          <cell r="F38">
            <v>58</v>
          </cell>
          <cell r="G38">
            <v>55</v>
          </cell>
          <cell r="H38">
            <v>87</v>
          </cell>
        </row>
        <row r="39">
          <cell r="B39">
            <v>7.9918032786885251E-2</v>
          </cell>
          <cell r="C39">
            <v>8.2101806239737271E-2</v>
          </cell>
          <cell r="D39">
            <v>8.0645161290322578E-2</v>
          </cell>
          <cell r="E39">
            <v>7.511045655375552E-2</v>
          </cell>
          <cell r="F39">
            <v>8.3094555873925502E-2</v>
          </cell>
          <cell r="G39">
            <v>6.4705882352941183E-2</v>
          </cell>
          <cell r="H39">
            <v>8.6223984142715565E-2</v>
          </cell>
        </row>
        <row r="42">
          <cell r="B42" t="str">
            <v>1H05</v>
          </cell>
          <cell r="C42" t="str">
            <v>2H05</v>
          </cell>
          <cell r="D42" t="str">
            <v>1H06</v>
          </cell>
          <cell r="E42" t="str">
            <v>2H06</v>
          </cell>
          <cell r="F42" t="str">
            <v>1H07</v>
          </cell>
          <cell r="G42" t="str">
            <v>2H07</v>
          </cell>
          <cell r="H42" t="str">
            <v>1H08</v>
          </cell>
        </row>
        <row r="43">
          <cell r="A43" t="str">
            <v>Order book</v>
          </cell>
          <cell r="B43">
            <v>1.7</v>
          </cell>
          <cell r="C43">
            <v>1.9</v>
          </cell>
          <cell r="D43">
            <v>2.1</v>
          </cell>
          <cell r="E43">
            <v>2.4</v>
          </cell>
          <cell r="F43">
            <v>3.1</v>
          </cell>
          <cell r="G43">
            <v>4.7</v>
          </cell>
          <cell r="H43">
            <v>5.5</v>
          </cell>
        </row>
        <row r="48">
          <cell r="B48" t="str">
            <v>1H05</v>
          </cell>
          <cell r="C48" t="str">
            <v>2H05</v>
          </cell>
          <cell r="D48" t="str">
            <v>1H06</v>
          </cell>
          <cell r="E48" t="str">
            <v>2H06</v>
          </cell>
          <cell r="F48" t="str">
            <v>1H07</v>
          </cell>
          <cell r="G48" t="str">
            <v>2H07</v>
          </cell>
          <cell r="I48" t="str">
            <v>CAGR</v>
          </cell>
        </row>
        <row r="49">
          <cell r="A49" t="str">
            <v>Marine revenue</v>
          </cell>
          <cell r="B49">
            <v>488</v>
          </cell>
          <cell r="C49">
            <v>609</v>
          </cell>
          <cell r="D49">
            <v>620</v>
          </cell>
          <cell r="E49">
            <v>679</v>
          </cell>
          <cell r="F49">
            <v>698</v>
          </cell>
          <cell r="G49">
            <v>850</v>
          </cell>
          <cell r="I49">
            <v>0.1173772395573629</v>
          </cell>
        </row>
        <row r="50">
          <cell r="A50" t="str">
            <v>Order book</v>
          </cell>
          <cell r="B50">
            <v>1700</v>
          </cell>
          <cell r="C50">
            <v>1900</v>
          </cell>
          <cell r="D50">
            <v>2100</v>
          </cell>
          <cell r="E50">
            <v>2400</v>
          </cell>
          <cell r="F50">
            <v>3100</v>
          </cell>
          <cell r="G50">
            <v>4700</v>
          </cell>
          <cell r="I50">
            <v>0.22554648108752806</v>
          </cell>
        </row>
        <row r="55">
          <cell r="A55" t="str">
            <v>ROIC improvement</v>
          </cell>
          <cell r="B55">
            <v>2006</v>
          </cell>
          <cell r="C55">
            <v>2007</v>
          </cell>
          <cell r="D55" t="str">
            <v>2008e</v>
          </cell>
          <cell r="E55" t="str">
            <v>2009e</v>
          </cell>
          <cell r="F55" t="str">
            <v>2010e</v>
          </cell>
          <cell r="G55" t="str">
            <v>2011e</v>
          </cell>
          <cell r="H55" t="str">
            <v>2012e</v>
          </cell>
        </row>
        <row r="56">
          <cell r="A56" t="str">
            <v>ROIC</v>
          </cell>
          <cell r="B56">
            <v>0.11089277049975739</v>
          </cell>
          <cell r="C56">
            <v>7.5356022206130815E-2</v>
          </cell>
          <cell r="D56">
            <v>0.11649419218585004</v>
          </cell>
          <cell r="E56">
            <v>0.14340231630909436</v>
          </cell>
          <cell r="F56">
            <v>0.12528145420424655</v>
          </cell>
          <cell r="G56">
            <v>0.12964233440802561</v>
          </cell>
          <cell r="H56">
            <v>0.13981334207096835</v>
          </cell>
        </row>
        <row r="90">
          <cell r="I90" t="str">
            <v>EPS estimates</v>
          </cell>
          <cell r="M90" t="str">
            <v>Revenue</v>
          </cell>
          <cell r="Q90" t="str">
            <v>EBIT</v>
          </cell>
        </row>
        <row r="92">
          <cell r="A92" t="str">
            <v>Consensus estimates</v>
          </cell>
          <cell r="B92" t="str">
            <v>2008e</v>
          </cell>
          <cell r="C92" t="str">
            <v>2009e</v>
          </cell>
          <cell r="D92" t="str">
            <v>2010e</v>
          </cell>
          <cell r="I92" t="str">
            <v>2008e</v>
          </cell>
          <cell r="J92" t="str">
            <v>2009e</v>
          </cell>
          <cell r="K92" t="str">
            <v>2010e</v>
          </cell>
          <cell r="M92" t="str">
            <v>2008e</v>
          </cell>
          <cell r="N92" t="str">
            <v>2009e</v>
          </cell>
          <cell r="O92" t="str">
            <v>2010e</v>
          </cell>
          <cell r="Q92" t="str">
            <v>2008e</v>
          </cell>
          <cell r="R92" t="str">
            <v>2009e</v>
          </cell>
          <cell r="S92" t="str">
            <v>2010e</v>
          </cell>
        </row>
        <row r="93">
          <cell r="A93" t="str">
            <v>Revenue</v>
          </cell>
          <cell r="B93">
            <v>8317.6923076923085</v>
          </cell>
          <cell r="C93">
            <v>8944.4166666666661</v>
          </cell>
          <cell r="D93">
            <v>9394.8333333333339</v>
          </cell>
          <cell r="I93">
            <v>32.5</v>
          </cell>
          <cell r="J93">
            <v>34.4</v>
          </cell>
          <cell r="K93">
            <v>39</v>
          </cell>
          <cell r="M93">
            <v>8484</v>
          </cell>
          <cell r="N93">
            <v>9062</v>
          </cell>
          <cell r="O93">
            <v>9855</v>
          </cell>
          <cell r="Q93">
            <v>920</v>
          </cell>
          <cell r="R93">
            <v>975</v>
          </cell>
          <cell r="S93">
            <v>924</v>
          </cell>
        </row>
        <row r="94">
          <cell r="A94" t="str">
            <v>EBIT</v>
          </cell>
          <cell r="B94">
            <v>880.33333333333337</v>
          </cell>
          <cell r="C94">
            <v>922.81818181818187</v>
          </cell>
          <cell r="D94">
            <v>991.33333333333337</v>
          </cell>
          <cell r="I94">
            <v>33.6</v>
          </cell>
          <cell r="J94">
            <v>36.200000000000003</v>
          </cell>
          <cell r="K94">
            <v>37.4</v>
          </cell>
          <cell r="M94">
            <v>7991</v>
          </cell>
          <cell r="N94">
            <v>8464</v>
          </cell>
          <cell r="O94">
            <v>9467</v>
          </cell>
          <cell r="Q94">
            <v>882</v>
          </cell>
          <cell r="R94">
            <v>944</v>
          </cell>
          <cell r="S94">
            <v>1025</v>
          </cell>
        </row>
        <row r="95">
          <cell r="A95" t="str">
            <v>EBIT margin %</v>
          </cell>
          <cell r="B95">
            <v>0.10583865100650451</v>
          </cell>
          <cell r="C95">
            <v>0.10317253949687592</v>
          </cell>
          <cell r="D95">
            <v>0.10551899093473363</v>
          </cell>
          <cell r="I95">
            <v>32</v>
          </cell>
          <cell r="J95">
            <v>34.1</v>
          </cell>
          <cell r="K95">
            <v>38.5</v>
          </cell>
          <cell r="M95">
            <v>8605</v>
          </cell>
          <cell r="N95">
            <v>9153</v>
          </cell>
          <cell r="O95">
            <v>8924</v>
          </cell>
          <cell r="Q95">
            <v>810</v>
          </cell>
          <cell r="R95">
            <v>882</v>
          </cell>
          <cell r="S95">
            <v>940</v>
          </cell>
        </row>
        <row r="96">
          <cell r="A96" t="str">
            <v>EPS</v>
          </cell>
          <cell r="B96">
            <v>34.649999999999991</v>
          </cell>
          <cell r="C96">
            <v>37.53</v>
          </cell>
          <cell r="D96">
            <v>39.54</v>
          </cell>
          <cell r="I96">
            <v>32.4</v>
          </cell>
          <cell r="J96">
            <v>36.799999999999997</v>
          </cell>
          <cell r="K96">
            <v>40.1</v>
          </cell>
          <cell r="M96">
            <v>7915</v>
          </cell>
          <cell r="N96">
            <v>8144</v>
          </cell>
          <cell r="O96">
            <v>9445</v>
          </cell>
          <cell r="Q96">
            <v>860</v>
          </cell>
          <cell r="R96">
            <v>900</v>
          </cell>
          <cell r="S96">
            <v>1003</v>
          </cell>
        </row>
        <row r="97">
          <cell r="I97">
            <v>36</v>
          </cell>
          <cell r="J97">
            <v>38</v>
          </cell>
          <cell r="K97">
            <v>42.7</v>
          </cell>
          <cell r="M97">
            <v>8190</v>
          </cell>
          <cell r="N97">
            <v>8740</v>
          </cell>
          <cell r="O97">
            <v>9203</v>
          </cell>
          <cell r="Q97">
            <v>844</v>
          </cell>
          <cell r="R97">
            <v>882</v>
          </cell>
          <cell r="S97">
            <v>1100</v>
          </cell>
        </row>
        <row r="98">
          <cell r="A98" t="str">
            <v xml:space="preserve">MS estimates </v>
          </cell>
          <cell r="I98">
            <v>35.4</v>
          </cell>
          <cell r="J98">
            <v>37.4</v>
          </cell>
          <cell r="M98">
            <v>8561</v>
          </cell>
          <cell r="N98">
            <v>9292</v>
          </cell>
          <cell r="Q98">
            <v>928</v>
          </cell>
          <cell r="R98">
            <v>1003</v>
          </cell>
          <cell r="S98">
            <v>956</v>
          </cell>
        </row>
        <row r="99">
          <cell r="A99" t="str">
            <v xml:space="preserve">Revenue </v>
          </cell>
          <cell r="B99">
            <v>9082</v>
          </cell>
          <cell r="C99">
            <v>10414</v>
          </cell>
          <cell r="D99">
            <v>10504.628687793149</v>
          </cell>
          <cell r="I99">
            <v>36.299999999999997</v>
          </cell>
          <cell r="J99">
            <v>39.6</v>
          </cell>
          <cell r="M99">
            <v>8382</v>
          </cell>
          <cell r="N99">
            <v>8815</v>
          </cell>
          <cell r="O99">
            <v>9475</v>
          </cell>
          <cell r="Q99">
            <v>921</v>
          </cell>
          <cell r="R99">
            <v>1032</v>
          </cell>
        </row>
        <row r="100">
          <cell r="A100" t="str">
            <v xml:space="preserve">EBIT </v>
          </cell>
          <cell r="B100">
            <v>919</v>
          </cell>
          <cell r="C100">
            <v>983</v>
          </cell>
          <cell r="D100">
            <v>1083.1120909282458</v>
          </cell>
          <cell r="I100">
            <v>35.700000000000003</v>
          </cell>
          <cell r="J100">
            <v>43.3</v>
          </cell>
          <cell r="M100">
            <v>8528</v>
          </cell>
          <cell r="N100">
            <v>9328</v>
          </cell>
          <cell r="Q100">
            <v>928</v>
          </cell>
          <cell r="R100">
            <v>825</v>
          </cell>
        </row>
        <row r="101">
          <cell r="A101" t="str">
            <v>EBIT margin %</v>
          </cell>
          <cell r="B101">
            <v>0.10118916538207444</v>
          </cell>
          <cell r="C101">
            <v>9.439216439408489E-2</v>
          </cell>
          <cell r="D101">
            <v>0.10310807960179219</v>
          </cell>
          <cell r="I101">
            <v>38.700000000000003</v>
          </cell>
          <cell r="J101">
            <v>35.5</v>
          </cell>
          <cell r="M101">
            <v>8554</v>
          </cell>
          <cell r="N101">
            <v>9525</v>
          </cell>
          <cell r="Q101">
            <v>810</v>
          </cell>
          <cell r="R101">
            <v>879</v>
          </cell>
        </row>
        <row r="102">
          <cell r="A102" t="str">
            <v>EPS</v>
          </cell>
          <cell r="B102">
            <v>-73.626373626373635</v>
          </cell>
          <cell r="C102">
            <v>120.37940379403793</v>
          </cell>
          <cell r="D102">
            <v>41.535972564754076</v>
          </cell>
          <cell r="I102">
            <v>33.9</v>
          </cell>
          <cell r="J102">
            <v>40</v>
          </cell>
          <cell r="M102">
            <v>8090</v>
          </cell>
          <cell r="N102">
            <v>8455</v>
          </cell>
          <cell r="Q102">
            <v>860</v>
          </cell>
          <cell r="R102">
            <v>1028</v>
          </cell>
        </row>
        <row r="103">
          <cell r="M103">
            <v>8221</v>
          </cell>
          <cell r="N103">
            <v>8985</v>
          </cell>
          <cell r="Q103">
            <v>955</v>
          </cell>
          <cell r="R103">
            <v>801</v>
          </cell>
        </row>
        <row r="104">
          <cell r="I104">
            <v>34.649999999999991</v>
          </cell>
          <cell r="J104">
            <v>37.53</v>
          </cell>
          <cell r="K104">
            <v>39.54</v>
          </cell>
          <cell r="M104">
            <v>8625</v>
          </cell>
          <cell r="N104">
            <v>9370</v>
          </cell>
          <cell r="Q104">
            <v>846</v>
          </cell>
        </row>
        <row r="105">
          <cell r="A105" t="str">
            <v>Revenue</v>
          </cell>
          <cell r="B105">
            <v>9.1889392398039282E-2</v>
          </cell>
          <cell r="C105">
            <v>0.16430175248991463</v>
          </cell>
          <cell r="D105">
            <v>0.11812826423670608</v>
          </cell>
          <cell r="M105">
            <v>7984</v>
          </cell>
          <cell r="Q105">
            <v>880.33333333333337</v>
          </cell>
          <cell r="R105">
            <v>922.81818181818187</v>
          </cell>
          <cell r="S105">
            <v>991.33333333333337</v>
          </cell>
        </row>
        <row r="106">
          <cell r="A106" t="str">
            <v xml:space="preserve">EBIT </v>
          </cell>
          <cell r="B106">
            <v>4.3922756531616702E-2</v>
          </cell>
          <cell r="C106">
            <v>6.5215249729090763E-2</v>
          </cell>
          <cell r="D106">
            <v>9.2581127365412685E-2</v>
          </cell>
          <cell r="M106">
            <v>8317.6923076923085</v>
          </cell>
          <cell r="N106">
            <v>8944.4166666666661</v>
          </cell>
          <cell r="O106">
            <v>9394.8333333333339</v>
          </cell>
        </row>
        <row r="107">
          <cell r="A107" t="str">
            <v>EPS</v>
          </cell>
          <cell r="B107">
            <v>-3.1248592677164115</v>
          </cell>
          <cell r="C107">
            <v>2.2075513933929636</v>
          </cell>
          <cell r="D107">
            <v>5.0479832189025631E-2</v>
          </cell>
        </row>
        <row r="113">
          <cell r="A113" t="str">
            <v>FX effect on FV</v>
          </cell>
        </row>
        <row r="117">
          <cell r="B117" t="str">
            <v xml:space="preserve">FCF </v>
          </cell>
          <cell r="C117" t="str">
            <v>FV</v>
          </cell>
        </row>
        <row r="118">
          <cell r="A118" t="str">
            <v>FV at 1.95</v>
          </cell>
          <cell r="B118">
            <v>0</v>
          </cell>
          <cell r="C118">
            <v>716.82770788580683</v>
          </cell>
          <cell r="E118">
            <v>358.41385394290342</v>
          </cell>
        </row>
        <row r="120">
          <cell r="B120" t="str">
            <v>2008e</v>
          </cell>
          <cell r="C120" t="str">
            <v>2009e</v>
          </cell>
          <cell r="D120" t="str">
            <v>2010e</v>
          </cell>
          <cell r="E120" t="str">
            <v>2011e</v>
          </cell>
        </row>
        <row r="121">
          <cell r="A121" t="str">
            <v>EPS</v>
          </cell>
          <cell r="B121">
            <v>-73.626373626373635</v>
          </cell>
          <cell r="C121">
            <v>120.37940379403793</v>
          </cell>
          <cell r="D121">
            <v>41.535972564754076</v>
          </cell>
          <cell r="E121">
            <v>45.387995080711818</v>
          </cell>
        </row>
        <row r="124">
          <cell r="B124" t="str">
            <v xml:space="preserve">FCF </v>
          </cell>
          <cell r="C124" t="str">
            <v>FV</v>
          </cell>
        </row>
        <row r="125">
          <cell r="A125" t="str">
            <v>FV at 2.05</v>
          </cell>
          <cell r="B125">
            <v>492.53194569714242</v>
          </cell>
          <cell r="C125">
            <v>545.99807087321074</v>
          </cell>
          <cell r="E125">
            <v>519.26500828517658</v>
          </cell>
        </row>
        <row r="127">
          <cell r="B127" t="str">
            <v>2008e</v>
          </cell>
          <cell r="C127" t="str">
            <v>2009e</v>
          </cell>
          <cell r="D127" t="str">
            <v>2010e</v>
          </cell>
          <cell r="E127" t="str">
            <v>2011e</v>
          </cell>
        </row>
        <row r="128">
          <cell r="A128" t="str">
            <v>EPS</v>
          </cell>
          <cell r="B128">
            <v>35.623517741419313</v>
          </cell>
          <cell r="C128">
            <v>37.961719406606811</v>
          </cell>
          <cell r="D128">
            <v>41.175894534746114</v>
          </cell>
          <cell r="E128">
            <v>43.14640215682121</v>
          </cell>
        </row>
        <row r="131">
          <cell r="A131" t="str">
            <v>Cut to EPS</v>
          </cell>
          <cell r="B131">
            <v>-1.4838418081297249</v>
          </cell>
          <cell r="C131">
            <v>-0.68464938178662949</v>
          </cell>
          <cell r="D131">
            <v>-8.6690646149335526E-3</v>
          </cell>
          <cell r="E131">
            <v>-4.9387352754940217E-2</v>
          </cell>
        </row>
        <row r="133">
          <cell r="B133">
            <v>-492.53194569714242</v>
          </cell>
          <cell r="C133">
            <v>170.82963701259609</v>
          </cell>
        </row>
        <row r="140">
          <cell r="B140">
            <v>2004</v>
          </cell>
          <cell r="C140">
            <v>2005</v>
          </cell>
          <cell r="D140">
            <v>2006</v>
          </cell>
          <cell r="E140">
            <v>2007</v>
          </cell>
          <cell r="F140" t="str">
            <v>2008e</v>
          </cell>
          <cell r="G140" t="str">
            <v>2009e</v>
          </cell>
          <cell r="H140" t="str">
            <v>2010e</v>
          </cell>
          <cell r="I140" t="str">
            <v>2011e</v>
          </cell>
        </row>
        <row r="141">
          <cell r="A141" t="str">
            <v>Civil Aerospace</v>
          </cell>
          <cell r="B141">
            <v>194</v>
          </cell>
          <cell r="C141">
            <v>454</v>
          </cell>
          <cell r="D141">
            <v>519</v>
          </cell>
          <cell r="E141">
            <v>564</v>
          </cell>
          <cell r="F141">
            <v>566</v>
          </cell>
          <cell r="G141">
            <v>493</v>
          </cell>
          <cell r="H141">
            <v>472.81882601904039</v>
          </cell>
          <cell r="I141">
            <v>554.72726895351991</v>
          </cell>
        </row>
        <row r="142">
          <cell r="A142" t="str">
            <v xml:space="preserve">Non-civil divisions </v>
          </cell>
          <cell r="B142">
            <v>223</v>
          </cell>
          <cell r="C142">
            <v>225</v>
          </cell>
          <cell r="D142">
            <v>229</v>
          </cell>
          <cell r="E142">
            <v>268</v>
          </cell>
          <cell r="F142">
            <v>353</v>
          </cell>
          <cell r="G142">
            <v>490</v>
          </cell>
          <cell r="H142">
            <v>610.29326490920539</v>
          </cell>
          <cell r="I142">
            <v>633.65937543870211</v>
          </cell>
        </row>
        <row r="143">
          <cell r="A143" t="str">
            <v xml:space="preserve">Total </v>
          </cell>
          <cell r="B143">
            <v>417</v>
          </cell>
          <cell r="C143">
            <v>679</v>
          </cell>
          <cell r="D143">
            <v>748</v>
          </cell>
          <cell r="E143">
            <v>832</v>
          </cell>
          <cell r="F143">
            <v>919</v>
          </cell>
          <cell r="G143">
            <v>983</v>
          </cell>
          <cell r="H143">
            <v>1083.1120909282458</v>
          </cell>
          <cell r="I143">
            <v>1188.386644392222</v>
          </cell>
        </row>
        <row r="146">
          <cell r="B146">
            <v>1.1494845360824741</v>
          </cell>
          <cell r="C146">
            <v>0.49559471365638769</v>
          </cell>
          <cell r="D146">
            <v>0.44123314065510599</v>
          </cell>
          <cell r="E146">
            <v>0.47517730496453903</v>
          </cell>
          <cell r="F146">
            <v>0.62367491166077738</v>
          </cell>
          <cell r="G146">
            <v>0.99391480730223125</v>
          </cell>
          <cell r="H146">
            <v>1.2907550023920344</v>
          </cell>
          <cell r="I146">
            <v>1.1422899339960082</v>
          </cell>
        </row>
      </sheetData>
      <sheetData sheetId="22"/>
      <sheetData sheetId="23"/>
      <sheetData sheetId="24"/>
      <sheetData sheetId="25"/>
      <sheetData sheetId="2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W-Cache"/>
      <sheetName val="Model"/>
      <sheetName val="Comm.Aero.Prod"/>
      <sheetName val="BizJet.Prod"/>
      <sheetName val="10K"/>
      <sheetName val="10Q"/>
      <sheetName val="__FDSCACHE__"/>
      <sheetName val="Notes"/>
      <sheetName val="Guidance Tracker"/>
      <sheetName val="M&amp;A"/>
      <sheetName val="Valuation"/>
      <sheetName val="DCF"/>
      <sheetName val="ROIC"/>
      <sheetName val="Other ---&gt;"/>
      <sheetName val="Bull Bear"/>
      <sheetName val="Revenue Data"/>
      <sheetName val="EPS walk"/>
      <sheetName val="MWA RR"/>
      <sheetName val="mwareDates"/>
      <sheetName val="mwareSettings"/>
      <sheetName val="BEAV.Notes"/>
      <sheetName val="Revenue Build-up"/>
      <sheetName val="Quarterly Analysis"/>
      <sheetName val="Variance"/>
      <sheetName val="Working Cap"/>
      <sheetName val="Output"/>
      <sheetName val="BEAV.10Q"/>
      <sheetName val="BEAV.10K"/>
      <sheetName val="#REF"/>
      <sheetName val="Monthly Note"/>
      <sheetName val="Boeing Del Schedule- Reported"/>
      <sheetName val="787 vs A350 Orders"/>
      <sheetName val="Paris 05 Orders"/>
      <sheetName val="Boeing Del Schedule"/>
      <sheetName val="New Tables 2006"/>
      <sheetName val="Graphs"/>
      <sheetName val="Main"/>
      <sheetName val="F'boro 08 Order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Cash"/>
      <sheetName val="Exhibit 3"/>
      <sheetName val="Cash_published"/>
      <sheetName val="NVF_published"/>
      <sheetName val="Exhibit 5"/>
      <sheetName val="IFRS"/>
      <sheetName val="Exhibit 4"/>
      <sheetName val="IFRS Life"/>
      <sheetName val="Exhibit 1"/>
      <sheetName val="Exhibit 2"/>
      <sheetName val="MCEV Roll-up"/>
      <sheetName val="Weekahead"/>
      <sheetName val="MCEV_Capital"/>
      <sheetName val="Assets(new)"/>
      <sheetName val="MCEV P&amp;L"/>
      <sheetName val="Cash Flow"/>
      <sheetName val="upside_downside"/>
      <sheetName val="Income Statement"/>
      <sheetName val="Balance Sheet"/>
      <sheetName val="RI"/>
      <sheetName val="BULLBEAR"/>
      <sheetName val="Sheet2"/>
      <sheetName val="DCF"/>
      <sheetName val="MWA RR"/>
      <sheetName val="REVENUE BY GEOGRAPHY"/>
      <sheetName val="NonQtr"/>
      <sheetName val="Data 20d"/>
      <sheetName val="Data"/>
      <sheetName val="Risk-Reward_View_Chart"/>
      <sheetName val="Valsum"/>
      <sheetName val="Good 12-00 (2)"/>
      <sheetName val="Good 11-36"/>
      <sheetName val="Good 11-50"/>
      <sheetName val="Sheet3 (5)"/>
      <sheetName val="Inputs"/>
      <sheetName val="Interims"/>
      <sheetName val="Financial Statements"/>
      <sheetName val="FX"/>
      <sheetName val="CPB"/>
      <sheetName val="Total_Food_Promo"/>
      <sheetName val="CPB_2yr"/>
      <sheetName val="Summary"/>
      <sheetName val="Floater Demand"/>
      <sheetName val="B11_BarSingle_AverageLine"/>
      <sheetName val="Quero_Sales"/>
      <sheetName val="L2005"/>
      <sheetName val="C2000"/>
      <sheetName val="Cell Reference"/>
      <sheetName val="Shading Period-Level"/>
      <sheetName val="Sources of Change"/>
      <sheetName val="Basic (gridlines)"/>
      <sheetName val="Average (reference) Line"/>
      <sheetName val="Double (overlapping)"/>
      <sheetName val="Reference Step Line"/>
      <sheetName val="Double (gridlines)"/>
      <sheetName val="Growth Line"/>
      <sheetName val="Reference Marks"/>
      <sheetName val="Single-point highlighting"/>
      <sheetName val="CPNO"/>
      <sheetName val="MMP"/>
      <sheetName val="PAA"/>
      <sheetName val="EEP"/>
      <sheetName val="KMP"/>
      <sheetName val="ETP"/>
      <sheetName val="BPL"/>
      <sheetName val="NS"/>
      <sheetName val="BWP"/>
      <sheetName val="EPD"/>
      <sheetName val="RGNC"/>
      <sheetName val="WP Detail "/>
      <sheetName val="画像1"/>
      <sheetName val="業績推移"/>
      <sheetName val="バリュエーション比較"/>
      <sheetName val="自動車設備投資"/>
      <sheetName val="ロボット機械統計年"/>
      <sheetName val="ロボット機械統計"/>
      <sheetName val="株価と関連指標"/>
      <sheetName val="画像3"/>
      <sheetName val="利益率比較"/>
      <sheetName val="ロボット試算"/>
      <sheetName val="画像2"/>
      <sheetName val="内訳"/>
      <sheetName val="株価(過去1年) "/>
      <sheetName val="WWロボット出荷台数"/>
      <sheetName val="長期営業利益"/>
      <sheetName val="中国NC化率"/>
      <sheetName val="画像4"/>
      <sheetName val="成長率比較"/>
      <sheetName val="バリュエーション"/>
      <sheetName val="四半期"/>
      <sheetName val="画像5"/>
      <sheetName val="RRBox"/>
      <sheetName val="シェアと競合"/>
      <sheetName val="Sheet4"/>
      <sheetName val="ForeignStake"/>
      <sheetName val="Model"/>
      <sheetName val="rev change analysis"/>
      <sheetName val="rev contribution analysis"/>
      <sheetName val="WPZ"/>
      <sheetName val="TPP"/>
      <sheetName val="EPE"/>
      <sheetName val="WMZ"/>
      <sheetName val="HEP"/>
      <sheetName val="MGG"/>
      <sheetName val="ETE"/>
      <sheetName val="BGH"/>
      <sheetName val="SEP"/>
      <sheetName val="TCLP"/>
      <sheetName val="SXL"/>
      <sheetName val="WES"/>
      <sheetName val="HTC"/>
      <sheetName val="MS Tele Rep"/>
      <sheetName val="China Handset"/>
      <sheetName val="Smartphone"/>
      <sheetName val="IDC"/>
      <sheetName val="CW"/>
      <sheetName val="R2000"/>
      <sheetName val="__FDS_DOWNL_SCRATCH_SHEET__"/>
      <sheetName val="FIH"/>
      <sheetName val="MIC"/>
      <sheetName val="Valuation"/>
      <sheetName val="Sales by App"/>
      <sheetName val="Net Income &amp; EPS"/>
      <sheetName val="IDC_2"/>
      <sheetName val="Sales by Region Comp"/>
      <sheetName val="What's Changed"/>
      <sheetName val="Outsourcing"/>
      <sheetName val="Nokia vs HTC"/>
      <sheetName val="2012 Outlook"/>
      <sheetName val="Basket_June09_2010"/>
      <sheetName val="C1070"/>
      <sheetName val="Basket_Jan09"/>
      <sheetName val="Basket_2010"/>
      <sheetName val="Inflation v Price 6mth lag"/>
      <sheetName val="Basket_2011"/>
      <sheetName val="Basket_June09"/>
      <sheetName val="Basket_June09_Futures"/>
      <sheetName val="Commodities Exposure"/>
      <sheetName val=" Capital"/>
      <sheetName val="New Business"/>
      <sheetName val="Charts"/>
      <sheetName val="Pension"/>
      <sheetName val="Walk"/>
      <sheetName val="Commodity Index"/>
      <sheetName val="Prices_Quarterly"/>
      <sheetName val="Inflation_Monthly"/>
      <sheetName val="Inflation_Quarterly"/>
      <sheetName val="Prices_Monthly"/>
      <sheetName val="Exposure"/>
      <sheetName val="Chart 6"/>
      <sheetName val="Front page benchmarks_9x3"/>
      <sheetName val="Front page benchmarks_6x5"/>
      <sheetName val="Benchmarks_All_gray2"/>
      <sheetName val="Sector yardstick_OLD"/>
      <sheetName val="Front page benchmarks_6x3"/>
      <sheetName val="Benchmarks_All_gray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Fleet v2"/>
      <sheetName val="Main"/>
      <sheetName val="Deliveries"/>
      <sheetName val="Old Format"/>
      <sheetName val="Deliveries LCA &amp; RJ"/>
      <sheetName val="Backlog v Deliveries"/>
      <sheetName val="Airbus Monthly"/>
      <sheetName val="Boeing Monthly"/>
      <sheetName val="Storage Summary"/>
      <sheetName val="WW Fleet Stats"/>
      <sheetName val="Sang-scratch"/>
      <sheetName val="from AIRCAP"/>
      <sheetName val="Program Lifecycles"/>
      <sheetName val="Sang - Charts"/>
      <sheetName val="Boeing Charts"/>
      <sheetName val="StoredAC"/>
      <sheetName val="StoredAC v2"/>
      <sheetName val="Table of Contents"/>
    </sheetNames>
    <sheetDataSet>
      <sheetData sheetId="0">
        <row r="5">
          <cell r="A5" t="str">
            <v>Boeing ceded share in North America</v>
          </cell>
        </row>
      </sheetData>
      <sheetData sheetId="1" refreshError="1"/>
      <sheetData sheetId="2">
        <row r="1">
          <cell r="A1" t="str">
            <v>ﰝ䩜黜_xDC8F_刑䠤憪騹艩麣㥘詯ᘘ益댶✀᤾ᵵॏ쮳凵춖졔鰰ާ㽠輌ݖὈᛥ_xDE09_兠┢_xDDF2_狷ˈꉒ菚骸괭퓊踋嘈峌ソ쉒擡鏋供꽢_xD86D_땂ꑇ쎄қ⁄ᰥ䎾㯮跜ᙤ붒焹쇉拧렺鋴⊃ᖇ馲_xDC25_㶿_xDCD2_ᱎ䥶뫸責庶ࡳ荊鳡㺸ꂡ隄섲❑꧘䠸炭ᜑ⁇鷯冄껂媐㬜݊讬뚈妾졦⬫Ɜ㯝ई_xDCEF_殒㛭쭭럅⳥찿艕닂磤國㹅㠫쉂彻繟䁆㜶╘㪓霼夑솾Ṟ尭裉헇뼿ゞ_xDDB4_凾⟯謉뎝䄀쳔ল䘲喻⎪☱홝鬫䀜㾘碦⿲읊滞䁨ɐ❅絸蛊緛뚓ꖙퟆഋ忶鯃햹뫦얶蘛圤燬l녋㬓矹兓纄聨뒄⣼೤Ż獑綠➡丁ᙤ엂ʮ䔵겂튓ఛ͂匫瑁眢뀋낋ږᩴ通섎舍ꊖ銈鵠帕쳡灛ꢏ멕㯊㳀铞餢ꆇ喅睊凙ᇉ돉ᅇ䳞咂␻핈⦀♨≁馼꤄_xDFE0_䄣Ϣ䦚࢐♯妽ᰈ汁띸㚔䔱ꔞ嬃簋橘젨袍⌝ᛋ㗨쪅ࡇ袎扇⏗䋆䑲ℼあ㘽ㄮ声뒭頬ﰥܖ䬅⟵ຕ乣_xD821_Ṽ擱쉎克䠡땜㤭숃쟃ꋚऀ짂蜒쥊쮊쪦䌗ၫ_xDE1F_ि頽ჳ噺螉뜃凜៚漑⺇_xDD22_挐䫜띪⬮警褄鯽迩쨯灋⚅ㄧ뾉虍䆠ṓ䔇咮⇛㇡墨Ᲊ棬婼࿲﷪䋧謤_xDEFA_ꏋꮾ葬䈟屿勵忺얭⿝士῰さ_xDE78_ᙵ뵻ޗ㙄불薦᪉젊喒罝霁ᵞ灇飗锾፶넂画◨뺄ĸ츸猦験ꀭ砞࣢〒耈_xDC37_ꡳ્躧汀ꫫ朠ゎ銓屜㓃쐌᪽죨頑Ὼ总_xDF4B_㈖㩱֡᣺甴햄쳉䮌䁪䜳_xDAF3_邺_xDCF9_少꽰⤳踗騠빘㋔쨀｟ᛈ쵕걂櫣젷薷ዹ懥൷珂녩ᛞ戔嗕㨷䄉굝㣺ꧼ䝝煐ﬃ祐藉珐锴㾪Ѷ鹚磝缟뾲ꎾ_xDC97_➔₎䇈餞ฆ贰펢킄㣏쁳ț帩ퟜ䝃譓謷閭殛퀔ꆄ䭩㣟᠀ﱾ酿㭯栉뀬俚ꈴ픑匵⹱簄착ᨂ닋괕㽉鈹䁹–澂脯µ㡛뢺陰⢎⏎蝼Ỵ废覆훝﷑폓韽譗궯㟭ị殸檽膲㯧謯_xDD33_ᙻ煝㒦䶶呈ꨗ礧❊즠䈢ퟘ剾뻆顱샕诹ﳹ⋵⻚꺝ꓽ㳄栎훋肐ൾ讠鶯숸쟒俫箔୨쭨⾊⚝_xDDB4_巾⧻姴ꍂ핅嵞撎棨ꄢ儲_xD853_헁댄ㄮ픾뉾燯ᯨ鹳逤컭沬쫿ꛎ촁첎隓櫤▙콬䀣嶇∭즽娂䀺㢱烈뎮Ḩ깟뷭樼붧툱뀒닭匃檄䆋栛ĺ탍ᯰ禫⛨_xDD84_黨牾稞庎쉛罔ে蕝㯨もⲁ奼ꀤ䲩敇픆⃟뀡휀褿齂騺鵄完襋땣锗憂ꍀ䩠㸑ힽ험Ϫ䑱ꇋ≍窤槓逄麐뗦썰ⳓ㦢뿬麈㐇岾㤬龵肋伦玗᪻㋫頠෥顳ꅭ⳽賞햿쿔䶷췣鷖㛍묑袛䶽쑍⛾짢፠瓱፬_xD844_絍៽⢒ᅆ駎뺿璊세꫕䒘㚲䲖㴓囓茋㦛㵜빫뢉䓘⩜빢쵔᧗ﶹ⽠낇㐀뽎췃戴ꐢ⎎爈叉푒瘛䴝쏵훬쥓箥贉겯锶䮒㬟殚ꐖ钟﷽๚샌갉줗䁉姯瓪啝岐ၯ﯐驘㢳⥳份贝忿踟ﳏ냩첺⇔㺟栌ኊ_xDF51_趫騂畳澃瘼⨴굳䋧혚ꀤ␉ᗂ썑᧋㪙⤚⦛춫贜촌ᥲꂥ㮚疚궜뤍ᛮ溎䷴Ɩ泝_xDBB6_㢶拪悂ᗤ웷㷞ﶪ뛒凅ᝇ_xDB6E_椒箂თ뻷측嬖㋚胛始禕ዜ쪫벽퉠䣺푪⟇췹輫朝ꩡힴ˴ꁹ擨㕨崇_xD847_㸅읲ᳵ༁훔삄ꎹ튞ѷ醇汌巉鉻蓐ꢫ۾ゎ帓ᮝﻊᵎ瞍㼯꣜쾾騒퍠뺗㣰熠ﶉ轜펹ꬦ䁉闛᤻⦋賰깪ꘛ﬿놸桻ᇜ嘌뜇ᰬ鱑ꗫᨣ祽䇸삾喻Ή_xDDF5_ۡ賮蒦鶤撲猄䢡쾵ᘓ⛉矰瞱䱂쐈砡܄剥湝྿쐧䧑㢄∞隌汸_xD8E5_ᆇᱎ师꩑燋㒟偕簵晼㨋㟆瞊漋撎울씰Ꮽ䔦⤉슜켖Ὕ칋챥鏧䲸৮Წℬꘉ쏵_xDDCD__xDBC7_熖ᾞ_xDDEB_ﶣ緊뮴颃_xDBAB_疛봜畋窄ꞔ耼͵ེ빛벮䯒疈李昨䛥瘿艃폵ꉏǻ侽䤔㩞絇ᎇ끗﬒⟱泟퀐蒇俦픿槵猀ᮥ푩⠺쳸_xD8D1_㉽鐃제ꀸ놷暝䨌䁉⽳턖땞䢑㰮㑵銦⑬珲ˏ鮚袻곓ⷵ㉇㑷煵觴ᅶⰐڞ捋퀙⚍똄ᰘ弤孮㙦ᝲ禫覒⊺鏰뷲᱄롊⃏亥삚엟৞씿좡ࠃ솕屙ὺ꛰氡ꕧ䦐⣌捝谼塰턭璘㏼⥱ೄ쇋⊏껜ꃌ鹖剱詳○㺪ȱ衷䮐천碳鳞奷ㄑ㽧ﶋ꒪邗䈭ɘ坅倈㷘⻜꤄䌬㬃탋ႀ履쓒榠ŧ鴳䐗㴛幽젽㼗ᴍ逥苐⥪艡肀⥅冾꭛㞱됮蘠鳄골䨡፯䅙ꠢ螪⵰ᐕ␘쉘䩮䠡풪끍_xDA59_㟝疨㧨㑔櫓筃썔垯䜷簒⒡㬲穌☵챳楙蹭ӎ㉕䯁볹䅧ﬁ偹뽀槝꡽샪쮭ﻙ䖽_xD86A_껿ẞ_xDEFF_骋ັ_xD85D_绱ၝ욬੯♅ƻ嵎ፑꛇ阰ড়_xD8BD_묽ڬ_xDC27_赘_xD8E6_㞻䘏ﶝ㏩㽹꧀魾ኙ腴鏌⚀򙽢俣祫㒃숔䙟蝓奓싆폈鹏츹踜晢᳗鿆꜎ꔘy_x0000_._x0000_0_x0000__x0000__x0000_휊䀐_x0000__x0000_魦⼔Ā_x0000__x0000__x0000_網湼䈒䀵_x0000__x0000__x0002__x0000__x0001__x0000__x0000__x0000_蛙ꄶﴞ䀶_x0000__x0000__x0018__x0000__x0001__x0000__x0000__x0000_Ā_x0000__x0000__x0000__x0000__x0000_z_x0000_._x0000_0_x0000__x0000__x0000_휊䀐_x0000__x0000_魦⼔Ā_x0000__x0000__x0000_ꦏ墽㙊䀰_x0000__x0000__x0003__x0000__x0001__x0000__x0000__x0000_牱彸䀳_x0000__x0000__x0018__x0000__x0001__x0000__x0000__x0000__x0001__x0000__x0000__x0000__x0000__x0000_{_x0000_._x0000_0_x0000__x0000__x0000_휊䀐_x0000__x0000_魦⼔Ā_x0000__x0000__x0000_傌囻⼠䀔_x0000__x0000_
_x0000__x0001__x0000__x0000__x0000_ꍀ䀌_x0000__x0000__x0018__x0000__x0001__x0000__x0000__x0000_Ā_x0000__x0000__x0000__x0000__x0000__x0000_._x0000_0_x0000__x0000__x0000_휊䀐_x0000__x0000_魦⼔Ā_x0000__x0000__x0000_︡빚棓䀴_x0000__x0000__x0002__x0000__x0001__x0000__x0000__x0000_݉⏟䀶_x0000__x0000__x0018__x0000__x0001__x0000__x0000__x0000__x0000__x0000_魦⼔Ā_x0000__x0000_._x0000_0_x0000__x0000__x0000_휊䀐_x0000__x0000_魦⼔Ā_x0000__x0000__x0000_⻕瀁埏䀱_x0000__x0000__x0003__x0000__x0001__x0000__x0000__x0000_荒能䀴_x0000__x0000__x0018__x0000__x0001__x0000__x0000__x0000__x0000__x0000_尬BĀ_x0000__x0000_._x0000_0_x0000__x0000__x0000_휊䀐_x0000__x0000_魦⼔Ā_x0000__x0000__x0000_穠狎蠢䀈_x0000__x0000_
_x0000__x0001__x0000__x0000__x0000_擄昐⸟㿺_x0000__x0000__x0018__x0000__x0001__x0000__x0000__x0000__x0000__x0000_尬BĀ_x0000_	_x0000__x0008__x0000_
_x0000__x0000__x0000__x0000__x0000__x0000__x0000_魦⼔Ā_x0000__x0000__x0000__x0000__x0000__x0000__x0000__x0000_ꊼAĀ_x0000__x0000__x0000__x0000__x0000__x0000__x0000__x0000_ꊼAĀ_x0000__x0000__x0000__x0000__x0000__x0000__x0000__x0000__x0000_*Current Peer Multiple SOTP: 2012 P/E Basis_x0000__x0000__x0000__x0000__x0000__x0018__x0000_	_x0000__x000B__x0000__x0000__x0000_齡䂏_x0000__x0000_魦⼔Ā_x0000__x0000__x0000__x0000__x0000__x0000_㿰_x0000__x0000_ꊼAĀ_x0000__x0000__x0000__x0000__x0000__x0000__x0000__x0000_ꊼAĀ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0015_Netjets International_x0000__x0000__x0016_Metromedia Aircraft Coc_x0015_Government of Algeria_x0000__x0000__x0014_CSC Transport IV Inc_x0000__x0000__x0000__x0015_Netjets International_x0000__x0000__x0015_Netjets International_x0000__x0000__x0015_Netjets International_x0000__x0000__x0015_Netjets Internationalnc_x0014_Odyssey Aviation IncLLC_x0015_Netjets Internationalp_x0000__x0015_Netjets Internationalr_x0000__x0015_Costco Warehouses Inc_x0000__x0000__x0016_Cox Communications Inc_x0000__x0015_Netjets International_x0000__x0000__x0014_McDonald Capital Incar_x0000__x0015_Sheridan Aviation LLC_x0000__x0000__x0016_Transworld Oil America_x0000__x0014_Joe Gibbs Racing Incrt_x0000__x0017_Indonesia Air Transport_x0015_Upfront &amp; Company Inc_x0000__x0000__x0017_Indonesia Air Transport_x0014_Celanese Mexicana SALLC_x0014_Venezuelan Air ForceeSA_x0016_Aerotaxi de Valledupar_x0000__x0016_Airquarius Air Charter_x0000__x0016_Airquarius Air Charter_x0000__x0016_Gibraltar Aviation Ltd_x0000__x0017_Fairway Enterprises Inc_x0016_Trans Exec Air Servicek_x0014_AH Jet Transport LLC Co_x0015_Walter Industries Inco_x0000__x0015_The O'Leary Group Incor_x0016_Saudi Arabian Airlines_x0000__x0014_Flynn Financial Corporp_x0016_Swiflite Aircraft Corpo_x0016_Rochester Aviation Incs_x0015_Cedar Enterprises LLCt_x0000__x0014_Southern Leasing LLCInc_x0017_Anadarko Petroleum Corp_x0015_Cheyenne Aviation LLC_x0000__x0000__x0015_Stafford Aviation LLC_x0000__x0000__x0014_Rockwell Collins IncInc_x0016_New World Aviation Inc_x0000__x0015_Tricycle Aviation LLC_x0000__x0000__x0014_RGR Technologies Incwer_x0014_Trayton Aviation LLCncc_x0016_New World Aviation Inc_x0000__x0016_New World Aviation Inc_x0000__x0016_Bombardier Capital Inc_x0000__x0017_Jetex International Inc_x0016_Newport/Signal Air Inc_x0000__x0015_Meridian Services Inc_x0000__x0000__x0017_Priority 1 Aviation Inc_x0014_Cypress Aviation LLCnc_x0000__x0017_Executive Fliteways Inc_x0014_Jetmark Aviation LLCl_x0000__x0000__x0014_Gulfstream Wings LLCnt_x0000__x0015_Guild Investments LLC_x0000__x0000__x0014_Robert E Torray &amp; Cos_x0000__x0000__x0016_Harmony Leasing Co LLC_x0000__x0016_Lancaster Aviation Inc_x0000__x0016_Consolidated Oil &amp; Gas_x0000__x0014_Aviation Company Incpnc_x0016_Midstate Aviation Corp_x0000__x0014_Corporate Flight IncLtd_x0016_Saudi Arabian Airlines_x0000__x0015_Government of Bahrain_x0000__x0000__x0016_Saudi Arabian Airlines_x0000__x0015_Jet-A-Way Charter LLC_x0000__x0000__x0016_Saudi Arabian Airlines_x0000__x0014_L&amp;L Manufacturing Coion_x0014_Flo-Sun Aircraft Incspc_x0016_The Center Service LLC_x0000__x0017_Anadarko Petroleum Corp_x0015_Atsinger Aviation LLC_x0000__x0000__x0016_Saudi Arabian Airlines_x0000_଒\7_x0000_7_x0000_9@_xDE70_▹7_x0000__x0000__x0000__x0000_9±_x0000__x0000__x0000_쨀┬_x0000__x0000_଒\7_x0000_7_x0000_KK_xDF00_▹7_x0000__x0000__x0000__x0000_K²_x0000__x0000__x0000_쨰┬䩪_x0000__x0015_Government of Moroccos_x0000__x0014_Sonoram Charters LLCr_x0000__x0000_଒\7_x0000_7_x0000_LL_xDF30_▹7_x0000__x0000__x0000__x0000_L³_x0000__x0000__x0000_쩈┬_x0000__x0000_଒\7_x0000_7_x0000_MM_xDF60_▹7_x0000__x0000__x0000__x0000_M´_x0000__x0000__x0000_쩠┬䩪_x0000_଒\7_x0000_7_x0000_NN_xDFC0_▹7_x0000__x0000__x0000__x0000_Nµ_x0000__x0000__x0000_쪀┬_x0000__x0000__x0016_Automotive Air Charter_x0000_଒\7_x0000_7_x0000_PP倀◅7_x0000__x0000__x0000__x0000_P¶_x0000__x0000__x0000_쪰┬䩪_x0000__x0000__x0000__x0000__x0000__x0000__x0000__x0000__x0000__x0003__x0000_"_x0000_"_x0000__x0000__x0000__x0000__x0000__x0000__x0000_魦⼔Ā_x0000__x0000__x0000__x0000__x0000__x0011_Michael MalzacherĀ_x0000__x0004__x0000_"_x0000_"_x0000__x0000__x0000__x0000__x0000__x0000__x0000_魦⼔Ā_x0000__x0000__x0000__x0000__x0000_尬BĀ_x0000__x0004__x0000_$_x0000_$_x0000__x0000__x0000__x0000__x0000__x0000__x0000_魦⼔Ā_x0000__x0000__x0000__x0000__x0000__x0007__x0000__x0000__x0000__x0000__x0000__x0000__x0000__x0000__x0000__x0000__x0000_魦⼔Ā_x0000__x0000__x0000__x0000__x0000__x0008__x0000_	_x0000_	_x0000__x0000__x0000__x0000__x0000__x0000__x0000_魦⼔Ā_x0000__x0000__x0000_4_x0000__x0000__x0000__x0000__x0000__x0007__x0000__x001C__x0000__x001C__x0000__x0000__x0000__x0000__x0000__x0000__x0000_魦⼔Ā_x0000__x0000__x0000__x0000__x0000__x0011_last updated 4/04_x0000__x0000__x0007__x0000_'_x0000_'_x0000__x0000__x0000__x0000__x0000__x0000__x0000_魦⼔Ā_x0000__x0000__x0000_Ā_x0000__x0000__x0000__x0000__x0000__x0013_heidi - update 4/04_x0010_Armored Vehicles䀔_x0000__x0000_	_x0000__x0000__x0000__x0000__x0000__x0000__x0000__x0000__x0000__x0000__x0000_魦⼔Ā_x0000__x0000__x0000__x0000__x0000__x0000__x0000__x0000_	_x0000__x0002__x0000__x0002__x0000__x0000__x0000__x0000__x0000__x0000__x0000_魦⼔Ā_x0000__x0000__x0000__x0000__x0000_	_x0000__x0005__x0000__x0005__x0000__x0000__x0000__x0000__x0000__x0000__x0000_魦⼔Ā_x0000__x0000__x0000__x0001__x0000_	_x0000__x0014__x0000__x0014__x0000__x0000__x0000__x0000__x0000__x0000__x0000_魦⼔Ā_x0000__x0000__x0000__x0000__x0000__x0000__x0000__x0000__x0000_
_x0000__x001B__x0000__x001B__x0000__x0000__x0000__x0000__x0000__x0000__x0000_魦⼔Ā_x0000__x0000__x0000__x0000__x0000__x000B__x0000__x001B__x0000__x001B__x0000__x0000__x0000_Ⰰ䂟_x0000__x0000_魦⼔Ā_x0000__x0000__x0000_Ā_x0000__x000C__x0000__x0014__x0000__x0014__x0000__x0000__x0000_䀀䁠_x0000__x0000_魦⼔Ā_x0000__x0000__x0000__x0000__x0000_尬BĀ_x0000__x000C__x0000__x001B__x0000__x001B__x0000__x0000__x0000_저䂋_x0000__x0000_魦⼔Ā_x0000__x0000__x0000__x0000__x0000__x000D__x0000__x0000__x0000__x0000__x0000__x0000__x0000_耀䁫_x0000__x0000_魦⼔Ā_x0000__x0000__x0000__x0000__x0000__x000D__x0000__x0014__x0000__x0014__x0000__x0000__x0000__x0000_䀮_x0000__x0000_魦⼔Ā_x0000__x0000__x0000_Ā_x0000__x0000__x0000__x0000__x0000__x000D__x0000__x001B__x0000__x001B__x0000__x0000__x0000_退䁰_x0000__x0000_魦⼔Ā_x0000__x0000__x0000__x0000__x0000__x0011_M1A2 Army Upgrade_x0000__x0000__x000D__x0000_/_x0000_/_x0000__x0000__x0000__x0000_䁮_x0000__x0000_魦⼔Ā_x0000__x0000__x0000_Ā_x0000__x0000__x0000__x0000__x0000__x000D__x0000_3_x0000_3_x0000__x0000__x0000__x0000_䁮_x0000__x0000_魦⼔Ā_x0000__x0000__x0000__x0001__x0000__x0010_Crusader - Eng'g䀐_x0000__x0000__x000E__x0000__x0000__x0000__x0000__x0000__x0000__x0000__x0000_䁮_x0000__x0000_魦⼔Ā_x0000__x0000__x0000__x0000__x0000__x0000__x0000__x0000__x000E__x0000__x0014__x0000__x0014__x0000__x0000__x0000__x0000_䁄_x0000__x0000_魦⼔Ā_x0000__x0000__x0000__x0000__x0000__x0010_Stryker Vehicles_x0000__x0001__x0000__x000E__x0000__x001B__x0000__x001B__x0000__x0000__x0000_ 䁡_x0000__x0000_魦⼔Ā_x0000__x0000__x0000__x0000__x0000__x0000__x0000__x0000__x0000__x000F__x0000__x0000__x0000__x0000__x0000__x0000__x0000__x0000_䁙_x0000__x0000_魦⼔Ā_x0000__x0000__x0000_ge_x000E__x0000_/_x0000_/_x0000__x0000__x0000__x0000_䁙_x0000__x0000_魦⼔Ā_x0000__x0000__x0000_Ā_x0000__x000F__x0000__x001B__x0000__x001B__x0000__x0000__x0000__x0000_䀤_x0000__x0000_魦⼔Ā_x0000__x0000__x0000__x0000__x0000_尬BĀ_x0000__x000F__x0000_/_x0000_/_x0000__x0000__x0000_耀䁖_x0000__x0000_魦⼔Ā_x0000__x0000__x0000__x0000__x0000__x0010__x0000__x0000__x0000__x0000__x0000__x0000__x0000_耀䁖_x0000__x0000_魦⼔Ā_x0000__x0000__x0000__x0000__x0000__x0010__x0000__x001B__x0000__x001B__x0000__x0000__x0000__x0000_䁘_x0000__x0000_魦⼔Ā_x0000__x0000__x0000_Ā_x0000__x0000__x0000__x0000__x0000__x0010__x0000_/_x0000_/_x0000__x0000__x0000__x0000_䀹_x0000__x0000_魦⼔Ā_x0000__x0000__x0000__x0000__x0000__x0011__x0000__x0000__x0000__x0000__x0000__x0000__x0000__x0000_䀹_x0000__x0000_魦⼔Ā_x0000__x0000__x0000__x0000__x0000__x0010_-Lost single up BĀ_x0000__x0000__x0000__x0000__x0000__x0011__x0000__x001B__x0000__x001B__x0000__x0000__x0000__x0000_䀤_x0000__x0000_魦⼔Ā_x0000__x0000__x0000__x0001__x0000__x0011__x0000_/_x0000_/_x0000__x0000__x0000__x0000_䀤_x0000__x0000_魦⼔Ā_x0000__x0000__x0000__x0000__x0000__x0012__x0000__x001B__x0000__x001B__x0000__x0000__x0000__x0000_䀤_x0000__x0000_魦⼔Ā_x0000__x0000__x0000_ge_x0000__x0000__x0000__x0013__x0000__x001B__x0000__x001B__x0000__x0000__x0000__x0000_䀮_x0000__x0000_魦⼔Ā_x0000__x0000__x0000__x0000__x0000__x0013__x0000_/_x0000_/_x0000__x0000__x0000__x0000_䀮_x0000__x0000_魦⼔Ā_x0000__x0000__x0000__x0001__x0000__x0014__x0000__x0000__x0000__x0000__x0000__x0000__x0000__x0000_䀮_x0000__x0000_魦⼔Ā_x0000__x0000__x0000__x0000__x0000__x0000__x0000__x0000__x0000__x0014__x0000__x001B__x0000__x001B__x0000__x0000__x0000_䩰뾳_x0000__x0000_魦⼔Ā_x0000__x0000__x0000__x0000__x0000__x0014__x0000_/_x0000_/_x0000__x0000__x0000_䩰뾳_x0000__x0000_魦⼔Ā_x0000__x0000__x0000_Ā_x0000__x0015__x0000__x001B__x0000__x001B__x0000__x0000__x0000_䩰뾳_x0000__x0000_魦⼔Ā_x0000__x0000__x0000__x0000__x0000_尬BĀ_x0000__x0015__x0000_/_x0000_/_x0000__x0000__x0000__x0000_䀴_x0000__x0000_魦⼔Ā_x0000__x0000__x0000__x0000__x0000__x0016__x0000__x001B__x0000__x001B__x0000__x0000__x0000__x0000_䀴_x0000__x0000_魦⼔Ā_x0000__x0000__x0000__x0000__x0000__x0016__x0000_/_x0000_/_x0000__x0000__x0000_쀀䁒_x0000__x0000_魦⼔Ā_x0000__x0000__x0000_Ā_x0000__x0000__x0000__x0000__x0000__x0017__x0000__x001B__x0000__x001B__x0000__x0000__x0000_쀀䁒_x0000__x0000_魦⼔Ā_x0000__x0000__x0000__x0000__x0000__x0017__x0000_/_x0000_/_x0000__x0000__x0000_쀀䁒_x0000__x0000_魦⼔Ā_x0000__x0000__x0000__x0000__x0000__x0018__x0000__x001B__x0000__x001B__x0000__x0000__x0000_쀀䁒_x0000__x0000_魦⼔Ā_x0000__x0000__x0000_Ā_x0000__x0000__x0000__x0000__x0000__x0018__x0000_/_x0000_/_x0000__x0000__x0000_ꀀ䂎_x0000__x0000_魦⼔Ā_x0000__x0000__x0000__x0001__x0000__x0019__x0000__x001B__x0000__x001B__x0000__x0000__x0000_ꀀ䂎_x0000__x0000_魦⼔Ā_x0000__x0000__x0000__x0000__x0000__x0019__x0000_/_x0000_/_x0000__x0000__x0000__x0000_䀔_x0000__x0000_魦⼔Ā_x0000__x0000__x0000__x0000__x0000__x0000__x0000__x0000__x001A__x0000__x001B__x0000__x001B__x0000__x0000__x0000__x0000_䀔_x0000__x0000_魦⼔Ā_x0000__x0000__x0000__x0000__x0000__x001A__x0000_/_x0000_/_x0000__x0000__x0000_䀀䁟_x0000__x0000_魦⼔Ā_x0000__x0000__x0000__x0001__x0000__x001B__x0000__x001B__x0000__x001B__x0000__x0000__x0000_䀀䁟_x0000__x0000_魦⼔Ā_x0000__x0000__x0000__x0000__x0000__x0000__x0000__x0000__x0000__x001C__x0000__x0000__x0000__x0000__x0000__x0000__x0000__x0000_䀮_x0000__x0000_魦⼔Ā_x0000__x0000__x0000_s_x0000__x001B__x0000_/_x0000_/_x0000__x0000__x0000__x0000_䀮_x0000__x0000_魦⼔Ā_x0000__x0000__x0000_Ā_x0000__x0013_Defense/Arm Systems尬BĀ_x0000__x0010_Support services䃡_x0000__x0000__x001C__x0000__x001B__x0000__x001B__x0000__x0000__x0000__x0000_䀮_x0000__x0000_魦⼔Ā_x0000__x0000__x0000__x0000__x0000__x001C__x0000_/_x0000_/_x0000__x0000__x0000_耀䁑_x0000__x0000_魦⼔Ā_x0000__x0000__x0000_Ā_x0000__x0000__x0000__x0000__x0000__x001D__x0000__x001B__x0000__x001B__x0000__x0000__x0000_耀䁑_x0000__x0000_魦⼔Ā_x0000__x0000__x0000__x0000__x0000__x001D__x0000_/_x0000_/_x0000__x0000__x0000__x0000_䀮_x0000__x0000_魦⼔Ā_x0000__x0000__x0000__x0000__x0000__x001E__x0000__x0000__x0000__x0000__x0000__x0000__x0000__x0000_䀮_x0000__x0000_魦⼔Ā_x0000__x0000__x0000_Ā_x0000__x0000__x0000__x0000__x0000__x0010_Armament systems_x0000__x0001__x0000__x001E__x0000__x001B__x0000__x001B__x0000__x0000__x0000_䀀䁯_x0000__x0000_魦⼔Ā_x0000__x0000__x0000__x0000__x0000__x001E__x0000_/_x0000_/_x0000__x0000__x0000_쀀䁱_x0000__x0000_魦⼔Ā_x0000__x0000__x0000__x0000__x0000__x0000__x0000__x0000__x001F__x0000__x001B__x0000__x001B__x0000__x0000__x0000_쀀䁱_x0000__x0000_魦⼔Ā_x0000__x0000__x0000__x0000__x0000__x001F__x0000_/_x0000_/_x0000__x0000__x0000_䀀䁠_x0000__x0000_魦⼔Ā_x0000__x0000__x0000__x0001__x0000__x0010_Armament Systems_x0000__x0000__x0000__x0000__x0000__x0000__x0000_ _x0000__x0000__x0000__x0000__x0000__x0000__x0000_䀀䁠_x0000__x0000_魦⼔Ā_x0000__x0000__x0000__x0000__x0000_ _x0000__x001B__x0000__x001B__x0000__x0000__x0000_쀀䁱_x0000__x0000_魦⼔Ā_x0000__x0000__x0000_Ā_x0000_ _x0000_/_x0000_/_x0000__x0000__x0000_䁥_x0000__x0000_魦⼔Ā_x0000__x0000__x0000__x0000__x0000_尬BĀ_x0000_!_x0000__x0000__x0000__x0000__x0000__x0000__x0000_䁥_x0000__x0000_魦⼔Ā_x0000__x0000__x0000__x0000__x0000_!_x0000__x001B__x0000__x001B__x0000__x0000__x0000_뀀䂀_x0000__x0000_魦⼔Ā_x0000__x0000__x0000__x0000__x0000_"_x0000__x0000__x0000__x0000__x0000__x0000__x0000_栀䂐_x0000__x0000_魦⼔Ā_x0000__x0000__x0000_Ā_x0000__x0000__x0000__x0000__x0000_"_x0000__x001B__x0000__x001B__x0000__x0000__x0000__x0000_䁎_x0000__x0000_魦⼔Ā_x0000__x0000__x0000__x0000__x0000_"_x0000_/_x0000_/_x0000__x0000__x0000_退䂀_x0000__x0000_魦⼔Ā_x0000__x0000__x0000__x0000__x0000_#_x0000__x0000__x0000__x0000__x0000__x0000__x0000_退䂀_x0000__x0000_魦⼔Ā_x0000__x0000__x0000_Ā_x0000__x0000__x0000__x0000__x0000_#_x0000__x001B__x0000__x001B__x0000__x0000__x0000_쎘㾼_x0000__x0000_魦⼔Ā_x0000__x0000__x0000__x0001__x0000_#_x0000_/_x0000_/_x0000__x0000__x0000_耀䁝_x0000__x0000_魦⼔Ā_x0000__x0000__x0000__x0000__x0000_$_x0000__x0000__x0000__x0000__x0000__x0000__x0000_耀䁝_x0000__x0000_魦⼔Ā_x0000__x0000__x0000__x0000__x0000__x0000__x0000__x0000_$_x0000__x001B__x0000__x001B__x0000__x0000__x0000__x0000_쀦_x0000__x0000_魦⼔Ā_x0000__x0000__x0000__x0000__x0000_%_x0000__x0000__x0000__x0000__x0000__x0000__x0000_䐀䂡_x0000__x0000_魦⼔Ā_x0000__x0000__x0000__x0001__x0000_%_x0000__x001B__x0000__x001B__x0000__x0000__x0000_耀䁈_x0000__x0000_魦⼔Ā_x0000__x0000__x0000__x0000__x0000__x0000__x0000__x0000__x0000_&amp;_x0000__x0000__x0000__x0000__x0000__x0000__x0000_쁣_x0000__x0000_魦⼔Ā_x0000__x0000__x0000__x0000__x0000_&amp;_x0000__x001B__x0000__x001B__x0000__x0000__x0000_続㾷_x0000__x0000_魦⼔Ā_x0000__x0000__x0000__x0000__x0000_'_x0000__x0000__x0000__x0000__x0000__x0000__x0000_栀䂐_x0000__x0000_魦⼔Ā_x0000__x0000__x0000__x0000__x0000__x0000__x0000__x0000__x0000__x0011_TOTAL COMBAT REVS_x0000__x0000__x0010_Op Profit pre GW_x0000__x0000__x0000_(_x0000__x001B__x0000__x001B__x0000__x0000__x0000_栀䂐_x0000__x0000_魦⼔Ā_x0000__x0000__x0000__x0000__x0000__x0000__x0000__x0000__x0000__x001A__x0000__x0000__x0000__x0010__x0000__x0000__x0000__x0000_䀔_x0000__x0000_魦⼔Ā_x0000__x0000__x0000__x0000__x0000__x0000_䁊_x0000__x0000_
_x0000__x0001__x0000__x0000__x0000__x0000__x0000__x0000_䀽_x0000__x0000__x0018__x0000__x0001__x0000__x0000__x0000_晦晦噦䁃_x0000__x0000_0_x0000__x0001__x0000__x0000__x0000__x0000__x0000_耀䁔_x0000__x0000_H_x0000__x0001__x0000__x0000__x0000__x0000__x0000__x0000_䁒_x0000__x0000_`_x0000__x0001__x0000__x0000__x0000__x0000__x0000_䀀䁙_x0000__x0000_x_x0000__x0001__x0000__x0000__x0000__x0000__x0000_耀䁞_x0000__x0000__x0000__x0001__x0000__x0000__x0000__x0000__x0000_ꀀ䁤_x0000__x0000_¨_x0000__x0001__x0000__x0000__x0000__x0000__x0000_耀䁡_x0000__x0000_À_x0000__x0001__x0000__x0000__x0000__x0000__x0000_耀䁡_x0000__x0000_Ø_x0000__x0001__x0000__x0000__x0000__x0000__x0000__x0000_䁡_x0000__x0000_ð_x0000__x0001__x0000__x0000__x0000__x0000__x0000_䀀䁡_x0000__x0000_Ĉ_x0000__x0001__x0000__x0000__x0000__x0000__x0000__x0000_䁡_x0000__x0000_Ġ_x0000__x0001__x0000__x0000__x0000__x0000__x0000_䁠_x0000__x0000_ĸ_x0000__x0001__x0000__x0000__x0000__x0000__x0000_䁠_x0000__x0000_Ő_x0000__x0001__x0000__x0000__x0000__x0000__x0000_ 䁥_x0000__x0000_Ũ_x0000__x0001__x0000__x0000__x0000__x0001__x0000__x0000__x0000__x0000__x0000__x0000__x0000__x0000_尬BĀ_x0000__x001B__x0000__x0000__x0000__x0010__x0000__x0000__x0000_䀀䁟_x0000__x0000_魦⼔Ā_x0000__x0000__x0000_ﱞ蒉驓㾧_x0000__x0000__x0008__x0000__x0001__x0000__x0000__x0000_ﺇ撡磂㾜_x0000__x0000__x0018__x0000__x0001__x0000__x0000__x0000_又㲂젥㾣_x0000__x0000_0_x0000__x0001__x0000__x0000__x0000_쨴纳壳㾳_x0000__x0000_H_x0000__x0001__x0000__x0000__x0000_㾰_x0000__x0000_`_x0000__x0001__x0000__x0000__x0000_䀪胆売㾶_x0000__x0000_x_x0000__x0001__x0000__x0000__x0000_꫟靑_xD8B1_㾸_x0000__x0000__x0000__x0001__x0000__x0000__x0000_諳_xD961_汊㿀_x0000__x0000_¨_x0000__x0001__x0000__x0000__x0000_溳䔰㾾_x0000__x0000_À_x0000__x0001__x0000__x0000__x0000_ᄑᄑᄑ㿁_x0000__x0000_Ø_x0000__x0001__x0000__x0000__x0000_ჼྼ﯁㿀_x0000__x0000_ð_x0000__x0001__x0000__x0000__x0000_衅ꮷᷮ㿂_x0000__x0000_Ĉ_x0000__x0001__x0000__x0000__x0000_䔍_xDAB7_㿁_x0000__x0000_Ġ_x0000__x0001__x0000__x0000__x0000_ᗊ戊㿂_x0000__x0000_ĸ_x0000__x0001__x0000__x0000__x0000_햍㿁_x0000__x0000_Ő_x0000__x0001__x0000__x0000__x0000_鯺n䄾㿂_x0000__x0000_Ũ_x0000__x0001__x0000__x0000__x0000__x0000__x0000__x0000__x0000__x0000_尬BĀ_x0000__x0000__x0000__x0000__x0000__x000E__x0000__x0012__x0000_!_x0000_ὰ緁㿁_x0000__x0000_魦⼔_x0001__x0000__x0000__x0000_㩘枲⨠뾽_x0000__x0000__x0000__x0000__x0001__x0000__x0000__x0000__x0000__x0000__x0000__x0000__x0000_ꊼAĀ_x0000__x0000__x0000_ᒀ䞮竡㾤_x0000__x0000__x0003__x0000__x0001__x0000__x0000__x0000_㬠Ꮁ넻㾣_x0000__x0000_H_x0000__x0001__x0000__x0000__x0000_⽠붡㾢_x0000__x0000_`_x0000__x0001__x0000__x0000__x0000_⒠鉉䤤㾢_x0000__x0000_x_x0000__x0001__x0000__x0000__x0000_箠愚ꞹ㾡_x0000__x0000__x0000__x0001__x0000__x0000__x0000_ᐐᐔᐔ㾴_x0000__x0000_¨_x0000__x0001__x0000__x0000__x0000_ኀ⧤鹁㾒_x0000__x0000_À_x0000__x0001__x0000__x0000__x0000_⒠鉉䤤㾢_x0000__x0000_Ø_x0000__x0001__x0000__x0000__x0000_箠愚ꞹ㾡_x0000__x0000_ð_x0000__x0001__x0000__x0000__x0000_啠啕啕㾥_x0000__x0000_Ĉ_x0000__x0001__x0000__x0000__x0000_馠香香㾹_x0000__x0000_Ġ_x0000__x0001__x0000__x0000__x0000_ᯠ뻖㾫_x0000__x0000_ĸ_x0000__x0001__x0000__x0000__x0000_箠愚ꞹ㾡_x0000__x0000_Ő_x0000__x0001__x0000__x0000__x0000__x0000__x0000__x0000_ꊼA_x0002__x0000__x0000__x0000_؀▻_x0000_攨「_x0005__x0000_܀▻_x0000_攨「_x0005__x0000_ _x0000__x0010__x0000_!_x0000_ᤀ辜療뾨_x0000__x0000_魦⼔_x0001__x0000__x0000__x0000_呂癀ㅡ뾢_x0000__x0000__x0000__x0000__x0001__x0000__x0000__x0000_Ṉ䞑뾾_x0000__x0000__x0018__x0000__x0001__x0000__x0000__x0000__x0000__x0000_縀䂣_x0000__x0000_0_x0000__x0001__x0000__x0000__x0000_Ẹ롑㾞_x0000__x0000_H_x0000__x0001__x0000__x0000__x0000_Ẹ롑㾞_x0000__x0000_`_x0000__x0001__x0000__x0000__x0000_Ẹ롑㾞_x0000__x0000_x_x0000__x0001__x0000__x0000__x0000_Ẹ롑㾞_x0000__x0000__x0000__x0001__x0000__x0000__x0000_Ẹ롑㾞_x0000__x0000_¨_x0000__x0001__x0000__x0000__x0000_Ẹ롑㾞_x0000__x0000_À_x0000__x0001__x0000__x0000__x0000_ᑦⷋ䲵䂥_x0000__x0000__x0004__x0000__x0001__x0000__x0000__x0000_㙊泌䂥_x0000__x0000_ð_x0000__x0001__x0000__x0000__x0000_ⶮዏ飇䂦_x0000__x0000_Ĉ_x0000__x0001__x0000__x0000__x0000__xDFB1_⩩䙒䂧_x0000__x0000_Ġ_x0000__x0001__x0000__x0000__x0000_ᑻ䞮竡뾴_x0000__x0000_ĸ_x0000__x0001__x0000__x0000__x0000_ᑻ䞮竡㾔_x0000__x0000_Ő_x0000__x0001__x0000__x0000__x0000_ᑻ䞮竡㾔_x0000__x0000_Ũ_x0000__x0001__x0000__x0000__x0000_ᑻ䞮竡㾔_x0000__x0000_ƀ_x0000__x0001__x0000__x0000__x0000__x0000__x0000_/_x0000__x0010__x0000_!_x0000_脮憬_xDFB4_㿄_x0000__x0000_魦⼔_x0001__x0000__x0000__x0000_倗픘物㿀_x0000__x0000__x0000__x0000__x0001__x0000__x0000__x0000_吏鱛泖㾿_x0000__x0000__x0018__x0000__x0001__x0000__x0000__x0000__x0000__x0000__x0000__x0000__x0000__x0000_0_x0000__x0001__x0000__x0000__x0000__x0000__x0000__x0000__x0000__x0000__x0000_H_x0000__x0001__x0000__x0000__x0000__x0000__x0000__x0000__x0000__x0000__x0000_`_x0000__x0001__x0000__x0000__x0000__x0000__x0000__x0000__x0000__x0000__x0000_x_x0000__x0001__x0000__x0000__x0000__x0000__x0000__x0000__x0000__x0000__x0000__x0000__x0001__x0000__x0000__x0000__x0000__x0000__x0000__x0000__x0000__x0000_¨_x0000__x0001__x0000__x0000__x0000__x0000__x0000__x0000__x0000__x0000__x0000_À_x0000__x0001__x0000__x0000__x0000__x0000__x0000__x0000__x0000__x0000__x0000_Ø_x0000__x0001__x0000__x0000__x0000__x0000__x0000__x0000__x0000__x0000__x0000_ð_x0000__x0001__x0000__x0000__x0000__x0000__x0000__x0000__x0000__x0000__x0000_Ĉ_x0000__x0001__x0000__x0000__x0000__x0000__x0000__x0000__x0000__x0000__x0000_Ġ_x0000__x0001__x0000__x0000__x0000_䘵㾿_x0000__x0000_ĸ_x0000__x0001__x0000__x0000__x0000_੃_xD952_쎹㾿_x0000__x0000_Ő_x0000__x0001__x0000__x0000__x0000_ꆚ꼀雀㾿_x0000__x0000_Ũ_x0000__x0001__x0000__x0000__x0000_葙駅柉㾿_x0000__x0000_ƀ_x0000__x0001__x0000__x0000__x0000__x0000__x0000_._x0000__x0010__x0000_!_x0000_Ẹ롑㿎_x0000__x0000_魦⼔_x0001__x0000__x0000__x0000_ꆛ﮵㿐_x0000__x0000__x0000__x0000__x0001__x0000__x0000__x0000_吏鱛泖㿏_x0000__x0000__x0018__x0000__x0001__x0000__x0000__x0000__x0000__x0000__x0000__x0000__x0000__x0000_0_x0000__x0001__x0000__x0000__x0000__x0000__x0000__x0000__x0000__x0000__x0000_H_x0000__x0001__x0000__x0000__x0000__x0000__x0000__x0000__x0000__x0000__x0000_`_x0000__x0001__x0000__x0000__x0000__x0000__x0000__x0000__x0000__x0000__x0000_x_x0000__x0001__x0000__x0000__x0000__x0000__x0000__x0000__x0000__x0000__x0000__x0000__x0001__x0000__x0000__x0000__x0000__x0000__x0000__x0000__x0000__x0000_¨_x0000__x0001__x0000__x0000__x0000__x0000__x0000__x0000__x0000__x0000__x0000_À_x0000__x0001__x0000__x0000__x0000__x0000__x0000_쀀쁢_x0000__x0000_Ø_x0000__x0001__x0000__x0000__x0000__x0000__x0000_쀀쁢_x0000__x0000_ð_x0000__x0001__x0000__x0000__x0000__x0000__x0000_쀀쁢_x0000__x0000_Ĉ_x0000__x0001__x0000__x0000__x0000__x0000__x0000_쀀쁢_x0000__x0000_Ġ_x0000__x0001__x0000__x0000__x0000_㮐髳螧㿍_x0000__x0000_ĸ_x0000__x0001__x0000__x0000__x0000_ﴸ揚ằ㿍_x0000__x0000_Ő_x0000__x0001__x0000__x0000__x0000_៪굽㿌_x0000__x0000_Ũ_x0000__x0001__x0000__x0000__x0000_줁㒹㯽㿌_x0000__x0000_ƀ_x0000__x0001__x0000__x0000__x0000_Ā_x0000_0_x0000__x0010__x0000_!_x0000_Ｖ榌쀲㾼_x0000__x0000_魦⼔_x0001__x0000__x0000__x0000_ίŮ内㾽_x0000__x0000__x0000__x0000__x0001__x0000__x0000__x0000_ᨏ煯㾺_x0000__x0000__x0018__x0000__x0001__x0000__x0000__x0000__x0000__x0000__x0000_쁉_x0000__x0000_0_x0000__x0001__x0000__x0000__x0000__x0000__x0000__x0000_쁙_x0000__x0000_H_x0000__x0001__x0000__x0000__x0000__x0000__x0000_쀀쁢_x0000__x0000_`_x0000__x0001__x0000__x0000__x0000__x0000__x0000_쀀쁢_x0000__x0000_x_x0000__x0001__x0000__x0000__x0000__x0000__x0000_쀀쁢_x0000__x0000__x0000__x0001__x0000__x0000__x0000__x0000__x0000_쀀쁢_x0000__x0000_¨_x0000__x0001__x0000__x0000__x0000__x0000__x0000_쀀쁢_x0000__x0000_À_x0000__x0001__x0000__x0000__x0000__x0000__x0000__x0000__x0000__x0000__x0000_Ø_x0000__x0001__x0000__x0000__x0000__x0000__x0000__x0000__x0000__x0000__x0000_ð_x0000__x0001__x0000__x0000__x0000__x0000__x0000__x0000__x0000__x0000__x0000_Ĉ_x0000__x0001__x0000__x0000__x0000__x0000__x0000__x0000__x0000__x0000__x0000_Ġ_x0000__x0001__x0000__x0000__x0000_ٷ밳辣㾺_x0000__x0000_ĸ_x0000__x0001__x0000__x0000__x0000_ഖ缐氄㾹_x0000__x0000_Ő_x0000__x0001__x0000__x0000__x0000_河캀讄㾸_x0000__x0000_Ũ_x0000__x0001__x0000__x0000__x0000_⩸넒㾷_x0000__x0000_ƀ_x0000__x0001__x0000__x0000__x0000__x0000__x0000_@_x0000_
_x0000__x0019__x0000__x0000__x0000_䀀䁜_x0000__x0000_魦⼔_x0001__x0000__x0000__x0000__x0000__x0000_倀䁛_x0000__x0000__x0000__x0000__x0001__x0000__x0000__x0000_㌳㌳錳䁗_x0000__x0000__x0018__x0000__x0001__x0000__x0000__x0000_㌴㌳猳䁚_x0000__x0000_0_x0000__x0001__x0000__x0000__x0000__x0000__x0000_倀䁛_x0000__x0000_H_x0000__x0001__x0000__x0000__x0000__x0000__x0000_退䁛_x0000__x0000_`_x0000__x0001__x0000__x0000__x0000_ᳲ쓻䀹䁱_x0000__x0000_x_x0000__x0001__x0000__x0000__x0000_ⶍ퐥䁳_x0000__x0000__x0000__x0001__x0000__x0000__x0000_橸ᕬ噃䁵_x0000__x0000_¨_x0000__x0001__x0000__x0000__x0000_潩藰應䁺_x0000__x0000_À_x0000__x0001__x0000__x0000__x0000_馚香㦙䁺_x0000__x0000_Ø_x0000__x0001__x0000__x0000__x0000_晦晦ᙦ䁻_x0000__x0000_ð_x0000__x0001__x0000__x0000__x0000_㌳㌳⬳䁻_x0000__x0000_Ĉ_x0000__x0001__x0000__x0000__x0000__x0000__x0000_䁼_x0000__x0000_Ġ_x0000__x0001__x0000__x0000__x0000__x0000__x0000_　䁾_x0000__x0000_ĸ_x0000__x0001__x0000__x0000__x0000__x0000__x0000_耀䁿_x0000__x0000_Ő_x0000__x0001__x0000__x0000__x0000__x0000__x0000_䀀䂟_x0000__x0000_魦⼔Ā_x0000__x0000__x0000__x0000__x0000_Ѐ䂒_x0000__x0000_尬BĀ_x0000__x0000__x0000__x0000__x0000_I_x0000_
_x0000__x0019__x0000_㌳㌳錳䁆_x0000__x0000_魦⼔_x0001__x0000__x0000__x0000_香香ᦙ䁉_x0000__x0000__x0000__x0000__x0001__x0000__x0000__x0000_馚香_xD999_䁃_x0000__x0000__x0018__x0000__x0001__x0000__x0000__x0000_㌳㌳댳䁇_x0000__x0000_0_x0000__x0001__x0000__x0000__x0000_쳍쳌賌䁌_x0000__x0000_H_x0000__x0001__x0000__x0000__x0000_롒蔞퇫䁋_x0000__x0000_`_x0000__x0001__x0000__x0000__x0000_谸钬䁜_x0000__x0000_x_x0000__x0001__x0000__x0000__x0000_㮬䧈䁞_x0000__x0000__x0000__x0001__x0000__x0000__x0000_⬐픧፹䁢_x0000__x0000_¨_x0000__x0001__x0000__x0000__x0000_罢㷙葹䁦_x0000__x0000_À_x0000__x0001__x0000__x0000__x0000_ᑻ䞮﫡䁨_x0000__x0000_Ø_x0000__x0001__x0000__x0000__x0000_쳍쳌鳌䁪_x0000__x0000_ð_x0000__x0001__x0000__x0000__x0000_㌳㌳ꌳ䁫_x0000__x0000_Ĉ_x0000__x0001__x0000__x0000__x0000_쳍쳌糌䁭_x0000__x0000_Ġ_x0000__x0001__x0000__x0000__x0000__x0000__x0000_ꀀ䁮_x0000__x0000_ĸ_x0000__x0001__x0000__x0000__x0000_㌳㌳쌳䁯_x0000__x0000_Ő_x0000__x0001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)_x0000__x001B__x0000__x001B__x0000__x0000__x0000_쀀䁧_x0000__x0000_魦⼔Ā_x0000__x0000__x0000__x0000__x0000_*_x0000__x0000__x0000__x0000__x0000__x0000__x0000_撵㾼_x0000__x0000_魦⼔Ā_x0000__x0000__x0000_Ā_x0000_*_x0000__x001B__x0000__x001B__x0000__x0000__x0000_ࠀ䂐_x0000__x0000_魦⼔Ā_x0000__x0000__x0000__x0000__x0000_尬BĀ_x0000_+_x0000__x0000__x0000__x0000__x0000__x0000__x0000__x0000_쀮_x0000__x0000_魦⼔Ā_x0000__x0000__x0000__x0000__x0000_+_x0000__x001B__x0000__x001B__x0000__x0000__x0000_㡱㿞_x0000__x0000_魦⼔Ā_x0000__x0000__x0000__x0000__x0000_,_x0000__x0000__x0000__x0000__x0000__x0000__x0000_耀䁡_x0000__x0000_魦⼔Ā_x0000__x0000__x0000_Ā_x0000__x0000__x0000__x0000__x0000__x0012_Total Combat Op Pr_x0000_-_x0000__x0000__x0000__x0000__x0000__x0000__x0000_怀䁧_x0000__x0000_魦⼔Ā_x0000__x0000__x0000__x0000__x0000_-_x0000__x001B__x0000__x001B__x0000__x0000__x0000_怀䁦_x0000__x0000_魦⼔Ā_x0000__x0000__x0000_Ā_x0000__x0000__x0000__x0000__x0000_._x0000__x0000__x0000__x0000__x0000__x0000__x0000__x0000_쀦_x0000__x0000_魦⼔Ā_x0000__x0000__x0000__x0001__x0000_._x0000__x001B__x0000__x001B__x0000__x0000__x0000_륭㾿_x0000__x0000_魦⼔Ā_x0000__x0000__x0000__x0000__x0000__x0011_Op Profit post GW_x0000__x0000__x0000__x0000__x0000_/_x0000__x0000__x0000__x0000__x0000__x0000__x0000_耀䁡_x0000__x0000_魦⼔Ā_x0000__x0000__x0000__x0000__x0000_/_x0000__x001B__x0000__x001B__x0000__x0000__x0000_耀䁡_x0000__x0000_魦⼔Ā_x0000__x0000__x0000__x0001__x0000_1_x0000__x0000__x0000__x0000__x0000__x0000__x0000_ᄑ㿁_x0000__x0000_魦⼔Ā_x0000__x0000__x0000__x0000__x0000__x0000__x0000__x0000__x0000_0_x0000__x0011__x0000__x0011__x0000__x0000__x0000_ᄑ㿁_x0000__x0000_魦⼔Ā_x0000__x0000__x0000__x0000__x0000__x0012_U.S. M1A2 Upgrades_x0000_2_x0000__x0000__x0000__x0000__x0000__x0000__x0000__x0000_䀰_x0000__x0000_魦⼔Ā_x0000__x0000__x0000__x0000__x0000_尬BĀ_x0000__x0011_- 5 yr. multiyear_x0000__x0000_3_x0000__x0000__x0000__x0000__x0000__x0000__x0000__x0000_䁉_x0000__x0000_魦⼔Ā_x0000__x0000__x0000__x0000__x0000_4_x0000__x0000__x0000__x0000__x0000__x0000__x0000__x0000_䁋_x0000__x0000_魦⼔Ā_x0000__x0000__x0000_Ā_x0000__x0000__x0000__x0000__x0000_4_x0000__x001B__x0000__x001B__x0000__x0000__x0000__x0000_䀤_x0000__x0000_魦⼔Ā_x0000__x0000__x0000__x0000__x0000_5_x0000__x0000__x0000__x0000__x0000__x0000__x0000__x0000_䀤_x0000__x0000_魦⼔Ā_x0000__x0000__x0000__x0000__x0000_5_x0000__x001B__x0000__x001B__x0000__x0000__x0000__x0000_䀤_x0000__x0000_魦⼔Ā_x0000__x0000__x0000_Ā_x0000__x0000__x0000__x0000__x0000_5_x0000_*_x0000_*_x0000__x0000__x0000_耀䁓_x0000__x0000_魦⼔Ā_x0000__x0000__x0000__x0001__x0000_6_x0000__x0000__x0000__x0000__x0000__x0000__x0000_耀䁓_x0000__x0000_魦⼔Ā_x0000__x0000__x0000__x0000__x0000_7_x0000__x0000__x0000__x0000__x0000__x0000__x0000_䠀䂄_x0000__x0000_魦⼔Ā_x0000__x0000__x0000__x0000__x0000__x0000__x0000__x0000_I_x0000__x001E__x0000__x001E__x0000__x0000__x0000_؀䃅_x0000__x0000_魦⼔Ā_x0000__x0000__x0000_3_x0000__x0013_checked w/ Ray 3/03I_x0000_2_x0000_2_x0000__x0000__x0000_䠀䂟_x0000__x0000_魦⼔_x0001__x0000__x0000__x0000__x0000__x0000__x0000__x0000__x0000__x0000_J_x0000__x001E__x0000__x001E__x0000__x0000__x0000_䰀䂟_x0000__x0000_魦⼔Ā_x0000__x0000__x0000__x0000__x0000_I_x0000_4_x0000_4_x0000__x0000__x0000_䰀䂟_x0000__x0000_魦⼔_x0001__x0000__x0000__x0000_Ā_x0000__x0011_GD Combat Systems_x0000__x0000_尬BĀ_x0000_J_x0000__x001B__x0000__x001B__x0000__x0000__x0000_䰀䂟_x0000__x0000_魦⼔Ā_x0000__x0000__x0000__x0000__x0000__x0011_last updated 3/03_x0000__x0000_J_x0000_!_x0000_!_x0000__x0000__x0000_䰀䂟_x0000__x0000_魦⼔Ā_x0000__x0000__x0000_Ā_x0000__x0000__x0000__x0000__x0000_J_x0000_C_x0000_C_x0000__x0000__x0000_䰀䂟_x0000__x0000_魦⼔Ā_x0000__x0000__x0000__x0000__x0000_J_x0000_*_x0000_*_x0000__x0000__x0000_䰀䂟_x0000__x0000_魦⼔Ā_x0000__x0000__x0000__x0000__x0000__x0011_GD Combat SystemsĀ_x0000__x0000__x0000__x0000__x0000_J_x0000_@_x0000_@_x0000__x0000__x0000_䰀䂟_x0000__x0000_魦⼔Ā_x0000__x0000__x0000__x0001__x0000__x0011_last updated 4/05_x0000__x0000_K_x0000_*_x0000_*_x0000__x0000__x0000_䰀䂟_x0000__x0000_魦⼔Ā_x0000__x0000__x0000__x0000__x0000__x0000__x0000__x0000_K_x0000_3_x0000_3_x0000__x0000__x0000_퀀䁱_x0000__x0000_魦⼔_x0001__x0000__x0000__x0000__x0000__x0000_K_x0000_5_x0000_5_x0000__x0000__x0000_퀀䁱_x0000__x0000_魦⼔_x0001__x0000__x0000__x0000__x0001__x0000_L_x0000__x001B__x0000__x001B__x0000__x0000__x0000_퀀䁱_x0000__x0000_魦⼔Ā_x0000__x0000__x0000_CS_x0000__x0000__x0000__x0000_L_x0000_*_x0000_*_x0000__x0000__x0000_䀀䂟_x0000__x0000_魦⼔Ā_x0000__x0000__x0000__x0000__x0000_L_x0000_5_x0000_5_x0000__x0000__x0000_ 䁬_x0000__x0000_魦⼔_x0001__x0000__x0000__x0000_Ā_x0000_L_x0000_@_x0000_@_x0000__x0000__x0000_ 䁬_x0000__x0000_魦⼔Ā_x0000__x0000__x0000__x0000__x0000_尬BĀ_x0000_M_x0000__x0018__x0000__x0018__x0000__x0000__x0000_䀀䂟_x0000__x0000_魦⼔Ā_x0000__x0000__x0000__x0000__x0000_M_x0000__x001B__x0000__x001B__x0000__x0000__x0000_䀀䂟_x0000__x0000_魦⼔Ā_x0000__x0000__x0000__x0000__x0000_M_x0000_*_x0000_*_x0000__x0000__x0000_᠀䂀_x0000__x0000_魦⼔Ā_x0000__x0000__x0000_Ā_x0000__x0000__x0000__x0000__x0000_M_x0000_@_x0000_@_x0000__x0000__x0000_䂅_x0000__x0000_魦⼔Ā_x0000__x0000__x0000__x0000__x0000_N_x0000__x0018__x0000__x0018__x0000__x0000__x0000_᠀䂀_x0000__x0000_魦⼔Ā_x0000__x0000__x0000__x0000__x0000_N_x0000__x001B__x0000__x001B__x0000__x0000__x0000_᠀䂀_x0000__x0000_魦⼔Ā_x0000__x0000__x0000_Ā_x0000__x0000__x0000__x0000__x0000_N_x0000_*_x0000_*_x0000__x0000__x0000_䁲_x0000__x0000_魦⼔Ā_x0000__x0000__x0000__x0001__x0000_N_x0000_@_x0000_@_x0000__x0000__x0000_䁲_x0000__x0000_魦⼔Ā_x0000__x0000__x0000__x0000__x0000_O_x0000__x001B__x0000__x001B__x0000__x0000__x0000_䁲_x0000__x0000_魦⼔Ā_x0000__x0000__x0000__x0000__x0000__x0000__x0000__x0000_O_x0000_*_x0000_*_x0000__x0000__x0000__x0000_䁛_x0000__x0000_魦⼔Ā_x0000__x0000__x0000__x0000__x0000_O_x0000_5_x0000_5_x0000__x0000__x0000_ꀀ䂂_x0000__x0000_魦⼔_x0001__x0000__x0000__x0000__x0001__x0000_O_x0000_@_x0000_@_x0000__x0000__x0000_ꀀ䂂_x0000__x0000_魦⼔Ā_x0000__x0000__x0000__x0000__x0000__x0000__x0000__x0000__x0000_P_x0000__x001B__x0000__x001B__x0000__x0000__x0000__x0000_䁛_x0000__x0000_魦⼔Ā_x0000__x0000__x0000__x0000__x0000_P_x0000_*_x0000_*_x0000__x0000__x0000__x0000_䀼_x0000__x0000_魦⼔Ā_x0000__x0000__x0000_Ā_x0000_P_x0000_3_x0000_3_x0000__x0000__x0000__x0000_䁩_x0000__x0000_魦⼔_x0001__x0000__x0000__x0000__x0000__x0000_尬BĀ_x0000_P_x0000_5_x0000_5_x0000__x0000__x0000_ 䁬_x0000__x0000_魦⼔_x0001__x0000__x0000__x0000__x0000__x0000_P_x0000_@_x0000_@_x0000__x0000__x0000_ 䁬_x0000__x0000_魦⼔Ā_x0000__x0000__x0000__x0000__x0000_Q_x0000__x001B__x0000__x001B__x0000__x0000__x0000__x0000_䀼_x0000__x0000_魦⼔Ā_x0000__x0000__x0000_Ā_x0000__x0000__x0000__x0000__x0000_Q_x0000_*_x0000_*_x0000__x0000__x0000__x0000_䁢_x0000__x0000_魦⼔Ā_x0000__x0000__x0000__x0000__x0000_Q_x0000_3_x0000_3_x0000__x0000__x0000_䀀䁯_x0000__x0000_魦⼔_x0001__x0000__x0000__x0000__x0000__x0000_Q_x0000_5_x0000_5_x0000__x0000__x0000_倀䁴_x0000__x0000_魦⼔_x0001__x0000__x0000__x0000_Ā_x0000__x0000__x0000__x0000__x0000_Q_x0000_@_x0000_@_x0000__x0000__x0000_倀䁴_x0000__x0000_魦⼔Ā_x0000__x0000__x0000__x0001__x0000_R_x0000__x0001__x0000__x0001__x0000__x0000__x0000__x0000_䁢_x0000__x0000_魦⼔Ā_x0000__x0000__x0000__x0000__x0000__x0010_Armament systems_x0000__x0000__x0000__x0000__x0000__x0000_R_x0000__x001B__x0000__x001B__x0000__x0000__x0000__x0000_䁢_x0000__x0000_魦⼔Ā_x0000__x0000__x0000__x0000__x0000_R_x0000_*_x0000_*_x0000__x0000__x0000_쀀䁒_x0000__x0000_魦⼔Ā_x0000__x0000__x0000__x0001__x0000_R_x0000_3_x0000_3_x0000__x0000__x0000__x0000_䁄_x0000__x0000_魦⼔_x0001__x0000__x0000__x0000__x0000__x0000__x0000__x0000__x0000__x0000_R_x0000_5_x0000_5_x0000__x0000__x0000__x0000_䁉_x0000__x0000_魦⼔_x0001__x0000__x0000__x0000__x0000__x0000__x0010_Armament systemsBĀ_x0000_R_x0000_@_x0000_@_x0000__x0000__x0000__x0000_䁉_x0000__x0000_魦⼔Ā_x0000__x0000__x0000__x0000__x0000_尬BĀ_x0000_S_x0000__x0002__x0000__x0002__x0000__x0000__x0000_쀀䁒_x0000__x0000_魦⼔Ā_x0000__x0000__x0000__x0000__x0000_S_x0000__x001B__x0000__x001B__x0000__x0000__x0000_쀀䁒_x0000__x0000_魦⼔Ā_x0000__x0000__x0000__x0000__x0000_S_x0000_*_x0000_*_x0000__x0000__x0000__x0000_䁙_x0000__x0000_魦⼔Ā_x0000__x0000__x0000_Ā_x0000__x0000__x0000__x0000__x0000_S_x0000_3_x0000_3_x0000__x0000__x0000_耀䁦_x0000__x0000_魦⼔_x0001__x0000__x0000__x0000__x0000__x0000_S_x0000_5_x0000_5_x0000__x0000__x0000__x0000_䁉_x0000__x0000_魦⼔_x0001__x0000__x0000__x0000__x0000__x0000_S_x0000_@_x0000_@_x0000__x0000__x0000__x0000_䁉_x0000__x0000_魦⼔Ā_x0000__x0000__x0000_Ā_x0000__x0000__x0000__x0000__x0000_T_x0000__x0016__x0000__x0016__x0000__x0000__x0000__x0000_䁙_x0000__x0000_魦⼔Ā_x0000__x0000__x0000_s_x0000__x0013_st barbara high sdsT_x0000__x001B__x0000__x001B__x0000__x0000__x0000__x0000_䁙_x0000__x0000_魦⼔Ā_x0000__x0000__x0000__x0000__x0000__x0000__x0000__x0000_T_x0000_*_x0000_*_x0000__x0000__x0000_䂓_x0000__x0000_魦⼔Ā_x0000__x0000__x0000__x0000__x0000_T_x0000_3_x0000_3_x0000__x0000__x0000__x0000_䀾_x0000__x0000_魦⼔_x0001__x0000__x0000__x0000__x0001__x0000_T_x0000_5_x0000_5_x0000__x0000__x0000__x0000_䀾_x0000__x0000_魦⼔_x0001__x0000__x0000__x0000__x0000__x0000__x0000__x0000__x0000__x0000_T_x0000_@_x0000_@_x0000__x0000__x0000__x0000_䀾_x0000__x0000_魦⼔Ā_x0000__x0000__x0000__x0000__x0000_U_x0000__x0016__x0000__x0016__x0000__x0000__x0000_䂓_x0000__x0000_魦⼔Ā_x0000__x0000__x0000__x0000__x0000_U_x0000__x001B__x0000__x001B__x0000__x0000__x0000_䂓_x0000__x0000_魦⼔Ā_x0000__x0000__x0000__x0000__x0000__x0000__x0000__x0000__x0000_U_x0000_*_x0000_*_x0000__x0000__x0000_䂓_x0000__x0000_魦⼔Ā_x0000__x0000__x0000__x0000__x0000_U_x0000_3_x0000_3_x0000__x0000__x0000_쀀䁜_x0000__x0000_魦⼔_x0001__x0000__x0000__x0000__x0000__x0000_U_x0000_5_x0000_5_x0000__x0000__x0000_쀀䁜_x0000__x0000_魦⼔_x0001__x0000__x0000__x0000__x0000__x0000__x0000__x0000__x0000__x0000_0_x0000__x0000__x0000__x000B__x0000__x0000__x0000_ᄑ㿁_x0000__x0000_魦⼔Ā_x0000__x0000__x0000__x0000__x0000_頀䂇_x0000__x0000__x0005__x0000__x0001__x0000__x0000__x0000__x0000__x0000_頀䂍_x0000__x0000__x0018__x0000__x0001__x0000__x0000__x0000__x0000__x0000_蠀䂈_x0000__x0000_0_x0000__x0001__x0000__x0000__x0000__x0000__x0000_耀䂆_x0000__x0000_H_x0000__x0001__x0000__x0000__x0000__x0000__x0000_瀀䂆_x0000__x0000_`_x0000__x0001__x0000__x0000__x0000__x0000__x0000_뀀䂃_x0000__x0000_x_x0000__x0001__x0000__x0000__x0000__x0000__x0000_怀䁹_x0000__x0000__x0000__x0001__x0000__x0000__x0000__x0000__x0000_耀䁞_x0000__x0000_¨_x0000__x0001__x0000__x0000__x0000__x0000__x0000__x0000_㿰_x0000__x0000_À_x0000__x0001__x0000__x0000__x0000__x0000__x0000__x0000__x0000__x0000_ꊼAĀ_x0000__x0000__x0000__x0000__x0000__x0000__x0000__x0000_ꊼAĀ_x0000__x0000__x0000__x0000__x0000__x0000__x0000__x0000__x0000__x0000__x0000__x0000__x0000_6_x0000__x0006__x0000__x0010__x0000__x0000__x0000_䠀䂄_x0000__x0000_魦⼔_x0001__x0000__x0000__x0000__x0000__x0000_　䁾_x0000__x0000__x0000__x0000__x0001__x0000__x0000__x0000__x0000__x0000__x0000_䁸_x0000__x0000__x0018__x0000__x0001__x0000__x0000__x0000__x0000__x0000_퀀䁳_x0000__x0000_0_x0000__x0001__x0000__x0000__x0000__x0000__x0000_䀀䁵_x0000__x0000_H_x0000__x0001__x0000__x0000__x0000__x0000__x0000_䁬_x0000__x0000_`_x0000__x0001__x0000__x0000__x0000__x0000__x0000_怀䁪_x0000__x0000_x_x0000__x0001__x0000__x0000__x0000__x0000__x0000_耀䁦_x0000__x0000__x0000__x0001__x0000__x0000__x0000__x0000__x0000__x0000_䁞_x0000__x0000_¨_x0000__x0001__x0000__x0000__x0000__x0000__x0000__x0000_䁞_x0000__x0000_À_x0000__x0001__x0000__x0000__x0000__x0000__x0000_耀䁦_x0000__x0000_Ø_x0000__x0001__x0000__x0000__x0000__x0000__x0000__x0000__x0000__x0000__x0000__x0000__x0000__x0000__x0000__x0000__x0000__x0000__x0000__x0000__x0000__x0000__x0000__x0000__x0000__x0000__x0000_$_x0000__x0013__x0000__x001D__x0000__x0000__x0000__x0000_䁕_x0000__x0000_魦⼔_x0001__x0000__x0000__x0000__x0000__x0000_䀀䁯_x0000__x0000__x0000__x0000__x0001__x0000__x0000__x0000__x0000__x0000_䀀䁰_x0000__x0000__x0018__x0000__x0001__x0000__x0000__x0000__x0000__x0000_䁰_x0000__x0000_0_x0000__x0001__x0000__x0000__x0000__x0000__x0000_耀䁱_x0000__x0000_H_x0000__x0001__x0000__x0000__x0000__x0000__x0000_ 䁲_x0000__x0000_`_x0000__x0001__x0000__x0000__x0000__x0000__x0000_쀀䁲_x0000__x0000_x_x0000__x0001__x0000__x0000__x0000__x0000__x0000_　䁱_x0000__x0000__x0000__x0001__x0000__x0000__x0000__x0000__x0000_耀䁱_x0000__x0000_¨_x0000__x0001__x0000__x0000__x0000__x0000__x0000_ 䁲_x0000__x0000_À_x0000__x0001__x0000__x0000__x0000__x0000__x0000_쀀䁲_x0000__x0000_Ø_x0000__x0001__x0000__x0000__x0000_P) _x0000_ꊼA_x0002__x0000__x0000__x0000__x0000__x0000__x0000__x0000__x0000__x0000__x0000__x0000__x0000__x0000__x0000__x0000__x001C__x0000__x0005__x0000__x000F__x0000__x0000__x0000__x0000_䀨_x0000__x0000_魦⼔Ā_x0000__x0000__x0000__x0000__x0000__x0000_䀬_x0000__x0000_ꊼAĀ_x0000__x0000__x0000__x0000__x0000__x0000__x0000__x0000_ꊼAĀ_x0000__x0000__x0000__x0000__x0000__x0000__x0000__x0000_ꊼAĀ_x0000__x0000__x0000_凬Ẹ鮅䁑_x0000__x0000__x0003__x0000__x0001__x0000__x0000__x0000_滎錭࣡䀔_x0000__x0000_`_x0000__x0001__x0000__x0000__x0000_ﮒ⸎ᾋ䀬_x0000__x0000_x_x0000__x0001__x0000__x0000__x0000__x0000__x0000__x0000__x0000__x0000_ꊼAĀ_x0000__x0000__x0000__x0000__x0000__x0000_䀬_x0000__x0000__x0005__x0000__x0001__x0000__x0000__x0000__x0000__x0000__x0000_䀲_x0000__x0000_À_x0000__x0001__x0000__x0000__x0000__x0000__x0000__x0000_䀰_x0000__x0000_Ø_x0000__x0001__x0000__x0000__x0000__x0000__x0000_魠⛋_x0000__x0000_一▻_x0000_攨「_x0005__x0000_伀▻_x0000_攨「_x0005__x0000_&amp;&amp;_x0008__x0003_Ḁ☌_x0000__x0000_Ỡ☌_x0000__x0000_က♖_x0000__x0000_რ♖_x0000__x0000_ᇀ♖_x0000__x0000_አ♖_x0000__x0000_ᎀ♖_x0000__x0000_ᑠ♖_x0000__x0000_ᕀ♖_x0000__x0000_ᜀ♖_x0000__x0000_០♖_x0000__x0000_ᣀ♖_x0000__x0000_᱀♖_x0000__x0000_ᴠ♖_x0000__x0000_Ḁ♖_x0000__x0000_Ỡ♖_x0000__x0000_耀♝_x0000__x0000_胠♝_x0000__x0000_臀♝_x0000__x0000_芠♝_x0000__x0000_葠♝_x0000__x0000_蕀♝_x0000__x0000_蘠♝_x0000__x0000_蜀♝_x0000__x0000_裀♝_x0000__x0000_覠♝_x0000__x0000_誀♝_x0000__x0000_蟠♝_x0000__x0000_譠♝_x0000__x0000_豀♝_x0000__x0000_贠♝_x0000__x0000_踀♝_x0000__x0000_軠♝_x0000__x0000_骀⛋_x0000__x0000_魠⛋_x0000__x0000_鱀⛋_x0000__x0000_鴠⛋_x0000__x0000_鸀⛋_x0000__x0000_攨「_x0005__x0000__x001E__x0000__x0005__x0000__x000F__x0000__x0000__x0000__x0000_䀨_x0000__x0000_魦⼔Ā_x0000__x0000__x0000_슏⣵돜䂃_x0000__x0000__x000B__x0000__x0001__x0000__x0000__x0000_䂴_xD9E6_饖㿣_x0000__x0000__x0018__x0000__x0001__x0000__x0000__x0000_ޞ겢ὸ䀅_x0000__x0000_0_x0000__x0001__x0000__x0000__x0000_ᑺ䞮䀽_x0000__x0000_H_x0000__x0001__x0000__x0000__x0000_菬ବ㸦䀇_x0000__x0000_`_x0000__x0001__x0000__x0000__x0000_쇐⒋⟬䀤_x0000__x0000_x_x0000__x0001__x0000__x0000__x0000_욪霍箉䁂_x0000__x0000__x0000__x0001__x0000__x0000__x0000__x0000__x0000__x0000_䀨_x0000__x0000_¨_x0000__x0001__x0000__x0000__x0000__x0000__x0000__x0000_䀬_x0000__x0000_À_x0000__x0001__x0000__x0000__x0000__x0000__x0000__x0000_䀪_x0000__x0000_Ø_x0000__x0001__x0000__x0000__x0000__x0000__x0000__x0000__x0000__x0000__x0000__x0000__x0000__x0000__x0000__x0000__x0000__x0000__x0000__x0000__x0000__x0000__x0000__x0000__x0000__x0000__x0000_ _x0000__x0005__x0000__x000F__x0000__x0000__x0000__x0000_䀮_x0000__x0000_魦⼔Ā_x0000__x0000__x0000_ꀅö䁸_x0000__x0000__x0003__x0000__x0001__x0000__x0000__x0000_纖䰳쵒㿘_x0000__x0000__x0018__x0000__x0001__x0000__x0000__x0000_ퟆ㒁묆㿺_x0000__x0000_0_x0000__x0001__x0000__x0000__x0000_蔟凫纸䁁_x0000__x0000_H_x0000__x0001__x0000__x0000__x0000_켠_xDF2E_냺㿽_x0000__x0000_`_x0000__x0001__x0000__x0000__x0000_怰_xDAF7_䀲_x0000__x0000_x_x0000__x0001__x0000__x0000__x0000_蜦ᦒ쏎䀺_x0000__x0000__x0000__x0001__x0000__x0000__x0000__x0000__x0000__x0000_䀲_x0000__x0000_¨_x0000__x0001__x0000__x0000__x0000__x0000__x0000__x0000_䀶_x0000__x0000_À_x0000__x0001__x0000__x0000__x0000__x0000__x0000__x0000_䀴_x0000__x0000_Ø_x0000__x0001__x0000__x0000__x0000__x0000__x0000__x0000__x0000__x0000__x0000__x0000__x0000__x0000__x0000__x0000__x0000__x0000__x0000__x0000__x0000__x0000__x0000__x0000__x0000__x0000__x0000_Programatic headwinds in 2011 including KC-135 GATM, F-22, Califormia Highway Patrol wrapup and JTRS revenue decline (wait for initial LRIP) _x0000__x0000__x0000__x0000__x0000__x0000__x0000__x0000__x0000__x0000__x0000__x0000__x0000__x0000__x0000__x0000__x0000__x0000_"_x0000__x0005__x0000__x000F__x0000__x0000__x0000__x0000_䀬_x0000__x0000_魦⼔Ā_x0000__x0000__x0000_襉钸ᖦ䂐_x0000__x0000__x0004__x0000__x0001__x0000__x0000__x0000__xFFFF__xFFFF__xFFFF_㿯_x0000__x0000__x0018__x0000__x0001__x0000__x0000__x0000_私㹽䀑_x0000__x0000_0_x0000__x0001__x0000__x0000__x0000_馚香㦙䁈_x0000__x0000_H_x0000__x0001__x0000__x0000__x0000_䮘뚪䂛䀑_x0000__x0000_`_x0000__x0001__x0000__x0000__x0000_駪鿇睪䀦_x0000__x0000_x_x0000__x0001__x0000__x0000__x0000_਽ꏗ_xDD70_䁏_x0000__x0000__x0000__x0001__x0000__x0000__x0000__x0000__x0000__x0000_䀮_x0000__x0000_¨_x0000__x0001__x0000__x0000__x0000__x0000__x0000__x0000_䀴_x0000__x0000_À_x0000__x0001__x0000__x0000__x0000__x0000__x0000_耀䀱_x0000__x0000_Ø_x0000__x0001__x0000__x0000__x0000__x0000__x0000__x0000__x0000__x0000__x0000__x0000__x0000__x0000__x0000__x0000__x0000__x0000__x0000__x0000__x0000__x0000__x0000__x0000__x0000__x0000__x0000_Programatic headwinds in 2011 including KC-135 GATM, F-22, Califormia Highway Patrol wrapup and JTRS revenue decline (wait for initial LRIP) _x0000__x0000__x0000__x0000__x0000__x0000__x0000__x0000__x0000__x0000__x0000__x0000__x0000__x0000__x0000__x0000__x0000__x0000_'_x0000__x0013__x0000__x001D__x0000__x0000__x0000__x0000__x0000__x0000__x0000_魦⼔_x0001__x0000__x0000__x0000__x0000__x0000__x0000_䀹_x0000__x0000__x0000__x0000__x0001__x0000__x0000__x0000__x0000__x0000__x0000_䁉_x0000__x0000__x0018__x0000__x0001__x0000__x0000__x0000__x0000__x0000_쀀䁒_x0000__x0000_0_x0000__x0001__x0000__x0000__x0000__x0000__x0000__x0000_䁙_x0000__x0000_H_x0000__x0001__x0000__x0000__x0000__x0000__x0000__x0000_䁙_x0000__x0000_`_x0000__x0001__x0000__x0000__x0000__x0000__x0000__x0000_䁙_x0000__x0000_x_x0000__x0001__x0000__x0000__x0000__x0000__x0000__x0000_䁉_x0000__x0000__x0000__x0001__x0000__x0000__x0000__x0000__x0000__x0000__x0000__x0000_ꊼAĀ_x0000__x0000__x0000__x0000__x0000_쀀䁢_x0000__x0000_&lt;_x0000__x0001__x0000__x0000__x0000__x0000__x0000__x0000_䁩_x0000__x0000_Ø_x0000__x0001__x0000__x0000__x0000__x0000__x0000__x0000__x0000__x0000__x0000__x0000__x0000__x0000__x0000__x0000__x0000__x0000__x0000__x0000__x0000__x0000__x0000__x0000__x0000__x0000__x0000_JTRS decomposes into MIDS-J (data link) which is delivering, ground radio (GMR) is most uncertain, amd manpack which is still progress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X_x0000_D_x0000_H_x0000__xDBB8_⣂_xD93A_㿉_x0000__x0000_魦⼔_x0001__x0000__x0000__x0000_伀㿌_x0000__x0000__x0000__x0000__x0001__x0000__x0000__x0000_䞀茴ﮝ㾪_x0000__x0000__x0018__x0000__x0001__x0000__x0000__x0000_저恰ꇍ㾙_x0000__x0000_0_x0000__x0001__x0000__x0000__x0000_쒠鱉䧄㿌_x0000__x0000_H_x0000__x0001__x0000__x0000__x0000_stream IV_x0000__x0000__x0000__x0000__x0000_Y_x0000__x001F__x0000_#_x0000_맠舜셺㿕_x0000__x0000_魦⼔_x0001__x0000__x0000__x0000_嵐홢ł㿝_x0000__x0000__x0000__x0000__x0001__x0000__x0000__x0000_ᖰ썁_xDD49_㿇_x0000__x0000__x0018__x0000__x0001__x0000__x0000__x0000_뛘_xDB6D_涶㿋_x0000__x0000_0_x0000__x0001__x0000__x0000__x0000_ḠḞḞ㾮_x0000__x0000_H_x0000__x0001__x0000__x0000__x0000_stream IV_x0000__x0000__x0000__x0000__x0000_Y_x0000_D_x0000_H_x0000_歌﹏㿝_x0000__x0000_魦⼔_x0001__x0000__x0000__x0000_姀ऴ㿛_x0000__x0000__x0000__x0000__x0001__x0000__x0000__x0000__x0000__x0000__x0000__x0000__x0000__x0000__x0018__x0000__x0001__x0000__x0000__x0000_厸䭑횼㿈_x0000__x0000_0_x0000__x0001__x0000__x0000__x0000_澸斩ﮣ㿆_x0000__x0000_H_x0000__x0001__x0000__x0000__x0000_stream IV_x0000__x0000__x0000__x0000__x0000_Z_x0000__x001F__x0000_#_x0000_踹㣣䀀_x0000__x0000_魦⼔_x0001__x0000__x0000__x0000_뛜_xDB6D_涶㿥_x0000__x0000__x0000__x0000__x0001__x0000__x0000__x0000_䃌堒챯㿰_x0000__x0000__x0018__x0000__x0001__x0000__x0000__x0000_潌퍺_xDE9B_㿔_x0000__x0000_0_x0000__x0001__x0000__x0000__x0000_疀禴㿂_x0000__x0000_H_x0000__x0001__x0000__x0000__x0000_stream IV_x0000__x0000__x0000__x0000__x0000_Z_x0000_D_x0000_H_x0000_⽨붡㿲_x0000__x0000_魦⼔_x0001__x0000__x0000__x0000_輰ࢭ业㿚_x0000__x0000__x0000__x0000__x0001__x0000__x0000__x0000__xD806_會聢䀅_x0000__x0000__x0018__x0000__x0001__x0000__x0000__x0000_䬀跂㾫_x0000__x0000_0_x0000__x0001__x0000__x0000__x0000_柈惝粊㿖_x0000__x0000_H_x0000__x0001__x0000__x0000__x0000_stream IV_x0000__x0000__x0000__x0000__x0000_[_x0000__x001F__x0000_#_x0000__xDB6E_涶㛛䀦_x0000__x0000_魦⼔_x0001__x0000__x0000__x0000_터鴒㿀_x0000__x0000__x0000__x0000__x0001__x0000__x0000__x0000_՘ఈ㾲_x0000__x0000__x0018__x0000__x0001__x0000__x0000__x0000_ᤀ辜療㾸_x0000__x0000_0_x0000__x0001__x0000__x0000__x0000_유ᱱ燇㾼_x0000__x0000_H_x0000__x0001__x0000__x0000__x0000_stream IV_x0000__x0000__x0000__x0000__x0000_[_x0000_D_x0000_H_x0000_䤥⒒቉䀣_x0000__x0000_魦⼔_x0001__x0000__x0000__x0000_쯰⭣蚂㿃_x0000__x0000__x0000__x0000__x0001__x0000__x0000__x0000__xD8D8__xD8D8__xD8D8_㿈_x0000__x0000__x0018__x0000__x0001__x0000__x0000__x0000_⍐숴㿒_x0000__x0000_0_x0000__x0001__x0000__x0000__x0000_⒐鉉䤤㿂_x0000__x0000_H_x0000__x0001__x0000__x0000__x0000_stream IV_x0000__x0000__x0000__x0000__x0000_\_x0000__x001F__x0000_#_x0000_ᱲ燇윜㿭_x0000__x0000_魦⼔_x0001__x0000__x0000__x0000_ℨ뾊ᧈ뾶_x0000__x0000__x0000__x0000__x0001__x0000__x0000__x0000_ᐨ蔊ꅂ㿐_x0000__x0000__x0018__x0000__x0001__x0000__x0000__x0000__x0000__x0000__x0000_㾸_x0000__x0000__xFFFF__xFFFF__x0001__x0000__x0000__x0000__x0000__x0000__x0000__x0000__x0000__x0000_H_x0000__x0001__x0000__x0000__x0000_stream IV_x0000__x0000__x0000__x0000__x0000_\_x0000_D_x0000_H_x0000_踸㣣㿮_x0000__x0000_魦⼔_x0001__x0000__x0000__x0000_퐠ᵁ䇔뾭_x0000__x0000__x0000__x0000__x0001__x0000__x0000__x0000_鬠뉬⛉㾫_x0000__x0000__x0018__x0000__x0001__x0000__x0000__x0000_ݠ捴㺞㿊_x0000__x0000_0_x0000__x0001__x0000__x0000__x0000_覀䃴㾦_x0000__x0000_H_x0000__x0001__x0000__x0000__x0000_stream IV_x0000__x0000__x0000__x0000__x0000_]_x0000__x001F__x0000_#_x0000_鋄ⱟ엹㿒_x0000__x0000_魦⼔_x0001__x0000__x0000__x0000_琠ꮋ㾯_x0000__x0000__x0000__x0000__x0001__x0000__x0000__x0000_袲⁏㿅_x0000__x0000__x0018__x0000__x0001__x0000__x0000__x0000__x0000__x0000__x0000_㿀_x0000__x0000_0_x0000__x0001__x0000__x0000__x0000_유ᱱ燇㾼_x0000__x0000_H_x0000__x0001__x0000__x0000__x0000_stream IV_x0000__x0000__x0000__x0000__x0000_]_x0000_D_x0000_H_x0000_Ề롑㾾_x0000__x0000_魦⼔_x0001__x0000__x0000__x0000_蘘ᡡ憆㿘_x0000__x0000__x0000__x0000__x0001__x0000__x0000__x0000__x0000__x0000__x0000_㿐_x0000__x0000__x0018__x0000__x0001__x0000__x0000__x0000_視䅒⾫뾵_x0000__x0000_0_x0000__x0001__x0000__x0000__x0000_׈᜙層㿀_x0000__x0000_H_x0000__x0001__x0000__x0000__x0000_stream IV_x0000__x0000__x0000__x0000__x0000_^_x0000__x001F__x0000_#_x0000_㌴㌳㌳㿓_x0000__x0000_魦⼔_x0001__x0000__x0000__x0000_仄쓬㿴_x0000__x0000__x0000__x0000__x0001__x0000__x0000__x0000__x0000__x0000__x0000__x0000__x0000__x0000__x0018__x0000__x0001__x0000__x0000__x0000_ᄐᄑᄑ㿁_x0000__x0000_0_x0000__x0001__x0000__x0000__x0000_ḀḞḞ㾞_x0000__x0000_H_x0000__x0001__x0000__x0000__x0000_stream IV_x0000__x0000__x0000__x0000__x0000_^_x0000_D_x0000_H_x0000_尨슏⣵㿸_x0000__x0000_魦⼔_x0001__x0000__x0000__x0000_瑄畊欗㿕_x0000__x0000__x0000__x0000__x0001__x0000__x0000__x0000_╲禁㿠_x0000__x0000__x0018__x0000__x0001__x0000__x0000__x0000__x0000__x0000__x0000_㾩_x0000__x0000__xFFFF__xFFFF__x0001__x0000__x0000__x0000_쳾伢䥪뿖_x0000__x0000_H_x0000__x0001__x0000__x0000__x0000_stream IV_x0000__x0000__x0000__x0000__x0000___x0000__x001F__x0000_#_x0000_靮籇跆㿧_x0000__x0000_魦⼔_x0001__x0000__x0000__x0000_ꗠ㿔_x0000__x0000__x0000__x0000__x0001__x0000__x0000__x0000_陠↡ᮀ㿒_x0000__x0000__x0018__x0000__x0001__x0000__x0000__x0000_ᑸ䞮竡㿄_x0000__x0000_0_x0000__x0001__x0000__x0000__x0000_箐愚ꞹ㾱_x0000__x0000_H_x0000__x0001__x0000__x0000__x0000_stream IV_x0000__x0000__x0000__x0000__x0000___x0000_D_x0000_H_x0000_靮籇跆㿧_x0000__x0000_魦⼔_x0001__x0000__x0000__x0000_㠐Ⴎ길㿐_x0000__x0000__x0000__x0000__x0001__x0000__x0000__x0000_㻘ⱊ౿㿜_x0000__x0000__x0018__x0000__x0001__x0000__x0000__x0000_띛踦㾹_x0000__x0000_0_x0000__x0001__x0000__x0000__x0000_嫸⸮⃃㿄_x0000__x0000_H_x0000__x0001__x0000__x0000__x0000_stream IV_x0000__x0000__x0000__x0000__x0000_a_x0000__x0001__x0000__x0005__x0000__x0000__x0000_一䂨_x0000__x0000_魦⼔Ā_x0000__x0000__x0000__x0000__x0000_︀䂦_x0000__x0000_ꊼAĀ_x0000__x0000__x0000__x0000__x0000__x0000__x0000__x0000_ꊼAĀ_x0000__x0000__x0000__x0000__x0000__x0000__x0000__x0000_ꊼAĀ_x0000__x0000__x0000__x0000__x0000__x0000__x0000__x0000_ꊼAĀ_x0000__x0000__x0000_stream IV_x0000__x0000__x0000__x0000__x0000_c_x0000__x0000__x0000__x0005__x0000__x0000__x0000_㿊_x0000__x0000_魦⼔Ā_x0000__x0000__x0000__x0000__x0000__x0000_䁹_x0000__x0000__x0005__x0000__x0001__x0000__x0000__x0000__x0000__x0000_䀀䂟_x0000__x0000__x0018__x0000__x0001__x0000__x0000__x0000__x0000__x0000__x0000_䀨_x0000__x0000_0_x0000__x0001__x0000__x0000__x0000_捻潻緾㽿_x0000__x0000_H_x0000__x0001__x0000__x0000__x0000__x0000__x0000__x0000__x0000__x0000_ꊼAĀ_x0000__x0000__x0000__x0000__x0000_b_x0000__x0000__x0000__x0005__x0000__x0000__x0000_䰀䂟_x0000__x0000_魦⼔Ā_x0000__x0000__x0000__x0000__x0000_瀀䁷_x0000__x0000__x0005__x0000__x0001__x0000__x0000__x0000__x0000__x0000_䀀䂟_x0000__x0000__x0018__x0000__x0001__x0000__x0000__x0000__x0000__x0000__x0000_䁈_x0000__x0000_0_x0000__x0001__x0000__x0000__x0000_捻潻緾㾟_x0000__x0000_H_x0000__x0001__x0000__x0000__x0000__x0000__x0000__x0000__x0000__x0000_ꊼAĀ_x0000__x0000__x0000__x0000__x0000_EUS army wants up to 2131 eight wheeled armed vehcs. 356 deld' to dateam IV_x0000__x0000__x0000__x0000__x0000_d_x0000__x0000__x0000__x0005__x0000__x0000__x0000_਽㾷_x0000__x0000_魦⼔Ā_x0000__x0000__x0000__x0000__x0000_쀀䁒_x0000__x0000__x0005__x0000__x0001__x0000__x0000__x0000__x0000__x0000_䀀䂟_x0000__x0000__x0018__x0000__x0001__x0000__x0000__x0000__x0000__x0000__x0000_䀢_x0000__x0000_0_x0000__x0001__x0000__x0000__x0000_לּ펜鹾㽷_x0000__x0000_H_x0000__x0001__x0000__x0000__x0000__x0000__x0000__x0000__x0000__x0000_ꊼAĀ_x0000__x0000__x0000__x0000__x0000_e_x0000__x0000__x0000__x0005__x0000__x0000__x0000_香㾹_x0000__x0000_魦⼔Ā_x0000__x0000__x0000__x0000__x0000_蠀䂃_x0000__x0000__x0006__x0000__x0001__x0000__x0000__x0000__x0000__x0000_䐀䂟_x0000__x0000__x0018__x0000__x0001__x0000__x0000__x0000__x0000__x0000__x0000_䀻_x0000__x0000_0_x0000__x0001__x0000__x0000__x0000_뱬ẵ뛟㾑_x0000__x0000_H_x0000__x0001__x0000__x0000__x0000__x0000__x0000__x0000__x0000__x0000_ꊼAĀ_x0000__x0000__x0000__x0000__x0000_f_x0000__x0000__x0000__x0005__x0000__x0000__x0000_슏㿅_x0000__x0000_魦⼔Ā_x0000__x0000__x0000__x0000__x0000_堀䂛_x0000__x0000__x0006__x0000__x0001__x0000__x0000__x0000__x0000__x0000_䠀䂟_x0000__x0000__x0018__x0000__x0001__x0000__x0000__x0000__x0000__x0000__x0000_䁈_x0000__x0000_0_x0000__x0001__x0000__x0000__x0000_捻潻緾㾟_x0000__x0000_H_x0000__x0001__x0000__x0000__x0000__x0000__x0000__x0000__x0000__x0000_ꊼAĀ_x0000__x0000__x0000__x0000__x0000_@Morgan Stanley Breakdown of Combat - Proprietary and Unpublishedd 2008m IV_x0000__x0000__x0000__x0000__x0000_GAAAV lrip begins 2006, full scale prodn AAAV for 1K vehs starts in 2008 IV_x0000__x0000__x0000__x0000__x0000_Barmored systems - $1.4B for leopards (235) 2003-08 delivery periodtream IV_x0000__x0000__x0000__x0000__x0000_"Gulfstream Aerospace Gulfstream IV_x0000__x0000__x0000__x0000__x0000__x0000__x0000__x0000__x0000__x0000__x0000__x0000__x0000_TGD breakdown of Combat Vehicles - A Single Pie Chart By Percentage of Total CS Salesstream AeroTFY04 includes funding thur 2008 for 3 add'l Styker brigades - 6 brigades = 2100 vehs GulfstreamTCrusader: self propelled howitzer, army's largest R&amp;D program - company's share=25%._x0000__x0000__x0000_"Gulfstr貰㢃䱜㡿_x0000__x0000_鯨㢃鯘㢃_x0000__x0000__x0000__x0000__x0000__x0000_貰㢃_x0000__x0000__x0000__x0000_ꪝ気貰㢃_x0001__x0000__x0001__x0000__x0000__x0000__x0000__x0000__x0000__x0000__x0000__x0000__x0000__x0000__x0000__x0000__x0000__x0000__x0000__x0000__x0000__x0000__x0000__x0000__x0000__x0000__x0000__x0000__x0000__x0000__x0000__x0000__x0000__x0000__x0000__x0000__x0000__x0000_⚶_x0000__x0000__x0000_࡙_x0000__x0000__x0000__x0000__x0000__x0000__x0000_⚶_x0000__x0000__x0000_࡙_x0000__x0000__x0000__x0000__x0000__x0000__x0000_space Gu¶_x0000_na/ny/users/johndasc/Docs/ID/Charts/Chart_Gallery/From%20Vlad/B11_BarSingle_AverageLine.xls_x0000__x0000__x0000_貰㢃䱜㡿_x0000__x0000_鯨㢃鯘㢃_x0000__x0000__x0000__x0000__x0000__x0000_貰㢃_x0000__x0000__x0000__x0000_ᶊ쮟貰㢃_x0001__x0000__x0001__x0000__x0000__x0000__x0000__x0000__x0000__x0000__x0000__x0000__x0000__x0000__x0000__x0000__x0000__x0000__x0000__x0000__x0000__x0000__x0000__x0000__x0000__x0000__x0000__x0000__x0000__x0000__x0000__x0000__x0000__x0000__x0000__x0000__x0000__x0000_છ_x0000__x0000__x0000_˹_x0000__x0000__x0000__x0000__x0000__x0000__x0000_છ_x0000__x0000__x0000_˹_x0000__x0000__x0000__x0000__x0000__x0000__x0000_ᘀѦ_x0000_攨「uo貰㢃䱜㡿_x0000__x0000_鯨㢃鯘㢃_x0000__x0000__x0000__x0000__x0000__x0000_貰㢃_x0000__x0000__x0000__x0000_瀓곋貰㢃_x0001__x0000__x0001__x0000__x0000__x0000__x0000__x0000__x0000__x0000__x0000__x0000__x0000__x0000__x0000__x0000__x0000__x0000__x0000__x0000__x0000__x0000__x0000__x0000__x0000__x0000__x0000__x0000__x0000__x0000__x0000__x0000__x0000__x0000__x0000__x0000__x0000__x0000__x0000__x0000__x0000_㱕_x0000__x0000__x0000__x0000__x0000__x0000__x0000__x0000__x0000__x0000_㱕_x0000__x0000__x0000__x0000__x0000__x0000__x0000_▾_x0000__x0000_▾_x0000__x0000_XLargest swing factor in our forecasts, RR will try to reduce inventories to drive up FCFGulfstrWIncrease in capitalised losses on engine sales driven by Trent 900 deliveries (on A380)space Gu貰㢃䱜㡿_x0000__x0000_鯨㢃鯘㢃_x0000__x0000__x0000__x0000__x0000__x0000_貰㢃_x0000__x0000__x0000__x0000_햨⤎貰㢃_x0001__x0000__x0001__x0000__x0000__x0000__x0000__x0000__x0000__x0000__x0000__x0000__x0000__x0000__x0000__x0000__x0000__x0000__x0000__x0000__x0000__x0000__x0000__x0000__x0000__x0000__x0000__x0000__x0000__x0000__x0000__x0000__x0000__x0000__x0000__x0000__x0000__x0000_ю_x0000__x0000__x0000_ǌ_x0000__x0000__x0000__x0000__x0000__x0000__x0000_ю_x0000__x0000__x0000_ǌ_x0000__x0000__x0000__x0000__x0000__x0000__x0000_ IV_x0000__x0000__x0000__x0000__x0000_*_x0000__x0013__x0000__x0019__x0000__x0000__x0000__x0000_䁕_x0000__x0000_魦⼔_x0001__x0000__x0000__x0000__x0000__x0000_　䁱_x0000__x0000__x0000__x0000__x0001__x0000__x0000__x0000__x0000__x0000_怀䁳_x0000__x0000__x0018__x0000__x0001__x0000__x0000__x0000__x0000__x0000_뀀䁸_x0000__x0000_0_x0000__x0001__x0000__x0000__x0000__x0000__x0000__x0000_䁾_x0000__x0000_H_x0000__x0001__x0000__x0000__x0000__x0000__x0000_䂀_x0000__x0000_`_x0000__x0001__x0000__x0000__x0000__x0000__x0000_쀀䂂_x0000__x0000_x_x0000__x0001__x0000__x0000__x0000__x0000_攨「uo貰㢃䱜㡿_x0000__x0000_鯨㢃鯘㢃_x0000__x0000__x0000__x0000__x0000__x0000_貰㢃_x0000__x0000__x0000__x0000_춞侃貰㢃_x0001__x0000__x0001__x0000__x0000__x0000__x0000__x0000__x0000__x0000__x0000__x0000__x0000__x0000__x0000__x0000__x0000__x0000__x0000__x0000__x0000__x0000__x0000__x0000__x0000__x0000__x0000__x0000__x0000__x0000__x0000__x0000__x0000__x0000__x0000__x0000__x0000__x0000_ᮓ_x0013__x0000__x0000_ҳ_x0003__x0000__x0000__x0000__x0000__x0000__x0000_ᮓ_x0013__x0000__x0000_ҳ_x0003__x0000__x0000__x0000__x0000__x0000__x0000_lfstream*_x0000__x0005__x0000__x000B__x0000__x0000__x0000_㦙䁈_x0000__x0000_魦⼔Ā_x0000__x0000__x0000__x0000__x0000_ꏗ䀍_x0000__x0000_ꊼAĀ_x0000__x0000__x0000__x0000__x0000__x0000__x0000__x0000_ꊼAĀ_x0000__x0000__x0000__x0000__x0000__x0000__x0000__x0000_ꊼAĀ_x0000__x0000__x0000_䞮竡Ḕ䁓_x0000__x0000__x0003__x0000__x0001__x0000__x0000__x0000_綢䀛_x0000__x0000_`_x0000__x0001__x0000__x0000__x0000_딑鄽䀥_x0000__x0000_x_x0000__x0001__x0000__x0000__x0000__x0000__x0000_蘠♝_x0000__x0000_]Do not change the width of the exhibit or font sizes (they are optimized for export to Word).GuJ_x0000_&amp;_x0000_,_x0000__x0000__x0000_̳䁐_x0000__x0000_魦⼔Ā_x0000__x0000__x0000__x0000__x0000_蝜䂊_x0000__x0000_ꊼAĀ_x0000__x0000__x0000__x0000__x0000__x0000__x0000__x0000_ꊼAĀ_x0000__x0000__x0000__x0000__x0000__x0000__x0000__x0000_ꊼAĀ_x0000__x0000__x0000__x0000__x0000__x0000__x0000__x0000_ꊼAĀ_x0000__x0000__x0000__x0000__x0000__x0000__x0000__x0000_ꊼAĀ_x0000__x0000__x0000__x0000__x0000__x0000__x0000__x0000_ꊼAĀ_x0000__x0000__x0000_ HRS_x0000__x0000_[(1) Defense multiples likely rangebound in current DoD budget environment (50-75% S&amp;P P/E).Aero^Margins and growth prospects, however, likely warrant multiple premium over 'Primes'. CAE, HRSmX(2) If defense multiples are appropriate, implication is mid-cycle commercial multiples.GulfstrL_x0000_&amp;_x0000_,_x0000_슏⣵돜䂃_x0000__x0000_魦⼔_x0001__x0000__x0000__x0000_䂴_xD9E6_饖㿣_x0000__x0000__x0000__x0000__x0001__x0000__x0000__x0000_ޞ겢ὸ䀅_x0000__x0000__x0018__x0000__x0001__x0000__x0000__x0000__x0000__x0000__x0000_䀨_x0000__x0000_0_x0000__x0001__x0000__x0000_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oredAC"/>
      <sheetName val="Total Stored AC"/>
      <sheetName val="By Type"/>
      <sheetName val="Summary"/>
      <sheetName val="Graphs"/>
      <sheetName val="MWare_Cached"/>
      <sheetName val="BJs charts"/>
      <sheetName val="Biz Jet Output Data"/>
    </sheetNames>
    <sheetDataSet>
      <sheetData sheetId="0"/>
      <sheetData sheetId="1" refreshError="1"/>
      <sheetData sheetId="2" refreshError="1"/>
      <sheetData sheetId="3" refreshError="1"/>
      <sheetData sheetId="4">
        <row r="78">
          <cell r="B78" t="str">
            <v>SE-210 (Caravelle)</v>
          </cell>
        </row>
      </sheetData>
      <sheetData sheetId="5" refreshError="1"/>
      <sheetData sheetId="6" refreshError="1"/>
      <sheetData sheetId="7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_FDSCACHE__"/>
      <sheetName val="TOC"/>
      <sheetName val="Main"/>
      <sheetName val="Guidance History"/>
      <sheetName val="QTR Analysis"/>
      <sheetName val="Earnings Analysis"/>
      <sheetName val="Valuation"/>
      <sheetName val="DCF"/>
      <sheetName val="PT valuation"/>
      <sheetName val="Act &amp; Landing"/>
      <sheetName val="Nac &amp; Interior"/>
      <sheetName val="Electronic Systems"/>
      <sheetName val="Revs by Market Channel"/>
      <sheetName val="Large Aircraft Build-Up"/>
      <sheetName val="Scratch"/>
      <sheetName val="EPS Walk"/>
      <sheetName val="M&amp;A"/>
      <sheetName val="Valuation Summary"/>
      <sheetName val="Ship Set Values"/>
      <sheetName val="Bull Base Bear"/>
      <sheetName val="Aftermarket"/>
      <sheetName val="Aircraft Content"/>
      <sheetName val="Output"/>
      <sheetName val="Sheet1"/>
      <sheetName val="MW-Cache"/>
      <sheetName val="MWA RR"/>
      <sheetName val="mwareDates"/>
      <sheetName val="To Do's"/>
      <sheetName val="mwareSettings"/>
      <sheetName val="Capital Deployment"/>
      <sheetName val="C1500"/>
      <sheetName val="FBO MRO EBITDA ACT-BUD YT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_FDSCACHE__"/>
      <sheetName val="TOC"/>
      <sheetName val="Main"/>
      <sheetName val="Qtr"/>
      <sheetName val="Scratch"/>
      <sheetName val="Valuation"/>
      <sheetName val="DCF"/>
      <sheetName val="SOTP"/>
      <sheetName val="Govt Systems"/>
      <sheetName val="Comm Systems"/>
      <sheetName val="Capital Deployment"/>
      <sheetName val="M&amp;A"/>
      <sheetName val="Tables"/>
      <sheetName val="Comm Systems Old"/>
      <sheetName val="Variance"/>
      <sheetName val="Breakdown"/>
      <sheetName val="RI"/>
      <sheetName val="DDM"/>
      <sheetName val="FCF"/>
      <sheetName val="HV"/>
      <sheetName val="Output"/>
      <sheetName val="9-11"/>
      <sheetName val="Guid"/>
      <sheetName val="mwareDates"/>
      <sheetName val="MWA RR"/>
      <sheetName val="CS old"/>
      <sheetName val="mwareSettings"/>
      <sheetName val="MW-Cache"/>
      <sheetName val="Sheet1"/>
      <sheetName val="To Do's"/>
      <sheetName val="Guidance History"/>
      <sheetName val="#REF"/>
      <sheetName val="EPS walk"/>
      <sheetName val="DCF-2"/>
      <sheetName val="QTR Analysis"/>
      <sheetName val="Other--&gt;"/>
      <sheetName val="Rev Breakdown"/>
      <sheetName val="C1500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B1" t="str">
            <v>2009 Cash Distribution</v>
          </cell>
        </row>
        <row r="2">
          <cell r="B2" t="str">
            <v>$MM</v>
          </cell>
        </row>
        <row r="3">
          <cell r="C3" t="str">
            <v xml:space="preserve">YTD </v>
          </cell>
          <cell r="D3" t="str">
            <v xml:space="preserve">4Q </v>
          </cell>
          <cell r="E3" t="str">
            <v xml:space="preserve">FY </v>
          </cell>
          <cell r="G3" t="str">
            <v>Notes</v>
          </cell>
        </row>
        <row r="4">
          <cell r="B4" t="str">
            <v>OCF</v>
          </cell>
          <cell r="C4">
            <v>381</v>
          </cell>
          <cell r="D4">
            <v>252</v>
          </cell>
          <cell r="E4">
            <v>633</v>
          </cell>
          <cell r="G4" t="str">
            <v>Guidance range: $625-675MM</v>
          </cell>
        </row>
        <row r="5">
          <cell r="B5" t="str">
            <v>Capex</v>
          </cell>
          <cell r="C5">
            <v>-117</v>
          </cell>
          <cell r="D5">
            <v>-36</v>
          </cell>
          <cell r="E5">
            <v>-153</v>
          </cell>
          <cell r="G5" t="str">
            <v>Guidance: $150MM</v>
          </cell>
        </row>
        <row r="6">
          <cell r="B6" t="str">
            <v>Dividend</v>
          </cell>
          <cell r="C6">
            <v>-114</v>
          </cell>
          <cell r="D6">
            <v>-38</v>
          </cell>
          <cell r="E6">
            <v>-152</v>
          </cell>
          <cell r="G6" t="str">
            <v>Continued at $0.24 per share</v>
          </cell>
        </row>
        <row r="7">
          <cell r="B7" t="str">
            <v>Repo</v>
          </cell>
          <cell r="C7">
            <v>-95</v>
          </cell>
          <cell r="D7">
            <v>-58</v>
          </cell>
          <cell r="E7">
            <v>-153</v>
          </cell>
          <cell r="G7" t="str">
            <v>Within $67MM remaing program balance</v>
          </cell>
        </row>
        <row r="8">
          <cell r="B8" t="str">
            <v>Remaining FCF</v>
          </cell>
          <cell r="C8">
            <v>55</v>
          </cell>
          <cell r="D8">
            <v>120</v>
          </cell>
          <cell r="E8">
            <v>175</v>
          </cell>
          <cell r="G8" t="str">
            <v>69% generated in 4Q</v>
          </cell>
        </row>
        <row r="9">
          <cell r="B9" t="str">
            <v>Net Income</v>
          </cell>
          <cell r="C9">
            <v>460</v>
          </cell>
          <cell r="D9">
            <v>134</v>
          </cell>
          <cell r="E9">
            <v>594</v>
          </cell>
          <cell r="G9" t="str">
            <v>MS EPS estimate of $3.81</v>
          </cell>
        </row>
        <row r="10">
          <cell r="B10" t="str">
            <v>OCF Conversion</v>
          </cell>
          <cell r="C10">
            <v>0.82826086956521738</v>
          </cell>
          <cell r="D10">
            <v>1.8805970149253732</v>
          </cell>
          <cell r="E10">
            <v>1.0656565656565657</v>
          </cell>
          <cell r="G10" t="str">
            <v>OCF guidance implies knockout 4Q09</v>
          </cell>
        </row>
        <row r="12">
          <cell r="B12" t="str">
            <v>2011 Tailwinds / Headwinds</v>
          </cell>
        </row>
        <row r="13">
          <cell r="H13" t="str">
            <v>Guidance Cushion</v>
          </cell>
        </row>
        <row r="14">
          <cell r="B14" t="str">
            <v>Pension</v>
          </cell>
          <cell r="C14">
            <v>40</v>
          </cell>
          <cell r="D14" t="str">
            <v>Tailwind</v>
          </cell>
          <cell r="J14" t="str">
            <v xml:space="preserve">Low </v>
          </cell>
          <cell r="K14" t="str">
            <v xml:space="preserve">High </v>
          </cell>
          <cell r="M14" t="str">
            <v xml:space="preserve">Delta </v>
          </cell>
        </row>
        <row r="15">
          <cell r="B15" t="str">
            <v>incentive Comp</v>
          </cell>
          <cell r="C15">
            <v>27</v>
          </cell>
          <cell r="D15" t="str">
            <v>Headwind; $100M versus $73M last year</v>
          </cell>
          <cell r="H15" t="str">
            <v>Margin Cushion Holding Sales Constant</v>
          </cell>
        </row>
        <row r="16">
          <cell r="B16" t="str">
            <v>Gov Systems Revs</v>
          </cell>
          <cell r="C16">
            <v>150</v>
          </cell>
          <cell r="D16" t="str">
            <v>Headwind F-22</v>
          </cell>
          <cell r="H16" t="str">
            <v>EPS Range</v>
          </cell>
          <cell r="J16">
            <v>3.7</v>
          </cell>
          <cell r="K16">
            <v>3.9</v>
          </cell>
          <cell r="M16">
            <v>0.19999999999999973</v>
          </cell>
        </row>
        <row r="17">
          <cell r="B17" t="str">
            <v>KC-X - Gov Sys Revs</v>
          </cell>
          <cell r="C17">
            <v>60</v>
          </cell>
          <cell r="D17" t="str">
            <v>Tailwind</v>
          </cell>
          <cell r="H17" t="str">
            <v>MSe Sharecount</v>
          </cell>
          <cell r="J17">
            <v>159.4</v>
          </cell>
          <cell r="K17">
            <v>159.4</v>
          </cell>
        </row>
        <row r="18">
          <cell r="H18" t="str">
            <v>Implied Net Income</v>
          </cell>
          <cell r="J18">
            <v>589.78000000000009</v>
          </cell>
          <cell r="K18">
            <v>621.66</v>
          </cell>
        </row>
        <row r="19">
          <cell r="H19" t="str">
            <v>Tax Guidance</v>
          </cell>
          <cell r="J19">
            <v>0.32</v>
          </cell>
          <cell r="K19">
            <v>0.32</v>
          </cell>
        </row>
        <row r="20">
          <cell r="H20" t="str">
            <v>Implied EBT</v>
          </cell>
          <cell r="J20">
            <v>867.32352941176487</v>
          </cell>
          <cell r="K20">
            <v>914.20588235294122</v>
          </cell>
        </row>
        <row r="21">
          <cell r="H21" t="str">
            <v>MSe Corp, Int. &amp; Stock-based comp.</v>
          </cell>
          <cell r="J21">
            <v>39</v>
          </cell>
          <cell r="K21">
            <v>39</v>
          </cell>
        </row>
        <row r="22">
          <cell r="H22" t="str">
            <v>Implied Segment Op. Profit</v>
          </cell>
          <cell r="J22">
            <v>828.32352941176487</v>
          </cell>
          <cell r="K22">
            <v>875.20588235294122</v>
          </cell>
          <cell r="M22">
            <v>46.88235294117635</v>
          </cell>
        </row>
        <row r="23">
          <cell r="H23" t="str">
            <v>Implied Segment Margin</v>
          </cell>
          <cell r="J23">
            <v>0.18204912734324502</v>
          </cell>
          <cell r="K23">
            <v>0.19235294117647059</v>
          </cell>
          <cell r="M23">
            <v>1.0303813833225567E-2</v>
          </cell>
        </row>
        <row r="24">
          <cell r="H24" t="str">
            <v>Revenue Guidance</v>
          </cell>
          <cell r="J24">
            <v>4550</v>
          </cell>
          <cell r="K24">
            <v>4550</v>
          </cell>
        </row>
        <row r="26">
          <cell r="H26" t="str">
            <v>Sales Cushion Holding Margins Constant</v>
          </cell>
        </row>
        <row r="27">
          <cell r="H27" t="str">
            <v>EPS Range</v>
          </cell>
          <cell r="J27">
            <v>3.7</v>
          </cell>
          <cell r="K27">
            <v>3.9</v>
          </cell>
          <cell r="M27">
            <v>0.19999999999999973</v>
          </cell>
        </row>
        <row r="28">
          <cell r="H28" t="str">
            <v>MSe Sharecount</v>
          </cell>
          <cell r="J28">
            <v>159.19999999999999</v>
          </cell>
          <cell r="K28">
            <v>159.19999999999999</v>
          </cell>
        </row>
        <row r="29">
          <cell r="H29" t="str">
            <v>Implied Net Income</v>
          </cell>
          <cell r="J29">
            <v>589.04</v>
          </cell>
          <cell r="K29">
            <v>620.88</v>
          </cell>
        </row>
        <row r="30">
          <cell r="H30" t="str">
            <v>Tax Guidance</v>
          </cell>
          <cell r="J30">
            <v>0.32</v>
          </cell>
          <cell r="K30">
            <v>0.32</v>
          </cell>
        </row>
        <row r="31">
          <cell r="H31" t="str">
            <v>Implied EBT</v>
          </cell>
          <cell r="J31">
            <v>866.23529411764707</v>
          </cell>
          <cell r="K31">
            <v>913.05882352941182</v>
          </cell>
        </row>
        <row r="32">
          <cell r="H32" t="str">
            <v>MSe Corp, Int. &amp; Stock-based comp.</v>
          </cell>
          <cell r="J32">
            <v>39</v>
          </cell>
          <cell r="K32">
            <v>39</v>
          </cell>
        </row>
        <row r="33">
          <cell r="H33" t="str">
            <v>Implied Segment Op. Profit</v>
          </cell>
          <cell r="J33">
            <v>827.23529411764707</v>
          </cell>
          <cell r="K33">
            <v>874.05882352941182</v>
          </cell>
        </row>
        <row r="34">
          <cell r="H34" t="str">
            <v>Implied Segment Margin</v>
          </cell>
          <cell r="J34">
            <v>0.21</v>
          </cell>
          <cell r="K34">
            <v>0.21</v>
          </cell>
        </row>
        <row r="35">
          <cell r="H35" t="str">
            <v>Revenue Guidance</v>
          </cell>
          <cell r="J35">
            <v>3939.2156862745101</v>
          </cell>
          <cell r="K35">
            <v>4162.1848739495799</v>
          </cell>
          <cell r="M35">
            <v>222.96918767506986</v>
          </cell>
        </row>
        <row r="39">
          <cell r="O39" t="str">
            <v>Sum-of-the-Parts Analysis</v>
          </cell>
        </row>
        <row r="41">
          <cell r="P41" t="str">
            <v>Target P/E Multiple</v>
          </cell>
          <cell r="R41" t="str">
            <v xml:space="preserve">2010E </v>
          </cell>
          <cell r="T41" t="str">
            <v>Implied Value</v>
          </cell>
        </row>
        <row r="42">
          <cell r="P42" t="str">
            <v xml:space="preserve">Low </v>
          </cell>
          <cell r="Q42" t="str">
            <v xml:space="preserve">High </v>
          </cell>
          <cell r="R42" t="str">
            <v>EPS (3)</v>
          </cell>
          <cell r="T42" t="str">
            <v xml:space="preserve">Low </v>
          </cell>
          <cell r="U42" t="str">
            <v xml:space="preserve">High </v>
          </cell>
        </row>
        <row r="43">
          <cell r="O43" t="str">
            <v>GS (1)</v>
          </cell>
          <cell r="P43">
            <v>9</v>
          </cell>
          <cell r="Q43">
            <v>12</v>
          </cell>
          <cell r="R43">
            <v>2.4042925741389092</v>
          </cell>
          <cell r="T43">
            <v>21.638633167250184</v>
          </cell>
          <cell r="U43">
            <v>28.851510889666912</v>
          </cell>
        </row>
        <row r="44">
          <cell r="O44" t="str">
            <v>CS (2)</v>
          </cell>
          <cell r="P44">
            <v>15</v>
          </cell>
          <cell r="Q44">
            <v>17</v>
          </cell>
          <cell r="R44">
            <v>1.2420470485026005</v>
          </cell>
          <cell r="T44">
            <v>18.630705727539009</v>
          </cell>
          <cell r="U44">
            <v>21.114799824544207</v>
          </cell>
        </row>
        <row r="45">
          <cell r="O45" t="str">
            <v>Total</v>
          </cell>
          <cell r="P45">
            <v>11.043770757046753</v>
          </cell>
          <cell r="Q45">
            <v>13.703142297538959</v>
          </cell>
          <cell r="R45">
            <v>3.6463396226415097</v>
          </cell>
          <cell r="T45">
            <v>40.269338894789193</v>
          </cell>
          <cell r="U45">
            <v>49.966310714211119</v>
          </cell>
        </row>
        <row r="47">
          <cell r="O47" t="str">
            <v>Notes</v>
          </cell>
          <cell r="T47" t="str">
            <v>Midpoint</v>
          </cell>
          <cell r="U47">
            <v>45.11782480450016</v>
          </cell>
        </row>
        <row r="49">
          <cell r="O49" t="str">
            <v>(1) Defense multiples likely rangebound in current DoD budget environment (50-75% S&amp;P P/E).</v>
          </cell>
        </row>
        <row r="50">
          <cell r="O50" t="str">
            <v>Margins and growth prospects, however, likely warrant multiple premium over 'Primes'. CAE, HRS</v>
          </cell>
        </row>
        <row r="51">
          <cell r="O51" t="str">
            <v>and Thales are the best comps, in our opinion.</v>
          </cell>
        </row>
        <row r="52">
          <cell r="O52" t="str">
            <v>(2) If defense multiples are appropriate, implication is mid-cycle commercial multiples.</v>
          </cell>
        </row>
        <row r="53">
          <cell r="O53" t="str">
            <v>(3) 2010 EPS allocated by segment operating profit.</v>
          </cell>
          <cell r="Z53" t="str">
            <v>Rolling LTM EBITDA Valuation</v>
          </cell>
        </row>
        <row r="55">
          <cell r="AB55">
            <v>39994</v>
          </cell>
          <cell r="AC55">
            <v>40086</v>
          </cell>
          <cell r="AD55">
            <v>40451</v>
          </cell>
        </row>
        <row r="57">
          <cell r="Z57" t="str">
            <v>LTM EBITDA</v>
          </cell>
          <cell r="AB57">
            <v>1075</v>
          </cell>
          <cell r="AC57">
            <v>1050</v>
          </cell>
          <cell r="AD57">
            <v>1019.1784615384616</v>
          </cell>
        </row>
        <row r="59">
          <cell r="Z59" t="str">
            <v>Rolling valuation at today's trough multiples…</v>
          </cell>
        </row>
        <row r="60">
          <cell r="Z60" t="str">
            <v>Target Multiple</v>
          </cell>
          <cell r="AB60">
            <v>7</v>
          </cell>
          <cell r="AC60">
            <v>7</v>
          </cell>
          <cell r="AD60">
            <v>7</v>
          </cell>
        </row>
        <row r="61">
          <cell r="Z61" t="str">
            <v>Enterprise Value ($Bn)</v>
          </cell>
          <cell r="AB61">
            <v>7.5250000000000004</v>
          </cell>
          <cell r="AC61">
            <v>7.3500000000000005</v>
          </cell>
          <cell r="AD61">
            <v>7.1342492307692318</v>
          </cell>
        </row>
        <row r="62">
          <cell r="Z62" t="str">
            <v>Equity Value ($Bn)</v>
          </cell>
          <cell r="AB62" t="e">
            <v>#REF!</v>
          </cell>
          <cell r="AC62" t="e">
            <v>#REF!</v>
          </cell>
          <cell r="AD62" t="e">
            <v>#REF!</v>
          </cell>
        </row>
        <row r="63">
          <cell r="Z63" t="str">
            <v>Implied Price</v>
          </cell>
          <cell r="AB63" t="e">
            <v>#REF!</v>
          </cell>
          <cell r="AC63" t="e">
            <v>#REF!</v>
          </cell>
          <cell r="AD63" t="e">
            <v>#REF!</v>
          </cell>
        </row>
        <row r="65">
          <cell r="Z65" t="str">
            <v>If multiples return to post 9/11 lows…</v>
          </cell>
        </row>
        <row r="66">
          <cell r="Z66" t="str">
            <v>Target Multiple</v>
          </cell>
          <cell r="AB66">
            <v>9</v>
          </cell>
          <cell r="AC66">
            <v>9</v>
          </cell>
          <cell r="AD66">
            <v>9</v>
          </cell>
        </row>
        <row r="67">
          <cell r="P67">
            <v>39748</v>
          </cell>
          <cell r="Q67">
            <v>40283</v>
          </cell>
          <cell r="Z67" t="str">
            <v>Enterprise Value</v>
          </cell>
          <cell r="AB67">
            <v>9.6750000000000007</v>
          </cell>
          <cell r="AC67">
            <v>9.4500000000000011</v>
          </cell>
          <cell r="AD67">
            <v>9.1726061538461554</v>
          </cell>
        </row>
        <row r="68">
          <cell r="O68" t="str">
            <v>COL</v>
          </cell>
          <cell r="P68">
            <v>31.59</v>
          </cell>
          <cell r="Q68" t="str">
            <v>#Calc</v>
          </cell>
          <cell r="R68" t="e">
            <v>#VALUE!</v>
          </cell>
          <cell r="Z68" t="str">
            <v>Equity Value</v>
          </cell>
          <cell r="AB68" t="e">
            <v>#REF!</v>
          </cell>
          <cell r="AC68" t="e">
            <v>#REF!</v>
          </cell>
          <cell r="AD68" t="e">
            <v>#REF!</v>
          </cell>
        </row>
        <row r="69">
          <cell r="O69" t="str">
            <v>SP50</v>
          </cell>
          <cell r="P69">
            <v>848.92</v>
          </cell>
          <cell r="Q69" t="str">
            <v>#Calc</v>
          </cell>
          <cell r="R69" t="e">
            <v>#VALUE!</v>
          </cell>
          <cell r="Z69" t="str">
            <v>Implied Price</v>
          </cell>
          <cell r="AB69" t="e">
            <v>#REF!</v>
          </cell>
          <cell r="AC69" t="e">
            <v>#REF!</v>
          </cell>
          <cell r="AD69" t="e">
            <v>#REF!</v>
          </cell>
        </row>
        <row r="70">
          <cell r="R70" t="e">
            <v>#VALUE!</v>
          </cell>
        </row>
        <row r="71">
          <cell r="AH71" t="str">
            <v>COL</v>
          </cell>
        </row>
        <row r="72">
          <cell r="AJ72">
            <v>64.05</v>
          </cell>
          <cell r="AK72" t="str">
            <v>Current Price</v>
          </cell>
        </row>
        <row r="74">
          <cell r="AO74" t="str">
            <v>Implied</v>
          </cell>
          <cell r="AP74" t="str">
            <v>2011 P/E</v>
          </cell>
          <cell r="AR74" t="str">
            <v>Implied Value</v>
          </cell>
        </row>
        <row r="75">
          <cell r="AM75" t="str">
            <v>EBIT</v>
          </cell>
          <cell r="AN75" t="str">
            <v>% Total</v>
          </cell>
          <cell r="AO75" t="str">
            <v>EPS</v>
          </cell>
          <cell r="AP75" t="str">
            <v xml:space="preserve">Low </v>
          </cell>
          <cell r="AQ75" t="str">
            <v xml:space="preserve">High </v>
          </cell>
          <cell r="AR75" t="str">
            <v xml:space="preserve">Low </v>
          </cell>
          <cell r="AS75" t="str">
            <v xml:space="preserve">High </v>
          </cell>
        </row>
        <row r="77">
          <cell r="AI77" t="str">
            <v>Government Systems</v>
          </cell>
          <cell r="AM77">
            <v>630.48249999999996</v>
          </cell>
          <cell r="AN77">
            <v>0.61246817167741208</v>
          </cell>
          <cell r="AO77">
            <v>2.6403668868014867</v>
          </cell>
          <cell r="AP77">
            <v>12</v>
          </cell>
          <cell r="AQ77">
            <v>14</v>
          </cell>
          <cell r="AR77">
            <v>31.68440264161784</v>
          </cell>
          <cell r="AS77">
            <v>36.965136415220812</v>
          </cell>
        </row>
        <row r="79">
          <cell r="AI79" t="str">
            <v>Commercial Systems</v>
          </cell>
          <cell r="AM79">
            <v>398.9301767</v>
          </cell>
          <cell r="AN79">
            <v>0.38753182832258781</v>
          </cell>
          <cell r="AO79">
            <v>1.6706602145254563</v>
          </cell>
          <cell r="AP79">
            <v>19.37293836112298</v>
          </cell>
          <cell r="AQ79">
            <v>16.21207193975857</v>
          </cell>
          <cell r="AR79">
            <v>32.365597358382161</v>
          </cell>
          <cell r="AS79">
            <v>27.084863584779185</v>
          </cell>
        </row>
        <row r="81">
          <cell r="AH81" t="str">
            <v>Total Segmet EBIT</v>
          </cell>
          <cell r="AM81">
            <v>1029.4126767</v>
          </cell>
          <cell r="AN81">
            <v>0.99999999999999989</v>
          </cell>
          <cell r="AO81">
            <v>4.3110271013269434</v>
          </cell>
          <cell r="AP81">
            <v>14.85724828319573</v>
          </cell>
          <cell r="AQ81">
            <v>14.85724828319573</v>
          </cell>
          <cell r="AR81">
            <v>64.05</v>
          </cell>
          <cell r="AS81">
            <v>64.05</v>
          </cell>
        </row>
        <row r="83">
          <cell r="AH83" t="str">
            <v xml:space="preserve">Eliminations &amp; Corporate </v>
          </cell>
          <cell r="AM83">
            <v>-72.25</v>
          </cell>
        </row>
        <row r="85">
          <cell r="AH85" t="str">
            <v>EBIT</v>
          </cell>
          <cell r="AM85">
            <v>957.16267670000002</v>
          </cell>
        </row>
        <row r="87">
          <cell r="AH87" t="str">
            <v>BA</v>
          </cell>
        </row>
        <row r="88">
          <cell r="AJ88">
            <v>69.5</v>
          </cell>
          <cell r="AK88" t="str">
            <v>Current Price</v>
          </cell>
        </row>
        <row r="90">
          <cell r="AO90" t="str">
            <v>Implied</v>
          </cell>
          <cell r="AP90" t="str">
            <v>2011 P/E</v>
          </cell>
          <cell r="AR90" t="str">
            <v>Implied Value</v>
          </cell>
        </row>
        <row r="91">
          <cell r="AM91" t="str">
            <v>EBIT</v>
          </cell>
          <cell r="AN91" t="str">
            <v>% Total</v>
          </cell>
          <cell r="AO91" t="str">
            <v>EPS</v>
          </cell>
          <cell r="AP91" t="str">
            <v xml:space="preserve">Low </v>
          </cell>
          <cell r="AQ91" t="str">
            <v xml:space="preserve">High </v>
          </cell>
          <cell r="AR91" t="str">
            <v xml:space="preserve">Low </v>
          </cell>
          <cell r="AS91" t="str">
            <v xml:space="preserve">High </v>
          </cell>
        </row>
        <row r="93">
          <cell r="AI93" t="str">
            <v>Defense</v>
          </cell>
          <cell r="AM93">
            <v>2823.85</v>
          </cell>
          <cell r="AN93">
            <v>0.46390109381342148</v>
          </cell>
          <cell r="AO93">
            <v>1.9006451329606506</v>
          </cell>
          <cell r="AP93">
            <v>10</v>
          </cell>
          <cell r="AQ93">
            <v>12</v>
          </cell>
          <cell r="AR93">
            <v>19.006451329606506</v>
          </cell>
          <cell r="AS93">
            <v>22.807741595527808</v>
          </cell>
        </row>
        <row r="95">
          <cell r="AI95" t="str">
            <v>BCA</v>
          </cell>
          <cell r="AM95">
            <v>3263.33116352564</v>
          </cell>
          <cell r="AN95">
            <v>0.53609890618657852</v>
          </cell>
          <cell r="AO95">
            <v>2.1964461615148907</v>
          </cell>
          <cell r="AP95">
            <v>22.988748622715182</v>
          </cell>
          <cell r="AQ95">
            <v>21.258093743699369</v>
          </cell>
          <cell r="AR95">
            <v>50.493548670393494</v>
          </cell>
          <cell r="AS95">
            <v>46.692258404472192</v>
          </cell>
        </row>
        <row r="97">
          <cell r="AH97" t="str">
            <v>Total Segmet EBIT</v>
          </cell>
          <cell r="AM97">
            <v>6087.1811635256399</v>
          </cell>
          <cell r="AN97">
            <v>1</v>
          </cell>
          <cell r="AO97">
            <v>4.0970912944755415</v>
          </cell>
          <cell r="AP97">
            <v>16.963253929370037</v>
          </cell>
          <cell r="AQ97">
            <v>16.963253929370037</v>
          </cell>
          <cell r="AR97">
            <v>69.5</v>
          </cell>
          <cell r="AS97">
            <v>69.5</v>
          </cell>
        </row>
        <row r="100">
          <cell r="AH100" t="str">
            <v>COL CONS</v>
          </cell>
        </row>
        <row r="101">
          <cell r="AN101" t="str">
            <v>Implied</v>
          </cell>
          <cell r="AO101" t="str">
            <v>2011 P/E</v>
          </cell>
          <cell r="AQ101" t="str">
            <v>Implied Value</v>
          </cell>
        </row>
        <row r="102">
          <cell r="AM102" t="str">
            <v>% Total</v>
          </cell>
          <cell r="AN102" t="str">
            <v>EPS</v>
          </cell>
          <cell r="AO102" t="str">
            <v xml:space="preserve">Low </v>
          </cell>
          <cell r="AP102" t="str">
            <v xml:space="preserve">High </v>
          </cell>
          <cell r="AQ102" t="str">
            <v xml:space="preserve">Low </v>
          </cell>
          <cell r="AR102" t="str">
            <v xml:space="preserve">High </v>
          </cell>
        </row>
        <row r="104">
          <cell r="AJ104" t="str">
            <v>Government Systems</v>
          </cell>
          <cell r="AM104">
            <v>0.61246817167741208</v>
          </cell>
          <cell r="AN104">
            <v>2.5647104688991629</v>
          </cell>
          <cell r="AO104">
            <v>12</v>
          </cell>
          <cell r="AP104">
            <v>14</v>
          </cell>
          <cell r="AQ104">
            <v>30.776525626789955</v>
          </cell>
          <cell r="AR104">
            <v>35.905946564588277</v>
          </cell>
        </row>
        <row r="106">
          <cell r="AJ106" t="str">
            <v>Commercial Systems</v>
          </cell>
          <cell r="AM106">
            <v>0.38753182832258781</v>
          </cell>
          <cell r="AN106">
            <v>1.6227895311008365</v>
          </cell>
          <cell r="AO106">
            <v>20.503875416695983</v>
          </cell>
          <cell r="AP106">
            <v>17.343008995331576</v>
          </cell>
          <cell r="AQ106">
            <v>33.273474373210043</v>
          </cell>
          <cell r="AR106">
            <v>28.14405343541172</v>
          </cell>
        </row>
        <row r="108">
          <cell r="AN108">
            <v>4.1875</v>
          </cell>
          <cell r="AO108">
            <v>15.2955223880597</v>
          </cell>
          <cell r="AP108">
            <v>15.2955223880597</v>
          </cell>
          <cell r="AQ108">
            <v>64.05</v>
          </cell>
          <cell r="AR108">
            <v>64.05</v>
          </cell>
        </row>
        <row r="110">
          <cell r="AH110" t="str">
            <v>BA CONS</v>
          </cell>
        </row>
        <row r="111">
          <cell r="AN111" t="str">
            <v>Implied</v>
          </cell>
          <cell r="AO111" t="str">
            <v>2011 P/E</v>
          </cell>
          <cell r="AQ111" t="str">
            <v>Implied Value</v>
          </cell>
        </row>
        <row r="112">
          <cell r="AM112" t="str">
            <v>% Total</v>
          </cell>
          <cell r="AN112" t="str">
            <v>EPS</v>
          </cell>
          <cell r="AO112" t="str">
            <v xml:space="preserve">Low </v>
          </cell>
          <cell r="AP112" t="str">
            <v xml:space="preserve">High </v>
          </cell>
          <cell r="AQ112" t="str">
            <v xml:space="preserve">Low </v>
          </cell>
          <cell r="AR112" t="str">
            <v xml:space="preserve">High </v>
          </cell>
        </row>
        <row r="114">
          <cell r="AJ114" t="str">
            <v>Government Systems</v>
          </cell>
          <cell r="AM114">
            <v>0.46390109381342148</v>
          </cell>
          <cell r="AN114">
            <v>1.9530236049545044</v>
          </cell>
          <cell r="AO114">
            <v>10</v>
          </cell>
          <cell r="AP114">
            <v>12</v>
          </cell>
          <cell r="AQ114">
            <v>19.530236049545046</v>
          </cell>
          <cell r="AR114">
            <v>23.436283259454054</v>
          </cell>
        </row>
        <row r="116">
          <cell r="AJ116" t="str">
            <v>Commercial Systems</v>
          </cell>
          <cell r="AM116">
            <v>0.53609890618657852</v>
          </cell>
          <cell r="AN116">
            <v>2.2569763950454957</v>
          </cell>
          <cell r="AO116">
            <v>22.140135829576398</v>
          </cell>
          <cell r="AP116">
            <v>20.409480950560582</v>
          </cell>
          <cell r="AQ116">
            <v>49.969763950454954</v>
          </cell>
          <cell r="AR116">
            <v>46.063716740545942</v>
          </cell>
        </row>
        <row r="118">
          <cell r="AN118">
            <v>4.21</v>
          </cell>
          <cell r="AO118">
            <v>16.5083135391924</v>
          </cell>
          <cell r="AP118">
            <v>16.5083135391924</v>
          </cell>
          <cell r="AQ118">
            <v>69.5</v>
          </cell>
          <cell r="AR118">
            <v>69.5</v>
          </cell>
          <cell r="AU118" t="str">
            <v>MS #'s</v>
          </cell>
        </row>
        <row r="120">
          <cell r="AV120" t="str">
            <v xml:space="preserve">Implied Commercial </v>
          </cell>
        </row>
        <row r="121">
          <cell r="AV121" t="str">
            <v>Earnings Multiple</v>
          </cell>
        </row>
        <row r="122">
          <cell r="AU122" t="str">
            <v>BA</v>
          </cell>
          <cell r="AV122">
            <v>21.258093743699369</v>
          </cell>
          <cell r="AW122">
            <v>22.988748622715182</v>
          </cell>
        </row>
        <row r="123">
          <cell r="AU123" t="str">
            <v>COL</v>
          </cell>
          <cell r="AV123">
            <v>16.21207193975857</v>
          </cell>
          <cell r="AW123">
            <v>19.37293836112298</v>
          </cell>
        </row>
        <row r="124">
          <cell r="AU124" t="str">
            <v>Difference</v>
          </cell>
          <cell r="AV124">
            <v>5.0460218039407998</v>
          </cell>
          <cell r="AW124">
            <v>3.6158102615922019</v>
          </cell>
        </row>
        <row r="126">
          <cell r="AU126" t="str">
            <v>CONS</v>
          </cell>
        </row>
        <row r="128">
          <cell r="AV128" t="str">
            <v xml:space="preserve">Implied Commercial </v>
          </cell>
        </row>
        <row r="129">
          <cell r="AV129" t="str">
            <v>Earnings Multiple</v>
          </cell>
        </row>
        <row r="130">
          <cell r="AU130" t="str">
            <v>BA</v>
          </cell>
          <cell r="AV130">
            <v>20.409480950560582</v>
          </cell>
          <cell r="AW130">
            <v>22.140135829576398</v>
          </cell>
        </row>
        <row r="131">
          <cell r="AU131" t="str">
            <v>COL</v>
          </cell>
          <cell r="AV131">
            <v>17.343008995331576</v>
          </cell>
          <cell r="AW131">
            <v>20.503875416695983</v>
          </cell>
        </row>
        <row r="132">
          <cell r="AU132" t="str">
            <v>Difference</v>
          </cell>
          <cell r="AV132">
            <v>3.0664719552290052</v>
          </cell>
          <cell r="AW132">
            <v>1.6362604128804143</v>
          </cell>
        </row>
      </sheetData>
      <sheetData sheetId="5" refreshError="1"/>
      <sheetData sheetId="6" refreshError="1">
        <row r="1">
          <cell r="A1" t="str">
            <v>Rockwell Collins, Inc.</v>
          </cell>
        </row>
        <row r="2">
          <cell r="A2" t="str">
            <v>Discounted Cash Flow Analysis</v>
          </cell>
        </row>
        <row r="3">
          <cell r="A3" t="str">
            <v>Morgan Stanley Research</v>
          </cell>
        </row>
        <row r="4">
          <cell r="A4" t="str">
            <v>($ in Millions Except EPS)</v>
          </cell>
        </row>
        <row r="5">
          <cell r="A5" t="str">
            <v xml:space="preserve">Model Updated: </v>
          </cell>
        </row>
        <row r="7">
          <cell r="B7" t="str">
            <v>DCF Analysis</v>
          </cell>
        </row>
        <row r="8">
          <cell r="I8" t="str">
            <v xml:space="preserve">2009A </v>
          </cell>
          <cell r="J8">
            <v>2010</v>
          </cell>
          <cell r="K8">
            <v>2011</v>
          </cell>
          <cell r="L8">
            <v>2012</v>
          </cell>
          <cell r="M8">
            <v>2013</v>
          </cell>
          <cell r="N8">
            <v>2014</v>
          </cell>
          <cell r="O8" t="str">
            <v>2015E</v>
          </cell>
          <cell r="P8" t="str">
            <v>CAGR</v>
          </cell>
          <cell r="R8" t="str">
            <v>Notes</v>
          </cell>
          <cell r="T8" t="str">
            <v>Notes</v>
          </cell>
        </row>
        <row r="10">
          <cell r="B10" t="str">
            <v>Total Revenue</v>
          </cell>
          <cell r="I10">
            <v>4470</v>
          </cell>
          <cell r="J10">
            <v>4725</v>
          </cell>
          <cell r="K10">
            <v>5100</v>
          </cell>
          <cell r="L10">
            <v>5460</v>
          </cell>
          <cell r="M10">
            <v>5850</v>
          </cell>
          <cell r="N10">
            <v>6170</v>
          </cell>
          <cell r="O10">
            <v>5942.203119477932</v>
          </cell>
          <cell r="P10">
            <v>6.6585138818020487E-2</v>
          </cell>
          <cell r="R10">
            <v>5.6486560626350837E-2</v>
          </cell>
        </row>
        <row r="11">
          <cell r="B11" t="str">
            <v>% Growth</v>
          </cell>
          <cell r="J11">
            <v>5.7046979865771785E-2</v>
          </cell>
          <cell r="K11">
            <v>7.9365079365079305E-2</v>
          </cell>
          <cell r="L11">
            <v>7.0588235294117618E-2</v>
          </cell>
          <cell r="M11">
            <v>7.1428571428571397E-2</v>
          </cell>
          <cell r="N11">
            <v>5.4700854700854729E-2</v>
          </cell>
          <cell r="O11">
            <v>4.6489148709557782E-2</v>
          </cell>
          <cell r="P11">
            <v>0.04</v>
          </cell>
        </row>
        <row r="13">
          <cell r="B13" t="str">
            <v>EBITDA</v>
          </cell>
          <cell r="I13">
            <v>1050</v>
          </cell>
          <cell r="J13">
            <v>1019.1784615384616</v>
          </cell>
          <cell r="K13">
            <v>1147.4109615384614</v>
          </cell>
          <cell r="L13">
            <v>1229.9551282051282</v>
          </cell>
          <cell r="M13">
            <v>1339.8369139194142</v>
          </cell>
          <cell r="N13">
            <v>1416.3625457875457</v>
          </cell>
          <cell r="O13">
            <v>1403.0321959061368</v>
          </cell>
          <cell r="P13">
            <v>6.1688289153551061E-2</v>
          </cell>
          <cell r="R13">
            <v>7.0380738483502861E-2</v>
          </cell>
        </row>
        <row r="14">
          <cell r="B14" t="str">
            <v>% Sales</v>
          </cell>
          <cell r="I14">
            <v>0.2348993288590604</v>
          </cell>
          <cell r="J14">
            <v>0.21569914529914533</v>
          </cell>
          <cell r="K14">
            <v>0.22498254147812968</v>
          </cell>
          <cell r="L14">
            <v>0.22526650699727621</v>
          </cell>
          <cell r="M14">
            <v>0.22903195109733576</v>
          </cell>
          <cell r="N14">
            <v>0.22955632832861358</v>
          </cell>
          <cell r="O14">
            <v>0.23611313307469098</v>
          </cell>
          <cell r="P14">
            <v>0.23799999999999999</v>
          </cell>
        </row>
        <row r="16">
          <cell r="B16" t="str">
            <v>Depreciation</v>
          </cell>
          <cell r="I16">
            <v>144</v>
          </cell>
          <cell r="J16">
            <v>151.73846153846159</v>
          </cell>
          <cell r="K16">
            <v>156.23846153846148</v>
          </cell>
          <cell r="L16">
            <v>163.40512820512822</v>
          </cell>
          <cell r="M16">
            <v>170.90512820512822</v>
          </cell>
          <cell r="N16">
            <v>178.73846153846148</v>
          </cell>
          <cell r="O16">
            <v>189.37692307692305</v>
          </cell>
          <cell r="P16">
            <v>191.57662857196851</v>
          </cell>
        </row>
        <row r="17">
          <cell r="B17" t="str">
            <v>% Sales</v>
          </cell>
          <cell r="I17">
            <v>3.2214765100671144E-2</v>
          </cell>
          <cell r="J17">
            <v>3.2113960113960123E-2</v>
          </cell>
          <cell r="K17">
            <v>3.0634992458521859E-2</v>
          </cell>
          <cell r="L17">
            <v>2.9927679158448392E-2</v>
          </cell>
          <cell r="M17">
            <v>2.9214551829936448E-2</v>
          </cell>
          <cell r="N17">
            <v>2.89689564892158E-2</v>
          </cell>
          <cell r="O17">
            <v>3.1869816508992253E-2</v>
          </cell>
          <cell r="P17">
            <v>3.1E-2</v>
          </cell>
        </row>
        <row r="19">
          <cell r="B19" t="str">
            <v>EBIT</v>
          </cell>
          <cell r="I19">
            <v>906</v>
          </cell>
          <cell r="J19">
            <v>867.44</v>
          </cell>
          <cell r="K19">
            <v>991.1724999999999</v>
          </cell>
          <cell r="L19">
            <v>1066.55</v>
          </cell>
          <cell r="M19">
            <v>1168.931785714286</v>
          </cell>
          <cell r="N19">
            <v>1237.6240842490843</v>
          </cell>
          <cell r="O19">
            <v>1213.6552728292138</v>
          </cell>
          <cell r="P19">
            <v>6.4368739641259651E-2</v>
          </cell>
          <cell r="R19">
            <v>7.5459275399642048E-2</v>
          </cell>
        </row>
        <row r="20">
          <cell r="B20" t="str">
            <v>% Sales</v>
          </cell>
          <cell r="I20">
            <v>0.20268456375838925</v>
          </cell>
          <cell r="J20">
            <v>0.18358518518518518</v>
          </cell>
          <cell r="K20">
            <v>0.19434754901960782</v>
          </cell>
          <cell r="L20">
            <v>0.19533882783882783</v>
          </cell>
          <cell r="M20">
            <v>0.1998173992673993</v>
          </cell>
          <cell r="N20">
            <v>0.20058737183939776</v>
          </cell>
          <cell r="O20">
            <v>0.20424331656569875</v>
          </cell>
          <cell r="P20">
            <v>0.20699999999999999</v>
          </cell>
        </row>
        <row r="22">
          <cell r="B22" t="str">
            <v>Taxes</v>
          </cell>
          <cell r="I22">
            <v>-285.28027681660899</v>
          </cell>
          <cell r="J22">
            <v>-270.50626444086129</v>
          </cell>
          <cell r="K22">
            <v>-307.26347499999997</v>
          </cell>
          <cell r="L22">
            <v>-330.63049999999998</v>
          </cell>
          <cell r="M22">
            <v>-362.36885357142864</v>
          </cell>
          <cell r="N22">
            <v>-383.6634661172161</v>
          </cell>
          <cell r="O22">
            <v>-364.09658184876412</v>
          </cell>
          <cell r="P22">
            <v>-383.77124626836269</v>
          </cell>
        </row>
        <row r="23">
          <cell r="B23" t="str">
            <v>Tax Rate</v>
          </cell>
          <cell r="I23">
            <v>0.31487889273356401</v>
          </cell>
          <cell r="J23">
            <v>0.31184435170255148</v>
          </cell>
          <cell r="K23">
            <v>0.31</v>
          </cell>
          <cell r="L23">
            <v>0.31</v>
          </cell>
          <cell r="M23">
            <v>0.31</v>
          </cell>
          <cell r="N23">
            <v>0.31</v>
          </cell>
          <cell r="O23">
            <v>0.3</v>
          </cell>
          <cell r="P23">
            <v>0.3</v>
          </cell>
        </row>
        <row r="25">
          <cell r="B25" t="str">
            <v>Capex</v>
          </cell>
          <cell r="I25">
            <v>-153</v>
          </cell>
          <cell r="J25">
            <v>-135</v>
          </cell>
          <cell r="K25">
            <v>-150</v>
          </cell>
          <cell r="L25">
            <v>-160</v>
          </cell>
          <cell r="M25">
            <v>-170</v>
          </cell>
          <cell r="N25">
            <v>-180</v>
          </cell>
          <cell r="O25">
            <v>-180</v>
          </cell>
          <cell r="P25">
            <v>-187.2</v>
          </cell>
        </row>
        <row r="26">
          <cell r="B26" t="str">
            <v>% Sales</v>
          </cell>
          <cell r="I26">
            <v>3.4228187919463089E-2</v>
          </cell>
          <cell r="J26">
            <v>2.8571428571428571E-2</v>
          </cell>
          <cell r="K26">
            <v>2.9411764705882353E-2</v>
          </cell>
          <cell r="L26">
            <v>2.9304029304029304E-2</v>
          </cell>
          <cell r="M26">
            <v>2.9059829059829061E-2</v>
          </cell>
          <cell r="N26">
            <v>2.9173419773095625E-2</v>
          </cell>
          <cell r="O26">
            <v>3.0291795211439081E-2</v>
          </cell>
          <cell r="P26">
            <v>3.0291795211439081E-2</v>
          </cell>
        </row>
        <row r="27">
          <cell r="B27" t="str">
            <v>% Depreciation</v>
          </cell>
          <cell r="I27">
            <v>1.0625</v>
          </cell>
          <cell r="J27">
            <v>0.88968873567879925</v>
          </cell>
          <cell r="K27">
            <v>0.96007089754320352</v>
          </cell>
          <cell r="L27">
            <v>0.97916143610343953</v>
          </cell>
          <cell r="M27">
            <v>0.99470391430243188</v>
          </cell>
          <cell r="N27">
            <v>1.0070580134274405</v>
          </cell>
          <cell r="O27">
            <v>0.95048539745724858</v>
          </cell>
          <cell r="P27">
            <v>0.95048539745724858</v>
          </cell>
        </row>
        <row r="29">
          <cell r="B29" t="str">
            <v>Change in WC</v>
          </cell>
          <cell r="I29">
            <v>-156</v>
          </cell>
          <cell r="J29">
            <v>20.625000000000057</v>
          </cell>
          <cell r="K29">
            <v>-22.124999999999886</v>
          </cell>
          <cell r="L29">
            <v>-12</v>
          </cell>
          <cell r="M29">
            <v>-68.249999999999886</v>
          </cell>
          <cell r="N29">
            <v>-56.000000000000171</v>
          </cell>
          <cell r="O29">
            <v>-59.037567014674835</v>
          </cell>
          <cell r="P29">
            <v>-59.037567014674835</v>
          </cell>
        </row>
        <row r="31">
          <cell r="B31" t="str">
            <v>Stock-based Compensation</v>
          </cell>
          <cell r="I31">
            <v>81</v>
          </cell>
          <cell r="J31">
            <v>90</v>
          </cell>
          <cell r="K31">
            <v>90</v>
          </cell>
          <cell r="L31">
            <v>90</v>
          </cell>
          <cell r="M31">
            <v>90</v>
          </cell>
          <cell r="N31">
            <v>90</v>
          </cell>
          <cell r="O31">
            <v>90</v>
          </cell>
          <cell r="P31">
            <v>90</v>
          </cell>
        </row>
        <row r="33">
          <cell r="B33" t="str">
            <v>Unlevered Free Cash Flow (UFCF)</v>
          </cell>
          <cell r="I33">
            <v>536.71972318339101</v>
          </cell>
          <cell r="J33">
            <v>724.29719709760047</v>
          </cell>
          <cell r="K33">
            <v>758.02248653846152</v>
          </cell>
          <cell r="L33">
            <v>817.32462820512819</v>
          </cell>
          <cell r="M33">
            <v>829.21806034798567</v>
          </cell>
          <cell r="N33">
            <v>886.69907967032941</v>
          </cell>
          <cell r="O33">
            <v>889.89804704269795</v>
          </cell>
          <cell r="P33">
            <v>0.1056196291744073</v>
          </cell>
          <cell r="R33">
            <v>5.8492035815230728E-2</v>
          </cell>
        </row>
        <row r="35">
          <cell r="B35" t="str">
            <v>WACC</v>
          </cell>
          <cell r="I35">
            <v>0.09</v>
          </cell>
          <cell r="K35" t="str">
            <v xml:space="preserve">Terminal </v>
          </cell>
          <cell r="L35" t="str">
            <v>Discount Rate</v>
          </cell>
          <cell r="O35" t="str">
            <v xml:space="preserve"> </v>
          </cell>
        </row>
        <row r="36">
          <cell r="B36" t="str">
            <v xml:space="preserve">PV UFCF </v>
          </cell>
          <cell r="I36">
            <v>3097.3623199872882</v>
          </cell>
          <cell r="K36">
            <v>86.231155780746278</v>
          </cell>
          <cell r="L36">
            <v>8.5000000000000006E-2</v>
          </cell>
          <cell r="M36">
            <v>9.0000000000000011E-2</v>
          </cell>
          <cell r="N36">
            <v>9.5000000000000015E-2</v>
          </cell>
        </row>
        <row r="37">
          <cell r="K37">
            <v>0.03</v>
          </cell>
          <cell r="L37">
            <v>87.761581583838719</v>
          </cell>
          <cell r="M37">
            <v>80.177442655007965</v>
          </cell>
          <cell r="N37">
            <v>73.761230198315374</v>
          </cell>
        </row>
        <row r="38">
          <cell r="B38" t="str">
            <v>Perp Growth</v>
          </cell>
          <cell r="I38">
            <v>3.5000000000000003E-2</v>
          </cell>
          <cell r="K38">
            <v>3.4999999999999996E-2</v>
          </cell>
          <cell r="L38">
            <v>95.160872824702452</v>
          </cell>
          <cell r="M38">
            <v>86.231155780746278</v>
          </cell>
          <cell r="N38">
            <v>78.790682394190668</v>
          </cell>
        </row>
        <row r="39">
          <cell r="B39" t="str">
            <v xml:space="preserve">Terminal Value </v>
          </cell>
          <cell r="I39">
            <v>16686.064499250744</v>
          </cell>
          <cell r="K39">
            <v>3.9999999999999994E-2</v>
          </cell>
          <cell r="L39">
            <v>104.20445100798037</v>
          </cell>
          <cell r="M39">
            <v>93.495611531632235</v>
          </cell>
          <cell r="N39">
            <v>84.734580443861461</v>
          </cell>
        </row>
        <row r="40">
          <cell r="B40" t="str">
            <v xml:space="preserve">PV Terminal Value </v>
          </cell>
          <cell r="I40">
            <v>10844.797031861641</v>
          </cell>
        </row>
        <row r="41">
          <cell r="B41" t="str">
            <v>Implied EBITDA Exit Multiple</v>
          </cell>
          <cell r="I41">
            <v>11.78092752373138</v>
          </cell>
        </row>
        <row r="43">
          <cell r="B43" t="str">
            <v xml:space="preserve">Enterprise Value </v>
          </cell>
          <cell r="I43">
            <v>13942.159351848928</v>
          </cell>
          <cell r="K43" t="str">
            <v>Weighted Avg. Cost of Capital</v>
          </cell>
        </row>
        <row r="44">
          <cell r="B44" t="str">
            <v>EV / 2010 EBITDA</v>
          </cell>
          <cell r="I44">
            <v>13.679801799189395</v>
          </cell>
          <cell r="K44" t="str">
            <v>Equity Risk Premium</v>
          </cell>
          <cell r="M44">
            <v>0.04</v>
          </cell>
          <cell r="N44">
            <v>0.06</v>
          </cell>
        </row>
        <row r="45">
          <cell r="B45" t="str">
            <v>EV / 2011 EBITDA</v>
          </cell>
          <cell r="I45">
            <v>12.150972771913496</v>
          </cell>
          <cell r="K45" t="str">
            <v>R-f Rate (Normalized) (1)</v>
          </cell>
          <cell r="M45">
            <v>0.05</v>
          </cell>
          <cell r="N45">
            <v>0.05</v>
          </cell>
        </row>
        <row r="46">
          <cell r="K46" t="str">
            <v>Beta</v>
          </cell>
          <cell r="M46">
            <v>0.95</v>
          </cell>
          <cell r="N46">
            <v>0.95</v>
          </cell>
        </row>
        <row r="47">
          <cell r="B47" t="str">
            <v>Net Debt</v>
          </cell>
          <cell r="I47">
            <v>385</v>
          </cell>
          <cell r="K47" t="str">
            <v>Ke</v>
          </cell>
          <cell r="M47">
            <v>8.7999999999999995E-2</v>
          </cell>
          <cell r="N47">
            <v>0.107</v>
          </cell>
        </row>
        <row r="48">
          <cell r="B48" t="str">
            <v xml:space="preserve">Equity Value </v>
          </cell>
          <cell r="I48">
            <v>13557.159351848928</v>
          </cell>
        </row>
        <row r="49">
          <cell r="B49" t="str">
            <v>Diluted Shares (MM)</v>
          </cell>
          <cell r="I49">
            <v>157.218806</v>
          </cell>
          <cell r="K49" t="str">
            <v>Pre-tax Kd (2)</v>
          </cell>
          <cell r="N49">
            <v>4.6100000000000002E-2</v>
          </cell>
        </row>
        <row r="50">
          <cell r="B50" t="str">
            <v>Implied Share Price</v>
          </cell>
          <cell r="I50">
            <v>86.231155780746278</v>
          </cell>
          <cell r="K50" t="str">
            <v>Tax Rate</v>
          </cell>
          <cell r="N50">
            <v>0.31184435170255148</v>
          </cell>
        </row>
        <row r="51">
          <cell r="B51" t="str">
            <v>Upside (Downside)</v>
          </cell>
          <cell r="I51">
            <v>0.34274611928910437</v>
          </cell>
          <cell r="K51" t="str">
            <v>After-tax Kd</v>
          </cell>
          <cell r="N51">
            <v>3.1723975386512372E-2</v>
          </cell>
        </row>
        <row r="53">
          <cell r="B53" t="str">
            <v>Total Debt</v>
          </cell>
          <cell r="I53">
            <v>591</v>
          </cell>
          <cell r="K53" t="str">
            <v>WACC</v>
          </cell>
          <cell r="M53">
            <v>8.4888061275747967E-2</v>
          </cell>
          <cell r="N53">
            <v>0.10283740362594272</v>
          </cell>
        </row>
        <row r="54">
          <cell r="B54" t="str">
            <v>Cash</v>
          </cell>
          <cell r="I54">
            <v>206</v>
          </cell>
        </row>
        <row r="56">
          <cell r="B56" t="str">
            <v>Current Price</v>
          </cell>
          <cell r="I56">
            <v>64.22</v>
          </cell>
        </row>
        <row r="57">
          <cell r="B57" t="str">
            <v xml:space="preserve">Current Market Cap. </v>
          </cell>
          <cell r="I57">
            <v>10096.591721319999</v>
          </cell>
        </row>
        <row r="59">
          <cell r="B59" t="str">
            <v>Debt % Total Capital</v>
          </cell>
          <cell r="I59">
            <v>5.5297771042381004E-2</v>
          </cell>
        </row>
        <row r="60">
          <cell r="B60" t="str">
            <v>Equity % Total Capital</v>
          </cell>
          <cell r="I60">
            <v>0.94470222895761902</v>
          </cell>
        </row>
        <row r="62">
          <cell r="B62" t="str">
            <v xml:space="preserve">Current Enterprise Value </v>
          </cell>
          <cell r="I62">
            <v>10481.591721319999</v>
          </cell>
        </row>
        <row r="63">
          <cell r="B63" t="str">
            <v>EV / 2010 EBITDA</v>
          </cell>
          <cell r="I63">
            <v>10.284353640576269</v>
          </cell>
        </row>
      </sheetData>
      <sheetData sheetId="7" refreshError="1">
        <row r="1">
          <cell r="A1" t="str">
            <v>Rockwell Collins, Inc.</v>
          </cell>
        </row>
        <row r="2">
          <cell r="A2" t="str">
            <v>Sum-of-the-Parts Valuation Analysis</v>
          </cell>
        </row>
        <row r="3">
          <cell r="A3" t="str">
            <v>Morgan Stanley Research</v>
          </cell>
        </row>
        <row r="4">
          <cell r="A4" t="str">
            <v>($ in Millions Except EPS)</v>
          </cell>
        </row>
        <row r="5">
          <cell r="A5" t="str">
            <v>Model Updated: 4/10</v>
          </cell>
        </row>
        <row r="8">
          <cell r="B8" t="str">
            <v>Current Peer Multiple SOTP: 2012 P/E Basis</v>
          </cell>
        </row>
        <row r="10">
          <cell r="I10" t="str">
            <v>Implied</v>
          </cell>
          <cell r="J10" t="str">
            <v>Peer</v>
          </cell>
          <cell r="K10" t="str">
            <v>Implied</v>
          </cell>
        </row>
        <row r="11">
          <cell r="G11" t="str">
            <v>EBIT</v>
          </cell>
          <cell r="H11" t="str">
            <v>% Total</v>
          </cell>
          <cell r="I11" t="str">
            <v>EPS</v>
          </cell>
          <cell r="J11" t="str">
            <v>P/E</v>
          </cell>
          <cell r="K11" t="str">
            <v>Value</v>
          </cell>
          <cell r="L11" t="str">
            <v>% Total</v>
          </cell>
          <cell r="N11" t="str">
            <v>Best Trading Comps</v>
          </cell>
        </row>
        <row r="12">
          <cell r="C12" t="str">
            <v>Commercial Systems</v>
          </cell>
          <cell r="G12">
            <v>439.625</v>
          </cell>
          <cell r="H12">
            <v>0.40395571074152348</v>
          </cell>
          <cell r="I12">
            <v>1.715291211886153</v>
          </cell>
          <cell r="J12">
            <v>16</v>
          </cell>
          <cell r="K12">
            <v>27.5</v>
          </cell>
          <cell r="L12">
            <v>0.37671232876712329</v>
          </cell>
          <cell r="N12" t="str">
            <v>Thales, Honeywell, Aerospace suppliers (i.e. Goodrich)</v>
          </cell>
        </row>
        <row r="14">
          <cell r="C14" t="str">
            <v>Government Systems</v>
          </cell>
          <cell r="G14">
            <v>648.67499999999995</v>
          </cell>
          <cell r="H14">
            <v>0.59604428925847652</v>
          </cell>
          <cell r="I14">
            <v>2.5309446161393239</v>
          </cell>
          <cell r="J14">
            <v>18</v>
          </cell>
          <cell r="K14">
            <v>45.5</v>
          </cell>
          <cell r="L14">
            <v>0.62328767123287676</v>
          </cell>
          <cell r="N14" t="str">
            <v>Thales, CAE, ViaSat, Harris</v>
          </cell>
        </row>
        <row r="16">
          <cell r="B16" t="str">
            <v>Total Segmet EBIT</v>
          </cell>
          <cell r="G16">
            <v>1088.3</v>
          </cell>
          <cell r="H16">
            <v>1</v>
          </cell>
          <cell r="I16">
            <v>4.2462358280254771</v>
          </cell>
          <cell r="J16">
            <v>17.19169705982755</v>
          </cell>
          <cell r="K16">
            <v>73</v>
          </cell>
          <cell r="L16">
            <v>1</v>
          </cell>
        </row>
        <row r="18">
          <cell r="B18" t="str">
            <v>Eliminations &amp; Corporate expense</v>
          </cell>
          <cell r="G18">
            <v>-76.377499999999998</v>
          </cell>
        </row>
        <row r="20">
          <cell r="B20" t="str">
            <v>EBIT</v>
          </cell>
          <cell r="G20">
            <v>1011.9224999999999</v>
          </cell>
        </row>
        <row r="23">
          <cell r="B23" t="str">
            <v>Peer CY2012 P/E Valuation</v>
          </cell>
        </row>
        <row r="25">
          <cell r="B25" t="str">
            <v>COL</v>
          </cell>
          <cell r="D25" t="str">
            <v>Ticker</v>
          </cell>
          <cell r="F25" t="str">
            <v>Company</v>
          </cell>
          <cell r="J25" t="str">
            <v xml:space="preserve">Price </v>
          </cell>
          <cell r="K25" t="str">
            <v xml:space="preserve">EPS </v>
          </cell>
          <cell r="L25" t="str">
            <v xml:space="preserve">P/E </v>
          </cell>
          <cell r="N25" t="str">
            <v>Comments</v>
          </cell>
        </row>
        <row r="26">
          <cell r="C26" t="str">
            <v>Commercial Systems</v>
          </cell>
          <cell r="D26">
            <v>63.73</v>
          </cell>
          <cell r="E26" t="str">
            <v>Current Price</v>
          </cell>
        </row>
        <row r="27">
          <cell r="D27" t="str">
            <v>HON</v>
          </cell>
          <cell r="F27" t="str">
            <v>Honeywell International Inc.</v>
          </cell>
          <cell r="J27">
            <v>45.25</v>
          </cell>
          <cell r="K27">
            <v>2.9610069999999999</v>
          </cell>
          <cell r="L27">
            <v>15.281963196979946</v>
          </cell>
          <cell r="N27">
            <v>14</v>
          </cell>
          <cell r="O27">
            <v>16</v>
          </cell>
          <cell r="P27">
            <v>15</v>
          </cell>
        </row>
        <row r="28">
          <cell r="D28" t="str">
            <v>HO-FR</v>
          </cell>
          <cell r="F28" t="str">
            <v>Thales S.A.</v>
          </cell>
          <cell r="I28" t="str">
            <v>Implied</v>
          </cell>
          <cell r="J28">
            <v>29.28</v>
          </cell>
          <cell r="K28">
            <v>2.9053459999999998</v>
          </cell>
          <cell r="L28">
            <v>10.077973501262846</v>
          </cell>
          <cell r="N28">
            <v>12</v>
          </cell>
          <cell r="O28">
            <v>14</v>
          </cell>
          <cell r="P28">
            <v>13</v>
          </cell>
        </row>
        <row r="29">
          <cell r="D29" t="str">
            <v>GR</v>
          </cell>
          <cell r="F29" t="str">
            <v>Goodrich Corp.</v>
          </cell>
          <cell r="G29" t="str">
            <v>EBIT</v>
          </cell>
          <cell r="H29" t="str">
            <v>% Total</v>
          </cell>
          <cell r="I29" t="str">
            <v>EPS</v>
          </cell>
          <cell r="J29">
            <v>70.430000000000007</v>
          </cell>
          <cell r="K29">
            <v>5.0086729999999999</v>
          </cell>
          <cell r="L29">
            <v>14.061608733490889</v>
          </cell>
          <cell r="M29" t="str">
            <v xml:space="preserve">High </v>
          </cell>
          <cell r="N29">
            <v>14</v>
          </cell>
          <cell r="O29">
            <v>18</v>
          </cell>
          <cell r="P29">
            <v>16</v>
          </cell>
        </row>
        <row r="30">
          <cell r="C30" t="str">
            <v>Government Systems</v>
          </cell>
        </row>
        <row r="31">
          <cell r="C31" t="str">
            <v>Government Systems</v>
          </cell>
          <cell r="D31" t="str">
            <v>HO-FR</v>
          </cell>
          <cell r="F31" t="str">
            <v>Thales S.A.</v>
          </cell>
          <cell r="G31">
            <v>630.48249999999996</v>
          </cell>
          <cell r="H31">
            <v>0.61246817167741208</v>
          </cell>
          <cell r="I31">
            <v>2.6403668868014867</v>
          </cell>
          <cell r="J31">
            <v>29.28</v>
          </cell>
          <cell r="K31">
            <v>2.9053459999999998</v>
          </cell>
          <cell r="L31">
            <v>10.077973501262846</v>
          </cell>
          <cell r="M31">
            <v>36.965136415220812</v>
          </cell>
          <cell r="N31">
            <v>12</v>
          </cell>
          <cell r="O31">
            <v>14</v>
          </cell>
          <cell r="P31">
            <v>13</v>
          </cell>
        </row>
        <row r="32">
          <cell r="D32" t="str">
            <v>CAE-CA</v>
          </cell>
          <cell r="F32" t="str">
            <v>CAE Inc.</v>
          </cell>
          <cell r="J32">
            <v>10.210000000000001</v>
          </cell>
          <cell r="K32">
            <v>0.70489889999999999</v>
          </cell>
          <cell r="L32">
            <v>14.484346620486996</v>
          </cell>
          <cell r="N32">
            <v>15</v>
          </cell>
          <cell r="O32">
            <v>20</v>
          </cell>
          <cell r="P32">
            <v>17.5</v>
          </cell>
        </row>
        <row r="33">
          <cell r="C33" t="str">
            <v>Commercial Systems</v>
          </cell>
          <cell r="D33" t="str">
            <v>VSAT</v>
          </cell>
          <cell r="F33" t="str">
            <v>ViaSat Inc.</v>
          </cell>
          <cell r="G33">
            <v>398.9301767</v>
          </cell>
          <cell r="H33">
            <v>0.38753182832258781</v>
          </cell>
          <cell r="I33">
            <v>1.6706602145254563</v>
          </cell>
          <cell r="J33">
            <v>34.99</v>
          </cell>
          <cell r="K33">
            <v>1.8557079999999999</v>
          </cell>
          <cell r="L33">
            <v>18.855337154336784</v>
          </cell>
          <cell r="M33">
            <v>26.764863584779185</v>
          </cell>
          <cell r="N33">
            <v>18</v>
          </cell>
          <cell r="O33">
            <v>22</v>
          </cell>
          <cell r="P33">
            <v>20</v>
          </cell>
        </row>
        <row r="34">
          <cell r="D34" t="str">
            <v>ESLT</v>
          </cell>
          <cell r="F34" t="str">
            <v>Elbit Systems Ltd.</v>
          </cell>
          <cell r="J34">
            <v>64.61</v>
          </cell>
          <cell r="K34">
            <v>5.4442360000000001</v>
          </cell>
          <cell r="L34">
            <v>11.867597216579149</v>
          </cell>
          <cell r="N34">
            <v>14</v>
          </cell>
          <cell r="O34">
            <v>18</v>
          </cell>
          <cell r="P34">
            <v>16</v>
          </cell>
        </row>
        <row r="35">
          <cell r="B35" t="str">
            <v>Total Segmet EBIT</v>
          </cell>
          <cell r="D35" t="str">
            <v>HRS</v>
          </cell>
          <cell r="F35" t="str">
            <v>Harris Corp.</v>
          </cell>
          <cell r="G35">
            <v>1029.4126767</v>
          </cell>
          <cell r="H35">
            <v>0.99999999999999989</v>
          </cell>
          <cell r="I35">
            <v>4.3110271013269434</v>
          </cell>
          <cell r="J35">
            <v>48.45</v>
          </cell>
          <cell r="K35">
            <v>4.3130939999999995</v>
          </cell>
          <cell r="L35">
            <v>11.233235352626213</v>
          </cell>
          <cell r="M35">
            <v>63.73</v>
          </cell>
          <cell r="N35">
            <v>15</v>
          </cell>
          <cell r="O35">
            <v>20</v>
          </cell>
          <cell r="P35">
            <v>17.5</v>
          </cell>
        </row>
        <row r="36">
          <cell r="C36" t="str">
            <v>Competitors Listed in COL 10-K</v>
          </cell>
        </row>
        <row r="37">
          <cell r="B37" t="str">
            <v xml:space="preserve">Eliminations &amp; Corporate </v>
          </cell>
          <cell r="D37" t="str">
            <v>HON</v>
          </cell>
          <cell r="F37" t="str">
            <v>Honeywell International Inc.</v>
          </cell>
          <cell r="G37">
            <v>-72.25</v>
          </cell>
          <cell r="J37">
            <v>45.25</v>
          </cell>
          <cell r="K37">
            <v>2.9610069999999999</v>
          </cell>
          <cell r="L37">
            <v>15.281963196979946</v>
          </cell>
          <cell r="N37" t="str">
            <v>Avionics competitor but diversified industrial conglomerate</v>
          </cell>
        </row>
        <row r="38">
          <cell r="D38" t="str">
            <v>HO-FR</v>
          </cell>
          <cell r="F38" t="str">
            <v>Thales S.A.</v>
          </cell>
          <cell r="J38">
            <v>29.28</v>
          </cell>
          <cell r="K38">
            <v>2.9053459999999998</v>
          </cell>
          <cell r="L38">
            <v>10.077973501262846</v>
          </cell>
          <cell r="N38" t="str">
            <v>Best overall comp</v>
          </cell>
        </row>
        <row r="39">
          <cell r="B39" t="str">
            <v>EBIT</v>
          </cell>
          <cell r="D39" t="str">
            <v>PC</v>
          </cell>
          <cell r="F39" t="str">
            <v>Panasonic Corp. (ADS)</v>
          </cell>
          <cell r="G39">
            <v>957.16267670000002</v>
          </cell>
          <cell r="J39">
            <v>15.33</v>
          </cell>
          <cell r="K39">
            <v>0.73164940000000001</v>
          </cell>
          <cell r="L39">
            <v>20.952658472760312</v>
          </cell>
          <cell r="N39" t="str">
            <v>Not a revelent public market comp. Consumer electronics company.</v>
          </cell>
        </row>
        <row r="40">
          <cell r="D40" t="str">
            <v>RTN</v>
          </cell>
          <cell r="F40" t="str">
            <v>Raytheon Co.</v>
          </cell>
          <cell r="J40">
            <v>56.81</v>
          </cell>
          <cell r="K40">
            <v>5.2703749999999996</v>
          </cell>
          <cell r="L40">
            <v>10.779119132889027</v>
          </cell>
          <cell r="N40" t="str">
            <v>Defense primes have less attactive margin and growth profile than COL</v>
          </cell>
        </row>
        <row r="41">
          <cell r="B41" t="str">
            <v>2012 Annualized PE Multiple</v>
          </cell>
          <cell r="D41" t="str">
            <v>HRS</v>
          </cell>
          <cell r="F41" t="str">
            <v>Harris Corp.</v>
          </cell>
          <cell r="J41">
            <v>48.45</v>
          </cell>
          <cell r="K41">
            <v>4.3130939999999995</v>
          </cell>
          <cell r="L41">
            <v>11.233235352626213</v>
          </cell>
          <cell r="N41" t="str">
            <v>Close competitor for Government systems but trades like Defense primes</v>
          </cell>
        </row>
        <row r="42">
          <cell r="D42" t="str">
            <v>BA-GB</v>
          </cell>
          <cell r="F42" t="str">
            <v>BAE Systems PLC</v>
          </cell>
          <cell r="I42" t="str">
            <v>Implied</v>
          </cell>
          <cell r="J42">
            <v>3.7050000000000001</v>
          </cell>
          <cell r="K42">
            <v>0.43944610000000001</v>
          </cell>
          <cell r="L42">
            <v>8.4310681105145768</v>
          </cell>
          <cell r="N42" t="str">
            <v>Defense primes have less attactive margin and growth profile than COL</v>
          </cell>
        </row>
        <row r="43">
          <cell r="D43" t="str">
            <v>GD</v>
          </cell>
          <cell r="F43" t="str">
            <v>General Dynamics Corp.</v>
          </cell>
          <cell r="G43" t="str">
            <v>EBIT</v>
          </cell>
          <cell r="H43" t="str">
            <v>% Total</v>
          </cell>
          <cell r="I43" t="str">
            <v>EPS</v>
          </cell>
          <cell r="J43">
            <v>76.47</v>
          </cell>
          <cell r="K43">
            <v>6.9860530000000001</v>
          </cell>
          <cell r="L43">
            <v>10.946095026762608</v>
          </cell>
          <cell r="N43" t="str">
            <v>Defense primes have less attactive margin and growth profile than COL</v>
          </cell>
        </row>
        <row r="44">
          <cell r="C44" t="str">
            <v>Commercial Systems</v>
          </cell>
          <cell r="D44" t="str">
            <v>LLL</v>
          </cell>
          <cell r="F44" t="str">
            <v>L-3 Communications Holdings Inc.</v>
          </cell>
          <cell r="G44">
            <v>498.66588632000003</v>
          </cell>
          <cell r="H44">
            <v>0.43179549437468223</v>
          </cell>
          <cell r="I44">
            <v>2.1127525220745791</v>
          </cell>
          <cell r="J44">
            <v>92.67</v>
          </cell>
          <cell r="K44">
            <v>8.7632500000000011</v>
          </cell>
          <cell r="L44">
            <v>10.574843807947964</v>
          </cell>
          <cell r="N44" t="str">
            <v>Defense primes have less attactive margin and growth profile than COL</v>
          </cell>
        </row>
        <row r="45">
          <cell r="D45" t="str">
            <v>BA</v>
          </cell>
          <cell r="F45" t="str">
            <v>Boeing Co.</v>
          </cell>
          <cell r="J45">
            <v>72.099999999999994</v>
          </cell>
          <cell r="K45">
            <v>4.5076679999999998</v>
          </cell>
          <cell r="L45">
            <v>15.994966798797071</v>
          </cell>
          <cell r="N45" t="str">
            <v>Trades primarily on commercial aero OEM business</v>
          </cell>
        </row>
        <row r="46">
          <cell r="C46" t="str">
            <v>Government Systems</v>
          </cell>
          <cell r="D46" t="str">
            <v>NOC</v>
          </cell>
          <cell r="F46" t="str">
            <v>Northrop Grumman Corp.</v>
          </cell>
          <cell r="G46">
            <v>656.2</v>
          </cell>
          <cell r="H46">
            <v>0.56820450562531777</v>
          </cell>
          <cell r="I46">
            <v>2.7801946012719161</v>
          </cell>
          <cell r="J46">
            <v>65.22</v>
          </cell>
          <cell r="K46">
            <v>6.6385549999999993</v>
          </cell>
          <cell r="L46">
            <v>9.8244271531982488</v>
          </cell>
          <cell r="N46" t="str">
            <v>Defense primes have less attactive margin and growth profile than COL</v>
          </cell>
        </row>
        <row r="47">
          <cell r="D47" t="str">
            <v>CAE-CA</v>
          </cell>
          <cell r="F47" t="str">
            <v>CAE Inc.</v>
          </cell>
          <cell r="J47">
            <v>10.210000000000001</v>
          </cell>
          <cell r="K47">
            <v>0.70489889999999999</v>
          </cell>
          <cell r="L47">
            <v>14.484346620486996</v>
          </cell>
          <cell r="N47" t="str">
            <v>Good comp for Government Systems (simulation and training)</v>
          </cell>
        </row>
        <row r="48">
          <cell r="B48" t="str">
            <v>Total Segmet EBIT</v>
          </cell>
          <cell r="G48">
            <v>1154.8658863200001</v>
          </cell>
          <cell r="H48">
            <v>1</v>
          </cell>
          <cell r="I48">
            <v>4.8929471233464952</v>
          </cell>
          <cell r="J48">
            <v>15.634748970611884</v>
          </cell>
          <cell r="K48">
            <v>76.5</v>
          </cell>
          <cell r="L48">
            <v>1.0234113712374582</v>
          </cell>
        </row>
        <row r="50">
          <cell r="B50" t="str">
            <v xml:space="preserve">Eliminations &amp; Corporate </v>
          </cell>
          <cell r="C50" t="str">
            <v>Calendar Year</v>
          </cell>
          <cell r="E50">
            <v>2011</v>
          </cell>
          <cell r="G50">
            <v>-77</v>
          </cell>
        </row>
        <row r="52">
          <cell r="B52" t="str">
            <v>EBIT</v>
          </cell>
          <cell r="G52">
            <v>1077.8658863200001</v>
          </cell>
        </row>
        <row r="55">
          <cell r="B55" t="str">
            <v>Current Peer Multiple SOTP: 2013 P/E Basis - Year Ended Sept</v>
          </cell>
        </row>
        <row r="57">
          <cell r="I57" t="str">
            <v>Implied</v>
          </cell>
          <cell r="J57" t="str">
            <v>Peer</v>
          </cell>
          <cell r="K57" t="str">
            <v>Implied</v>
          </cell>
        </row>
        <row r="58">
          <cell r="G58" t="str">
            <v>EBIT</v>
          </cell>
          <cell r="H58" t="str">
            <v>% Total</v>
          </cell>
          <cell r="I58" t="str">
            <v>EPS</v>
          </cell>
          <cell r="J58" t="str">
            <v>P/E</v>
          </cell>
          <cell r="K58" t="str">
            <v>Value</v>
          </cell>
          <cell r="L58" t="str">
            <v>% Total</v>
          </cell>
        </row>
        <row r="59">
          <cell r="C59" t="str">
            <v>Commercial Systems</v>
          </cell>
          <cell r="G59">
            <v>548.63802487999999</v>
          </cell>
          <cell r="H59">
            <v>0.45299380715452248</v>
          </cell>
          <cell r="I59">
            <v>2.3468718580783743</v>
          </cell>
          <cell r="J59">
            <v>17</v>
          </cell>
          <cell r="K59">
            <v>40</v>
          </cell>
          <cell r="L59">
            <v>0.53511705685618727</v>
          </cell>
        </row>
        <row r="61">
          <cell r="C61" t="str">
            <v>Government Systems</v>
          </cell>
          <cell r="G61">
            <v>662.5</v>
          </cell>
          <cell r="H61">
            <v>0.54700619284547747</v>
          </cell>
          <cell r="I61">
            <v>2.8339315458803549</v>
          </cell>
          <cell r="J61">
            <v>11</v>
          </cell>
          <cell r="K61">
            <v>31.25</v>
          </cell>
          <cell r="L61">
            <v>0.41806020066889632</v>
          </cell>
        </row>
        <row r="63">
          <cell r="B63" t="str">
            <v>Total Segmet EBIT</v>
          </cell>
          <cell r="G63">
            <v>1211.1380248800001</v>
          </cell>
          <cell r="H63">
            <v>1</v>
          </cell>
          <cell r="I63">
            <v>5.1808034039587296</v>
          </cell>
          <cell r="J63">
            <v>13.752693249382288</v>
          </cell>
          <cell r="K63">
            <v>71.25</v>
          </cell>
          <cell r="L63">
            <v>0.95317725752508364</v>
          </cell>
        </row>
        <row r="65">
          <cell r="B65" t="str">
            <v xml:space="preserve">Eliminations &amp; Corporate </v>
          </cell>
          <cell r="G65">
            <v>-80</v>
          </cell>
        </row>
        <row r="67">
          <cell r="B67" t="str">
            <v>EBIT</v>
          </cell>
          <cell r="G67">
            <v>1131.1380248800001</v>
          </cell>
        </row>
        <row r="72">
          <cell r="B72" t="str">
            <v>Peer CY2012 P/E Valuation</v>
          </cell>
        </row>
        <row r="74">
          <cell r="D74" t="str">
            <v>Ticker</v>
          </cell>
          <cell r="F74" t="str">
            <v>Company</v>
          </cell>
          <cell r="J74" t="str">
            <v xml:space="preserve">Price </v>
          </cell>
          <cell r="K74" t="str">
            <v xml:space="preserve">EPS </v>
          </cell>
          <cell r="L74" t="str">
            <v xml:space="preserve">P/E </v>
          </cell>
          <cell r="N74" t="str">
            <v>Comments</v>
          </cell>
        </row>
        <row r="75">
          <cell r="C75" t="str">
            <v>Commercial Systems</v>
          </cell>
          <cell r="N75" t="str">
            <v>Historical Multiples</v>
          </cell>
        </row>
        <row r="76">
          <cell r="D76" t="str">
            <v>HON</v>
          </cell>
          <cell r="F76" t="str">
            <v>Honeywell International Inc.</v>
          </cell>
          <cell r="J76">
            <v>54.3</v>
          </cell>
          <cell r="K76">
            <v>4.3372820000000001</v>
          </cell>
          <cell r="L76">
            <v>12.519361203629369</v>
          </cell>
          <cell r="N76">
            <v>14</v>
          </cell>
          <cell r="O76">
            <v>16</v>
          </cell>
          <cell r="P76">
            <v>15</v>
          </cell>
        </row>
        <row r="77">
          <cell r="D77" t="str">
            <v>HO-FR</v>
          </cell>
          <cell r="F77" t="str">
            <v>Thales S.A.</v>
          </cell>
          <cell r="J77">
            <v>26.535</v>
          </cell>
          <cell r="K77">
            <v>3.5024700000000002</v>
          </cell>
          <cell r="L77">
            <v>7.5760820221158207</v>
          </cell>
          <cell r="N77">
            <v>12</v>
          </cell>
          <cell r="O77">
            <v>14</v>
          </cell>
          <cell r="P77">
            <v>13</v>
          </cell>
        </row>
        <row r="78">
          <cell r="D78" t="str">
            <v>GR</v>
          </cell>
          <cell r="F78" t="str">
            <v>Goodrich Corp.</v>
          </cell>
          <cell r="J78">
            <v>89.78</v>
          </cell>
          <cell r="K78">
            <v>6.0215500000000004</v>
          </cell>
          <cell r="L78">
            <v>14.909782365005688</v>
          </cell>
          <cell r="N78">
            <v>14</v>
          </cell>
          <cell r="O78">
            <v>18</v>
          </cell>
          <cell r="P78">
            <v>16</v>
          </cell>
        </row>
        <row r="79">
          <cell r="C79" t="str">
            <v>Government Systems</v>
          </cell>
        </row>
        <row r="80">
          <cell r="D80" t="str">
            <v>HO-FR</v>
          </cell>
          <cell r="F80" t="str">
            <v>Thales S.A.</v>
          </cell>
          <cell r="J80">
            <v>26.535</v>
          </cell>
          <cell r="K80">
            <v>3.5024700000000002</v>
          </cell>
          <cell r="L80">
            <v>7.5760820221158207</v>
          </cell>
          <cell r="N80">
            <v>12</v>
          </cell>
          <cell r="O80">
            <v>14</v>
          </cell>
          <cell r="P80">
            <v>13</v>
          </cell>
        </row>
        <row r="81">
          <cell r="D81" t="str">
            <v>CAE-CA</v>
          </cell>
          <cell r="F81" t="str">
            <v>CAE Inc.</v>
          </cell>
          <cell r="J81">
            <v>11.82</v>
          </cell>
          <cell r="K81">
            <v>0.82252179999999997</v>
          </cell>
          <cell r="L81">
            <v>14.370439786519945</v>
          </cell>
          <cell r="N81">
            <v>15</v>
          </cell>
          <cell r="O81">
            <v>20</v>
          </cell>
          <cell r="P81">
            <v>17.5</v>
          </cell>
        </row>
        <row r="82">
          <cell r="D82" t="str">
            <v>ESLT</v>
          </cell>
          <cell r="F82" t="str">
            <v>Elbit Systems Ltd.</v>
          </cell>
          <cell r="J82">
            <v>55.75</v>
          </cell>
          <cell r="K82">
            <v>4.8813000000000004</v>
          </cell>
          <cell r="L82">
            <v>11.421137811648535</v>
          </cell>
          <cell r="N82">
            <v>14</v>
          </cell>
          <cell r="O82">
            <v>18</v>
          </cell>
          <cell r="P82">
            <v>16</v>
          </cell>
        </row>
        <row r="83">
          <cell r="D83" t="str">
            <v>HRS</v>
          </cell>
          <cell r="F83" t="str">
            <v>Harris Corp.</v>
          </cell>
          <cell r="J83">
            <v>46.36</v>
          </cell>
          <cell r="K83">
            <v>5.2782029999999995</v>
          </cell>
          <cell r="L83">
            <v>8.7832923440042006</v>
          </cell>
          <cell r="N83">
            <v>15</v>
          </cell>
          <cell r="O83">
            <v>20</v>
          </cell>
          <cell r="P83">
            <v>17.5</v>
          </cell>
        </row>
        <row r="84">
          <cell r="C84" t="str">
            <v>Competitors Listed in COL 10-K</v>
          </cell>
        </row>
        <row r="85">
          <cell r="D85" t="str">
            <v>HON</v>
          </cell>
          <cell r="F85" t="str">
            <v>Honeywell International Inc.</v>
          </cell>
          <cell r="J85">
            <v>54.3</v>
          </cell>
          <cell r="K85">
            <v>4.3372820000000001</v>
          </cell>
          <cell r="L85">
            <v>12.519361203629369</v>
          </cell>
          <cell r="N85" t="str">
            <v>Avionics competitor but diversified industrial conglomerate</v>
          </cell>
        </row>
        <row r="86">
          <cell r="D86" t="str">
            <v>HO-FR</v>
          </cell>
          <cell r="F86" t="str">
            <v>Thales S.A.</v>
          </cell>
          <cell r="J86">
            <v>26.535</v>
          </cell>
          <cell r="K86">
            <v>3.5024700000000002</v>
          </cell>
          <cell r="L86">
            <v>7.5760820221158207</v>
          </cell>
          <cell r="N86" t="str">
            <v>Best overall comp</v>
          </cell>
        </row>
        <row r="87">
          <cell r="D87" t="str">
            <v>PC</v>
          </cell>
          <cell r="F87" t="str">
            <v>Panasonic Corp. ADS</v>
          </cell>
          <cell r="J87">
            <v>14.28</v>
          </cell>
          <cell r="K87">
            <v>0.97861139999999991</v>
          </cell>
          <cell r="L87">
            <v>14.592104690380676</v>
          </cell>
          <cell r="N87" t="str">
            <v>Not a revelent public market comp. Consumer electronics company.</v>
          </cell>
        </row>
        <row r="88">
          <cell r="D88" t="str">
            <v>RTN</v>
          </cell>
          <cell r="F88" t="str">
            <v>Raytheon Co.</v>
          </cell>
          <cell r="J88">
            <v>49.85</v>
          </cell>
          <cell r="K88">
            <v>5.4044609999999995</v>
          </cell>
          <cell r="L88">
            <v>9.2238615469701806</v>
          </cell>
          <cell r="N88" t="str">
            <v>Defense primes have less attactive margin and growth profile than COL</v>
          </cell>
        </row>
        <row r="89">
          <cell r="D89" t="str">
            <v>HRS</v>
          </cell>
          <cell r="F89" t="str">
            <v>Harris Corp.</v>
          </cell>
          <cell r="J89">
            <v>46.36</v>
          </cell>
          <cell r="K89">
            <v>5.2782029999999995</v>
          </cell>
          <cell r="L89">
            <v>8.7832923440042006</v>
          </cell>
          <cell r="N89" t="str">
            <v>Close competitor for Government systems but trades like Defense primes</v>
          </cell>
        </row>
        <row r="90">
          <cell r="D90" t="str">
            <v>BA-GB</v>
          </cell>
          <cell r="F90" t="str">
            <v>BAE Systems PLC</v>
          </cell>
          <cell r="J90">
            <v>3.468</v>
          </cell>
          <cell r="K90">
            <v>0.4393571</v>
          </cell>
          <cell r="L90">
            <v>7.8933514446449138</v>
          </cell>
          <cell r="N90" t="str">
            <v>Defense primes have less attactive margin and growth profile than COL</v>
          </cell>
        </row>
        <row r="91">
          <cell r="D91" t="str">
            <v>GD</v>
          </cell>
          <cell r="F91" t="str">
            <v>General Dynamics Corp.</v>
          </cell>
          <cell r="J91">
            <v>72.010000000000005</v>
          </cell>
          <cell r="K91">
            <v>7.7467000000000006</v>
          </cell>
          <cell r="L91">
            <v>9.2955710173364139</v>
          </cell>
          <cell r="N91" t="str">
            <v>Defense primes have less attactive margin and growth profile than COL</v>
          </cell>
        </row>
        <row r="92">
          <cell r="D92" t="str">
            <v>LLL</v>
          </cell>
          <cell r="F92" t="str">
            <v>L-3 Communications Holdings Inc.</v>
          </cell>
          <cell r="J92">
            <v>78.23</v>
          </cell>
          <cell r="K92">
            <v>8.9269999999999996</v>
          </cell>
          <cell r="L92">
            <v>8.7633023412120536</v>
          </cell>
          <cell r="N92" t="str">
            <v>Defense primes have less attactive margin and growth profile than COL</v>
          </cell>
        </row>
        <row r="93">
          <cell r="D93" t="str">
            <v>BA</v>
          </cell>
          <cell r="F93" t="str">
            <v>Boeing Co.</v>
          </cell>
          <cell r="J93">
            <v>69.38</v>
          </cell>
          <cell r="K93">
            <v>5.5007419999999998</v>
          </cell>
          <cell r="L93">
            <v>12.612843867245546</v>
          </cell>
          <cell r="N93" t="str">
            <v>Trades primarily on commercial aero OEM business</v>
          </cell>
        </row>
        <row r="94">
          <cell r="D94" t="str">
            <v>NOC</v>
          </cell>
          <cell r="F94" t="str">
            <v>Northrop Grumman Corp.</v>
          </cell>
          <cell r="J94">
            <v>68.06</v>
          </cell>
          <cell r="K94">
            <v>7.3796100000000004</v>
          </cell>
          <cell r="L94">
            <v>9.2227096011848868</v>
          </cell>
          <cell r="N94" t="str">
            <v>Defense primes have less attactive margin and growth profile than COL</v>
          </cell>
        </row>
        <row r="95">
          <cell r="D95" t="str">
            <v>CAE-CA</v>
          </cell>
          <cell r="F95" t="str">
            <v>CAE Inc.</v>
          </cell>
          <cell r="J95">
            <v>11.82</v>
          </cell>
          <cell r="K95">
            <v>0.82252179999999997</v>
          </cell>
          <cell r="L95">
            <v>14.370439786519945</v>
          </cell>
          <cell r="N95" t="str">
            <v>Good comp for Government Systems (simulation and training)</v>
          </cell>
        </row>
        <row r="98">
          <cell r="C98" t="str">
            <v>Calendar Year</v>
          </cell>
          <cell r="E98">
            <v>2012</v>
          </cell>
        </row>
      </sheetData>
      <sheetData sheetId="8" refreshError="1">
        <row r="1">
          <cell r="A1" t="str">
            <v>Rockwell Collins, Inc.</v>
          </cell>
        </row>
        <row r="2">
          <cell r="A2" t="str">
            <v>Government Systems Segment Detail</v>
          </cell>
        </row>
        <row r="3">
          <cell r="A3" t="str">
            <v>Morgan Stanley Research</v>
          </cell>
        </row>
        <row r="4">
          <cell r="A4" t="str">
            <v>($ in Millions Except EPS)</v>
          </cell>
        </row>
        <row r="5">
          <cell r="A5" t="str">
            <v>Model Updated: 4/10</v>
          </cell>
        </row>
        <row r="6">
          <cell r="A6" t="str">
            <v>Fiscal Year Ended Sept. 30</v>
          </cell>
          <cell r="E6">
            <v>2008</v>
          </cell>
          <cell r="I6" t="str">
            <v>2009A</v>
          </cell>
          <cell r="M6" t="str">
            <v>2010E</v>
          </cell>
          <cell r="Q6" t="str">
            <v>2011E</v>
          </cell>
          <cell r="U6" t="str">
            <v>2012E</v>
          </cell>
        </row>
        <row r="8">
          <cell r="E8" t="str">
            <v>Q1</v>
          </cell>
          <cell r="F8" t="str">
            <v>Q2</v>
          </cell>
          <cell r="G8" t="str">
            <v>Q3</v>
          </cell>
          <cell r="H8" t="str">
            <v>Q4</v>
          </cell>
          <cell r="I8" t="str">
            <v>Q1</v>
          </cell>
          <cell r="J8" t="str">
            <v>Q2</v>
          </cell>
          <cell r="K8" t="str">
            <v>Q3</v>
          </cell>
          <cell r="L8" t="str">
            <v>Q4</v>
          </cell>
          <cell r="M8" t="str">
            <v>Q1A</v>
          </cell>
          <cell r="N8" t="str">
            <v>Q2E</v>
          </cell>
          <cell r="O8" t="str">
            <v>Q3E</v>
          </cell>
          <cell r="P8" t="str">
            <v>Q4E</v>
          </cell>
          <cell r="Q8">
            <v>2006</v>
          </cell>
          <cell r="R8">
            <v>2007</v>
          </cell>
          <cell r="S8">
            <v>2008</v>
          </cell>
          <cell r="T8" t="str">
            <v>2009A</v>
          </cell>
          <cell r="U8" t="str">
            <v>2010E</v>
          </cell>
          <cell r="V8" t="str">
            <v>2011E</v>
          </cell>
          <cell r="W8" t="str">
            <v>2012E</v>
          </cell>
          <cell r="X8" t="str">
            <v>2013E</v>
          </cell>
          <cell r="Y8" t="str">
            <v>2014E</v>
          </cell>
          <cell r="Z8" t="str">
            <v>2015E</v>
          </cell>
          <cell r="AA8" t="str">
            <v>2012E</v>
          </cell>
          <cell r="AB8" t="str">
            <v>Comment</v>
          </cell>
          <cell r="AC8" t="str">
            <v>2014E</v>
          </cell>
          <cell r="AD8" t="str">
            <v>2015E</v>
          </cell>
          <cell r="AE8" t="str">
            <v>2012E</v>
          </cell>
          <cell r="AF8" t="str">
            <v>Comment</v>
          </cell>
          <cell r="AG8" t="str">
            <v>2014E</v>
          </cell>
          <cell r="AH8" t="str">
            <v>2015E</v>
          </cell>
          <cell r="AJ8" t="str">
            <v>Comment</v>
          </cell>
        </row>
        <row r="9">
          <cell r="A9" t="str">
            <v>Segment Revenue</v>
          </cell>
        </row>
        <row r="11">
          <cell r="B11" t="str">
            <v>Airborne Solutions</v>
          </cell>
          <cell r="E11">
            <v>375</v>
          </cell>
          <cell r="F11">
            <v>399</v>
          </cell>
          <cell r="G11">
            <v>429</v>
          </cell>
          <cell r="H11">
            <v>459</v>
          </cell>
          <cell r="I11">
            <v>403</v>
          </cell>
          <cell r="J11">
            <v>431</v>
          </cell>
          <cell r="K11">
            <v>452</v>
          </cell>
          <cell r="L11">
            <v>475</v>
          </cell>
          <cell r="M11">
            <v>410</v>
          </cell>
          <cell r="N11">
            <v>460</v>
          </cell>
          <cell r="O11">
            <v>475</v>
          </cell>
          <cell r="P11">
            <v>525</v>
          </cell>
          <cell r="Q11">
            <v>1462</v>
          </cell>
          <cell r="R11">
            <v>1605</v>
          </cell>
          <cell r="S11">
            <v>1662</v>
          </cell>
          <cell r="T11">
            <v>1761</v>
          </cell>
          <cell r="U11">
            <v>1870</v>
          </cell>
          <cell r="V11">
            <v>1970</v>
          </cell>
          <cell r="W11">
            <v>2070</v>
          </cell>
          <cell r="X11">
            <v>2200</v>
          </cell>
          <cell r="Y11">
            <v>2300</v>
          </cell>
          <cell r="Z11">
            <v>2400</v>
          </cell>
          <cell r="AA11">
            <v>1995</v>
          </cell>
          <cell r="AB11">
            <v>2020</v>
          </cell>
          <cell r="AC11">
            <v>2040</v>
          </cell>
          <cell r="AD11">
            <v>2050</v>
          </cell>
          <cell r="AE11">
            <v>2000</v>
          </cell>
          <cell r="AF11">
            <v>2100</v>
          </cell>
          <cell r="AG11">
            <v>2150</v>
          </cell>
          <cell r="AH11">
            <v>2250</v>
          </cell>
        </row>
        <row r="12">
          <cell r="C12" t="str">
            <v>Y/Y Growth</v>
          </cell>
          <cell r="I12">
            <v>7.4666666666666659E-2</v>
          </cell>
          <cell r="J12">
            <v>8.0200501253132828E-2</v>
          </cell>
          <cell r="K12">
            <v>5.3613053613053685E-2</v>
          </cell>
          <cell r="L12">
            <v>3.4858387799564294E-2</v>
          </cell>
          <cell r="M12">
            <v>1.7369727047146455E-2</v>
          </cell>
          <cell r="N12">
            <v>6.728538283062635E-2</v>
          </cell>
          <cell r="O12">
            <v>5.0884955752212413E-2</v>
          </cell>
          <cell r="P12">
            <v>0.10526315789473695</v>
          </cell>
          <cell r="Q12">
            <v>6.8292682926829329E-2</v>
          </cell>
          <cell r="R12">
            <v>9.7811217510259896E-2</v>
          </cell>
          <cell r="S12">
            <v>3.5514018691588767E-2</v>
          </cell>
          <cell r="T12">
            <v>5.9566787003610067E-2</v>
          </cell>
          <cell r="U12">
            <v>6.1896649630891476E-2</v>
          </cell>
          <cell r="V12">
            <v>5.3475935828876997E-2</v>
          </cell>
          <cell r="W12">
            <v>5.0761421319796884E-2</v>
          </cell>
          <cell r="X12">
            <v>6.2801932367149815E-2</v>
          </cell>
          <cell r="Y12">
            <v>4.5454545454545414E-2</v>
          </cell>
          <cell r="Z12">
            <v>4.3478260869565188E-2</v>
          </cell>
          <cell r="AA12">
            <v>2.3076923076922995E-2</v>
          </cell>
          <cell r="AB12">
            <v>1.2531328320801949E-2</v>
          </cell>
          <cell r="AC12">
            <v>9.9009900990099098E-3</v>
          </cell>
          <cell r="AD12">
            <v>4.9019607843137081E-3</v>
          </cell>
          <cell r="AE12">
            <v>1.5228426395939021E-2</v>
          </cell>
          <cell r="AF12">
            <v>5.0000000000000044E-2</v>
          </cell>
          <cell r="AG12">
            <v>2.3809523809523725E-2</v>
          </cell>
          <cell r="AH12">
            <v>4.6511627906976827E-2</v>
          </cell>
        </row>
        <row r="14">
          <cell r="B14" t="str">
            <v>DataPath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23</v>
          </cell>
          <cell r="L14">
            <v>61</v>
          </cell>
          <cell r="M14">
            <v>60</v>
          </cell>
          <cell r="N14">
            <v>60</v>
          </cell>
          <cell r="O14">
            <v>65</v>
          </cell>
          <cell r="P14">
            <v>65</v>
          </cell>
          <cell r="Q14">
            <v>0</v>
          </cell>
          <cell r="R14">
            <v>0</v>
          </cell>
          <cell r="S14">
            <v>0</v>
          </cell>
          <cell r="T14">
            <v>84</v>
          </cell>
          <cell r="U14">
            <v>250</v>
          </cell>
          <cell r="V14">
            <v>260</v>
          </cell>
          <cell r="W14">
            <v>270</v>
          </cell>
          <cell r="X14">
            <v>280</v>
          </cell>
          <cell r="Y14">
            <v>290</v>
          </cell>
          <cell r="Z14">
            <v>300</v>
          </cell>
          <cell r="AA14">
            <v>275</v>
          </cell>
          <cell r="AB14" t="str">
            <v>Annuity-like business, low sgl-digits sales growth</v>
          </cell>
          <cell r="AC14">
            <v>290</v>
          </cell>
          <cell r="AD14">
            <v>300</v>
          </cell>
          <cell r="AE14">
            <v>250</v>
          </cell>
          <cell r="AF14" t="str">
            <v>Annuity-like business, low sgl-digits sales growth</v>
          </cell>
          <cell r="AG14">
            <v>290</v>
          </cell>
          <cell r="AH14">
            <v>300</v>
          </cell>
          <cell r="AJ14" t="str">
            <v>Annuity-like business, low sgl-digits sales growth</v>
          </cell>
        </row>
        <row r="15">
          <cell r="C15" t="str">
            <v>Y/Y Growth</v>
          </cell>
          <cell r="O15">
            <v>1.8260869565217392</v>
          </cell>
          <cell r="P15">
            <v>6.5573770491803351E-2</v>
          </cell>
          <cell r="S15">
            <v>0.14035087719298245</v>
          </cell>
          <cell r="T15">
            <v>-0.11392405063291144</v>
          </cell>
          <cell r="U15" t="str">
            <v xml:space="preserve">NM </v>
          </cell>
          <cell r="V15">
            <v>4.0000000000000036E-2</v>
          </cell>
          <cell r="W15">
            <v>3.8461538461538547E-2</v>
          </cell>
          <cell r="X15">
            <v>3.7037037037036979E-2</v>
          </cell>
          <cell r="Y15">
            <v>3.5714285714285809E-2</v>
          </cell>
          <cell r="Z15">
            <v>3.4482758620689724E-2</v>
          </cell>
          <cell r="AA15">
            <v>7.8431372549019551E-2</v>
          </cell>
          <cell r="AB15">
            <v>1.8181818181818077E-2</v>
          </cell>
          <cell r="AC15">
            <v>3.5714285714285809E-2</v>
          </cell>
          <cell r="AD15">
            <v>3.4482758620689724E-2</v>
          </cell>
          <cell r="AE15">
            <v>4.1666666666666741E-2</v>
          </cell>
          <cell r="AF15">
            <v>0.10000000000000009</v>
          </cell>
          <cell r="AG15">
            <v>5.4545454545454453E-2</v>
          </cell>
          <cell r="AH15">
            <v>3.4482758620689724E-2</v>
          </cell>
        </row>
        <row r="17">
          <cell r="B17" t="str">
            <v>Surface Solutions ex. DataPath</v>
          </cell>
          <cell r="E17">
            <v>172</v>
          </cell>
          <cell r="F17">
            <v>177</v>
          </cell>
          <cell r="G17">
            <v>178</v>
          </cell>
          <cell r="H17">
            <v>177</v>
          </cell>
          <cell r="I17">
            <v>171</v>
          </cell>
          <cell r="J17">
            <v>182</v>
          </cell>
          <cell r="K17">
            <v>176</v>
          </cell>
          <cell r="L17">
            <v>205</v>
          </cell>
          <cell r="M17">
            <v>146</v>
          </cell>
          <cell r="N17">
            <v>180</v>
          </cell>
          <cell r="O17">
            <v>220</v>
          </cell>
          <cell r="P17">
            <v>234</v>
          </cell>
          <cell r="Q17">
            <v>581</v>
          </cell>
          <cell r="R17">
            <v>626</v>
          </cell>
          <cell r="S17">
            <v>704</v>
          </cell>
          <cell r="T17">
            <v>734</v>
          </cell>
          <cell r="U17">
            <v>780</v>
          </cell>
          <cell r="V17">
            <v>820</v>
          </cell>
          <cell r="W17">
            <v>860</v>
          </cell>
          <cell r="X17">
            <v>890</v>
          </cell>
          <cell r="Y17">
            <v>925</v>
          </cell>
          <cell r="Z17">
            <v>960</v>
          </cell>
          <cell r="AA17">
            <v>820</v>
          </cell>
          <cell r="AB17">
            <v>840</v>
          </cell>
          <cell r="AC17">
            <v>850</v>
          </cell>
          <cell r="AD17">
            <v>860</v>
          </cell>
          <cell r="AE17">
            <v>500</v>
          </cell>
          <cell r="AF17">
            <v>550</v>
          </cell>
          <cell r="AG17">
            <v>600</v>
          </cell>
          <cell r="AH17">
            <v>625</v>
          </cell>
        </row>
        <row r="18">
          <cell r="C18" t="str">
            <v>Y/Y Growth</v>
          </cell>
          <cell r="I18">
            <v>-5.8139534883721034E-3</v>
          </cell>
          <cell r="J18">
            <v>2.8248587570621542E-2</v>
          </cell>
          <cell r="K18">
            <v>-1.1235955056179803E-2</v>
          </cell>
          <cell r="L18">
            <v>0.15819209039548032</v>
          </cell>
          <cell r="M18">
            <v>-0.14619883040935677</v>
          </cell>
          <cell r="N18">
            <v>-1.098901098901095E-2</v>
          </cell>
          <cell r="O18">
            <v>0.25</v>
          </cell>
          <cell r="P18">
            <v>0.14146341463414625</v>
          </cell>
          <cell r="Q18">
            <v>4.1095890410958846E-2</v>
          </cell>
          <cell r="R18">
            <v>7.745266781411364E-2</v>
          </cell>
          <cell r="S18">
            <v>0.12460063897763574</v>
          </cell>
          <cell r="T18">
            <v>4.2613636363636465E-2</v>
          </cell>
          <cell r="U18">
            <v>6.2670299727520362E-2</v>
          </cell>
          <cell r="V18">
            <v>5.1282051282051322E-2</v>
          </cell>
          <cell r="W18">
            <v>4.8780487804878092E-2</v>
          </cell>
          <cell r="X18">
            <v>3.488372093023262E-2</v>
          </cell>
          <cell r="Y18">
            <v>3.9325842696629199E-2</v>
          </cell>
          <cell r="Z18">
            <v>3.7837837837837895E-2</v>
          </cell>
          <cell r="AA18">
            <v>0.10067114093959728</v>
          </cell>
          <cell r="AB18">
            <v>2.4390243902439046E-2</v>
          </cell>
          <cell r="AC18">
            <v>1.1904761904761862E-2</v>
          </cell>
          <cell r="AD18">
            <v>1.1764705882352899E-2</v>
          </cell>
          <cell r="AE18">
            <v>-0.14529914529914534</v>
          </cell>
          <cell r="AF18">
            <v>0.10000000000000009</v>
          </cell>
          <cell r="AG18">
            <v>9.0909090909090828E-2</v>
          </cell>
          <cell r="AH18">
            <v>4.1666666666666741E-2</v>
          </cell>
        </row>
        <row r="20">
          <cell r="B20" t="str">
            <v>Surface Solutions</v>
          </cell>
          <cell r="E20">
            <v>172</v>
          </cell>
          <cell r="F20">
            <v>177</v>
          </cell>
          <cell r="G20">
            <v>178</v>
          </cell>
          <cell r="H20">
            <v>177</v>
          </cell>
          <cell r="I20">
            <v>171</v>
          </cell>
          <cell r="J20">
            <v>182</v>
          </cell>
          <cell r="K20">
            <v>199</v>
          </cell>
          <cell r="L20">
            <v>266</v>
          </cell>
          <cell r="M20">
            <v>206</v>
          </cell>
          <cell r="N20">
            <v>240</v>
          </cell>
          <cell r="O20">
            <v>285</v>
          </cell>
          <cell r="P20">
            <v>299</v>
          </cell>
          <cell r="Q20">
            <v>581</v>
          </cell>
          <cell r="R20">
            <v>626</v>
          </cell>
          <cell r="S20">
            <v>704</v>
          </cell>
          <cell r="T20">
            <v>818</v>
          </cell>
          <cell r="U20">
            <v>1030</v>
          </cell>
          <cell r="V20">
            <v>1080</v>
          </cell>
          <cell r="W20">
            <v>1130</v>
          </cell>
          <cell r="X20">
            <v>1170</v>
          </cell>
          <cell r="Y20">
            <v>1215</v>
          </cell>
          <cell r="Z20">
            <v>1260</v>
          </cell>
          <cell r="AA20">
            <v>1095</v>
          </cell>
          <cell r="AB20">
            <v>1120</v>
          </cell>
          <cell r="AC20">
            <v>1140</v>
          </cell>
          <cell r="AD20">
            <v>1160</v>
          </cell>
          <cell r="AE20">
            <v>750</v>
          </cell>
          <cell r="AF20">
            <v>825</v>
          </cell>
          <cell r="AG20">
            <v>890</v>
          </cell>
          <cell r="AH20">
            <v>925</v>
          </cell>
        </row>
        <row r="21">
          <cell r="C21" t="str">
            <v>Y/Y Growth</v>
          </cell>
          <cell r="I21">
            <v>-5.8139534883721034E-3</v>
          </cell>
          <cell r="J21">
            <v>2.8248587570621542E-2</v>
          </cell>
          <cell r="K21">
            <v>0.1179775280898876</v>
          </cell>
          <cell r="L21">
            <v>0.50282485875706207</v>
          </cell>
          <cell r="M21">
            <v>0.20467836257309946</v>
          </cell>
          <cell r="N21">
            <v>0.31868131868131866</v>
          </cell>
          <cell r="O21">
            <v>0.4321608040201006</v>
          </cell>
          <cell r="P21">
            <v>0.12406015037593976</v>
          </cell>
          <cell r="Q21">
            <v>2.9126213592232997E-2</v>
          </cell>
          <cell r="R21">
            <v>7.745266781411364E-2</v>
          </cell>
          <cell r="S21">
            <v>0.12460063897763574</v>
          </cell>
          <cell r="T21">
            <v>0.16193181818181812</v>
          </cell>
          <cell r="U21">
            <v>0.25916870415647919</v>
          </cell>
          <cell r="V21">
            <v>4.8543689320388328E-2</v>
          </cell>
          <cell r="W21">
            <v>4.629629629629628E-2</v>
          </cell>
          <cell r="X21">
            <v>3.539823008849563E-2</v>
          </cell>
          <cell r="Y21">
            <v>3.8461538461538547E-2</v>
          </cell>
          <cell r="Z21">
            <v>3.7037037037036979E-2</v>
          </cell>
          <cell r="AA21">
            <v>9.4999999999999973E-2</v>
          </cell>
          <cell r="AB21">
            <v>2.2831050228310446E-2</v>
          </cell>
          <cell r="AC21">
            <v>1.7857142857142794E-2</v>
          </cell>
          <cell r="AD21">
            <v>1.7543859649122862E-2</v>
          </cell>
          <cell r="AE21">
            <v>-9.0909090909090939E-2</v>
          </cell>
          <cell r="AF21">
            <v>0.10000000000000009</v>
          </cell>
          <cell r="AG21">
            <v>7.8787878787878851E-2</v>
          </cell>
          <cell r="AH21">
            <v>3.9325842696629199E-2</v>
          </cell>
        </row>
        <row r="23">
          <cell r="B23" t="str">
            <v>Total Revenue</v>
          </cell>
          <cell r="E23">
            <v>547</v>
          </cell>
          <cell r="F23">
            <v>576</v>
          </cell>
          <cell r="G23">
            <v>607</v>
          </cell>
          <cell r="H23">
            <v>636</v>
          </cell>
          <cell r="I23">
            <v>574</v>
          </cell>
          <cell r="J23">
            <v>613</v>
          </cell>
          <cell r="K23">
            <v>651</v>
          </cell>
          <cell r="L23">
            <v>741</v>
          </cell>
          <cell r="M23">
            <v>616</v>
          </cell>
          <cell r="N23">
            <v>700</v>
          </cell>
          <cell r="O23">
            <v>760</v>
          </cell>
          <cell r="P23">
            <v>824</v>
          </cell>
          <cell r="Q23">
            <v>2043</v>
          </cell>
          <cell r="R23">
            <v>2231</v>
          </cell>
          <cell r="S23">
            <v>2366</v>
          </cell>
          <cell r="T23">
            <v>2579</v>
          </cell>
          <cell r="U23">
            <v>2900</v>
          </cell>
          <cell r="V23">
            <v>3050</v>
          </cell>
          <cell r="W23">
            <v>3200</v>
          </cell>
          <cell r="X23">
            <v>3370</v>
          </cell>
          <cell r="Y23">
            <v>3515</v>
          </cell>
          <cell r="Z23">
            <v>3660</v>
          </cell>
          <cell r="AA23">
            <v>3090</v>
          </cell>
          <cell r="AB23">
            <v>3140</v>
          </cell>
          <cell r="AC23">
            <v>3180</v>
          </cell>
          <cell r="AD23">
            <v>3210</v>
          </cell>
          <cell r="AE23">
            <v>2750</v>
          </cell>
          <cell r="AF23" t="str">
            <v xml:space="preserve">Programatic headwinds in 2011 including KC-135 GATM, F-22, Califormia Highway Patrol wrapup and JTRS revenue decline (wait for initial LRIP) </v>
          </cell>
          <cell r="AG23">
            <v>3040</v>
          </cell>
          <cell r="AH23">
            <v>3175</v>
          </cell>
          <cell r="AJ23" t="str">
            <v xml:space="preserve">Programatic headwinds in 2011 including KC-135 GATM, F-22, Califormia Highway Patrol wrapup and JTRS revenue decline (wait for initial LRIP) </v>
          </cell>
        </row>
        <row r="24">
          <cell r="C24" t="str">
            <v>Y/Y Growth</v>
          </cell>
          <cell r="I24">
            <v>4.9360146252285242E-2</v>
          </cell>
          <cell r="J24">
            <v>6.423611111111116E-2</v>
          </cell>
          <cell r="K24">
            <v>7.2487644151565167E-2</v>
          </cell>
          <cell r="L24">
            <v>0.16509433962264142</v>
          </cell>
          <cell r="M24">
            <v>7.3170731707317138E-2</v>
          </cell>
          <cell r="N24">
            <v>0.1419249592169658</v>
          </cell>
          <cell r="O24">
            <v>0.16743471582181257</v>
          </cell>
          <cell r="P24">
            <v>0.11201079622132259</v>
          </cell>
          <cell r="Q24">
            <v>5.5194805194805241E-2</v>
          </cell>
          <cell r="R24">
            <v>9.2021536955457561E-2</v>
          </cell>
          <cell r="S24">
            <v>6.0510981622590831E-2</v>
          </cell>
          <cell r="T24">
            <v>9.0025359256128423E-2</v>
          </cell>
          <cell r="U24">
            <v>0.12446684761535476</v>
          </cell>
          <cell r="V24">
            <v>5.1724137931034475E-2</v>
          </cell>
          <cell r="W24">
            <v>4.9180327868852514E-2</v>
          </cell>
          <cell r="X24">
            <v>5.3125000000000089E-2</v>
          </cell>
          <cell r="Y24">
            <v>4.3026706231453993E-2</v>
          </cell>
          <cell r="Z24">
            <v>4.1251778093883251E-2</v>
          </cell>
          <cell r="AA24">
            <v>4.7457627118643986E-2</v>
          </cell>
          <cell r="AB24">
            <v>1.6181229773462702E-2</v>
          </cell>
          <cell r="AC24">
            <v>1.2738853503184711E-2</v>
          </cell>
          <cell r="AD24">
            <v>9.4339622641510523E-3</v>
          </cell>
          <cell r="AE24">
            <v>-1.610017889087656E-2</v>
          </cell>
          <cell r="AF24">
            <v>6.3636363636363713E-2</v>
          </cell>
          <cell r="AG24">
            <v>3.9316239316239399E-2</v>
          </cell>
          <cell r="AH24">
            <v>4.4407894736842035E-2</v>
          </cell>
        </row>
        <row r="25">
          <cell r="C25" t="str">
            <v>Y/Y Growth ex. DataPath</v>
          </cell>
          <cell r="I25">
            <v>4.9360146252285242E-2</v>
          </cell>
          <cell r="J25">
            <v>6.423611111111116E-2</v>
          </cell>
          <cell r="K25">
            <v>3.4596375617792496E-2</v>
          </cell>
          <cell r="L25">
            <v>6.9182389937106903E-2</v>
          </cell>
          <cell r="M25">
            <v>-3.1358885017421567E-2</v>
          </cell>
          <cell r="N25">
            <v>4.4045676998368588E-2</v>
          </cell>
          <cell r="O25">
            <v>0.1066878980891719</v>
          </cell>
          <cell r="P25">
            <v>0.11617647058823533</v>
          </cell>
          <cell r="Q25">
            <v>6.1151079136690711E-2</v>
          </cell>
          <cell r="R25">
            <v>3.6334913112164191E-2</v>
          </cell>
          <cell r="S25">
            <v>2.582496413199431E-2</v>
          </cell>
          <cell r="T25">
            <v>2.0862308762169768E-2</v>
          </cell>
          <cell r="U25">
            <v>6.2124248496993939E-2</v>
          </cell>
          <cell r="V25">
            <v>5.2830188679245271E-2</v>
          </cell>
          <cell r="W25">
            <v>5.017921146953408E-2</v>
          </cell>
          <cell r="X25">
            <v>5.4607508532423132E-2</v>
          </cell>
          <cell r="Y25">
            <v>4.3689320388349495E-2</v>
          </cell>
          <cell r="Z25">
            <v>4.1860465116279055E-2</v>
          </cell>
          <cell r="AA25">
            <v>4.4526901669758923E-2</v>
          </cell>
          <cell r="AB25">
            <v>1.5985790408525657E-2</v>
          </cell>
          <cell r="AC25">
            <v>1.0489510489510412E-2</v>
          </cell>
          <cell r="AD25">
            <v>6.9204152249136008E-3</v>
          </cell>
          <cell r="AE25">
            <v>-2.1526418786692814E-2</v>
          </cell>
          <cell r="AF25">
            <v>6.0000000000000053E-2</v>
          </cell>
          <cell r="AG25">
            <v>3.7735849056603765E-2</v>
          </cell>
          <cell r="AH25">
            <v>4.5454545454545414E-2</v>
          </cell>
        </row>
        <row r="26">
          <cell r="B26" t="str">
            <v>vs Model</v>
          </cell>
          <cell r="I26">
            <v>574</v>
          </cell>
          <cell r="J26">
            <v>613</v>
          </cell>
          <cell r="K26">
            <v>651</v>
          </cell>
          <cell r="L26">
            <v>741</v>
          </cell>
          <cell r="M26">
            <v>616</v>
          </cell>
          <cell r="N26">
            <v>693</v>
          </cell>
          <cell r="O26">
            <v>754</v>
          </cell>
          <cell r="P26">
            <v>837</v>
          </cell>
          <cell r="Q26">
            <v>2043</v>
          </cell>
          <cell r="R26">
            <v>2231</v>
          </cell>
          <cell r="S26">
            <v>2366</v>
          </cell>
          <cell r="T26">
            <v>2579</v>
          </cell>
          <cell r="U26">
            <v>2900</v>
          </cell>
          <cell r="V26">
            <v>2990</v>
          </cell>
          <cell r="W26">
            <v>3145</v>
          </cell>
          <cell r="X26">
            <v>3270</v>
          </cell>
          <cell r="Y26">
            <v>3355</v>
          </cell>
          <cell r="Z26">
            <v>3440</v>
          </cell>
          <cell r="AA26">
            <v>3090</v>
          </cell>
          <cell r="AB26">
            <v>3140</v>
          </cell>
          <cell r="AC26">
            <v>3180</v>
          </cell>
          <cell r="AD26">
            <v>3210</v>
          </cell>
          <cell r="AE26">
            <v>33.5</v>
          </cell>
          <cell r="AF26">
            <v>-45.854599999999664</v>
          </cell>
          <cell r="AG26">
            <v>-57.987929999999778</v>
          </cell>
          <cell r="AH26">
            <v>-85.585275539999202</v>
          </cell>
        </row>
        <row r="27">
          <cell r="B27" t="str">
            <v>vs Main Model</v>
          </cell>
          <cell r="I27">
            <v>574</v>
          </cell>
          <cell r="J27">
            <v>613</v>
          </cell>
          <cell r="K27">
            <v>651</v>
          </cell>
          <cell r="L27">
            <v>741</v>
          </cell>
          <cell r="M27">
            <v>616</v>
          </cell>
          <cell r="N27">
            <v>700</v>
          </cell>
          <cell r="O27">
            <v>760</v>
          </cell>
          <cell r="P27">
            <v>824</v>
          </cell>
          <cell r="Q27">
            <v>2043</v>
          </cell>
          <cell r="R27">
            <v>2231</v>
          </cell>
          <cell r="S27">
            <v>2366</v>
          </cell>
          <cell r="T27">
            <v>2579</v>
          </cell>
          <cell r="U27">
            <v>2900</v>
          </cell>
          <cell r="V27">
            <v>3050</v>
          </cell>
          <cell r="W27">
            <v>3200</v>
          </cell>
          <cell r="X27">
            <v>3370</v>
          </cell>
          <cell r="Y27">
            <v>3515</v>
          </cell>
          <cell r="Z27">
            <v>3660</v>
          </cell>
        </row>
        <row r="28">
          <cell r="B28" t="str">
            <v>vs Main Model</v>
          </cell>
          <cell r="C28" t="str">
            <v>Difference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3090</v>
          </cell>
          <cell r="AB28">
            <v>3140</v>
          </cell>
          <cell r="AC28">
            <v>3180</v>
          </cell>
          <cell r="AD28">
            <v>3210</v>
          </cell>
        </row>
        <row r="29">
          <cell r="B29" t="str">
            <v>Avionics</v>
          </cell>
          <cell r="C29" t="str">
            <v>Difference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1505.7</v>
          </cell>
          <cell r="AF29">
            <v>1580.9850000000001</v>
          </cell>
          <cell r="AG29">
            <v>1660.0342500000002</v>
          </cell>
          <cell r="AH29">
            <v>1743.0359625000003</v>
          </cell>
          <cell r="AJ29" t="str">
            <v>Tanker/transports/rotary wing / UAV (small but growing) and simulation..</v>
          </cell>
        </row>
        <row r="30">
          <cell r="B30" t="str">
            <v>Incremental Revenue Analysis</v>
          </cell>
          <cell r="C30" t="str">
            <v>Y/Y Growth</v>
          </cell>
          <cell r="Q30">
            <v>3.9603960396039639E-2</v>
          </cell>
          <cell r="R30">
            <v>6.3444108761329332E-2</v>
          </cell>
          <cell r="S30">
            <v>2.3188405797101463E-2</v>
          </cell>
          <cell r="T30">
            <v>9.7560975609756184E-3</v>
          </cell>
          <cell r="U30">
            <v>2.857142857142847E-2</v>
          </cell>
          <cell r="V30">
            <v>0.03</v>
          </cell>
          <cell r="AC30">
            <v>5.6273764258555126E-2</v>
          </cell>
          <cell r="AD30">
            <v>3.2397408207343492E-2</v>
          </cell>
          <cell r="AE30">
            <v>0.05</v>
          </cell>
          <cell r="AF30">
            <v>0.05</v>
          </cell>
          <cell r="AG30">
            <v>0.05</v>
          </cell>
          <cell r="AH30">
            <v>0.05</v>
          </cell>
          <cell r="AJ30" t="str">
            <v>K390 (ERJ tanker) is a major program.  Firestorm</v>
          </cell>
        </row>
        <row r="31">
          <cell r="B31" t="str">
            <v>Incremental Revenue Analysis</v>
          </cell>
        </row>
        <row r="32">
          <cell r="B32" t="str">
            <v>Annuity Organic Revenue</v>
          </cell>
          <cell r="M32">
            <v>164</v>
          </cell>
          <cell r="N32">
            <v>197</v>
          </cell>
          <cell r="O32">
            <v>186</v>
          </cell>
          <cell r="P32">
            <v>202</v>
          </cell>
          <cell r="Q32">
            <v>156</v>
          </cell>
          <cell r="R32">
            <v>190</v>
          </cell>
          <cell r="S32">
            <v>164</v>
          </cell>
          <cell r="T32">
            <v>2495</v>
          </cell>
          <cell r="U32">
            <v>2569.85</v>
          </cell>
          <cell r="V32">
            <v>2646.9454999999998</v>
          </cell>
          <cell r="W32">
            <v>2726.353865</v>
          </cell>
          <cell r="X32">
            <v>2808.1444809499999</v>
          </cell>
          <cell r="Y32">
            <v>2892.3888153785001</v>
          </cell>
          <cell r="Z32">
            <v>2979.1604798398553</v>
          </cell>
          <cell r="AB32">
            <v>541</v>
          </cell>
          <cell r="AC32">
            <v>749</v>
          </cell>
          <cell r="AD32">
            <v>698</v>
          </cell>
          <cell r="AE32">
            <v>642.16000000000008</v>
          </cell>
          <cell r="AF32">
            <v>655.00320000000011</v>
          </cell>
          <cell r="AG32">
            <v>668.10326400000008</v>
          </cell>
          <cell r="AH32">
            <v>681.46532928000011</v>
          </cell>
          <cell r="AJ32" t="str">
            <v>Legacy Aircraft comm, old Datapath, Datalinks… JRTS, $40..  One of the</v>
          </cell>
        </row>
        <row r="33">
          <cell r="B33" t="str">
            <v>Annuity Organic Revenue</v>
          </cell>
          <cell r="C33" t="str">
            <v>Y/Y Growth</v>
          </cell>
          <cell r="Q33">
            <v>-4.8780487804878092E-2</v>
          </cell>
          <cell r="R33">
            <v>-3.5532994923857864E-2</v>
          </cell>
          <cell r="S33">
            <v>-0.11827956989247312</v>
          </cell>
          <cell r="T33">
            <v>2495</v>
          </cell>
          <cell r="U33">
            <v>0.03</v>
          </cell>
          <cell r="V33">
            <v>0.03</v>
          </cell>
          <cell r="W33">
            <v>0.03</v>
          </cell>
          <cell r="X33">
            <v>0.03</v>
          </cell>
          <cell r="Y33">
            <v>0.03</v>
          </cell>
          <cell r="Z33">
            <v>0.03</v>
          </cell>
          <cell r="AA33">
            <v>2726.353865</v>
          </cell>
          <cell r="AB33">
            <v>2808.1444809499999</v>
          </cell>
          <cell r="AC33">
            <v>2892.3888153785001</v>
          </cell>
          <cell r="AD33">
            <v>2979.1604798398553</v>
          </cell>
          <cell r="AE33">
            <v>-0.08</v>
          </cell>
          <cell r="AF33">
            <v>0.02</v>
          </cell>
          <cell r="AG33">
            <v>0.02</v>
          </cell>
          <cell r="AH33">
            <v>0.02</v>
          </cell>
          <cell r="AJ33" t="str">
            <v>JTRS decomposes into MIDS-J (data link) which is delivering, ground radio (GMR) is most uncertain, amd manpack which is still progressing</v>
          </cell>
        </row>
        <row r="34">
          <cell r="C34" t="str">
            <v>Y/Y Growth</v>
          </cell>
          <cell r="U34">
            <v>0.03</v>
          </cell>
          <cell r="V34">
            <v>0.03</v>
          </cell>
          <cell r="W34">
            <v>0.03</v>
          </cell>
          <cell r="X34">
            <v>0.03</v>
          </cell>
          <cell r="Y34">
            <v>0.03</v>
          </cell>
          <cell r="Z34">
            <v>0.03</v>
          </cell>
          <cell r="AA34">
            <v>0.03</v>
          </cell>
          <cell r="AB34">
            <v>0.03</v>
          </cell>
          <cell r="AC34">
            <v>0.03</v>
          </cell>
          <cell r="AD34">
            <v>0.03</v>
          </cell>
        </row>
        <row r="35">
          <cell r="B35" t="str">
            <v>Growing Programs</v>
          </cell>
          <cell r="M35">
            <v>78</v>
          </cell>
          <cell r="N35">
            <v>94</v>
          </cell>
          <cell r="O35">
            <v>141</v>
          </cell>
          <cell r="P35">
            <v>95</v>
          </cell>
          <cell r="Q35">
            <v>106</v>
          </cell>
          <cell r="R35">
            <v>92</v>
          </cell>
          <cell r="S35">
            <v>82</v>
          </cell>
          <cell r="T35">
            <v>97</v>
          </cell>
          <cell r="U35">
            <v>60</v>
          </cell>
          <cell r="V35">
            <v>59.800000000000004</v>
          </cell>
          <cell r="AB35">
            <v>370</v>
          </cell>
          <cell r="AC35">
            <v>408</v>
          </cell>
          <cell r="AD35">
            <v>377</v>
          </cell>
          <cell r="AE35">
            <v>346.84000000000003</v>
          </cell>
          <cell r="AF35">
            <v>357.24520000000007</v>
          </cell>
          <cell r="AG35">
            <v>367.96255600000006</v>
          </cell>
          <cell r="AH35">
            <v>379.00143268000005</v>
          </cell>
          <cell r="AJ35" t="str">
            <v>Public safety vehicles, Firestorm, JPALs.. Electronic warfare…Lumpy from a growth perpective..</v>
          </cell>
        </row>
        <row r="36">
          <cell r="B36" t="str">
            <v>Growing Programs</v>
          </cell>
          <cell r="C36" t="str">
            <v>DataPath</v>
          </cell>
          <cell r="Q36">
            <v>0.35897435897435903</v>
          </cell>
          <cell r="R36">
            <v>-2.1276595744680882E-2</v>
          </cell>
          <cell r="S36">
            <v>-0.41843971631205679</v>
          </cell>
          <cell r="T36">
            <v>84</v>
          </cell>
          <cell r="U36">
            <v>250</v>
          </cell>
          <cell r="V36">
            <v>260</v>
          </cell>
          <cell r="W36">
            <v>270</v>
          </cell>
          <cell r="X36">
            <v>280</v>
          </cell>
          <cell r="Y36">
            <v>290</v>
          </cell>
          <cell r="Z36">
            <v>300</v>
          </cell>
          <cell r="AC36">
            <v>0.10270270270270276</v>
          </cell>
          <cell r="AD36">
            <v>-7.5980392156862697E-2</v>
          </cell>
          <cell r="AE36">
            <v>-0.08</v>
          </cell>
          <cell r="AF36">
            <v>0.03</v>
          </cell>
          <cell r="AG36">
            <v>0.03</v>
          </cell>
          <cell r="AH36">
            <v>0.03</v>
          </cell>
          <cell r="AJ36" t="str">
            <v>2/12 Expected to be down 20% in '12, revised down from down low double digits</v>
          </cell>
        </row>
        <row r="37">
          <cell r="C37" t="str">
            <v>DataPath</v>
          </cell>
          <cell r="T37">
            <v>84</v>
          </cell>
          <cell r="U37">
            <v>250</v>
          </cell>
          <cell r="V37">
            <v>260</v>
          </cell>
          <cell r="W37">
            <v>270</v>
          </cell>
          <cell r="X37">
            <v>280</v>
          </cell>
          <cell r="Y37">
            <v>290</v>
          </cell>
          <cell r="Z37">
            <v>300</v>
          </cell>
          <cell r="AA37">
            <v>275</v>
          </cell>
          <cell r="AB37">
            <v>280</v>
          </cell>
          <cell r="AC37">
            <v>290</v>
          </cell>
          <cell r="AD37">
            <v>300</v>
          </cell>
        </row>
        <row r="38">
          <cell r="B38" t="str">
            <v>Navigation Products</v>
          </cell>
          <cell r="C38" t="str">
            <v>Black Hawk (USG and International)</v>
          </cell>
          <cell r="M38">
            <v>71</v>
          </cell>
          <cell r="N38">
            <v>71</v>
          </cell>
          <cell r="O38">
            <v>82</v>
          </cell>
          <cell r="P38">
            <v>91</v>
          </cell>
          <cell r="Q38">
            <v>73</v>
          </cell>
          <cell r="R38">
            <v>82</v>
          </cell>
          <cell r="S38">
            <v>69</v>
          </cell>
          <cell r="T38">
            <v>80</v>
          </cell>
          <cell r="U38">
            <v>55</v>
          </cell>
          <cell r="V38">
            <v>57.4</v>
          </cell>
          <cell r="AB38">
            <v>353</v>
          </cell>
          <cell r="AC38">
            <v>315</v>
          </cell>
          <cell r="AD38">
            <v>304</v>
          </cell>
          <cell r="AE38">
            <v>288.8</v>
          </cell>
          <cell r="AF38">
            <v>285.91200000000003</v>
          </cell>
          <cell r="AG38">
            <v>285.91200000000003</v>
          </cell>
          <cell r="AH38">
            <v>285.91200000000003</v>
          </cell>
          <cell r="AJ38" t="str">
            <v>GPS products, Half of 2011.  Dagger, cutting 50%</v>
          </cell>
        </row>
        <row r="39">
          <cell r="C39" t="str">
            <v>JTRS (combined programs: GMR, HMS, MIDS)</v>
          </cell>
          <cell r="Q39">
            <v>2.8169014084507005E-2</v>
          </cell>
          <cell r="R39">
            <v>0.15492957746478875</v>
          </cell>
          <cell r="S39">
            <v>-0.15853658536585369</v>
          </cell>
          <cell r="T39">
            <v>0</v>
          </cell>
          <cell r="U39">
            <v>0</v>
          </cell>
          <cell r="V39">
            <v>0</v>
          </cell>
          <cell r="W39">
            <v>50</v>
          </cell>
          <cell r="X39">
            <v>100</v>
          </cell>
          <cell r="Y39">
            <v>150</v>
          </cell>
          <cell r="Z39">
            <v>200</v>
          </cell>
          <cell r="AB39" t="str">
            <v>$5.5B program over 20 years</v>
          </cell>
          <cell r="AC39">
            <v>-0.1076487252124646</v>
          </cell>
          <cell r="AD39">
            <v>-3.4920634920634908E-2</v>
          </cell>
          <cell r="AE39">
            <v>-0.05</v>
          </cell>
          <cell r="AF39">
            <v>-0.01</v>
          </cell>
          <cell r="AG39">
            <v>0</v>
          </cell>
          <cell r="AH39">
            <v>0</v>
          </cell>
        </row>
        <row r="40">
          <cell r="C40" t="str">
            <v>Boeing Tanker</v>
          </cell>
          <cell r="T40">
            <v>0</v>
          </cell>
          <cell r="U40">
            <v>25</v>
          </cell>
          <cell r="V40">
            <v>50</v>
          </cell>
          <cell r="W40">
            <v>75</v>
          </cell>
          <cell r="X40">
            <v>100</v>
          </cell>
          <cell r="Y40">
            <v>100</v>
          </cell>
          <cell r="Z40">
            <v>100</v>
          </cell>
          <cell r="AA40">
            <v>50</v>
          </cell>
          <cell r="AB40" t="str">
            <v>"Big program per plane"…179 planes, estimated $5MM per plane</v>
          </cell>
          <cell r="AC40">
            <v>150</v>
          </cell>
          <cell r="AD40">
            <v>200</v>
          </cell>
          <cell r="AF40" t="str">
            <v>$5.5B program over 20 years</v>
          </cell>
        </row>
        <row r="41">
          <cell r="B41" t="str">
            <v>Total Revenue</v>
          </cell>
          <cell r="C41" t="str">
            <v>Athena Technologies (UAV Controls)</v>
          </cell>
          <cell r="M41">
            <v>616</v>
          </cell>
          <cell r="N41">
            <v>693</v>
          </cell>
          <cell r="O41">
            <v>754</v>
          </cell>
          <cell r="P41">
            <v>798</v>
          </cell>
          <cell r="Q41">
            <v>650</v>
          </cell>
          <cell r="R41">
            <v>716</v>
          </cell>
          <cell r="S41">
            <v>668</v>
          </cell>
          <cell r="T41">
            <v>0</v>
          </cell>
          <cell r="U41">
            <v>25</v>
          </cell>
          <cell r="V41">
            <v>50</v>
          </cell>
          <cell r="W41">
            <v>75</v>
          </cell>
          <cell r="X41">
            <v>100</v>
          </cell>
          <cell r="Y41">
            <v>100</v>
          </cell>
          <cell r="Z41">
            <v>100</v>
          </cell>
          <cell r="AA41">
            <v>75</v>
          </cell>
          <cell r="AB41" t="str">
            <v>Predator, Reaper, Watchkeeper</v>
          </cell>
          <cell r="AC41">
            <v>100</v>
          </cell>
          <cell r="AD41">
            <v>100</v>
          </cell>
          <cell r="AE41">
            <v>2783.5</v>
          </cell>
          <cell r="AF41" t="str">
            <v>"Big program per plane"…179 planes, estimated $5MM per plane</v>
          </cell>
          <cell r="AG41">
            <v>2982.0120700000002</v>
          </cell>
          <cell r="AH41">
            <v>3089.4147244600008</v>
          </cell>
          <cell r="AJ41" t="str">
            <v>~50% of government business is priced commercially.</v>
          </cell>
        </row>
        <row r="42">
          <cell r="C42" t="str">
            <v>Athena Technologies (UAV Controls)</v>
          </cell>
          <cell r="Q42">
            <v>5.5194805194805241E-2</v>
          </cell>
          <cell r="R42">
            <v>3.3189033189033212E-2</v>
          </cell>
          <cell r="S42">
            <v>-0.11405835543766574</v>
          </cell>
          <cell r="T42">
            <v>-2.3809523809523836E-2</v>
          </cell>
          <cell r="U42">
            <v>-0.1</v>
          </cell>
          <cell r="V42">
            <v>-0.1</v>
          </cell>
          <cell r="W42">
            <v>0.08</v>
          </cell>
          <cell r="X42">
            <v>0.08</v>
          </cell>
          <cell r="AB42" t="str">
            <v>Predator, Reaper, Watchkeeper</v>
          </cell>
          <cell r="AC42">
            <v>0.10934470725087242</v>
          </cell>
          <cell r="AD42">
            <v>-1.6777350576721473E-2</v>
          </cell>
          <cell r="AE42">
            <v>-1.0487024528972655E-2</v>
          </cell>
          <cell r="AF42" t="str">
            <v>Predator, Reaper, Watchkeeper</v>
          </cell>
          <cell r="AG42">
            <v>3.5728195595817969E-2</v>
          </cell>
          <cell r="AH42">
            <v>3.6016840957991292E-2</v>
          </cell>
          <cell r="AJ42" t="str">
            <v>12/7/11 - def biz should grow +1-2pts off a flat def environment"</v>
          </cell>
        </row>
        <row r="43">
          <cell r="B43" t="str">
            <v>Total Growth</v>
          </cell>
          <cell r="T43">
            <v>84</v>
          </cell>
          <cell r="U43">
            <v>275</v>
          </cell>
          <cell r="V43">
            <v>310</v>
          </cell>
          <cell r="W43">
            <v>395</v>
          </cell>
          <cell r="X43">
            <v>480</v>
          </cell>
          <cell r="Y43">
            <v>540</v>
          </cell>
          <cell r="Z43">
            <v>600</v>
          </cell>
        </row>
        <row r="44">
          <cell r="B44" t="str">
            <v>Total Growth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84</v>
          </cell>
          <cell r="U44">
            <v>275</v>
          </cell>
          <cell r="V44">
            <v>310</v>
          </cell>
          <cell r="W44">
            <v>395</v>
          </cell>
          <cell r="X44">
            <v>480</v>
          </cell>
          <cell r="Y44">
            <v>540</v>
          </cell>
          <cell r="Z44">
            <v>600</v>
          </cell>
          <cell r="AA44">
            <v>400</v>
          </cell>
          <cell r="AB44">
            <v>480</v>
          </cell>
          <cell r="AC44">
            <v>540</v>
          </cell>
          <cell r="AD44">
            <v>600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J44" t="str">
            <v>-Thre GEMS, secured communication..  20</v>
          </cell>
        </row>
        <row r="45">
          <cell r="B45" t="str">
            <v>Decaying Programs</v>
          </cell>
          <cell r="X45">
            <v>8.6600000000003092</v>
          </cell>
          <cell r="AJ45" t="str">
            <v xml:space="preserve"> Canadian SCAMP..20</v>
          </cell>
        </row>
        <row r="46">
          <cell r="B46" t="str">
            <v>Decaying Programs</v>
          </cell>
          <cell r="C46" t="str">
            <v>DAGR</v>
          </cell>
          <cell r="Q46">
            <v>0.48461538461538461</v>
          </cell>
          <cell r="R46">
            <v>0.49162011173184356</v>
          </cell>
          <cell r="S46">
            <v>0.52844311377245512</v>
          </cell>
          <cell r="T46">
            <v>-50</v>
          </cell>
          <cell r="U46">
            <v>-100</v>
          </cell>
          <cell r="V46">
            <v>-150</v>
          </cell>
          <cell r="W46">
            <v>-150</v>
          </cell>
          <cell r="X46">
            <v>-150</v>
          </cell>
          <cell r="Y46">
            <v>-150</v>
          </cell>
          <cell r="Z46">
            <v>-150</v>
          </cell>
          <cell r="AB46">
            <v>0.5098875533152385</v>
          </cell>
          <cell r="AC46">
            <v>0.48549458231387627</v>
          </cell>
          <cell r="AD46">
            <v>0.50977603981514397</v>
          </cell>
          <cell r="AE46">
            <v>0.54093766840308966</v>
          </cell>
          <cell r="AF46">
            <v>0.54911606756643827</v>
          </cell>
          <cell r="AG46">
            <v>0.55668260591581042</v>
          </cell>
          <cell r="AH46">
            <v>0.5641961724011223</v>
          </cell>
          <cell r="AJ46" t="str">
            <v>Integrated Combat… 20</v>
          </cell>
        </row>
        <row r="47">
          <cell r="B47" t="str">
            <v>Communication Products</v>
          </cell>
          <cell r="C47" t="str">
            <v>DAGR</v>
          </cell>
          <cell r="Q47">
            <v>0.24</v>
          </cell>
          <cell r="R47">
            <v>0.26536312849162014</v>
          </cell>
          <cell r="S47">
            <v>0.24550898203592814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-150</v>
          </cell>
          <cell r="AB47">
            <v>-150</v>
          </cell>
          <cell r="AC47">
            <v>-150</v>
          </cell>
          <cell r="AD47">
            <v>-150</v>
          </cell>
          <cell r="AE47">
            <v>0.23070235315250587</v>
          </cell>
          <cell r="AF47">
            <v>0.22749917388680685</v>
          </cell>
          <cell r="AG47">
            <v>0.22404445331436906</v>
          </cell>
          <cell r="AH47">
            <v>0.22058072161195955</v>
          </cell>
        </row>
        <row r="48">
          <cell r="B48" t="str">
            <v>Surface Solutions</v>
          </cell>
          <cell r="Q48">
            <v>0.16307692307692306</v>
          </cell>
          <cell r="R48">
            <v>0.12849162011173185</v>
          </cell>
          <cell r="S48">
            <v>0.12275449101796407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0.12460571223280044</v>
          </cell>
          <cell r="AF48">
            <v>0.12408029132533564</v>
          </cell>
          <cell r="AG48">
            <v>0.12339405319710864</v>
          </cell>
          <cell r="AH48">
            <v>0.12267742160976648</v>
          </cell>
        </row>
        <row r="49">
          <cell r="B49" t="str">
            <v>Total Decay</v>
          </cell>
          <cell r="Q49">
            <v>0.1123076923076923</v>
          </cell>
          <cell r="R49">
            <v>0.11452513966480447</v>
          </cell>
          <cell r="S49">
            <v>0.10329341317365269</v>
          </cell>
          <cell r="T49">
            <v>-50</v>
          </cell>
          <cell r="U49">
            <v>-100</v>
          </cell>
          <cell r="V49">
            <v>-150</v>
          </cell>
          <cell r="W49">
            <v>-150</v>
          </cell>
          <cell r="X49">
            <v>-150</v>
          </cell>
          <cell r="Y49">
            <v>-150</v>
          </cell>
          <cell r="Z49">
            <v>-150</v>
          </cell>
          <cell r="AA49">
            <v>0</v>
          </cell>
          <cell r="AB49">
            <v>0</v>
          </cell>
          <cell r="AC49">
            <v>0</v>
          </cell>
          <cell r="AD49">
            <v>0</v>
          </cell>
          <cell r="AE49">
            <v>0.10375426621160409</v>
          </cell>
          <cell r="AF49">
            <v>9.9304467221419251E-2</v>
          </cell>
          <cell r="AG49">
            <v>9.5878887572711943E-2</v>
          </cell>
          <cell r="AH49">
            <v>9.2545684377151605E-2</v>
          </cell>
        </row>
        <row r="50">
          <cell r="B50" t="str">
            <v>Total Decay</v>
          </cell>
          <cell r="I50">
            <v>574</v>
          </cell>
          <cell r="J50">
            <v>613</v>
          </cell>
          <cell r="K50">
            <v>651</v>
          </cell>
          <cell r="L50">
            <v>741</v>
          </cell>
          <cell r="M50">
            <v>616</v>
          </cell>
          <cell r="N50">
            <v>693</v>
          </cell>
          <cell r="O50">
            <v>754</v>
          </cell>
          <cell r="P50">
            <v>798</v>
          </cell>
          <cell r="Q50">
            <v>1068</v>
          </cell>
          <cell r="R50">
            <v>1115</v>
          </cell>
          <cell r="S50">
            <v>1270</v>
          </cell>
          <cell r="T50">
            <v>-50</v>
          </cell>
          <cell r="U50">
            <v>-100</v>
          </cell>
          <cell r="V50">
            <v>-150</v>
          </cell>
          <cell r="W50">
            <v>-150</v>
          </cell>
          <cell r="X50">
            <v>-150</v>
          </cell>
          <cell r="Y50">
            <v>-150</v>
          </cell>
          <cell r="Z50">
            <v>-150</v>
          </cell>
          <cell r="AA50">
            <v>-150</v>
          </cell>
          <cell r="AB50">
            <v>-150</v>
          </cell>
          <cell r="AC50">
            <v>-150</v>
          </cell>
          <cell r="AD50">
            <v>-150</v>
          </cell>
          <cell r="AE50">
            <v>2783.5</v>
          </cell>
          <cell r="AF50">
            <v>2879.1454000000003</v>
          </cell>
          <cell r="AG50">
            <v>2982.0120700000002</v>
          </cell>
          <cell r="AH50">
            <v>3089.4147244600008</v>
          </cell>
        </row>
        <row r="51">
          <cell r="C51" t="str">
            <v>Assumed M&amp;A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-418</v>
          </cell>
          <cell r="R51">
            <v>-399</v>
          </cell>
          <cell r="S51">
            <v>-602</v>
          </cell>
          <cell r="T51">
            <v>0</v>
          </cell>
          <cell r="U51">
            <v>25</v>
          </cell>
          <cell r="V51">
            <v>50</v>
          </cell>
          <cell r="W51">
            <v>75</v>
          </cell>
          <cell r="X51">
            <v>100</v>
          </cell>
          <cell r="Y51">
            <v>125</v>
          </cell>
          <cell r="Z51">
            <v>150</v>
          </cell>
          <cell r="AA51">
            <v>0</v>
          </cell>
          <cell r="AB51" t="str">
            <v>Assumes $25MM of annual bolt-on M&amp;A</v>
          </cell>
          <cell r="AC51">
            <v>0</v>
          </cell>
          <cell r="AD51">
            <v>-18</v>
          </cell>
          <cell r="AE51">
            <v>-33.5</v>
          </cell>
          <cell r="AF51">
            <v>45.854599999999664</v>
          </cell>
          <cell r="AG51">
            <v>57.987929999999778</v>
          </cell>
          <cell r="AH51">
            <v>85.585275539999202</v>
          </cell>
        </row>
        <row r="52">
          <cell r="C52" t="str">
            <v>Assumed Divestitures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A52">
            <v>75</v>
          </cell>
          <cell r="AB52" t="str">
            <v>Assumes $25MM of annual bolt-on M&amp;A</v>
          </cell>
          <cell r="AC52">
            <v>125</v>
          </cell>
          <cell r="AD52">
            <v>150</v>
          </cell>
          <cell r="AF52" t="str">
            <v>Assumes $25MM of annual bolt-on M&amp;A</v>
          </cell>
        </row>
        <row r="53">
          <cell r="B53" t="str">
            <v>Incremental Revenue Analysis</v>
          </cell>
          <cell r="C53" t="str">
            <v>Assumed Divestitures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</row>
        <row r="54">
          <cell r="B54" t="str">
            <v>Projected Revenue</v>
          </cell>
          <cell r="T54">
            <v>2529</v>
          </cell>
          <cell r="U54">
            <v>2769.85</v>
          </cell>
          <cell r="V54">
            <v>2856.9454999999998</v>
          </cell>
          <cell r="W54">
            <v>3046.353865</v>
          </cell>
          <cell r="X54">
            <v>3238.1444809499999</v>
          </cell>
          <cell r="Y54">
            <v>3407.3888153785001</v>
          </cell>
          <cell r="Z54">
            <v>3579.1604798398553</v>
          </cell>
        </row>
        <row r="55">
          <cell r="B55" t="str">
            <v>Projected Revenue</v>
          </cell>
          <cell r="C55" t="str">
            <v>Y/Y Growth</v>
          </cell>
          <cell r="T55">
            <v>2529</v>
          </cell>
          <cell r="U55">
            <v>9.5235270858046617E-2</v>
          </cell>
          <cell r="V55">
            <v>3.1444121522826052E-2</v>
          </cell>
          <cell r="W55">
            <v>6.6297507250313359E-2</v>
          </cell>
          <cell r="X55">
            <v>6.2957431883902348E-2</v>
          </cell>
          <cell r="Y55">
            <v>5.22658378661498E-2</v>
          </cell>
          <cell r="Z55">
            <v>5.0411524416028364E-2</v>
          </cell>
          <cell r="AA55">
            <v>3051.353865</v>
          </cell>
          <cell r="AB55">
            <v>3238.1444809499999</v>
          </cell>
          <cell r="AC55">
            <v>3407.3888153785001</v>
          </cell>
          <cell r="AD55">
            <v>3579.1604798398553</v>
          </cell>
          <cell r="AE55">
            <v>2726.353865</v>
          </cell>
          <cell r="AF55">
            <v>2808.1444809499999</v>
          </cell>
          <cell r="AG55">
            <v>2892.3888153785001</v>
          </cell>
          <cell r="AH55">
            <v>2979.1604798398553</v>
          </cell>
        </row>
        <row r="56">
          <cell r="C56" t="str">
            <v>Difference vs. Top-Down Segment Forecast</v>
          </cell>
          <cell r="U56">
            <v>-130.15000000000009</v>
          </cell>
          <cell r="V56">
            <v>-193.05450000000019</v>
          </cell>
          <cell r="W56">
            <v>-153.64613499999996</v>
          </cell>
          <cell r="X56">
            <v>-131.85551905000011</v>
          </cell>
          <cell r="Y56">
            <v>-107.61118462149989</v>
          </cell>
          <cell r="Z56">
            <v>-80.83952016014473</v>
          </cell>
          <cell r="AA56">
            <v>6.9920117688083483E-2</v>
          </cell>
          <cell r="AB56">
            <v>6.121565187589284E-2</v>
          </cell>
          <cell r="AC56">
            <v>5.22658378661498E-2</v>
          </cell>
          <cell r="AD56">
            <v>5.0411524416028364E-2</v>
          </cell>
          <cell r="AE56">
            <v>0.03</v>
          </cell>
          <cell r="AF56">
            <v>0.03</v>
          </cell>
          <cell r="AG56">
            <v>0.03</v>
          </cell>
          <cell r="AH56">
            <v>0.03</v>
          </cell>
        </row>
        <row r="57">
          <cell r="C57" t="str">
            <v>Difference vs. Top-Down Segment Forecast</v>
          </cell>
          <cell r="U57">
            <v>-130.15000000000009</v>
          </cell>
          <cell r="V57">
            <v>-133.05450000000019</v>
          </cell>
          <cell r="W57">
            <v>-98.646134999999958</v>
          </cell>
          <cell r="X57">
            <v>-31.855519050000112</v>
          </cell>
          <cell r="Y57">
            <v>52.388815378500112</v>
          </cell>
          <cell r="Z57">
            <v>139.16047983985527</v>
          </cell>
          <cell r="AA57">
            <v>-38.646134999999958</v>
          </cell>
          <cell r="AB57">
            <v>98.144480949999888</v>
          </cell>
          <cell r="AC57">
            <v>227.38881537850011</v>
          </cell>
          <cell r="AD57">
            <v>369.16047983985527</v>
          </cell>
        </row>
        <row r="58">
          <cell r="B58" t="str">
            <v>Change in Revenue</v>
          </cell>
          <cell r="I58">
            <v>27</v>
          </cell>
          <cell r="J58">
            <v>37</v>
          </cell>
          <cell r="K58">
            <v>44</v>
          </cell>
          <cell r="L58">
            <v>105</v>
          </cell>
          <cell r="R58">
            <v>188</v>
          </cell>
          <cell r="S58">
            <v>135</v>
          </cell>
          <cell r="T58">
            <v>213</v>
          </cell>
        </row>
        <row r="59">
          <cell r="B59" t="str">
            <v>M&amp;A Pickup</v>
          </cell>
          <cell r="C59" t="str">
            <v>DataPath</v>
          </cell>
          <cell r="I59">
            <v>8</v>
          </cell>
          <cell r="J59">
            <v>10</v>
          </cell>
          <cell r="K59">
            <v>27</v>
          </cell>
          <cell r="L59">
            <v>66</v>
          </cell>
          <cell r="R59">
            <v>38</v>
          </cell>
          <cell r="S59">
            <v>17</v>
          </cell>
          <cell r="T59">
            <v>111</v>
          </cell>
          <cell r="V59">
            <v>188</v>
          </cell>
          <cell r="W59">
            <v>135</v>
          </cell>
          <cell r="X59">
            <v>213</v>
          </cell>
          <cell r="AB59">
            <v>84</v>
          </cell>
          <cell r="AC59">
            <v>256</v>
          </cell>
          <cell r="AD59">
            <v>240</v>
          </cell>
          <cell r="AE59">
            <v>250</v>
          </cell>
          <cell r="AF59">
            <v>275</v>
          </cell>
          <cell r="AG59">
            <v>290</v>
          </cell>
          <cell r="AH59">
            <v>300</v>
          </cell>
        </row>
        <row r="60">
          <cell r="B60" t="str">
            <v>Organic Change in Revenue</v>
          </cell>
          <cell r="I60">
            <v>19</v>
          </cell>
          <cell r="J60">
            <v>27</v>
          </cell>
          <cell r="K60">
            <v>17</v>
          </cell>
          <cell r="L60">
            <v>39</v>
          </cell>
          <cell r="R60">
            <v>150</v>
          </cell>
          <cell r="S60">
            <v>118</v>
          </cell>
          <cell r="T60">
            <v>102</v>
          </cell>
          <cell r="V60">
            <v>38</v>
          </cell>
          <cell r="W60">
            <v>17</v>
          </cell>
          <cell r="X60">
            <v>111</v>
          </cell>
        </row>
        <row r="61">
          <cell r="B61" t="str">
            <v>Organic Change in Revenue</v>
          </cell>
          <cell r="C61" t="str">
            <v>Black Hawk (USG and International)</v>
          </cell>
          <cell r="I61">
            <v>19</v>
          </cell>
          <cell r="J61">
            <v>27</v>
          </cell>
          <cell r="K61">
            <v>17</v>
          </cell>
          <cell r="L61">
            <v>39</v>
          </cell>
          <cell r="R61">
            <v>150</v>
          </cell>
          <cell r="S61">
            <v>118</v>
          </cell>
          <cell r="T61">
            <v>102</v>
          </cell>
          <cell r="V61">
            <v>150</v>
          </cell>
          <cell r="W61">
            <v>118</v>
          </cell>
          <cell r="X61">
            <v>102</v>
          </cell>
        </row>
        <row r="62">
          <cell r="C62" t="str">
            <v>JTRS (combined programs: GMR, HMS, MIDS)</v>
          </cell>
          <cell r="AB62">
            <v>0</v>
          </cell>
          <cell r="AC62">
            <v>0</v>
          </cell>
          <cell r="AD62">
            <v>0</v>
          </cell>
          <cell r="AE62">
            <v>50</v>
          </cell>
          <cell r="AF62">
            <v>100</v>
          </cell>
          <cell r="AG62">
            <v>150</v>
          </cell>
          <cell r="AH62">
            <v>200</v>
          </cell>
          <cell r="AJ62" t="str">
            <v>$5.5B program over 20 years</v>
          </cell>
        </row>
        <row r="63">
          <cell r="A63" t="str">
            <v>Segment Operating Profit</v>
          </cell>
          <cell r="C63" t="str">
            <v>Boeing Tanker</v>
          </cell>
          <cell r="AB63">
            <v>0</v>
          </cell>
          <cell r="AC63">
            <v>25</v>
          </cell>
          <cell r="AD63">
            <v>50</v>
          </cell>
          <cell r="AE63">
            <v>75</v>
          </cell>
          <cell r="AF63">
            <v>100</v>
          </cell>
          <cell r="AG63">
            <v>100</v>
          </cell>
          <cell r="AH63">
            <v>100</v>
          </cell>
          <cell r="AJ63" t="str">
            <v>"Big program per plane"…179 planes, estimated $5MM per plane</v>
          </cell>
        </row>
        <row r="64">
          <cell r="A64" t="str">
            <v>Segment Operating Profit</v>
          </cell>
          <cell r="C64" t="str">
            <v>Athena Technologies (UAV Controls)</v>
          </cell>
          <cell r="AJ64" t="str">
            <v>Predator, Reaper, Watchkeeper</v>
          </cell>
        </row>
        <row r="65">
          <cell r="B65" t="str">
            <v>Airborne Solutions</v>
          </cell>
          <cell r="K65">
            <v>113</v>
          </cell>
          <cell r="L65">
            <v>109.25</v>
          </cell>
          <cell r="M65">
            <v>94.3</v>
          </cell>
          <cell r="N65">
            <v>105.80000000000001</v>
          </cell>
          <cell r="O65">
            <v>109.25</v>
          </cell>
          <cell r="P65">
            <v>110.25</v>
          </cell>
          <cell r="Q65">
            <v>287.67694566813509</v>
          </cell>
          <cell r="R65">
            <v>317.25907664724338</v>
          </cell>
          <cell r="S65">
            <v>341.39137785291632</v>
          </cell>
          <cell r="T65">
            <v>422.11169999999998</v>
          </cell>
          <cell r="U65">
            <v>419.6</v>
          </cell>
          <cell r="V65">
            <v>433.4</v>
          </cell>
          <cell r="W65">
            <v>434.7</v>
          </cell>
          <cell r="X65">
            <v>462</v>
          </cell>
          <cell r="Y65">
            <v>483</v>
          </cell>
          <cell r="Z65">
            <v>504</v>
          </cell>
        </row>
        <row r="66">
          <cell r="B66" t="str">
            <v>Airborne Solutions</v>
          </cell>
          <cell r="C66" t="str">
            <v>% Margin</v>
          </cell>
          <cell r="K66">
            <v>0.25</v>
          </cell>
          <cell r="L66">
            <v>0.23</v>
          </cell>
          <cell r="M66">
            <v>0.23</v>
          </cell>
          <cell r="N66">
            <v>0.23</v>
          </cell>
          <cell r="O66">
            <v>0.23</v>
          </cell>
          <cell r="P66">
            <v>0.21</v>
          </cell>
          <cell r="Q66">
            <v>0.19676945668135096</v>
          </cell>
          <cell r="R66">
            <v>0.1976692066337965</v>
          </cell>
          <cell r="S66">
            <v>0.20540997464074387</v>
          </cell>
          <cell r="T66">
            <v>0.2397</v>
          </cell>
          <cell r="U66">
            <v>0.22438502673796792</v>
          </cell>
          <cell r="V66">
            <v>0.22</v>
          </cell>
          <cell r="W66">
            <v>0.21</v>
          </cell>
          <cell r="X66">
            <v>0.21</v>
          </cell>
          <cell r="Y66">
            <v>0.21</v>
          </cell>
          <cell r="Z66">
            <v>0.21</v>
          </cell>
          <cell r="AA66">
            <v>434.91</v>
          </cell>
          <cell r="AB66" t="str">
            <v>Airborne/Surface equivalent margins; assumes some erosion from return of bonuses (frozen FY09)</v>
          </cell>
          <cell r="AC66">
            <v>428.4</v>
          </cell>
          <cell r="AD66">
            <v>430.5</v>
          </cell>
          <cell r="AE66">
            <v>375</v>
          </cell>
          <cell r="AF66">
            <v>475</v>
          </cell>
          <cell r="AG66">
            <v>540</v>
          </cell>
          <cell r="AH66">
            <v>600</v>
          </cell>
        </row>
        <row r="67">
          <cell r="C67" t="str">
            <v>% Margin</v>
          </cell>
          <cell r="K67">
            <v>0.25</v>
          </cell>
          <cell r="L67">
            <v>0.23</v>
          </cell>
          <cell r="M67">
            <v>0.23</v>
          </cell>
          <cell r="N67">
            <v>0.22750000000000001</v>
          </cell>
          <cell r="O67">
            <v>0.21199999999999999</v>
          </cell>
          <cell r="P67">
            <v>0.21</v>
          </cell>
          <cell r="Q67">
            <v>0.19676945668135096</v>
          </cell>
          <cell r="R67">
            <v>0.1976692066337965</v>
          </cell>
          <cell r="S67">
            <v>0.20540997464074387</v>
          </cell>
          <cell r="T67">
            <v>0.2397</v>
          </cell>
          <cell r="U67">
            <v>0.21913502673796789</v>
          </cell>
          <cell r="V67">
            <v>0.22</v>
          </cell>
          <cell r="W67">
            <v>0.215</v>
          </cell>
          <cell r="X67">
            <v>0.21299999999999999</v>
          </cell>
          <cell r="Y67">
            <v>0.21</v>
          </cell>
          <cell r="Z67">
            <v>0.21</v>
          </cell>
          <cell r="AA67">
            <v>0.218</v>
          </cell>
          <cell r="AB67" t="str">
            <v>Airborne/Surface equivalent margins; assumes some erosion from return of bonuses (frozen FY09)</v>
          </cell>
          <cell r="AC67">
            <v>0.21</v>
          </cell>
          <cell r="AD67">
            <v>0.21</v>
          </cell>
          <cell r="AF67" t="str">
            <v>Airborne/Surface equivalent margins; assumes some erosion from return of bonuses (frozen FY09)</v>
          </cell>
        </row>
        <row r="68">
          <cell r="B68" t="str">
            <v>DataPath</v>
          </cell>
          <cell r="K68">
            <v>1.1500000000000001</v>
          </cell>
          <cell r="L68">
            <v>3.0500000000000003</v>
          </cell>
          <cell r="M68">
            <v>6.6</v>
          </cell>
          <cell r="N68">
            <v>6</v>
          </cell>
          <cell r="O68">
            <v>6.5</v>
          </cell>
          <cell r="P68">
            <v>6.5</v>
          </cell>
          <cell r="T68">
            <v>4.2</v>
          </cell>
          <cell r="U68">
            <v>25.6</v>
          </cell>
          <cell r="V68">
            <v>32.5</v>
          </cell>
          <cell r="W68">
            <v>40.5</v>
          </cell>
          <cell r="X68">
            <v>49</v>
          </cell>
          <cell r="Y68">
            <v>50.75</v>
          </cell>
          <cell r="Z68">
            <v>52.5</v>
          </cell>
          <cell r="AB68" t="str">
            <v>Low sgl digit with potential for high-teens margin</v>
          </cell>
        </row>
        <row r="69">
          <cell r="B69" t="str">
            <v>DataPath</v>
          </cell>
          <cell r="C69" t="str">
            <v>% Margin</v>
          </cell>
          <cell r="K69">
            <v>0.05</v>
          </cell>
          <cell r="L69">
            <v>0.05</v>
          </cell>
          <cell r="M69">
            <v>0.11</v>
          </cell>
          <cell r="N69">
            <v>0.1</v>
          </cell>
          <cell r="O69">
            <v>0.1</v>
          </cell>
          <cell r="P69">
            <v>0.1</v>
          </cell>
          <cell r="Q69">
            <v>6.6</v>
          </cell>
          <cell r="R69">
            <v>7.5</v>
          </cell>
          <cell r="S69">
            <v>8.7100000000000009</v>
          </cell>
          <cell r="T69">
            <v>0.05</v>
          </cell>
          <cell r="U69">
            <v>0.1024</v>
          </cell>
          <cell r="V69">
            <v>0.125</v>
          </cell>
          <cell r="W69">
            <v>0.15</v>
          </cell>
          <cell r="X69">
            <v>0.17499999999999999</v>
          </cell>
          <cell r="Y69">
            <v>0.17499999999999999</v>
          </cell>
          <cell r="Z69">
            <v>0.17499999999999999</v>
          </cell>
          <cell r="AA69">
            <v>41.25</v>
          </cell>
          <cell r="AB69" t="str">
            <v>Low sgl digit with potential for high-teens margin</v>
          </cell>
          <cell r="AC69">
            <v>50.75</v>
          </cell>
          <cell r="AD69">
            <v>52.5</v>
          </cell>
          <cell r="AE69">
            <v>-150</v>
          </cell>
          <cell r="AF69" t="str">
            <v>Low sgl digit with potential for high-teens margin</v>
          </cell>
          <cell r="AG69">
            <v>-150</v>
          </cell>
          <cell r="AH69">
            <v>-150</v>
          </cell>
        </row>
        <row r="70">
          <cell r="C70" t="str">
            <v>% Margin</v>
          </cell>
          <cell r="K70">
            <v>0.05</v>
          </cell>
          <cell r="L70">
            <v>0.05</v>
          </cell>
          <cell r="M70">
            <v>0.11</v>
          </cell>
          <cell r="N70">
            <v>0.1</v>
          </cell>
          <cell r="O70">
            <v>0.1</v>
          </cell>
          <cell r="P70">
            <v>0.1</v>
          </cell>
          <cell r="Q70">
            <v>0.11</v>
          </cell>
          <cell r="R70">
            <v>0.125</v>
          </cell>
          <cell r="S70">
            <v>0.13400000000000001</v>
          </cell>
          <cell r="T70">
            <v>0.05</v>
          </cell>
          <cell r="U70">
            <v>0.1024</v>
          </cell>
          <cell r="V70">
            <v>0.12</v>
          </cell>
          <cell r="W70">
            <v>0.15</v>
          </cell>
          <cell r="X70">
            <v>0.17</v>
          </cell>
          <cell r="Y70">
            <v>0.17499999999999999</v>
          </cell>
          <cell r="Z70">
            <v>0.17499999999999999</v>
          </cell>
          <cell r="AA70">
            <v>0.15</v>
          </cell>
          <cell r="AB70">
            <v>0.17</v>
          </cell>
          <cell r="AC70">
            <v>0.17499999999999999</v>
          </cell>
          <cell r="AD70">
            <v>0.17499999999999999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</row>
        <row r="71">
          <cell r="B71" t="str">
            <v>Surface Solutions ex. DataPath</v>
          </cell>
          <cell r="K71">
            <v>44</v>
          </cell>
          <cell r="L71">
            <v>47.15</v>
          </cell>
          <cell r="M71">
            <v>33.1</v>
          </cell>
          <cell r="N71">
            <v>41.4</v>
          </cell>
          <cell r="O71">
            <v>50.6</v>
          </cell>
          <cell r="P71">
            <v>49.14</v>
          </cell>
          <cell r="T71">
            <v>175.93979999999999</v>
          </cell>
          <cell r="U71">
            <v>174.24</v>
          </cell>
          <cell r="V71">
            <v>180.4</v>
          </cell>
          <cell r="W71">
            <v>180.6</v>
          </cell>
          <cell r="X71">
            <v>186.9</v>
          </cell>
          <cell r="Y71">
            <v>194.25</v>
          </cell>
          <cell r="Z71">
            <v>201.6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</row>
        <row r="72">
          <cell r="B72" t="str">
            <v>Surface Solutions ex. DataPath</v>
          </cell>
          <cell r="C72" t="str">
            <v>% Margin</v>
          </cell>
          <cell r="K72">
            <v>0.25</v>
          </cell>
          <cell r="L72">
            <v>0.23</v>
          </cell>
          <cell r="M72">
            <v>0.23</v>
          </cell>
          <cell r="N72">
            <v>0.23</v>
          </cell>
          <cell r="O72">
            <v>0.23</v>
          </cell>
          <cell r="P72">
            <v>0.21</v>
          </cell>
          <cell r="Q72">
            <v>33.1</v>
          </cell>
          <cell r="R72">
            <v>34.979999999999997</v>
          </cell>
          <cell r="S72">
            <v>50.76</v>
          </cell>
          <cell r="T72">
            <v>0.2397</v>
          </cell>
          <cell r="U72">
            <v>0.2233846153846154</v>
          </cell>
          <cell r="V72">
            <v>0.22</v>
          </cell>
          <cell r="W72">
            <v>0.21</v>
          </cell>
          <cell r="X72">
            <v>0.21</v>
          </cell>
          <cell r="Y72">
            <v>0.21</v>
          </cell>
          <cell r="Z72">
            <v>0.21</v>
          </cell>
          <cell r="AA72">
            <v>177.94</v>
          </cell>
          <cell r="AB72">
            <v>180.6</v>
          </cell>
          <cell r="AC72">
            <v>178.5</v>
          </cell>
          <cell r="AD72">
            <v>180.6</v>
          </cell>
          <cell r="AE72">
            <v>-150</v>
          </cell>
          <cell r="AF72">
            <v>-150</v>
          </cell>
          <cell r="AG72">
            <v>-150</v>
          </cell>
          <cell r="AH72">
            <v>-150</v>
          </cell>
        </row>
        <row r="73">
          <cell r="C73" t="str">
            <v>% Margin</v>
          </cell>
          <cell r="K73">
            <v>0.25</v>
          </cell>
          <cell r="L73">
            <v>0.23</v>
          </cell>
          <cell r="M73">
            <v>0.23</v>
          </cell>
          <cell r="N73">
            <v>0.22750000000000001</v>
          </cell>
          <cell r="O73">
            <v>0.21199999999999999</v>
          </cell>
          <cell r="P73">
            <v>0.21</v>
          </cell>
          <cell r="Q73">
            <v>0.20799999999999999</v>
          </cell>
          <cell r="R73">
            <v>0.22</v>
          </cell>
          <cell r="S73">
            <v>0.216</v>
          </cell>
          <cell r="T73">
            <v>0.2397</v>
          </cell>
          <cell r="U73">
            <v>0.2177294871794872</v>
          </cell>
          <cell r="V73">
            <v>0.22</v>
          </cell>
          <cell r="W73">
            <v>0.215</v>
          </cell>
          <cell r="X73">
            <v>0.21299999999999999</v>
          </cell>
          <cell r="Y73">
            <v>0.21</v>
          </cell>
          <cell r="Z73">
            <v>0.21</v>
          </cell>
          <cell r="AA73">
            <v>0.217</v>
          </cell>
          <cell r="AB73">
            <v>0.215</v>
          </cell>
          <cell r="AC73">
            <v>0.21</v>
          </cell>
          <cell r="AD73">
            <v>0.21</v>
          </cell>
        </row>
        <row r="74">
          <cell r="B74" t="str">
            <v>Surface Solutions</v>
          </cell>
          <cell r="C74" t="str">
            <v>Assumed M&amp;A</v>
          </cell>
          <cell r="K74">
            <v>45.15</v>
          </cell>
          <cell r="L74">
            <v>50.199999999999996</v>
          </cell>
          <cell r="M74">
            <v>39.700000000000003</v>
          </cell>
          <cell r="N74">
            <v>47.4</v>
          </cell>
          <cell r="O74">
            <v>57.1</v>
          </cell>
          <cell r="P74">
            <v>55.64</v>
          </cell>
          <cell r="Q74">
            <v>114.32305433186491</v>
          </cell>
          <cell r="R74">
            <v>123.74092335275662</v>
          </cell>
          <cell r="S74">
            <v>144.60862214708368</v>
          </cell>
          <cell r="T74">
            <v>180.13979999999998</v>
          </cell>
          <cell r="U74">
            <v>199.84</v>
          </cell>
          <cell r="V74">
            <v>212.9</v>
          </cell>
          <cell r="W74">
            <v>221.1</v>
          </cell>
          <cell r="X74">
            <v>235.9</v>
          </cell>
          <cell r="Y74">
            <v>245</v>
          </cell>
          <cell r="Z74">
            <v>254.1</v>
          </cell>
          <cell r="AB74">
            <v>0</v>
          </cell>
          <cell r="AC74">
            <v>25</v>
          </cell>
          <cell r="AD74">
            <v>50</v>
          </cell>
          <cell r="AE74">
            <v>75</v>
          </cell>
          <cell r="AF74">
            <v>100</v>
          </cell>
          <cell r="AG74">
            <v>125</v>
          </cell>
          <cell r="AH74">
            <v>150</v>
          </cell>
          <cell r="AJ74" t="str">
            <v>Assumes $25MM of annual bolt-on M&amp;A</v>
          </cell>
        </row>
        <row r="75">
          <cell r="B75" t="str">
            <v>Surface Solutions</v>
          </cell>
          <cell r="C75" t="str">
            <v>% Margin</v>
          </cell>
          <cell r="K75">
            <v>0.22688442211055276</v>
          </cell>
          <cell r="L75">
            <v>0.18872180451127818</v>
          </cell>
          <cell r="M75">
            <v>0.19271844660194176</v>
          </cell>
          <cell r="N75">
            <v>0.19749999999999998</v>
          </cell>
          <cell r="O75">
            <v>0.20035087719298247</v>
          </cell>
          <cell r="P75">
            <v>0.18608695652173912</v>
          </cell>
          <cell r="Q75">
            <v>0.19676945668135096</v>
          </cell>
          <cell r="R75">
            <v>0.19766920663379653</v>
          </cell>
          <cell r="S75">
            <v>0.20540997464074387</v>
          </cell>
          <cell r="T75">
            <v>0.22021980440097796</v>
          </cell>
          <cell r="U75">
            <v>0.19401941747572815</v>
          </cell>
          <cell r="V75">
            <v>0.19712962962962963</v>
          </cell>
          <cell r="W75">
            <v>0.19566371681415928</v>
          </cell>
          <cell r="X75">
            <v>0.20162393162393163</v>
          </cell>
          <cell r="Y75">
            <v>0.20164609053497942</v>
          </cell>
          <cell r="Z75">
            <v>0.20166666666666666</v>
          </cell>
          <cell r="AA75">
            <v>219.19</v>
          </cell>
          <cell r="AB75" t="str">
            <v>Airborne/Surface equivalent margins; assumes some erosion from return of bonuses (frozen FY09)</v>
          </cell>
          <cell r="AC75">
            <v>229.25</v>
          </cell>
          <cell r="AD75">
            <v>233.1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</row>
        <row r="76">
          <cell r="C76" t="str">
            <v>% Margin</v>
          </cell>
          <cell r="K76">
            <v>0.22688442211055276</v>
          </cell>
          <cell r="L76">
            <v>0.18872180451127818</v>
          </cell>
          <cell r="M76">
            <v>0.19271844660194176</v>
          </cell>
          <cell r="N76">
            <v>0.19535714285714287</v>
          </cell>
          <cell r="O76">
            <v>0.19028571428571431</v>
          </cell>
          <cell r="P76">
            <v>0.18249999999999997</v>
          </cell>
          <cell r="Q76">
            <v>0.19676945668135096</v>
          </cell>
          <cell r="R76">
            <v>0.19766920663379653</v>
          </cell>
          <cell r="S76">
            <v>0.20540997464074387</v>
          </cell>
          <cell r="T76">
            <v>0.22021980440097796</v>
          </cell>
          <cell r="U76">
            <v>0.18973689320388351</v>
          </cell>
          <cell r="V76">
            <v>0.19558685446009388</v>
          </cell>
          <cell r="W76">
            <v>0.19939999999999999</v>
          </cell>
          <cell r="X76">
            <v>0.20270940170940169</v>
          </cell>
          <cell r="Y76">
            <v>0.20157676348547718</v>
          </cell>
          <cell r="Z76">
            <v>0.20153225806451613</v>
          </cell>
          <cell r="AA76">
            <v>0.20017351598173516</v>
          </cell>
          <cell r="AB76" t="str">
            <v>Airborne/Surface equivalent margins; assumes some erosion from return of bonuses (frozen FY09)</v>
          </cell>
          <cell r="AC76">
            <v>0.20109649122807016</v>
          </cell>
          <cell r="AD76">
            <v>0.20094827586206895</v>
          </cell>
          <cell r="AF76" t="str">
            <v>Airborne/Surface equivalent margins; assumes some erosion from return of bonuses (frozen FY09)</v>
          </cell>
        </row>
        <row r="77">
          <cell r="B77" t="str">
            <v>Total Operating Profit</v>
          </cell>
          <cell r="E77">
            <v>115</v>
          </cell>
          <cell r="F77">
            <v>115</v>
          </cell>
          <cell r="G77">
            <v>131</v>
          </cell>
          <cell r="H77">
            <v>125</v>
          </cell>
          <cell r="I77">
            <v>140</v>
          </cell>
          <cell r="J77">
            <v>145</v>
          </cell>
          <cell r="K77">
            <v>158</v>
          </cell>
          <cell r="L77">
            <v>159</v>
          </cell>
          <cell r="M77">
            <v>134</v>
          </cell>
          <cell r="N77">
            <v>153.20000000000002</v>
          </cell>
          <cell r="O77">
            <v>166.35</v>
          </cell>
          <cell r="P77">
            <v>165.89</v>
          </cell>
          <cell r="Q77">
            <v>402</v>
          </cell>
          <cell r="R77">
            <v>441</v>
          </cell>
          <cell r="S77">
            <v>486</v>
          </cell>
          <cell r="T77">
            <v>602</v>
          </cell>
          <cell r="U77">
            <v>619.44000000000005</v>
          </cell>
          <cell r="V77">
            <v>646.29999999999995</v>
          </cell>
          <cell r="W77">
            <v>655.8</v>
          </cell>
          <cell r="X77">
            <v>697.9</v>
          </cell>
          <cell r="Y77">
            <v>728</v>
          </cell>
          <cell r="Z77">
            <v>758.1</v>
          </cell>
          <cell r="AB77">
            <v>2529</v>
          </cell>
          <cell r="AC77">
            <v>2775.85</v>
          </cell>
          <cell r="AD77">
            <v>2836.9454999999998</v>
          </cell>
          <cell r="AE77">
            <v>3026.353865</v>
          </cell>
          <cell r="AF77">
            <v>3233.1444809499999</v>
          </cell>
          <cell r="AG77">
            <v>3407.3888153785001</v>
          </cell>
          <cell r="AH77">
            <v>3579.1604798398553</v>
          </cell>
        </row>
        <row r="78">
          <cell r="B78" t="str">
            <v>Total Operating Profit</v>
          </cell>
          <cell r="C78" t="str">
            <v>% Margin</v>
          </cell>
          <cell r="E78">
            <v>0.21023765996343693</v>
          </cell>
          <cell r="F78">
            <v>0.19965277777777779</v>
          </cell>
          <cell r="G78">
            <v>0.21581548599670511</v>
          </cell>
          <cell r="H78">
            <v>0.19654088050314467</v>
          </cell>
          <cell r="I78">
            <v>0.24390243902439024</v>
          </cell>
          <cell r="J78">
            <v>0.2365415986949429</v>
          </cell>
          <cell r="K78">
            <v>0.24270353302611367</v>
          </cell>
          <cell r="L78">
            <v>0.2145748987854251</v>
          </cell>
          <cell r="M78">
            <v>0.21753246753246752</v>
          </cell>
          <cell r="N78">
            <v>0.21885714285714289</v>
          </cell>
          <cell r="O78">
            <v>0.21888157894736843</v>
          </cell>
          <cell r="P78">
            <v>0.20132281553398057</v>
          </cell>
          <cell r="Q78">
            <v>0.19676945668135096</v>
          </cell>
          <cell r="R78">
            <v>0.1976692066337965</v>
          </cell>
          <cell r="S78">
            <v>0.20540997464074387</v>
          </cell>
          <cell r="T78">
            <v>0.23342380767739435</v>
          </cell>
          <cell r="U78">
            <v>0.21360000000000001</v>
          </cell>
          <cell r="V78">
            <v>0.21190163934426229</v>
          </cell>
          <cell r="W78">
            <v>0.20493749999999999</v>
          </cell>
          <cell r="X78">
            <v>0.20709198813056379</v>
          </cell>
          <cell r="Y78">
            <v>0.20711237553342818</v>
          </cell>
          <cell r="Z78">
            <v>0.20713114754098361</v>
          </cell>
          <cell r="AA78">
            <v>654.1</v>
          </cell>
          <cell r="AB78">
            <v>662.5</v>
          </cell>
          <cell r="AC78">
            <v>657.65</v>
          </cell>
          <cell r="AD78">
            <v>663.6</v>
          </cell>
          <cell r="AE78">
            <v>6.6764893791579905E-2</v>
          </cell>
          <cell r="AF78">
            <v>6.8329952535144178E-2</v>
          </cell>
          <cell r="AG78">
            <v>5.3893148127207136E-2</v>
          </cell>
          <cell r="AH78">
            <v>5.0411524416028364E-2</v>
          </cell>
        </row>
        <row r="79">
          <cell r="C79" t="str">
            <v>% Margin</v>
          </cell>
          <cell r="E79">
            <v>0.21023765996343693</v>
          </cell>
          <cell r="F79">
            <v>0.19965277777777779</v>
          </cell>
          <cell r="G79">
            <v>0.21581548599670511</v>
          </cell>
          <cell r="H79">
            <v>0.19654088050314467</v>
          </cell>
          <cell r="I79">
            <v>0.24390243902439024</v>
          </cell>
          <cell r="J79">
            <v>0.2365415986949429</v>
          </cell>
          <cell r="K79">
            <v>0.15000000000000568</v>
          </cell>
          <cell r="L79">
            <v>0.44999999999998863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0.19676945668135096</v>
          </cell>
          <cell r="R79">
            <v>0.1976692066337965</v>
          </cell>
          <cell r="S79">
            <v>0.20540997464074387</v>
          </cell>
          <cell r="T79">
            <v>0.25149999999996453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0.21168284789644012</v>
          </cell>
          <cell r="AB79">
            <v>0.21098726114649682</v>
          </cell>
          <cell r="AC79">
            <v>0.20680817610062893</v>
          </cell>
          <cell r="AD79">
            <v>0.20672897196261683</v>
          </cell>
          <cell r="AE79">
            <v>242.85386500000004</v>
          </cell>
          <cell r="AF79">
            <v>353.99908094999955</v>
          </cell>
          <cell r="AG79">
            <v>425.37674537849989</v>
          </cell>
          <cell r="AH79">
            <v>489.74575537985447</v>
          </cell>
        </row>
        <row r="80">
          <cell r="B80" t="str">
            <v>Check</v>
          </cell>
          <cell r="E80">
            <v>115</v>
          </cell>
          <cell r="F80">
            <v>115</v>
          </cell>
          <cell r="G80">
            <v>131</v>
          </cell>
          <cell r="H80">
            <v>125</v>
          </cell>
          <cell r="I80">
            <v>140</v>
          </cell>
          <cell r="J80">
            <v>145</v>
          </cell>
          <cell r="K80">
            <v>158</v>
          </cell>
          <cell r="L80">
            <v>159</v>
          </cell>
          <cell r="M80">
            <v>134</v>
          </cell>
          <cell r="N80">
            <v>150</v>
          </cell>
          <cell r="O80">
            <v>153</v>
          </cell>
          <cell r="P80">
            <v>168.2115</v>
          </cell>
          <cell r="Q80">
            <v>402</v>
          </cell>
          <cell r="R80">
            <v>441</v>
          </cell>
          <cell r="S80">
            <v>486</v>
          </cell>
          <cell r="T80">
            <v>602</v>
          </cell>
          <cell r="U80">
            <v>605.2115</v>
          </cell>
          <cell r="V80">
            <v>631.79999999999995</v>
          </cell>
          <cell r="W80">
            <v>658.625</v>
          </cell>
          <cell r="X80">
            <v>684.47</v>
          </cell>
          <cell r="Y80">
            <v>694.4</v>
          </cell>
          <cell r="Z80">
            <v>711.9</v>
          </cell>
          <cell r="AA80">
            <v>654.1</v>
          </cell>
          <cell r="AB80">
            <v>662.5</v>
          </cell>
          <cell r="AC80">
            <v>657.65</v>
          </cell>
          <cell r="AD80">
            <v>663.6</v>
          </cell>
        </row>
        <row r="81">
          <cell r="B81" t="str">
            <v>Revenue = Model?</v>
          </cell>
          <cell r="E81" t="b">
            <v>1</v>
          </cell>
          <cell r="F81" t="b">
            <v>1</v>
          </cell>
          <cell r="G81" t="b">
            <v>1</v>
          </cell>
          <cell r="H81" t="b">
            <v>1</v>
          </cell>
          <cell r="I81" t="b">
            <v>1</v>
          </cell>
          <cell r="J81" t="b">
            <v>1</v>
          </cell>
          <cell r="K81" t="b">
            <v>1</v>
          </cell>
          <cell r="L81" t="b">
            <v>1</v>
          </cell>
          <cell r="M81" t="b">
            <v>1</v>
          </cell>
          <cell r="N81" t="b">
            <v>1</v>
          </cell>
          <cell r="O81" t="b">
            <v>1</v>
          </cell>
          <cell r="P81" t="b">
            <v>1</v>
          </cell>
          <cell r="Q81" t="b">
            <v>1</v>
          </cell>
          <cell r="R81" t="b">
            <v>1</v>
          </cell>
          <cell r="S81" t="b">
            <v>1</v>
          </cell>
          <cell r="T81" t="b">
            <v>1</v>
          </cell>
          <cell r="U81" t="b">
            <v>1</v>
          </cell>
          <cell r="V81" t="b">
            <v>1</v>
          </cell>
          <cell r="W81" t="b">
            <v>1</v>
          </cell>
          <cell r="X81" t="b">
            <v>1</v>
          </cell>
          <cell r="Y81" t="b">
            <v>1</v>
          </cell>
          <cell r="Z81" t="b">
            <v>1</v>
          </cell>
          <cell r="AA81">
            <v>135</v>
          </cell>
          <cell r="AB81">
            <v>213</v>
          </cell>
        </row>
        <row r="82">
          <cell r="B82" t="str">
            <v>Op Profit = Model?</v>
          </cell>
          <cell r="E82" t="b">
            <v>1</v>
          </cell>
          <cell r="F82" t="b">
            <v>1</v>
          </cell>
          <cell r="G82" t="b">
            <v>1</v>
          </cell>
          <cell r="H82" t="b">
            <v>1</v>
          </cell>
          <cell r="I82" t="b">
            <v>1</v>
          </cell>
          <cell r="J82" t="b">
            <v>1</v>
          </cell>
          <cell r="K82" t="b">
            <v>1</v>
          </cell>
          <cell r="L82" t="b">
            <v>1</v>
          </cell>
          <cell r="M82" t="b">
            <v>1</v>
          </cell>
          <cell r="N82">
            <v>1.2000000000000171</v>
          </cell>
          <cell r="O82">
            <v>1.3499999999999943</v>
          </cell>
          <cell r="P82">
            <v>-2.5500000000000682</v>
          </cell>
          <cell r="Q82" t="b">
            <v>1</v>
          </cell>
          <cell r="R82" t="b">
            <v>1</v>
          </cell>
          <cell r="S82" t="b">
            <v>1</v>
          </cell>
          <cell r="T82" t="b">
            <v>1</v>
          </cell>
          <cell r="U82" t="b">
            <v>1</v>
          </cell>
          <cell r="V82">
            <v>-21.6</v>
          </cell>
          <cell r="W82" t="b">
            <v>1</v>
          </cell>
          <cell r="X82" t="b">
            <v>1</v>
          </cell>
          <cell r="Y82" t="b">
            <v>1</v>
          </cell>
          <cell r="Z82" t="b">
            <v>1</v>
          </cell>
          <cell r="AA82">
            <v>0.22492857142857151</v>
          </cell>
          <cell r="AB82">
            <v>0.16799999999999954</v>
          </cell>
          <cell r="AC82">
            <v>-0.12125000000000057</v>
          </cell>
          <cell r="AD82">
            <v>0.19833333333333486</v>
          </cell>
        </row>
        <row r="83">
          <cell r="B83" t="str">
            <v>Pension</v>
          </cell>
          <cell r="E83" t="b">
            <v>1</v>
          </cell>
          <cell r="F83" t="b">
            <v>1</v>
          </cell>
          <cell r="G83" t="b">
            <v>1</v>
          </cell>
          <cell r="H83" t="b">
            <v>1</v>
          </cell>
          <cell r="I83" t="b">
            <v>1</v>
          </cell>
          <cell r="J83" t="b">
            <v>1</v>
          </cell>
          <cell r="K83" t="b">
            <v>1</v>
          </cell>
          <cell r="L83" t="b">
            <v>1</v>
          </cell>
          <cell r="M83" t="b">
            <v>1</v>
          </cell>
          <cell r="N83" t="b">
            <v>1</v>
          </cell>
          <cell r="O83">
            <v>0</v>
          </cell>
          <cell r="P83">
            <v>-14.600000000000023</v>
          </cell>
          <cell r="Q83" t="b">
            <v>1</v>
          </cell>
          <cell r="R83" t="b">
            <v>1</v>
          </cell>
          <cell r="S83" t="b">
            <v>1</v>
          </cell>
          <cell r="T83" t="b">
            <v>1</v>
          </cell>
          <cell r="U83" t="b">
            <v>1</v>
          </cell>
          <cell r="V83">
            <v>-2</v>
          </cell>
          <cell r="W83" t="b">
            <v>1</v>
          </cell>
          <cell r="X83" t="b">
            <v>1</v>
          </cell>
          <cell r="Y83" t="b">
            <v>1</v>
          </cell>
          <cell r="Z83" t="b">
            <v>1</v>
          </cell>
          <cell r="AA83">
            <v>118</v>
          </cell>
          <cell r="AB83">
            <v>102</v>
          </cell>
        </row>
        <row r="84">
          <cell r="B84" t="str">
            <v>San Jose</v>
          </cell>
          <cell r="E84" t="b">
            <v>1</v>
          </cell>
          <cell r="F84" t="b">
            <v>1</v>
          </cell>
          <cell r="G84" t="b">
            <v>1</v>
          </cell>
          <cell r="H84" t="b">
            <v>1</v>
          </cell>
          <cell r="I84" t="b">
            <v>1</v>
          </cell>
          <cell r="J84" t="b">
            <v>1</v>
          </cell>
          <cell r="K84" t="b">
            <v>1</v>
          </cell>
          <cell r="L84" t="b">
            <v>1</v>
          </cell>
          <cell r="M84" t="b">
            <v>1</v>
          </cell>
          <cell r="N84" t="b">
            <v>1</v>
          </cell>
          <cell r="O84" t="b">
            <v>1</v>
          </cell>
          <cell r="P84" t="b">
            <v>1</v>
          </cell>
          <cell r="Q84" t="b">
            <v>1</v>
          </cell>
          <cell r="R84" t="b">
            <v>1</v>
          </cell>
          <cell r="S84" t="b">
            <v>1</v>
          </cell>
          <cell r="T84" t="b">
            <v>1</v>
          </cell>
          <cell r="U84" t="b">
            <v>1</v>
          </cell>
          <cell r="V84">
            <v>18</v>
          </cell>
          <cell r="W84" t="b">
            <v>1</v>
          </cell>
          <cell r="X84" t="b">
            <v>1</v>
          </cell>
          <cell r="Y84" t="b">
            <v>1</v>
          </cell>
          <cell r="Z84" t="b">
            <v>1</v>
          </cell>
        </row>
        <row r="85">
          <cell r="A85" t="str">
            <v>Airborne Solutions Program Build</v>
          </cell>
          <cell r="B85" t="str">
            <v>Op Profit = Model?</v>
          </cell>
          <cell r="E85" t="b">
            <v>1</v>
          </cell>
          <cell r="F85" t="b">
            <v>1</v>
          </cell>
          <cell r="G85" t="b">
            <v>1</v>
          </cell>
          <cell r="H85" t="b">
            <v>1</v>
          </cell>
          <cell r="I85" t="b">
            <v>1</v>
          </cell>
          <cell r="J85" t="b">
            <v>1</v>
          </cell>
          <cell r="K85" t="b">
            <v>0</v>
          </cell>
          <cell r="L85" t="b">
            <v>0</v>
          </cell>
          <cell r="M85" t="b">
            <v>1</v>
          </cell>
          <cell r="N85" t="b">
            <v>0</v>
          </cell>
          <cell r="O85">
            <v>0.46399999999999864</v>
          </cell>
          <cell r="P85">
            <v>-0.47149999999999181</v>
          </cell>
          <cell r="Q85" t="b">
            <v>1</v>
          </cell>
          <cell r="R85" t="b">
            <v>1</v>
          </cell>
          <cell r="S85" t="b">
            <v>1</v>
          </cell>
          <cell r="T85" t="b">
            <v>0</v>
          </cell>
          <cell r="U85" t="b">
            <v>1</v>
          </cell>
          <cell r="V85" t="b">
            <v>1</v>
          </cell>
          <cell r="W85" t="b">
            <v>1</v>
          </cell>
          <cell r="X85" t="b">
            <v>1</v>
          </cell>
          <cell r="Y85" t="b">
            <v>1</v>
          </cell>
          <cell r="Z85" t="b">
            <v>1</v>
          </cell>
        </row>
        <row r="86">
          <cell r="A86" t="str">
            <v>Airborne Solutions Program Build</v>
          </cell>
          <cell r="B86" t="str">
            <v>Revenue = Model?</v>
          </cell>
          <cell r="E86" t="b">
            <v>1</v>
          </cell>
          <cell r="F86" t="b">
            <v>1</v>
          </cell>
          <cell r="G86" t="b">
            <v>1</v>
          </cell>
          <cell r="H86" t="b">
            <v>1</v>
          </cell>
          <cell r="I86" t="b">
            <v>1</v>
          </cell>
          <cell r="J86" t="b">
            <v>1</v>
          </cell>
          <cell r="K86" t="b">
            <v>1</v>
          </cell>
          <cell r="L86" t="b">
            <v>1</v>
          </cell>
          <cell r="M86" t="b">
            <v>1</v>
          </cell>
          <cell r="N86" t="b">
            <v>1</v>
          </cell>
          <cell r="O86" t="b">
            <v>1</v>
          </cell>
          <cell r="P86" t="b">
            <v>1</v>
          </cell>
          <cell r="Q86" t="b">
            <v>1</v>
          </cell>
          <cell r="R86" t="b">
            <v>1</v>
          </cell>
          <cell r="S86" t="b">
            <v>1</v>
          </cell>
          <cell r="T86" t="b">
            <v>1</v>
          </cell>
          <cell r="U86" t="b">
            <v>1</v>
          </cell>
          <cell r="V86" t="b">
            <v>1</v>
          </cell>
          <cell r="W86" t="b">
            <v>1</v>
          </cell>
          <cell r="X86" t="b">
            <v>1</v>
          </cell>
          <cell r="Y86" t="b">
            <v>1</v>
          </cell>
          <cell r="Z86" t="b">
            <v>1</v>
          </cell>
          <cell r="AA86" t="b">
            <v>1</v>
          </cell>
          <cell r="AB86" t="b">
            <v>1</v>
          </cell>
          <cell r="AC86" t="b">
            <v>1</v>
          </cell>
          <cell r="AD86" t="b">
            <v>1</v>
          </cell>
        </row>
        <row r="87">
          <cell r="B87" t="str">
            <v>Tanker / Transport</v>
          </cell>
          <cell r="E87" t="b">
            <v>1</v>
          </cell>
          <cell r="F87" t="b">
            <v>1</v>
          </cell>
          <cell r="G87" t="b">
            <v>1</v>
          </cell>
          <cell r="H87" t="b">
            <v>1</v>
          </cell>
          <cell r="I87" t="b">
            <v>1</v>
          </cell>
          <cell r="J87" t="b">
            <v>1</v>
          </cell>
          <cell r="K87" t="b">
            <v>0</v>
          </cell>
          <cell r="L87" t="b">
            <v>0</v>
          </cell>
          <cell r="M87" t="b">
            <v>1</v>
          </cell>
          <cell r="N87" t="b">
            <v>0</v>
          </cell>
          <cell r="O87">
            <v>0.46399999999999864</v>
          </cell>
          <cell r="P87">
            <v>-0.47149999999999181</v>
          </cell>
          <cell r="Q87" t="b">
            <v>1</v>
          </cell>
          <cell r="R87" t="b">
            <v>1</v>
          </cell>
          <cell r="S87" t="b">
            <v>1</v>
          </cell>
          <cell r="T87" t="b">
            <v>0</v>
          </cell>
          <cell r="U87" t="b">
            <v>1</v>
          </cell>
          <cell r="V87" t="b">
            <v>1</v>
          </cell>
          <cell r="W87" t="b">
            <v>1</v>
          </cell>
          <cell r="X87" t="b">
            <v>1</v>
          </cell>
          <cell r="Y87" t="b">
            <v>1</v>
          </cell>
          <cell r="Z87" t="b">
            <v>1</v>
          </cell>
          <cell r="AA87" t="b">
            <v>1</v>
          </cell>
          <cell r="AB87" t="b">
            <v>1</v>
          </cell>
          <cell r="AC87" t="b">
            <v>1</v>
          </cell>
          <cell r="AD87" t="b">
            <v>1</v>
          </cell>
        </row>
        <row r="88">
          <cell r="A88" t="str">
            <v>Airborne Solutions Program Build</v>
          </cell>
          <cell r="B88" t="str">
            <v>Tanker / Transport</v>
          </cell>
          <cell r="C88" t="str">
            <v>767 Tanker</v>
          </cell>
          <cell r="E88" t="b">
            <v>1</v>
          </cell>
          <cell r="F88" t="b">
            <v>1</v>
          </cell>
          <cell r="G88" t="b">
            <v>1</v>
          </cell>
          <cell r="H88" t="b">
            <v>1</v>
          </cell>
          <cell r="I88" t="b">
            <v>1</v>
          </cell>
          <cell r="J88" t="b">
            <v>1</v>
          </cell>
          <cell r="K88" t="b">
            <v>1</v>
          </cell>
          <cell r="L88" t="b">
            <v>1</v>
          </cell>
          <cell r="M88" t="b">
            <v>1</v>
          </cell>
          <cell r="N88" t="b">
            <v>1</v>
          </cell>
          <cell r="O88" t="b">
            <v>1</v>
          </cell>
          <cell r="P88" t="b">
            <v>1</v>
          </cell>
          <cell r="Q88" t="b">
            <v>0</v>
          </cell>
          <cell r="R88" t="b">
            <v>0</v>
          </cell>
          <cell r="S88">
            <v>50</v>
          </cell>
          <cell r="T88">
            <v>50</v>
          </cell>
          <cell r="U88">
            <v>50</v>
          </cell>
          <cell r="V88">
            <v>50</v>
          </cell>
          <cell r="W88">
            <v>100</v>
          </cell>
          <cell r="X88">
            <v>150</v>
          </cell>
          <cell r="Y88">
            <v>175</v>
          </cell>
          <cell r="Z88">
            <v>200</v>
          </cell>
          <cell r="AA88" t="b">
            <v>1</v>
          </cell>
          <cell r="AB88" t="str">
            <v>Big program</v>
          </cell>
          <cell r="AC88" t="b">
            <v>1</v>
          </cell>
          <cell r="AD88" t="b">
            <v>1</v>
          </cell>
          <cell r="AE88">
            <v>426</v>
          </cell>
          <cell r="AF88">
            <v>451.5</v>
          </cell>
          <cell r="AG88" t="str">
            <v>http://www.rockwellcollins.com/products/gov/airborne/tanker-transport/boeing767/index.html</v>
          </cell>
          <cell r="AH88">
            <v>472.5</v>
          </cell>
        </row>
        <row r="89">
          <cell r="B89" t="str">
            <v>Op Profit = Model?</v>
          </cell>
          <cell r="C89" t="str">
            <v>KC-10</v>
          </cell>
          <cell r="E89" t="b">
            <v>1</v>
          </cell>
          <cell r="F89" t="b">
            <v>1</v>
          </cell>
          <cell r="G89" t="b">
            <v>1</v>
          </cell>
          <cell r="H89" t="b">
            <v>1</v>
          </cell>
          <cell r="I89" t="b">
            <v>1</v>
          </cell>
          <cell r="J89" t="b">
            <v>1</v>
          </cell>
          <cell r="K89" t="b">
            <v>0</v>
          </cell>
          <cell r="L89" t="b">
            <v>0</v>
          </cell>
          <cell r="M89" t="b">
            <v>1</v>
          </cell>
          <cell r="N89" t="b">
            <v>0</v>
          </cell>
          <cell r="O89">
            <v>0.46399999999999864</v>
          </cell>
          <cell r="P89">
            <v>-0.76300000000000523</v>
          </cell>
          <cell r="Q89" t="b">
            <v>0</v>
          </cell>
          <cell r="R89" t="b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 t="b">
            <v>1</v>
          </cell>
          <cell r="AB89" t="str">
            <v>Spring 2010</v>
          </cell>
          <cell r="AC89" t="b">
            <v>1</v>
          </cell>
          <cell r="AD89" t="b">
            <v>1</v>
          </cell>
          <cell r="AE89">
            <v>0.21299999999999999</v>
          </cell>
          <cell r="AF89">
            <v>0.215</v>
          </cell>
          <cell r="AG89" t="str">
            <v>http://www.rockwellcollins.com/products/gov/airborne/tanker-transport/c130/index.html</v>
          </cell>
          <cell r="AH89">
            <v>0.21</v>
          </cell>
          <cell r="AJ89" t="str">
            <v>Airborne/Surface equivalent margins; assumes some erosion from return of bonuses (frozen FY09)</v>
          </cell>
        </row>
        <row r="90">
          <cell r="A90" t="str">
            <v>Airborne Solutions Program Build</v>
          </cell>
          <cell r="B90" t="str">
            <v>Tanker / Transport</v>
          </cell>
          <cell r="C90" t="str">
            <v>C-130 International</v>
          </cell>
          <cell r="S90">
            <v>100</v>
          </cell>
          <cell r="T90">
            <v>100</v>
          </cell>
          <cell r="U90">
            <v>100</v>
          </cell>
          <cell r="V90">
            <v>100</v>
          </cell>
          <cell r="W90">
            <v>100</v>
          </cell>
          <cell r="X90">
            <v>100</v>
          </cell>
          <cell r="Y90">
            <v>100</v>
          </cell>
          <cell r="Z90">
            <v>100</v>
          </cell>
          <cell r="AB90" t="str">
            <v>Look at LMT</v>
          </cell>
          <cell r="AG90" t="str">
            <v>http://www.rockwellcollins.com/products/gov/airborne/tanker-transport/c130/index.html</v>
          </cell>
        </row>
        <row r="91">
          <cell r="B91" t="str">
            <v>DataPath</v>
          </cell>
          <cell r="C91" t="str">
            <v>C-130 AMP (USAF Avionics Modernization Program)</v>
          </cell>
          <cell r="K91">
            <v>1.1500000000000001</v>
          </cell>
          <cell r="L91">
            <v>3.0500000000000003</v>
          </cell>
          <cell r="M91">
            <v>6.6</v>
          </cell>
          <cell r="N91">
            <v>6</v>
          </cell>
          <cell r="O91">
            <v>5.7</v>
          </cell>
          <cell r="P91">
            <v>7.9</v>
          </cell>
          <cell r="Q91">
            <v>6.6</v>
          </cell>
          <cell r="R91">
            <v>7.5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B91" t="str">
            <v>Look at LMT</v>
          </cell>
          <cell r="AC91">
            <v>26.200000000000003</v>
          </cell>
          <cell r="AD91">
            <v>30.48</v>
          </cell>
          <cell r="AE91">
            <v>35</v>
          </cell>
          <cell r="AF91">
            <v>41.25</v>
          </cell>
          <cell r="AG91" t="str">
            <v>http://www.rockwellcollins.com/products/gov/airborne/tanker-transport/c130/index.html</v>
          </cell>
          <cell r="AH91">
            <v>49.5</v>
          </cell>
          <cell r="AJ91" t="str">
            <v>Low sgl digit with potential for high-teens margin</v>
          </cell>
        </row>
        <row r="92">
          <cell r="A92" t="str">
            <v>Airborne Solutions Program Build</v>
          </cell>
          <cell r="B92" t="str">
            <v>Tanker / Transport</v>
          </cell>
          <cell r="C92" t="str">
            <v>C/K-135 GATM (Global Air Traffic Management)</v>
          </cell>
          <cell r="K92">
            <v>0.05</v>
          </cell>
          <cell r="L92">
            <v>0.05</v>
          </cell>
          <cell r="M92">
            <v>0.11</v>
          </cell>
          <cell r="N92">
            <v>0.1</v>
          </cell>
          <cell r="O92">
            <v>0.1</v>
          </cell>
          <cell r="P92">
            <v>0.1</v>
          </cell>
          <cell r="Q92">
            <v>0.11</v>
          </cell>
          <cell r="R92">
            <v>0.125</v>
          </cell>
          <cell r="S92">
            <v>125</v>
          </cell>
          <cell r="T92">
            <v>125</v>
          </cell>
          <cell r="U92">
            <v>125</v>
          </cell>
          <cell r="V92">
            <v>125</v>
          </cell>
          <cell r="W92">
            <v>125</v>
          </cell>
          <cell r="X92">
            <v>125</v>
          </cell>
          <cell r="Y92">
            <v>125</v>
          </cell>
          <cell r="Z92">
            <v>125</v>
          </cell>
          <cell r="AB92" t="str">
            <v>Now on block 45</v>
          </cell>
          <cell r="AC92">
            <v>0.10234375000000001</v>
          </cell>
          <cell r="AD92" t="str">
            <v>Comment in old transcript</v>
          </cell>
          <cell r="AE92">
            <v>0.14000000000000001</v>
          </cell>
          <cell r="AF92">
            <v>0.15</v>
          </cell>
          <cell r="AG92" t="str">
            <v>http://www.rockwellcollins.com/products/gov/airborne/tanker-transport/kc135/index.html</v>
          </cell>
          <cell r="AH92">
            <v>0.16500000000000001</v>
          </cell>
        </row>
        <row r="93">
          <cell r="B93" t="str">
            <v>Total</v>
          </cell>
          <cell r="C93" t="str">
            <v>767 Tanker</v>
          </cell>
          <cell r="S93">
            <v>275</v>
          </cell>
          <cell r="T93">
            <v>275</v>
          </cell>
          <cell r="U93">
            <v>275</v>
          </cell>
          <cell r="V93">
            <v>275</v>
          </cell>
          <cell r="W93">
            <v>325</v>
          </cell>
          <cell r="X93">
            <v>375</v>
          </cell>
          <cell r="Y93">
            <v>400</v>
          </cell>
          <cell r="Z93">
            <v>425</v>
          </cell>
          <cell r="AA93">
            <v>100</v>
          </cell>
          <cell r="AB93" t="str">
            <v>Big program</v>
          </cell>
          <cell r="AC93">
            <v>175</v>
          </cell>
          <cell r="AD93" t="str">
            <v>Comment in old transcript</v>
          </cell>
          <cell r="AF93" t="str">
            <v>Big program</v>
          </cell>
          <cell r="AG93" t="str">
            <v>http://www.rockwellcollins.com/products/gov/airborne/tanker-transport/boeing767/index.html</v>
          </cell>
          <cell r="AK93" t="str">
            <v>http://www.rockwellcollins.com/products/gov/airborne/tanker-transport/boeing767/index.html</v>
          </cell>
        </row>
        <row r="94">
          <cell r="B94" t="str">
            <v>Total</v>
          </cell>
          <cell r="C94" t="str">
            <v>KC-10</v>
          </cell>
          <cell r="K94">
            <v>44</v>
          </cell>
          <cell r="L94">
            <v>47.15</v>
          </cell>
          <cell r="M94">
            <v>33.1</v>
          </cell>
          <cell r="N94">
            <v>40.495000000000005</v>
          </cell>
          <cell r="O94">
            <v>50.244</v>
          </cell>
          <cell r="P94">
            <v>42.816000000000003</v>
          </cell>
          <cell r="Q94">
            <v>33.1</v>
          </cell>
          <cell r="R94">
            <v>34.979999999999997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 t="str">
            <v>Spring 2010</v>
          </cell>
          <cell r="AC94">
            <v>0</v>
          </cell>
          <cell r="AD94">
            <v>0</v>
          </cell>
          <cell r="AE94">
            <v>108.5</v>
          </cell>
          <cell r="AF94" t="str">
            <v>Spring 2010</v>
          </cell>
          <cell r="AG94" t="str">
            <v>http://www.rockwellcollins.com/products/gov/airborne/tanker-transport/c130/index.html</v>
          </cell>
          <cell r="AH94">
            <v>131.25</v>
          </cell>
          <cell r="AK94" t="str">
            <v>http://www.rockwellcollins.com/products/gov/airborne/tanker-transport/c130/index.html</v>
          </cell>
        </row>
        <row r="95">
          <cell r="B95" t="str">
            <v>Rotary Wing</v>
          </cell>
          <cell r="C95" t="str">
            <v>C-130 International</v>
          </cell>
          <cell r="I95" t="str">
            <v>Common Avionics Architecture System (CAAS)</v>
          </cell>
          <cell r="K95">
            <v>0.25</v>
          </cell>
          <cell r="L95">
            <v>0.23</v>
          </cell>
          <cell r="M95">
            <v>0.23</v>
          </cell>
          <cell r="N95">
            <v>0.22750000000000001</v>
          </cell>
          <cell r="O95">
            <v>0.21199999999999999</v>
          </cell>
          <cell r="P95">
            <v>0.223</v>
          </cell>
          <cell r="Q95">
            <v>0.20799999999999999</v>
          </cell>
          <cell r="R95">
            <v>0.22</v>
          </cell>
          <cell r="S95">
            <v>100</v>
          </cell>
          <cell r="T95">
            <v>100</v>
          </cell>
          <cell r="U95">
            <v>100</v>
          </cell>
          <cell r="V95">
            <v>100</v>
          </cell>
          <cell r="W95">
            <v>100</v>
          </cell>
          <cell r="X95">
            <v>100</v>
          </cell>
          <cell r="Y95">
            <v>100</v>
          </cell>
          <cell r="Z95">
            <v>100</v>
          </cell>
          <cell r="AA95">
            <v>100</v>
          </cell>
          <cell r="AB95" t="str">
            <v>Look at LMT</v>
          </cell>
          <cell r="AC95">
            <v>175</v>
          </cell>
          <cell r="AD95" t="str">
            <v>Comment in old transcript</v>
          </cell>
          <cell r="AE95">
            <v>0.217</v>
          </cell>
          <cell r="AF95" t="str">
            <v>Big program</v>
          </cell>
          <cell r="AG95" t="str">
            <v>http://www.rockwellcollins.com/products/gov/airborne/tanker-transport/c130/index.html</v>
          </cell>
          <cell r="AH95">
            <v>0.21</v>
          </cell>
          <cell r="AK95" t="str">
            <v>http://www.rockwellcollins.com/products/gov/airborne/tanker-transport/boeing767/index.html</v>
          </cell>
        </row>
        <row r="96">
          <cell r="B96" t="str">
            <v>Rotary Wing</v>
          </cell>
          <cell r="C96" t="str">
            <v>C-130 AMP (USAF Avionics Modernization Program)</v>
          </cell>
          <cell r="I96" t="str">
            <v>Common Avionics Architecture System (CAAS)</v>
          </cell>
          <cell r="S96">
            <v>125</v>
          </cell>
          <cell r="T96">
            <v>125</v>
          </cell>
          <cell r="U96">
            <v>125</v>
          </cell>
          <cell r="V96">
            <v>125</v>
          </cell>
          <cell r="W96">
            <v>125</v>
          </cell>
          <cell r="X96">
            <v>125</v>
          </cell>
          <cell r="Y96">
            <v>125</v>
          </cell>
          <cell r="Z96">
            <v>125</v>
          </cell>
          <cell r="AA96">
            <v>0</v>
          </cell>
          <cell r="AB96" t="str">
            <v>Look at LMT</v>
          </cell>
          <cell r="AC96">
            <v>0</v>
          </cell>
          <cell r="AD96">
            <v>0</v>
          </cell>
          <cell r="AF96" t="str">
            <v>Spring 2010</v>
          </cell>
          <cell r="AG96" t="str">
            <v>http://www.rockwellcollins.com/products/gov/airborne/cargo-utility/chmh53e/index.html</v>
          </cell>
          <cell r="AK96" t="str">
            <v>http://www.rockwellcollins.com/products/gov/airborne/tanker-transport/c130/index.html</v>
          </cell>
        </row>
        <row r="97">
          <cell r="B97" t="str">
            <v>Surface Solutions</v>
          </cell>
          <cell r="C97" t="str">
            <v>UH-60M Black Hawk</v>
          </cell>
          <cell r="K97">
            <v>45.15</v>
          </cell>
          <cell r="L97">
            <v>50.199999999999996</v>
          </cell>
          <cell r="M97">
            <v>39.700000000000003</v>
          </cell>
          <cell r="N97">
            <v>46.495000000000005</v>
          </cell>
          <cell r="O97">
            <v>55.944000000000003</v>
          </cell>
          <cell r="P97">
            <v>50.716000000000001</v>
          </cell>
          <cell r="Q97">
            <v>39.700000000000003</v>
          </cell>
          <cell r="R97">
            <v>42.48</v>
          </cell>
          <cell r="S97">
            <v>125</v>
          </cell>
          <cell r="T97">
            <v>125</v>
          </cell>
          <cell r="U97">
            <v>125</v>
          </cell>
          <cell r="V97">
            <v>125</v>
          </cell>
          <cell r="W97">
            <v>125</v>
          </cell>
          <cell r="X97">
            <v>125</v>
          </cell>
          <cell r="Y97">
            <v>125</v>
          </cell>
          <cell r="Z97">
            <v>125</v>
          </cell>
          <cell r="AA97">
            <v>100</v>
          </cell>
          <cell r="AB97" t="str">
            <v>Now on block 45</v>
          </cell>
          <cell r="AC97">
            <v>100</v>
          </cell>
          <cell r="AD97" t="str">
            <v>Comment in old transcript</v>
          </cell>
          <cell r="AE97">
            <v>143.5</v>
          </cell>
          <cell r="AF97" t="str">
            <v>Look at LMT</v>
          </cell>
          <cell r="AG97" t="str">
            <v>http://www.rockwellcollins.com/products/gov/airborne/cargo-utility/uh60m/index.html</v>
          </cell>
          <cell r="AH97" t="str">
            <v>Comment in old transcript</v>
          </cell>
          <cell r="AK97" t="str">
            <v>http://www.rockwellcollins.com/products/gov/airborne/tanker-transport/c130/index.html</v>
          </cell>
        </row>
        <row r="98">
          <cell r="B98" t="str">
            <v>Total</v>
          </cell>
          <cell r="C98" t="str">
            <v>International Black Hawk</v>
          </cell>
          <cell r="I98" t="str">
            <v>Common Avionics Architecture System (CAAS)</v>
          </cell>
          <cell r="K98">
            <v>0.22688442211055276</v>
          </cell>
          <cell r="L98">
            <v>0.18872180451127818</v>
          </cell>
          <cell r="M98">
            <v>0.19271844660194176</v>
          </cell>
          <cell r="N98">
            <v>0.19535714285714287</v>
          </cell>
          <cell r="O98">
            <v>0.19028571428571431</v>
          </cell>
          <cell r="P98">
            <v>0.18714391143911441</v>
          </cell>
          <cell r="Q98">
            <v>0.18726415094339624</v>
          </cell>
          <cell r="R98">
            <v>0.19397260273972602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 t="str">
            <v>Look at UTX</v>
          </cell>
          <cell r="AC98">
            <v>0</v>
          </cell>
          <cell r="AD98">
            <v>0</v>
          </cell>
          <cell r="AE98">
            <v>0.19133333333333333</v>
          </cell>
          <cell r="AF98" t="str">
            <v>Look at LMT</v>
          </cell>
          <cell r="AG98" t="str">
            <v>http://www.rockwellcollins.com/products/gov/airborne/cargo-utility/uh60m/index.html</v>
          </cell>
          <cell r="AH98">
            <v>0.19540540540540541</v>
          </cell>
          <cell r="AJ98" t="str">
            <v>Airborne/Surface equivalent margins; assumes some erosion from return of bonuses (frozen FY09)</v>
          </cell>
        </row>
        <row r="99">
          <cell r="C99" t="str">
            <v>CH-47 Chinook</v>
          </cell>
          <cell r="S99">
            <v>125</v>
          </cell>
          <cell r="T99">
            <v>125</v>
          </cell>
          <cell r="U99">
            <v>125</v>
          </cell>
          <cell r="V99">
            <v>125</v>
          </cell>
          <cell r="W99">
            <v>125</v>
          </cell>
          <cell r="X99">
            <v>125</v>
          </cell>
          <cell r="Y99">
            <v>125</v>
          </cell>
          <cell r="Z99">
            <v>125</v>
          </cell>
          <cell r="AA99">
            <v>125</v>
          </cell>
          <cell r="AB99" t="str">
            <v>Look at UTX</v>
          </cell>
          <cell r="AC99">
            <v>125</v>
          </cell>
          <cell r="AD99">
            <v>125</v>
          </cell>
          <cell r="AF99" t="str">
            <v>Now on block 45</v>
          </cell>
          <cell r="AG99" t="str">
            <v>http://www.rockwellcollins.com/products/gov/airborne/cargo-utility/ch47/index.html</v>
          </cell>
          <cell r="AH99" t="str">
            <v>Comment in old transcript</v>
          </cell>
          <cell r="AK99" t="str">
            <v>http://www.rockwellcollins.com/products/gov/airborne/tanker-transport/kc135/index.html</v>
          </cell>
        </row>
        <row r="100">
          <cell r="B100" t="str">
            <v>Total</v>
          </cell>
          <cell r="C100" t="str">
            <v>CH-47 Chinook</v>
          </cell>
          <cell r="E100">
            <v>115</v>
          </cell>
          <cell r="F100">
            <v>115</v>
          </cell>
          <cell r="G100">
            <v>131</v>
          </cell>
          <cell r="H100">
            <v>125</v>
          </cell>
          <cell r="I100" t="str">
            <v>Common Avionics Architecture System (CAAS)</v>
          </cell>
          <cell r="J100">
            <v>145</v>
          </cell>
          <cell r="K100">
            <v>158.15</v>
          </cell>
          <cell r="L100">
            <v>159.44999999999999</v>
          </cell>
          <cell r="M100">
            <v>134</v>
          </cell>
          <cell r="N100">
            <v>150.00749999999999</v>
          </cell>
          <cell r="O100">
            <v>153.464</v>
          </cell>
          <cell r="P100">
            <v>168.23699999999999</v>
          </cell>
          <cell r="Q100">
            <v>130.804</v>
          </cell>
          <cell r="R100">
            <v>151.82</v>
          </cell>
          <cell r="S100">
            <v>375</v>
          </cell>
          <cell r="T100">
            <v>375</v>
          </cell>
          <cell r="U100">
            <v>375</v>
          </cell>
          <cell r="V100">
            <v>375</v>
          </cell>
          <cell r="W100">
            <v>375</v>
          </cell>
          <cell r="X100">
            <v>375</v>
          </cell>
          <cell r="Y100">
            <v>375</v>
          </cell>
          <cell r="Z100">
            <v>375</v>
          </cell>
          <cell r="AA100">
            <v>325</v>
          </cell>
          <cell r="AB100">
            <v>375</v>
          </cell>
          <cell r="AC100">
            <v>400</v>
          </cell>
          <cell r="AD100">
            <v>425</v>
          </cell>
          <cell r="AE100">
            <v>569.5</v>
          </cell>
          <cell r="AF100">
            <v>609.625</v>
          </cell>
          <cell r="AG100" t="str">
            <v>http://www.rockwellcollins.com/products/gov/airborne/cargo-utility/ch47/index.html</v>
          </cell>
          <cell r="AH100">
            <v>653.25</v>
          </cell>
        </row>
        <row r="101">
          <cell r="B101" t="str">
            <v>Total</v>
          </cell>
          <cell r="C101" t="str">
            <v>USMC CH/MH-53E</v>
          </cell>
          <cell r="E101">
            <v>0.21023765996343693</v>
          </cell>
          <cell r="F101">
            <v>0.19965277777777779</v>
          </cell>
          <cell r="G101">
            <v>0.21581548599670511</v>
          </cell>
          <cell r="H101">
            <v>0.19654088050314467</v>
          </cell>
          <cell r="I101">
            <v>0.24390243902439024</v>
          </cell>
          <cell r="J101">
            <v>0.2365415986949429</v>
          </cell>
          <cell r="K101">
            <v>0.24293394777265745</v>
          </cell>
          <cell r="L101">
            <v>0.2151821862348178</v>
          </cell>
          <cell r="M101">
            <v>0.21753246753246752</v>
          </cell>
          <cell r="N101">
            <v>0.21646103896103894</v>
          </cell>
          <cell r="O101">
            <v>0.20353315649867373</v>
          </cell>
          <cell r="P101">
            <v>0.21082330827067669</v>
          </cell>
          <cell r="Q101">
            <v>0.20123692307692309</v>
          </cell>
          <cell r="R101">
            <v>0.2120391061452514</v>
          </cell>
          <cell r="S101">
            <v>125</v>
          </cell>
          <cell r="T101">
            <v>125</v>
          </cell>
          <cell r="U101">
            <v>125</v>
          </cell>
          <cell r="V101">
            <v>125</v>
          </cell>
          <cell r="W101">
            <v>125</v>
          </cell>
          <cell r="X101">
            <v>125</v>
          </cell>
          <cell r="Y101">
            <v>125</v>
          </cell>
          <cell r="Z101">
            <v>125</v>
          </cell>
          <cell r="AA101">
            <v>125</v>
          </cell>
          <cell r="AB101" t="str">
            <v>Look at UTX</v>
          </cell>
          <cell r="AC101">
            <v>125</v>
          </cell>
          <cell r="AD101">
            <v>125</v>
          </cell>
          <cell r="AE101">
            <v>0.2070909090909091</v>
          </cell>
          <cell r="AF101">
            <v>0.20841880341880342</v>
          </cell>
          <cell r="AG101" t="str">
            <v>http://www.rockwellcollins.com/products/gov/airborne/cargo-utility/chmh53e/index.html</v>
          </cell>
          <cell r="AH101">
            <v>0.20574803149606299</v>
          </cell>
          <cell r="AK101" t="str">
            <v>http://www.rockwellcollins.com/products/gov/airborne/cargo-utility/chmh53e/index.html</v>
          </cell>
        </row>
        <row r="102">
          <cell r="B102" t="str">
            <v>Special Mission</v>
          </cell>
          <cell r="C102" t="str">
            <v>UH-60M Black Hawk</v>
          </cell>
          <cell r="E102">
            <v>115</v>
          </cell>
          <cell r="F102">
            <v>115</v>
          </cell>
          <cell r="G102">
            <v>131</v>
          </cell>
          <cell r="H102">
            <v>125</v>
          </cell>
          <cell r="I102" t="str">
            <v>Common Avionics Architecture System (CAAS)</v>
          </cell>
          <cell r="J102">
            <v>145</v>
          </cell>
          <cell r="K102">
            <v>158</v>
          </cell>
          <cell r="L102">
            <v>159</v>
          </cell>
          <cell r="M102">
            <v>134</v>
          </cell>
          <cell r="N102">
            <v>150</v>
          </cell>
          <cell r="O102">
            <v>153</v>
          </cell>
          <cell r="P102">
            <v>169</v>
          </cell>
          <cell r="Q102">
            <v>131</v>
          </cell>
          <cell r="R102">
            <v>150</v>
          </cell>
          <cell r="S102">
            <v>125</v>
          </cell>
          <cell r="T102">
            <v>125</v>
          </cell>
          <cell r="U102">
            <v>125</v>
          </cell>
          <cell r="V102">
            <v>125</v>
          </cell>
          <cell r="W102">
            <v>125</v>
          </cell>
          <cell r="X102">
            <v>125</v>
          </cell>
          <cell r="Y102">
            <v>125</v>
          </cell>
          <cell r="Z102">
            <v>125</v>
          </cell>
          <cell r="AA102">
            <v>125</v>
          </cell>
          <cell r="AB102">
            <v>125</v>
          </cell>
          <cell r="AC102">
            <v>125</v>
          </cell>
          <cell r="AD102">
            <v>125</v>
          </cell>
          <cell r="AE102">
            <v>569.5</v>
          </cell>
          <cell r="AF102">
            <v>609.625</v>
          </cell>
          <cell r="AG102" t="str">
            <v>http://www.rockwellcollins.com/products/gov/airborne/cargo-utility/uh60m/index.html</v>
          </cell>
          <cell r="AH102">
            <v>653.25</v>
          </cell>
          <cell r="AK102" t="str">
            <v>http://www.rockwellcollins.com/products/gov/airborne/cargo-utility/uh60m/index.html</v>
          </cell>
        </row>
        <row r="103">
          <cell r="B103" t="str">
            <v>Special Mission</v>
          </cell>
          <cell r="C103" t="str">
            <v>International Black Hawk</v>
          </cell>
          <cell r="S103">
            <v>25</v>
          </cell>
          <cell r="T103">
            <v>25</v>
          </cell>
          <cell r="U103">
            <v>25</v>
          </cell>
          <cell r="V103">
            <v>25</v>
          </cell>
          <cell r="W103">
            <v>25</v>
          </cell>
          <cell r="X103">
            <v>25</v>
          </cell>
          <cell r="Y103">
            <v>25</v>
          </cell>
          <cell r="Z103">
            <v>25</v>
          </cell>
          <cell r="AA103">
            <v>125</v>
          </cell>
          <cell r="AB103" t="str">
            <v>Look at UTX</v>
          </cell>
          <cell r="AC103">
            <v>125</v>
          </cell>
          <cell r="AD103">
            <v>125</v>
          </cell>
          <cell r="AF103" t="str">
            <v>Look at UTX</v>
          </cell>
          <cell r="AG103" t="str">
            <v>http://www.rockwellcollins.com/products/gov/airborne/special-mission/commando-solo/index.html</v>
          </cell>
          <cell r="AK103" t="str">
            <v>http://www.rockwellcollins.com/products/gov/airborne/cargo-utility/chmh53e/index.html</v>
          </cell>
        </row>
        <row r="104">
          <cell r="B104" t="str">
            <v>Incremental Y/Y Margins</v>
          </cell>
          <cell r="C104" t="str">
            <v>E-6B Mercury</v>
          </cell>
          <cell r="I104">
            <v>0.92592592592592593</v>
          </cell>
          <cell r="J104">
            <v>0.81081081081081086</v>
          </cell>
          <cell r="K104">
            <v>0.61704545454545467</v>
          </cell>
          <cell r="L104">
            <v>0.328095238095238</v>
          </cell>
          <cell r="M104">
            <v>-0.14285714285714285</v>
          </cell>
          <cell r="N104">
            <v>6.259374999999992E-2</v>
          </cell>
          <cell r="O104">
            <v>-4.5495145631068032E-2</v>
          </cell>
          <cell r="P104">
            <v>0.15415789473684222</v>
          </cell>
          <cell r="Q104">
            <v>-9.3999999999999945E-2</v>
          </cell>
          <cell r="R104">
            <v>7.880434782608696E-2</v>
          </cell>
          <cell r="S104">
            <v>25</v>
          </cell>
          <cell r="T104">
            <v>25</v>
          </cell>
          <cell r="U104">
            <v>25</v>
          </cell>
          <cell r="V104">
            <v>25</v>
          </cell>
          <cell r="W104">
            <v>25</v>
          </cell>
          <cell r="X104">
            <v>25</v>
          </cell>
          <cell r="Y104">
            <v>25</v>
          </cell>
          <cell r="Z104">
            <v>25</v>
          </cell>
          <cell r="AA104">
            <v>125</v>
          </cell>
          <cell r="AB104">
            <v>125</v>
          </cell>
          <cell r="AC104">
            <v>125</v>
          </cell>
          <cell r="AD104">
            <v>125</v>
          </cell>
          <cell r="AE104">
            <v>0.10244444444444475</v>
          </cell>
          <cell r="AF104">
            <v>0.22928571428571429</v>
          </cell>
          <cell r="AG104" t="str">
            <v>http://www.rockwellcollins.com/products/gov/airborne/special-mission/e6b/index.html</v>
          </cell>
          <cell r="AH104">
            <v>0.21740740740740758</v>
          </cell>
          <cell r="AK104" t="str">
            <v>http://www.rockwellcollins.com/products/gov/airborne/cargo-utility/uh60m/index.html</v>
          </cell>
        </row>
        <row r="105">
          <cell r="B105" t="str">
            <v>Total</v>
          </cell>
          <cell r="C105" t="str">
            <v>U.S. Coast Guard Deepwater</v>
          </cell>
          <cell r="S105">
            <v>25</v>
          </cell>
          <cell r="T105">
            <v>25</v>
          </cell>
          <cell r="U105">
            <v>25</v>
          </cell>
          <cell r="V105">
            <v>25</v>
          </cell>
          <cell r="W105">
            <v>25</v>
          </cell>
          <cell r="X105">
            <v>25</v>
          </cell>
          <cell r="Y105">
            <v>25</v>
          </cell>
          <cell r="Z105">
            <v>25</v>
          </cell>
          <cell r="AA105" t="str">
            <v>- avionics update CN235-300M a/c</v>
          </cell>
          <cell r="AB105">
            <v>0</v>
          </cell>
          <cell r="AC105">
            <v>0</v>
          </cell>
          <cell r="AD105">
            <v>0</v>
          </cell>
          <cell r="AF105" t="str">
            <v>Look at UTX</v>
          </cell>
          <cell r="AG105" t="str">
            <v>http://www.rockwellcollins.com/products/gov/airborne/special-mission/deepwater/index.html</v>
          </cell>
        </row>
        <row r="106">
          <cell r="C106" t="str">
            <v>Joint STARS (Surveillance Target Attack Radar System)</v>
          </cell>
          <cell r="S106">
            <v>25</v>
          </cell>
          <cell r="T106">
            <v>25</v>
          </cell>
          <cell r="U106">
            <v>25</v>
          </cell>
          <cell r="V106">
            <v>25</v>
          </cell>
          <cell r="W106">
            <v>25</v>
          </cell>
          <cell r="X106">
            <v>25</v>
          </cell>
          <cell r="Y106">
            <v>25</v>
          </cell>
          <cell r="Z106">
            <v>25</v>
          </cell>
          <cell r="AA106" t="str">
            <v>- avionics update CN235-300M a/c</v>
          </cell>
          <cell r="AB106">
            <v>125</v>
          </cell>
          <cell r="AC106">
            <v>125</v>
          </cell>
          <cell r="AD106">
            <v>125</v>
          </cell>
          <cell r="AG106" t="str">
            <v>http://www.rockwellcollins.com/products/gov/airborne/special-mission/joint-stars/index.html</v>
          </cell>
          <cell r="AK106" t="str">
            <v>http://www.rockwellcollins.com/products/gov/airborne/cargo-utility/ch47/index.html</v>
          </cell>
        </row>
        <row r="107">
          <cell r="B107" t="str">
            <v>Special Mission</v>
          </cell>
          <cell r="C107" t="str">
            <v>P-3 Orion</v>
          </cell>
          <cell r="S107">
            <v>25</v>
          </cell>
          <cell r="T107">
            <v>25</v>
          </cell>
          <cell r="U107">
            <v>25</v>
          </cell>
          <cell r="V107">
            <v>25</v>
          </cell>
          <cell r="W107">
            <v>25</v>
          </cell>
          <cell r="X107">
            <v>25</v>
          </cell>
          <cell r="Y107">
            <v>25</v>
          </cell>
          <cell r="Z107">
            <v>25</v>
          </cell>
          <cell r="AA107">
            <v>375</v>
          </cell>
          <cell r="AB107">
            <v>375</v>
          </cell>
          <cell r="AC107">
            <v>375</v>
          </cell>
          <cell r="AD107">
            <v>375</v>
          </cell>
          <cell r="AG107" t="str">
            <v>http://www.rockwellcollins.com/products/gov/airborne/special-mission/p3/index.html</v>
          </cell>
        </row>
        <row r="108">
          <cell r="C108" t="str">
            <v>S-92 Multi-Mission</v>
          </cell>
          <cell r="S108">
            <v>50</v>
          </cell>
          <cell r="T108">
            <v>50</v>
          </cell>
          <cell r="U108">
            <v>50</v>
          </cell>
          <cell r="V108">
            <v>50</v>
          </cell>
          <cell r="W108">
            <v>50</v>
          </cell>
          <cell r="X108">
            <v>50</v>
          </cell>
          <cell r="Y108">
            <v>50</v>
          </cell>
          <cell r="Z108">
            <v>50</v>
          </cell>
          <cell r="AA108" t="str">
            <v>- avionics update CN235-300M a/c</v>
          </cell>
          <cell r="AB108" t="str">
            <v>Look at UTX</v>
          </cell>
          <cell r="AC108">
            <v>25</v>
          </cell>
          <cell r="AD108">
            <v>25</v>
          </cell>
          <cell r="AE108" t="str">
            <v>Cuts during F3Q11</v>
          </cell>
          <cell r="AG108" t="str">
            <v>http://www.rockwellcollins.com/products/gov/airborne/special-mission/civil-transport/index.html</v>
          </cell>
          <cell r="AK108" t="str">
            <v>http://www.rockwellcollins.com/products/gov/airborne/special-mission/commando-solo/index.html</v>
          </cell>
        </row>
        <row r="109">
          <cell r="B109" t="str">
            <v>Special Mission</v>
          </cell>
          <cell r="C109" t="str">
            <v>U.S. Coast Guard MH-60T</v>
          </cell>
          <cell r="S109">
            <v>50</v>
          </cell>
          <cell r="T109">
            <v>50</v>
          </cell>
          <cell r="U109">
            <v>50</v>
          </cell>
          <cell r="V109">
            <v>50</v>
          </cell>
          <cell r="W109">
            <v>50</v>
          </cell>
          <cell r="X109">
            <v>50</v>
          </cell>
          <cell r="Y109">
            <v>50</v>
          </cell>
          <cell r="Z109">
            <v>50</v>
          </cell>
          <cell r="AA109">
            <v>25</v>
          </cell>
          <cell r="AB109" t="str">
            <v>Look at UTX</v>
          </cell>
          <cell r="AC109">
            <v>25</v>
          </cell>
          <cell r="AD109">
            <v>25</v>
          </cell>
          <cell r="AE109" t="str">
            <v>-Thre GEMS, secured communication..  20</v>
          </cell>
          <cell r="AG109" t="str">
            <v>http://www.rockwellcollins.com/products/gov/airborne/special-mission/mh-60t/index.html</v>
          </cell>
          <cell r="AI109" t="str">
            <v>Communications</v>
          </cell>
          <cell r="AK109" t="str">
            <v>http://www.rockwellcollins.com/products/gov/airborne/special-mission/e6b/index.html</v>
          </cell>
        </row>
        <row r="110">
          <cell r="C110" t="str">
            <v>S-70B SEAHAWK</v>
          </cell>
          <cell r="S110">
            <v>50</v>
          </cell>
          <cell r="T110">
            <v>50</v>
          </cell>
          <cell r="U110">
            <v>50</v>
          </cell>
          <cell r="V110">
            <v>50</v>
          </cell>
          <cell r="W110">
            <v>50</v>
          </cell>
          <cell r="X110">
            <v>50</v>
          </cell>
          <cell r="Y110">
            <v>50</v>
          </cell>
          <cell r="Z110">
            <v>50</v>
          </cell>
          <cell r="AA110" t="str">
            <v>- avionics update CN235-300M a/c</v>
          </cell>
          <cell r="AB110" t="str">
            <v>Look at UTX</v>
          </cell>
          <cell r="AC110">
            <v>25</v>
          </cell>
          <cell r="AD110">
            <v>25</v>
          </cell>
          <cell r="AE110" t="str">
            <v>- avionics update CN235-300M a/c</v>
          </cell>
          <cell r="AG110" t="str">
            <v>http://www.rockwellcollins.com/products/gov/airborne/special-mission/s-70b/index.html</v>
          </cell>
          <cell r="AI110" t="str">
            <v>Surface</v>
          </cell>
          <cell r="AK110" t="str">
            <v>http://www.rockwellcollins.com/products/gov/airborne/special-mission/commando-solo/index.html</v>
          </cell>
        </row>
        <row r="111">
          <cell r="C111" t="str">
            <v>USMC VH-60N (Presidential Helicopter)</v>
          </cell>
          <cell r="S111">
            <v>25</v>
          </cell>
          <cell r="T111">
            <v>25</v>
          </cell>
          <cell r="U111">
            <v>25</v>
          </cell>
          <cell r="V111">
            <v>25</v>
          </cell>
          <cell r="W111">
            <v>25</v>
          </cell>
          <cell r="X111">
            <v>25</v>
          </cell>
          <cell r="Y111">
            <v>25</v>
          </cell>
          <cell r="Z111">
            <v>25</v>
          </cell>
          <cell r="AA111">
            <v>25</v>
          </cell>
          <cell r="AB111" t="str">
            <v>Look at UTX</v>
          </cell>
          <cell r="AC111">
            <v>25</v>
          </cell>
          <cell r="AD111">
            <v>25</v>
          </cell>
          <cell r="AE111" t="str">
            <v>Integrated Combat… 20</v>
          </cell>
          <cell r="AG111" t="str">
            <v>http://www.rockwellcollins.com/products/gov/airborne/special-mission/vh-60n/index.html</v>
          </cell>
          <cell r="AI111" t="str">
            <v>Surface</v>
          </cell>
          <cell r="AK111" t="str">
            <v>http://www.rockwellcollins.com/products/gov/airborne/special-mission/e6b/index.html</v>
          </cell>
        </row>
        <row r="112">
          <cell r="B112" t="str">
            <v>Total</v>
          </cell>
          <cell r="C112" t="str">
            <v>P-3 Orion</v>
          </cell>
          <cell r="S112">
            <v>300</v>
          </cell>
          <cell r="T112">
            <v>300</v>
          </cell>
          <cell r="U112">
            <v>300</v>
          </cell>
          <cell r="V112">
            <v>300</v>
          </cell>
          <cell r="W112">
            <v>300</v>
          </cell>
          <cell r="X112">
            <v>300</v>
          </cell>
          <cell r="Y112">
            <v>300</v>
          </cell>
          <cell r="Z112">
            <v>300</v>
          </cell>
          <cell r="AA112">
            <v>25</v>
          </cell>
          <cell r="AB112" t="str">
            <v>Look at UTX</v>
          </cell>
          <cell r="AC112">
            <v>25</v>
          </cell>
          <cell r="AD112">
            <v>25</v>
          </cell>
          <cell r="AE112" t="str">
            <v>- avionics update CN235-300M a/c</v>
          </cell>
          <cell r="AG112" t="str">
            <v>http://www.rockwellcollins.com/products/gov/airborne/special-mission/p3/index.html</v>
          </cell>
          <cell r="AK112" t="str">
            <v>http://www.rockwellcollins.com/products/gov/airborne/special-mission/deepwater/index.html</v>
          </cell>
        </row>
        <row r="113">
          <cell r="B113" t="str">
            <v>Total</v>
          </cell>
          <cell r="C113" t="str">
            <v>S-92 Multi-Mission</v>
          </cell>
          <cell r="S113">
            <v>50</v>
          </cell>
          <cell r="T113">
            <v>50</v>
          </cell>
          <cell r="U113">
            <v>50</v>
          </cell>
          <cell r="V113">
            <v>50</v>
          </cell>
          <cell r="W113">
            <v>50</v>
          </cell>
          <cell r="X113">
            <v>50</v>
          </cell>
          <cell r="Y113">
            <v>50</v>
          </cell>
          <cell r="Z113">
            <v>50</v>
          </cell>
          <cell r="AA113">
            <v>25</v>
          </cell>
          <cell r="AB113" t="str">
            <v>Look at UTX</v>
          </cell>
          <cell r="AC113">
            <v>25</v>
          </cell>
          <cell r="AD113">
            <v>25</v>
          </cell>
          <cell r="AE113" t="str">
            <v>Additonal cuts post F3Q11</v>
          </cell>
          <cell r="AF113" t="str">
            <v>Look at UTX</v>
          </cell>
          <cell r="AG113" t="str">
            <v>http://www.rockwellcollins.com/products/gov/airborne/special-mission/civil-transport/index.html</v>
          </cell>
          <cell r="AK113" t="str">
            <v>http://www.rockwellcollins.com/products/gov/airborne/special-mission/joint-stars/index.html</v>
          </cell>
        </row>
        <row r="114">
          <cell r="B114" t="str">
            <v>Fighter / Bomber</v>
          </cell>
          <cell r="C114" t="str">
            <v>U.S. Coast Guard MH-60T</v>
          </cell>
          <cell r="S114">
            <v>50</v>
          </cell>
          <cell r="T114">
            <v>50</v>
          </cell>
          <cell r="U114">
            <v>50</v>
          </cell>
          <cell r="V114">
            <v>50</v>
          </cell>
          <cell r="W114">
            <v>50</v>
          </cell>
          <cell r="X114">
            <v>50</v>
          </cell>
          <cell r="Y114">
            <v>50</v>
          </cell>
          <cell r="Z114">
            <v>50</v>
          </cell>
          <cell r="AA114">
            <v>25</v>
          </cell>
          <cell r="AB114" t="str">
            <v>Look at UTX</v>
          </cell>
          <cell r="AC114">
            <v>25</v>
          </cell>
          <cell r="AD114">
            <v>25</v>
          </cell>
          <cell r="AE114" t="str">
            <v>-- DAGR $75mn drawdown due to lower optempo, mostly first half</v>
          </cell>
          <cell r="AF114" t="str">
            <v>Look at UTX</v>
          </cell>
          <cell r="AG114" t="str">
            <v>http://www.rockwellcollins.com/products/gov/airborne/special-mission/mh-60t/index.html</v>
          </cell>
          <cell r="AK114" t="str">
            <v>http://www.rockwellcollins.com/products/gov/airborne/special-mission/p3/index.html</v>
          </cell>
        </row>
        <row r="115">
          <cell r="B115" t="str">
            <v>Fighter / Bomber</v>
          </cell>
          <cell r="C115" t="str">
            <v>S-70B SEAHAWK</v>
          </cell>
          <cell r="S115">
            <v>20</v>
          </cell>
          <cell r="T115">
            <v>20</v>
          </cell>
          <cell r="U115">
            <v>20</v>
          </cell>
          <cell r="V115">
            <v>20</v>
          </cell>
          <cell r="W115">
            <v>20</v>
          </cell>
          <cell r="X115">
            <v>20</v>
          </cell>
          <cell r="Y115">
            <v>20</v>
          </cell>
          <cell r="Z115">
            <v>20</v>
          </cell>
          <cell r="AA115">
            <v>50</v>
          </cell>
          <cell r="AB115" t="str">
            <v>Look at UTX</v>
          </cell>
          <cell r="AC115">
            <v>50</v>
          </cell>
          <cell r="AD115">
            <v>50</v>
          </cell>
          <cell r="AE115" t="str">
            <v>$100mn total impact from lower OCO (from $150 to $50)</v>
          </cell>
          <cell r="AF115" t="str">
            <v>Look at UTX</v>
          </cell>
          <cell r="AG115" t="str">
            <v>http://www.rockwellcollins.com/products/gov/airborne/fighters/f15/index.html</v>
          </cell>
          <cell r="AK115" t="str">
            <v>http://www.rockwellcollins.com/products/gov/airborne/special-mission/civil-transport/index.html</v>
          </cell>
        </row>
        <row r="116">
          <cell r="C116" t="str">
            <v>F-16 Fighting Falcon</v>
          </cell>
          <cell r="S116">
            <v>20</v>
          </cell>
          <cell r="T116">
            <v>20</v>
          </cell>
          <cell r="U116">
            <v>20</v>
          </cell>
          <cell r="V116">
            <v>20</v>
          </cell>
          <cell r="W116">
            <v>20</v>
          </cell>
          <cell r="X116">
            <v>20</v>
          </cell>
          <cell r="Y116">
            <v>20</v>
          </cell>
          <cell r="Z116">
            <v>20</v>
          </cell>
          <cell r="AA116">
            <v>50</v>
          </cell>
          <cell r="AB116">
            <v>50</v>
          </cell>
          <cell r="AC116">
            <v>50</v>
          </cell>
          <cell r="AD116">
            <v>50</v>
          </cell>
          <cell r="AF116" t="str">
            <v>Look at UTX</v>
          </cell>
          <cell r="AG116" t="str">
            <v>http://www.rockwellcollins.com/products/gov/airborne/fighters/f16/index.html</v>
          </cell>
          <cell r="AK116" t="str">
            <v>http://www.rockwellcollins.com/products/gov/airborne/special-mission/mh-60t/index.html</v>
          </cell>
        </row>
        <row r="117">
          <cell r="B117" t="str">
            <v>Total</v>
          </cell>
          <cell r="C117" t="str">
            <v>F/A-18 Super Hornet</v>
          </cell>
          <cell r="S117">
            <v>20</v>
          </cell>
          <cell r="T117">
            <v>20</v>
          </cell>
          <cell r="U117">
            <v>20</v>
          </cell>
          <cell r="V117">
            <v>20</v>
          </cell>
          <cell r="W117">
            <v>20</v>
          </cell>
          <cell r="X117">
            <v>20</v>
          </cell>
          <cell r="Y117">
            <v>20</v>
          </cell>
          <cell r="Z117">
            <v>20</v>
          </cell>
          <cell r="AA117">
            <v>50</v>
          </cell>
          <cell r="AB117">
            <v>50</v>
          </cell>
          <cell r="AC117">
            <v>50</v>
          </cell>
          <cell r="AD117">
            <v>50</v>
          </cell>
          <cell r="AE117" t="str">
            <v>At Risk</v>
          </cell>
          <cell r="AF117" t="str">
            <v>Look at UTX</v>
          </cell>
          <cell r="AG117" t="str">
            <v>http://www.rockwellcollins.com/products/gov/airborne/fighters/f18/index.html</v>
          </cell>
          <cell r="AK117" t="str">
            <v>http://www.rockwellcollins.com/products/gov/airborne/special-mission/s-70b/index.html</v>
          </cell>
        </row>
        <row r="118">
          <cell r="C118" t="str">
            <v>F-22A Raptor</v>
          </cell>
          <cell r="S118">
            <v>20</v>
          </cell>
          <cell r="T118">
            <v>20</v>
          </cell>
          <cell r="U118">
            <v>20</v>
          </cell>
          <cell r="V118">
            <v>20</v>
          </cell>
          <cell r="W118">
            <v>20</v>
          </cell>
          <cell r="X118">
            <v>20</v>
          </cell>
          <cell r="Y118">
            <v>20</v>
          </cell>
          <cell r="Z118">
            <v>20</v>
          </cell>
          <cell r="AA118">
            <v>25</v>
          </cell>
          <cell r="AB118">
            <v>25</v>
          </cell>
          <cell r="AC118">
            <v>25</v>
          </cell>
          <cell r="AD118">
            <v>25</v>
          </cell>
          <cell r="AE118" t="str">
            <v>JTRS</v>
          </cell>
          <cell r="AG118" t="str">
            <v>http://www.rockwellcollins.com/products/gov/airborne/fighters/f22/index.html</v>
          </cell>
          <cell r="AK118" t="str">
            <v>http://www.rockwellcollins.com/products/gov/airborne/special-mission/vh-60n/index.html</v>
          </cell>
        </row>
        <row r="119">
          <cell r="B119" t="str">
            <v>Fighter / Bomber</v>
          </cell>
          <cell r="C119" t="str">
            <v>F-35 Joint Strike Fighter</v>
          </cell>
          <cell r="S119">
            <v>20</v>
          </cell>
          <cell r="T119">
            <v>20</v>
          </cell>
          <cell r="U119">
            <v>20</v>
          </cell>
          <cell r="V119">
            <v>20</v>
          </cell>
          <cell r="W119">
            <v>20</v>
          </cell>
          <cell r="X119">
            <v>20</v>
          </cell>
          <cell r="Y119">
            <v>20</v>
          </cell>
          <cell r="Z119">
            <v>20</v>
          </cell>
          <cell r="AA119">
            <v>300</v>
          </cell>
          <cell r="AB119">
            <v>300</v>
          </cell>
          <cell r="AC119">
            <v>300</v>
          </cell>
          <cell r="AD119">
            <v>300</v>
          </cell>
          <cell r="AE119" t="str">
            <v>-- GMR at risk - current a stop work order.. Already anticipated in guidance</v>
          </cell>
          <cell r="AG119" t="str">
            <v>http://www.rockwellcollins.com/products/gov/airborne/fighters/f35/index.html</v>
          </cell>
        </row>
        <row r="120">
          <cell r="C120" t="str">
            <v>B-1B Lancer</v>
          </cell>
          <cell r="S120">
            <v>20</v>
          </cell>
          <cell r="T120">
            <v>20</v>
          </cell>
          <cell r="U120">
            <v>20</v>
          </cell>
          <cell r="V120">
            <v>20</v>
          </cell>
          <cell r="W120">
            <v>20</v>
          </cell>
          <cell r="X120">
            <v>20</v>
          </cell>
          <cell r="Y120">
            <v>20</v>
          </cell>
          <cell r="Z120">
            <v>20</v>
          </cell>
          <cell r="AA120">
            <v>20</v>
          </cell>
          <cell r="AB120">
            <v>20</v>
          </cell>
          <cell r="AC120">
            <v>20</v>
          </cell>
          <cell r="AD120">
            <v>20</v>
          </cell>
          <cell r="AE120" t="str">
            <v>-- HMS (Manpack) - continuing to go forward</v>
          </cell>
          <cell r="AG120" t="str">
            <v>http://www.rockwellcollins.com/products/gov/airborne/fighters/B-1B/index.html</v>
          </cell>
          <cell r="AK120" t="str">
            <v>http://www.rockwellcollins.com/products/gov/airborne/fighters/f15/index.html</v>
          </cell>
        </row>
        <row r="121">
          <cell r="B121" t="str">
            <v>Fighter / Bomber</v>
          </cell>
          <cell r="C121" t="str">
            <v>B-52H</v>
          </cell>
          <cell r="S121">
            <v>20</v>
          </cell>
          <cell r="T121">
            <v>20</v>
          </cell>
          <cell r="U121">
            <v>20</v>
          </cell>
          <cell r="V121">
            <v>20</v>
          </cell>
          <cell r="W121">
            <v>20</v>
          </cell>
          <cell r="X121">
            <v>20</v>
          </cell>
          <cell r="Y121">
            <v>20</v>
          </cell>
          <cell r="Z121">
            <v>20</v>
          </cell>
          <cell r="AA121">
            <v>20</v>
          </cell>
          <cell r="AB121">
            <v>20</v>
          </cell>
          <cell r="AC121">
            <v>20</v>
          </cell>
          <cell r="AD121">
            <v>20</v>
          </cell>
          <cell r="AE121" t="str">
            <v>-- MIDS-J - currently delivering</v>
          </cell>
          <cell r="AG121" t="str">
            <v>http://www.rockwellcollins.com/products/gov/airborne/fighters/B-52/index.html</v>
          </cell>
          <cell r="AK121" t="str">
            <v>http://www.rockwellcollins.com/products/gov/airborne/fighters/f16/index.html</v>
          </cell>
        </row>
        <row r="122">
          <cell r="B122" t="str">
            <v>Pension</v>
          </cell>
          <cell r="C122" t="str">
            <v>Mirage 2000 (Dassault)</v>
          </cell>
          <cell r="S122">
            <v>20</v>
          </cell>
          <cell r="T122">
            <v>20</v>
          </cell>
          <cell r="U122">
            <v>20</v>
          </cell>
          <cell r="V122">
            <v>20</v>
          </cell>
          <cell r="W122">
            <v>20</v>
          </cell>
          <cell r="X122">
            <v>20</v>
          </cell>
          <cell r="Y122">
            <v>20</v>
          </cell>
          <cell r="Z122">
            <v>20</v>
          </cell>
          <cell r="AA122">
            <v>20</v>
          </cell>
          <cell r="AB122">
            <v>20</v>
          </cell>
          <cell r="AC122">
            <v>20</v>
          </cell>
          <cell r="AD122">
            <v>20</v>
          </cell>
          <cell r="AG122" t="str">
            <v>http://www.rockwellcollins.com/products/gov/airborne/fighters/mirage/index.html</v>
          </cell>
          <cell r="AK122" t="str">
            <v>http://www.rockwellcollins.com/products/gov/airborne/fighters/f15/index.html</v>
          </cell>
        </row>
        <row r="123">
          <cell r="B123" t="str">
            <v>San Jose</v>
          </cell>
          <cell r="C123" t="str">
            <v>Gripen (SAAB)</v>
          </cell>
          <cell r="S123">
            <v>20</v>
          </cell>
          <cell r="T123">
            <v>20</v>
          </cell>
          <cell r="U123">
            <v>20</v>
          </cell>
          <cell r="V123">
            <v>20</v>
          </cell>
          <cell r="W123">
            <v>20</v>
          </cell>
          <cell r="X123">
            <v>20</v>
          </cell>
          <cell r="Y123">
            <v>20</v>
          </cell>
          <cell r="Z123">
            <v>20</v>
          </cell>
          <cell r="AA123">
            <v>20</v>
          </cell>
          <cell r="AB123">
            <v>20</v>
          </cell>
          <cell r="AC123">
            <v>20</v>
          </cell>
          <cell r="AD123">
            <v>20</v>
          </cell>
          <cell r="AE123" t="str">
            <v>Opportunities</v>
          </cell>
          <cell r="AG123" t="str">
            <v>http://www.rockwellcollins.com/products/gov/airborne/fighters/gripen/index.html</v>
          </cell>
          <cell r="AK123" t="str">
            <v>http://www.rockwellcollins.com/products/gov/airborne/fighters/f16/index.html</v>
          </cell>
        </row>
        <row r="124">
          <cell r="B124" t="str">
            <v>Total</v>
          </cell>
          <cell r="C124" t="str">
            <v>F-35 Joint Strike Fighter</v>
          </cell>
          <cell r="S124">
            <v>180</v>
          </cell>
          <cell r="T124">
            <v>180</v>
          </cell>
          <cell r="U124">
            <v>180</v>
          </cell>
          <cell r="V124">
            <v>180</v>
          </cell>
          <cell r="W124">
            <v>180</v>
          </cell>
          <cell r="X124">
            <v>180</v>
          </cell>
          <cell r="Y124">
            <v>180</v>
          </cell>
          <cell r="Z124">
            <v>180</v>
          </cell>
          <cell r="AA124">
            <v>20</v>
          </cell>
          <cell r="AB124">
            <v>20</v>
          </cell>
          <cell r="AC124">
            <v>20</v>
          </cell>
          <cell r="AD124">
            <v>20</v>
          </cell>
          <cell r="AE124" t="str">
            <v>90% Fixed price, 50% on commercial terms</v>
          </cell>
          <cell r="AG124" t="str">
            <v>http://www.rockwellcollins.com/products/gov/airborne/fighters/f35/index.html</v>
          </cell>
          <cell r="AK124" t="str">
            <v>http://www.rockwellcollins.com/products/gov/airborne/fighters/f18/index.html</v>
          </cell>
        </row>
        <row r="125">
          <cell r="B125" t="str">
            <v>Total</v>
          </cell>
          <cell r="C125" t="str">
            <v>B-1B Lancer</v>
          </cell>
          <cell r="E125" t="b">
            <v>1</v>
          </cell>
          <cell r="F125" t="b">
            <v>1</v>
          </cell>
          <cell r="G125" t="b">
            <v>1</v>
          </cell>
          <cell r="H125" t="b">
            <v>1</v>
          </cell>
          <cell r="I125" t="b">
            <v>1</v>
          </cell>
          <cell r="J125" t="b">
            <v>1</v>
          </cell>
          <cell r="K125" t="b">
            <v>1</v>
          </cell>
          <cell r="L125" t="b">
            <v>1</v>
          </cell>
          <cell r="M125" t="b">
            <v>1</v>
          </cell>
          <cell r="N125" t="b">
            <v>1</v>
          </cell>
          <cell r="O125" t="b">
            <v>1</v>
          </cell>
          <cell r="P125" t="b">
            <v>1</v>
          </cell>
          <cell r="Q125" t="b">
            <v>0</v>
          </cell>
          <cell r="R125" t="b">
            <v>0</v>
          </cell>
          <cell r="S125">
            <v>20</v>
          </cell>
          <cell r="T125">
            <v>20</v>
          </cell>
          <cell r="U125">
            <v>20</v>
          </cell>
          <cell r="V125">
            <v>20</v>
          </cell>
          <cell r="W125">
            <v>20</v>
          </cell>
          <cell r="X125">
            <v>20</v>
          </cell>
          <cell r="Y125">
            <v>20</v>
          </cell>
          <cell r="Z125">
            <v>20</v>
          </cell>
          <cell r="AA125">
            <v>20</v>
          </cell>
          <cell r="AB125">
            <v>20</v>
          </cell>
          <cell r="AC125">
            <v>20</v>
          </cell>
          <cell r="AD125">
            <v>20</v>
          </cell>
          <cell r="AE125" t="b">
            <v>0</v>
          </cell>
          <cell r="AF125" t="b">
            <v>0</v>
          </cell>
          <cell r="AG125" t="str">
            <v>http://www.rockwellcollins.com/products/gov/airborne/fighters/B-1B/index.html</v>
          </cell>
          <cell r="AH125" t="b">
            <v>0</v>
          </cell>
          <cell r="AK125" t="str">
            <v>http://www.rockwellcollins.com/products/gov/airborne/fighters/f22/index.html</v>
          </cell>
        </row>
        <row r="126">
          <cell r="B126" t="str">
            <v>Unmanned Systems</v>
          </cell>
          <cell r="C126" t="str">
            <v>B-52H</v>
          </cell>
          <cell r="E126" t="b">
            <v>1</v>
          </cell>
          <cell r="F126" t="b">
            <v>1</v>
          </cell>
          <cell r="G126" t="b">
            <v>1</v>
          </cell>
          <cell r="H126" t="b">
            <v>1</v>
          </cell>
          <cell r="I126" t="b">
            <v>1</v>
          </cell>
          <cell r="J126" t="b">
            <v>1</v>
          </cell>
          <cell r="K126" t="b">
            <v>0</v>
          </cell>
          <cell r="L126" t="b">
            <v>0</v>
          </cell>
          <cell r="M126" t="b">
            <v>1</v>
          </cell>
          <cell r="N126" t="b">
            <v>0</v>
          </cell>
          <cell r="O126">
            <v>0.46399999999999864</v>
          </cell>
          <cell r="P126">
            <v>-0.76300000000000523</v>
          </cell>
          <cell r="Q126" t="b">
            <v>0</v>
          </cell>
          <cell r="R126" t="b">
            <v>0</v>
          </cell>
          <cell r="S126">
            <v>20</v>
          </cell>
          <cell r="T126">
            <v>20</v>
          </cell>
          <cell r="U126">
            <v>20</v>
          </cell>
          <cell r="V126">
            <v>20</v>
          </cell>
          <cell r="W126">
            <v>20</v>
          </cell>
          <cell r="X126">
            <v>20</v>
          </cell>
          <cell r="Y126">
            <v>20</v>
          </cell>
          <cell r="Z126">
            <v>20</v>
          </cell>
          <cell r="AA126">
            <v>20</v>
          </cell>
          <cell r="AB126">
            <v>20</v>
          </cell>
          <cell r="AC126">
            <v>20</v>
          </cell>
          <cell r="AD126">
            <v>20</v>
          </cell>
          <cell r="AE126" t="b">
            <v>1</v>
          </cell>
          <cell r="AF126" t="b">
            <v>1</v>
          </cell>
          <cell r="AG126" t="str">
            <v>http://www.rockwellcollins.com/products/gov/airborne/fighters/B-52/index.html</v>
          </cell>
          <cell r="AH126" t="b">
            <v>1</v>
          </cell>
          <cell r="AK126" t="str">
            <v>http://www.rockwellcollins.com/products/gov/airborne/fighters/f35/index.html</v>
          </cell>
        </row>
        <row r="127">
          <cell r="B127" t="str">
            <v>Unmanned Systems</v>
          </cell>
          <cell r="C127" t="str">
            <v>Mirage 2000 (Dassault)</v>
          </cell>
          <cell r="S127">
            <v>22</v>
          </cell>
          <cell r="T127">
            <v>50</v>
          </cell>
          <cell r="U127">
            <v>100</v>
          </cell>
          <cell r="V127">
            <v>120</v>
          </cell>
          <cell r="W127">
            <v>140</v>
          </cell>
          <cell r="X127">
            <v>160</v>
          </cell>
          <cell r="Y127">
            <v>180</v>
          </cell>
          <cell r="Z127">
            <v>200</v>
          </cell>
          <cell r="AA127">
            <v>20</v>
          </cell>
          <cell r="AB127">
            <v>20</v>
          </cell>
          <cell r="AC127">
            <v>20</v>
          </cell>
          <cell r="AD127">
            <v>20</v>
          </cell>
          <cell r="AE127" t="str">
            <v>Firestorm</v>
          </cell>
          <cell r="AG127" t="str">
            <v>http://www.rockwellcollins.com/products/gov/airborne/uas-solutions/flight-controls/index.html</v>
          </cell>
          <cell r="AK127" t="str">
            <v>http://www.rockwellcollins.com/products/gov/airborne/fighters/B-1B/index.html</v>
          </cell>
        </row>
        <row r="128">
          <cell r="C128" t="str">
            <v>Other</v>
          </cell>
          <cell r="S128">
            <v>10</v>
          </cell>
          <cell r="T128">
            <v>20</v>
          </cell>
          <cell r="U128">
            <v>30</v>
          </cell>
          <cell r="V128">
            <v>40</v>
          </cell>
          <cell r="W128">
            <v>50</v>
          </cell>
          <cell r="X128">
            <v>60</v>
          </cell>
          <cell r="Y128">
            <v>70</v>
          </cell>
          <cell r="Z128">
            <v>80</v>
          </cell>
          <cell r="AA128">
            <v>20</v>
          </cell>
          <cell r="AB128">
            <v>20</v>
          </cell>
          <cell r="AC128">
            <v>20</v>
          </cell>
          <cell r="AD128">
            <v>20</v>
          </cell>
          <cell r="AE128" t="str">
            <v>75% of revs on legacy platforms</v>
          </cell>
          <cell r="AG128" t="str">
            <v>http://www.rockwellcollins.com/products/gov/airborne/fighters/gripen/index.html</v>
          </cell>
          <cell r="AK128" t="str">
            <v>http://www.rockwellcollins.com/products/gov/airborne/fighters/B-52/index.html</v>
          </cell>
        </row>
        <row r="129">
          <cell r="A129" t="str">
            <v>Airborne Solutions Program Build</v>
          </cell>
          <cell r="B129" t="str">
            <v>Total</v>
          </cell>
          <cell r="C129" t="str">
            <v>Other</v>
          </cell>
          <cell r="S129">
            <v>32</v>
          </cell>
          <cell r="T129">
            <v>70</v>
          </cell>
          <cell r="U129">
            <v>130</v>
          </cell>
          <cell r="V129">
            <v>160</v>
          </cell>
          <cell r="W129">
            <v>190</v>
          </cell>
          <cell r="X129">
            <v>220</v>
          </cell>
          <cell r="Y129">
            <v>250</v>
          </cell>
          <cell r="Z129">
            <v>280</v>
          </cell>
          <cell r="AA129">
            <v>20</v>
          </cell>
          <cell r="AB129">
            <v>20</v>
          </cell>
          <cell r="AC129">
            <v>20</v>
          </cell>
          <cell r="AD129">
            <v>20</v>
          </cell>
          <cell r="AK129" t="str">
            <v>http://www.rockwellcollins.com/products/gov/airborne/fighters/mirage/index.html</v>
          </cell>
        </row>
        <row r="130">
          <cell r="B130" t="str">
            <v>Total</v>
          </cell>
          <cell r="C130" t="str">
            <v>Athena Technologies</v>
          </cell>
          <cell r="S130">
            <v>32</v>
          </cell>
          <cell r="T130">
            <v>70</v>
          </cell>
          <cell r="U130">
            <v>130</v>
          </cell>
          <cell r="V130">
            <v>160</v>
          </cell>
          <cell r="W130">
            <v>190</v>
          </cell>
          <cell r="X130">
            <v>220</v>
          </cell>
          <cell r="Y130">
            <v>250</v>
          </cell>
          <cell r="Z130">
            <v>280</v>
          </cell>
          <cell r="AA130">
            <v>20</v>
          </cell>
          <cell r="AB130">
            <v>20</v>
          </cell>
          <cell r="AC130">
            <v>20</v>
          </cell>
          <cell r="AD130">
            <v>20</v>
          </cell>
          <cell r="AG130" t="str">
            <v>http://www.rockwellcollins.com/products/gov/airborne/uas-solutions/flight-controls/index.html</v>
          </cell>
          <cell r="AK130" t="str">
            <v>http://www.rockwellcollins.com/products/gov/airborne/fighters/gripen/index.html</v>
          </cell>
        </row>
        <row r="131">
          <cell r="B131" t="str">
            <v>Other / Unaccounted for</v>
          </cell>
          <cell r="C131" t="str">
            <v>Other</v>
          </cell>
          <cell r="S131">
            <v>500</v>
          </cell>
          <cell r="T131">
            <v>561</v>
          </cell>
          <cell r="U131">
            <v>610</v>
          </cell>
          <cell r="V131">
            <v>680</v>
          </cell>
          <cell r="W131">
            <v>700</v>
          </cell>
          <cell r="X131">
            <v>750</v>
          </cell>
          <cell r="Y131">
            <v>795</v>
          </cell>
          <cell r="Z131">
            <v>840</v>
          </cell>
          <cell r="AA131">
            <v>180</v>
          </cell>
          <cell r="AB131">
            <v>180</v>
          </cell>
          <cell r="AC131">
            <v>180</v>
          </cell>
          <cell r="AD131">
            <v>180</v>
          </cell>
        </row>
        <row r="132">
          <cell r="B132" t="str">
            <v>Other / Unaccounted for</v>
          </cell>
          <cell r="C132" t="str">
            <v>Athena Technologies</v>
          </cell>
          <cell r="S132">
            <v>22</v>
          </cell>
          <cell r="T132">
            <v>50</v>
          </cell>
          <cell r="U132">
            <v>100</v>
          </cell>
          <cell r="V132">
            <v>120</v>
          </cell>
          <cell r="W132">
            <v>140</v>
          </cell>
          <cell r="X132">
            <v>160</v>
          </cell>
          <cell r="Y132">
            <v>180</v>
          </cell>
          <cell r="Z132">
            <v>200</v>
          </cell>
          <cell r="AA132">
            <v>140</v>
          </cell>
          <cell r="AB132">
            <v>160</v>
          </cell>
          <cell r="AC132">
            <v>180</v>
          </cell>
          <cell r="AD132">
            <v>200</v>
          </cell>
          <cell r="AE132">
            <v>100</v>
          </cell>
          <cell r="AF132">
            <v>150</v>
          </cell>
          <cell r="AG132" t="str">
            <v>http://www.rockwellcollins.com/products/gov/airborne/uas-solutions/flight-controls/index.html</v>
          </cell>
          <cell r="AH132">
            <v>200</v>
          </cell>
          <cell r="AJ132" t="str">
            <v>Big program</v>
          </cell>
          <cell r="AK132" t="str">
            <v>http://www.rockwellcollins.com/products/gov/airborne/uas-solutions/flight-controls/index.html</v>
          </cell>
          <cell r="AO132" t="str">
            <v>http://www.rockwellcollins.com/products/gov/airborne/tanker-transport/boeing767/index.html</v>
          </cell>
        </row>
        <row r="133">
          <cell r="B133" t="str">
            <v>Airborne Solutions Program Build</v>
          </cell>
          <cell r="C133" t="str">
            <v>Other</v>
          </cell>
          <cell r="S133">
            <v>1662</v>
          </cell>
          <cell r="T133">
            <v>1761</v>
          </cell>
          <cell r="U133">
            <v>1870</v>
          </cell>
          <cell r="V133">
            <v>1970</v>
          </cell>
          <cell r="W133">
            <v>2070</v>
          </cell>
          <cell r="X133">
            <v>2200</v>
          </cell>
          <cell r="Y133">
            <v>2300</v>
          </cell>
          <cell r="Z133">
            <v>2400</v>
          </cell>
          <cell r="AA133">
            <v>50</v>
          </cell>
          <cell r="AB133">
            <v>60</v>
          </cell>
          <cell r="AC133">
            <v>70</v>
          </cell>
          <cell r="AD133">
            <v>80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J133" t="str">
            <v>Spring 2010</v>
          </cell>
          <cell r="AO133" t="str">
            <v>http://www.rockwellcollins.com/products/gov/airborne/tanker-transport/c130/index.html</v>
          </cell>
        </row>
        <row r="134">
          <cell r="B134" t="str">
            <v>Total</v>
          </cell>
          <cell r="C134" t="str">
            <v>Difference vs. Top-Down Segment Forecast</v>
          </cell>
          <cell r="S134">
            <v>0</v>
          </cell>
          <cell r="T134">
            <v>0</v>
          </cell>
          <cell r="U134">
            <v>0</v>
          </cell>
          <cell r="V134">
            <v>0</v>
          </cell>
          <cell r="W134">
            <v>0</v>
          </cell>
          <cell r="X134">
            <v>0</v>
          </cell>
          <cell r="Y134">
            <v>0</v>
          </cell>
          <cell r="Z134">
            <v>0</v>
          </cell>
          <cell r="AA134">
            <v>140</v>
          </cell>
          <cell r="AB134">
            <v>160</v>
          </cell>
          <cell r="AC134">
            <v>180</v>
          </cell>
          <cell r="AD134">
            <v>200</v>
          </cell>
          <cell r="AE134">
            <v>100</v>
          </cell>
          <cell r="AF134">
            <v>100</v>
          </cell>
          <cell r="AG134">
            <v>100</v>
          </cell>
          <cell r="AH134">
            <v>100</v>
          </cell>
          <cell r="AJ134" t="str">
            <v>Look at LMT</v>
          </cell>
          <cell r="AK134" t="str">
            <v>http://www.rockwellcollins.com/products/gov/airborne/uas-solutions/flight-controls/index.html</v>
          </cell>
          <cell r="AO134" t="str">
            <v>http://www.rockwellcollins.com/products/gov/airborne/tanker-transport/c130/index.html</v>
          </cell>
        </row>
        <row r="135">
          <cell r="B135" t="str">
            <v>San Jose</v>
          </cell>
          <cell r="C135" t="str">
            <v>Difference vs. Top-Down Segment Forecast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0</v>
          </cell>
          <cell r="Z135">
            <v>0</v>
          </cell>
          <cell r="AA135">
            <v>50</v>
          </cell>
          <cell r="AB135">
            <v>60</v>
          </cell>
          <cell r="AC135">
            <v>70</v>
          </cell>
          <cell r="AD135">
            <v>80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J135" t="str">
            <v>Look at LMT</v>
          </cell>
        </row>
        <row r="136">
          <cell r="A136" t="str">
            <v>Surface Solutions Program Build</v>
          </cell>
          <cell r="B136" t="str">
            <v>Other / Unaccounted for</v>
          </cell>
          <cell r="C136" t="str">
            <v>C/K-135 GATM (Global Air Traffic Management)</v>
          </cell>
          <cell r="L136" t="str">
            <v>Program Value</v>
          </cell>
          <cell r="S136">
            <v>500</v>
          </cell>
          <cell r="T136">
            <v>561</v>
          </cell>
          <cell r="U136">
            <v>610</v>
          </cell>
          <cell r="V136">
            <v>635</v>
          </cell>
          <cell r="W136">
            <v>650</v>
          </cell>
          <cell r="X136">
            <v>650</v>
          </cell>
          <cell r="Y136">
            <v>645</v>
          </cell>
          <cell r="Z136">
            <v>640</v>
          </cell>
          <cell r="AA136">
            <v>190</v>
          </cell>
          <cell r="AB136">
            <v>220</v>
          </cell>
          <cell r="AC136">
            <v>250</v>
          </cell>
          <cell r="AD136">
            <v>280</v>
          </cell>
          <cell r="AE136">
            <v>125</v>
          </cell>
          <cell r="AF136">
            <v>125</v>
          </cell>
          <cell r="AG136">
            <v>125</v>
          </cell>
          <cell r="AH136">
            <v>125</v>
          </cell>
          <cell r="AJ136" t="str">
            <v>Now on block 45</v>
          </cell>
          <cell r="AL136" t="str">
            <v>Comment in old transcript</v>
          </cell>
          <cell r="AO136" t="str">
            <v>http://www.rockwellcollins.com/products/gov/airborne/tanker-transport/kc135/index.html</v>
          </cell>
        </row>
        <row r="137">
          <cell r="A137" t="str">
            <v>Surface Solutions Program Build</v>
          </cell>
          <cell r="B137" t="str">
            <v>Total</v>
          </cell>
          <cell r="C137" t="str">
            <v>Difference vs. Top-Down Segment Forecast</v>
          </cell>
          <cell r="E137" t="b">
            <v>1</v>
          </cell>
          <cell r="F137" t="b">
            <v>1</v>
          </cell>
          <cell r="G137" t="b">
            <v>1</v>
          </cell>
          <cell r="H137" t="b">
            <v>1</v>
          </cell>
          <cell r="I137" t="b">
            <v>1</v>
          </cell>
          <cell r="J137" t="b">
            <v>1</v>
          </cell>
          <cell r="K137" t="b">
            <v>1</v>
          </cell>
          <cell r="L137" t="str">
            <v>Program Value</v>
          </cell>
          <cell r="M137" t="b">
            <v>1</v>
          </cell>
          <cell r="N137" t="b">
            <v>1</v>
          </cell>
          <cell r="O137" t="b">
            <v>1</v>
          </cell>
          <cell r="P137" t="b">
            <v>1</v>
          </cell>
          <cell r="Q137" t="b">
            <v>0</v>
          </cell>
          <cell r="R137" t="b">
            <v>0</v>
          </cell>
          <cell r="S137">
            <v>0</v>
          </cell>
          <cell r="T137">
            <v>0</v>
          </cell>
          <cell r="U137">
            <v>0</v>
          </cell>
          <cell r="V137">
            <v>0</v>
          </cell>
          <cell r="W137">
            <v>0</v>
          </cell>
          <cell r="X137">
            <v>0</v>
          </cell>
          <cell r="Y137">
            <v>0</v>
          </cell>
          <cell r="Z137">
            <v>0</v>
          </cell>
          <cell r="AA137">
            <v>275</v>
          </cell>
          <cell r="AB137">
            <v>275</v>
          </cell>
          <cell r="AC137">
            <v>275</v>
          </cell>
          <cell r="AD137">
            <v>275</v>
          </cell>
          <cell r="AE137">
            <v>325</v>
          </cell>
          <cell r="AF137">
            <v>375</v>
          </cell>
          <cell r="AG137">
            <v>400</v>
          </cell>
          <cell r="AH137">
            <v>425</v>
          </cell>
        </row>
        <row r="138">
          <cell r="B138" t="str">
            <v>DataPath</v>
          </cell>
          <cell r="E138" t="b">
            <v>1</v>
          </cell>
          <cell r="F138" t="b">
            <v>1</v>
          </cell>
          <cell r="G138" t="b">
            <v>1</v>
          </cell>
          <cell r="H138" t="b">
            <v>1</v>
          </cell>
          <cell r="I138" t="b">
            <v>1</v>
          </cell>
          <cell r="J138" t="b">
            <v>1</v>
          </cell>
          <cell r="K138" t="b">
            <v>0</v>
          </cell>
          <cell r="L138" t="b">
            <v>0</v>
          </cell>
          <cell r="M138" t="b">
            <v>1</v>
          </cell>
          <cell r="N138" t="b">
            <v>0</v>
          </cell>
          <cell r="O138">
            <v>0.46399999999999864</v>
          </cell>
          <cell r="P138">
            <v>-0.76300000000000523</v>
          </cell>
          <cell r="Q138" t="b">
            <v>0</v>
          </cell>
          <cell r="R138" t="b">
            <v>0</v>
          </cell>
          <cell r="S138">
            <v>0</v>
          </cell>
          <cell r="T138">
            <v>84</v>
          </cell>
          <cell r="U138">
            <v>250</v>
          </cell>
          <cell r="V138">
            <v>260</v>
          </cell>
          <cell r="W138">
            <v>270</v>
          </cell>
          <cell r="X138">
            <v>280</v>
          </cell>
          <cell r="Y138">
            <v>290</v>
          </cell>
          <cell r="Z138">
            <v>300</v>
          </cell>
          <cell r="AA138">
            <v>625</v>
          </cell>
          <cell r="AB138">
            <v>570</v>
          </cell>
          <cell r="AC138">
            <v>535</v>
          </cell>
          <cell r="AD138">
            <v>490</v>
          </cell>
          <cell r="AE138" t="b">
            <v>1</v>
          </cell>
          <cell r="AF138" t="b">
            <v>1</v>
          </cell>
          <cell r="AG138" t="b">
            <v>1</v>
          </cell>
          <cell r="AH138" t="b">
            <v>1</v>
          </cell>
        </row>
        <row r="139">
          <cell r="A139" t="str">
            <v>Surface Solutions Program Build</v>
          </cell>
          <cell r="B139" t="str">
            <v>DAGR (Defense Advanced GPS Receiver)</v>
          </cell>
          <cell r="C139" t="str">
            <v>Difference vs. Top-Down Segment Forecast</v>
          </cell>
          <cell r="I139" t="str">
            <v>Common Avionics Architecture System (CAAS)</v>
          </cell>
          <cell r="L139" t="str">
            <v>Program Value</v>
          </cell>
          <cell r="P139" t="str">
            <v>Total $5.5B program potential</v>
          </cell>
          <cell r="S139">
            <v>200</v>
          </cell>
          <cell r="T139">
            <v>150</v>
          </cell>
          <cell r="U139">
            <v>100</v>
          </cell>
          <cell r="V139">
            <v>50</v>
          </cell>
          <cell r="W139">
            <v>50</v>
          </cell>
          <cell r="X139">
            <v>50</v>
          </cell>
          <cell r="Y139">
            <v>50</v>
          </cell>
          <cell r="Z139">
            <v>50</v>
          </cell>
          <cell r="AA139" t="str">
            <v>- IDIQ thru 2014, stock replenishment levels</v>
          </cell>
          <cell r="AB139">
            <v>0</v>
          </cell>
          <cell r="AC139">
            <v>0</v>
          </cell>
          <cell r="AD139">
            <v>0</v>
          </cell>
        </row>
        <row r="140">
          <cell r="B140" t="str">
            <v>JTRS GMR (Ground Mobile Radio)</v>
          </cell>
          <cell r="C140" t="str">
            <v>USMC CH/MH-53E</v>
          </cell>
          <cell r="P140" t="str">
            <v>Total $5.5B program potential</v>
          </cell>
          <cell r="S140">
            <v>200</v>
          </cell>
          <cell r="T140">
            <v>150</v>
          </cell>
          <cell r="U140">
            <v>100</v>
          </cell>
          <cell r="V140">
            <v>100</v>
          </cell>
          <cell r="W140">
            <v>100</v>
          </cell>
          <cell r="X140">
            <v>100</v>
          </cell>
          <cell r="Y140">
            <v>100</v>
          </cell>
          <cell r="Z140">
            <v>100</v>
          </cell>
          <cell r="AA140" t="str">
            <v>- IDIQ thru 2014, stock replenishment levels</v>
          </cell>
          <cell r="AB140">
            <v>2020</v>
          </cell>
          <cell r="AC140">
            <v>2040</v>
          </cell>
          <cell r="AD140">
            <v>2050</v>
          </cell>
          <cell r="AE140">
            <v>125</v>
          </cell>
          <cell r="AF140">
            <v>125</v>
          </cell>
          <cell r="AG140" t="str">
            <v>http://www.rockwellcollins.com/products/gov/surface/soldier/jtrs-hms/index.html</v>
          </cell>
          <cell r="AH140">
            <v>125</v>
          </cell>
          <cell r="AO140" t="str">
            <v>http://www.rockwellcollins.com/products/gov/airborne/cargo-utility/chmh53e/index.html</v>
          </cell>
        </row>
        <row r="141">
          <cell r="A141" t="str">
            <v>Surface Solutions Program Build</v>
          </cell>
          <cell r="B141" t="str">
            <v>JTRS HMS (Handheld / Manpack / Small Form Fit)</v>
          </cell>
          <cell r="C141" t="str">
            <v>Difference vs. Top-Down Segment Forecast</v>
          </cell>
          <cell r="L141" t="str">
            <v>Program Value</v>
          </cell>
          <cell r="S141">
            <v>0</v>
          </cell>
          <cell r="T141">
            <v>84</v>
          </cell>
          <cell r="U141">
            <v>100</v>
          </cell>
          <cell r="V141">
            <v>100</v>
          </cell>
          <cell r="W141">
            <v>100</v>
          </cell>
          <cell r="X141">
            <v>100</v>
          </cell>
          <cell r="Y141">
            <v>100</v>
          </cell>
          <cell r="Z141">
            <v>100</v>
          </cell>
          <cell r="AA141">
            <v>0</v>
          </cell>
          <cell r="AB141">
            <v>0</v>
          </cell>
          <cell r="AC141">
            <v>0</v>
          </cell>
          <cell r="AD141">
            <v>0</v>
          </cell>
          <cell r="AE141">
            <v>125</v>
          </cell>
          <cell r="AF141">
            <v>125</v>
          </cell>
          <cell r="AG141" t="str">
            <v>http://www.rockwellcollins.com/products/gov/surface/soldier/jtrs-hms/index.html</v>
          </cell>
          <cell r="AH141">
            <v>125</v>
          </cell>
          <cell r="AO141" t="str">
            <v>http://www.rockwellcollins.com/products/gov/airborne/cargo-utility/uh60m/index.html</v>
          </cell>
        </row>
        <row r="142">
          <cell r="B142" t="str">
            <v>MIDS-JTRS (DataLink Solutions JV with BAE Systems)</v>
          </cell>
          <cell r="C142" t="str">
            <v>International Black Hawk</v>
          </cell>
          <cell r="P142" t="str">
            <v>Total $5.5B program potential</v>
          </cell>
          <cell r="S142">
            <v>200</v>
          </cell>
          <cell r="T142">
            <v>150</v>
          </cell>
          <cell r="U142">
            <v>100</v>
          </cell>
          <cell r="V142">
            <v>100</v>
          </cell>
          <cell r="W142">
            <v>100</v>
          </cell>
          <cell r="X142">
            <v>100</v>
          </cell>
          <cell r="Y142">
            <v>100</v>
          </cell>
          <cell r="Z142">
            <v>100</v>
          </cell>
          <cell r="AA142" t="str">
            <v>- IDIQ thru 2014, stock replenishment levels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  <cell r="AG142" t="str">
            <v>http://www.rockwellcollins.com/products/gov/surface/soldier/jtrs-hms/index.html</v>
          </cell>
          <cell r="AH142">
            <v>0</v>
          </cell>
          <cell r="AJ142" t="str">
            <v>Look at UTX</v>
          </cell>
        </row>
        <row r="143">
          <cell r="A143" t="str">
            <v>Surface Solutions Program Build</v>
          </cell>
          <cell r="B143" t="str">
            <v>JPALS (Jt. Precision Approach and Landing System)</v>
          </cell>
          <cell r="C143" t="str">
            <v>CH-47 Chinook</v>
          </cell>
          <cell r="L143">
            <v>94</v>
          </cell>
          <cell r="M143" t="str">
            <v>http://www.rockwellcollins.com/news/page11137.html</v>
          </cell>
          <cell r="S143">
            <v>0</v>
          </cell>
          <cell r="T143">
            <v>84</v>
          </cell>
          <cell r="U143">
            <v>100</v>
          </cell>
          <cell r="V143">
            <v>100</v>
          </cell>
          <cell r="W143">
            <v>100</v>
          </cell>
          <cell r="X143">
            <v>100</v>
          </cell>
          <cell r="Y143">
            <v>100</v>
          </cell>
          <cell r="Z143">
            <v>100</v>
          </cell>
          <cell r="AA143">
            <v>275</v>
          </cell>
          <cell r="AB143">
            <v>280</v>
          </cell>
          <cell r="AC143">
            <v>290</v>
          </cell>
          <cell r="AD143">
            <v>300</v>
          </cell>
          <cell r="AE143">
            <v>125</v>
          </cell>
          <cell r="AF143">
            <v>125</v>
          </cell>
          <cell r="AG143" t="str">
            <v>http://www.rockwellcollins.com/products/gov/surface/soldier/jtrs-hms/index.html</v>
          </cell>
          <cell r="AH143">
            <v>125</v>
          </cell>
          <cell r="AO143" t="str">
            <v>http://www.rockwellcollins.com/products/gov/airborne/cargo-utility/ch47/index.html</v>
          </cell>
        </row>
        <row r="144">
          <cell r="B144" t="str">
            <v>Soldier Displays</v>
          </cell>
          <cell r="C144" t="str">
            <v>767 Tanker</v>
          </cell>
          <cell r="L144">
            <v>94</v>
          </cell>
          <cell r="M144" t="str">
            <v>http://www.rockwellcollins.com/news/page11137.html</v>
          </cell>
          <cell r="P144" t="str">
            <v>Total $5.5B program potential</v>
          </cell>
          <cell r="S144">
            <v>200</v>
          </cell>
          <cell r="T144">
            <v>150</v>
          </cell>
          <cell r="U144">
            <v>100</v>
          </cell>
          <cell r="V144">
            <v>100</v>
          </cell>
          <cell r="W144">
            <v>100</v>
          </cell>
          <cell r="X144">
            <v>100</v>
          </cell>
          <cell r="Y144">
            <v>100</v>
          </cell>
          <cell r="Z144">
            <v>100</v>
          </cell>
          <cell r="AA144" t="str">
            <v>- IDIQ thru 2014, stock replenishment levels</v>
          </cell>
          <cell r="AB144">
            <v>50</v>
          </cell>
          <cell r="AC144">
            <v>50</v>
          </cell>
          <cell r="AD144">
            <v>50</v>
          </cell>
          <cell r="AE144" t="str">
            <v>- IDIQ thru 2014, stock replenishment levels</v>
          </cell>
          <cell r="AF144">
            <v>375</v>
          </cell>
          <cell r="AG144" t="str">
            <v>http://www.rockwellcollins.com/products/gov/surface/soldier/soldier-systems/index.html</v>
          </cell>
          <cell r="AH144">
            <v>375</v>
          </cell>
          <cell r="AJ144" t="str">
            <v>Big program</v>
          </cell>
          <cell r="AO144" t="str">
            <v>http://www.rockwellcollins.com/products/gov/airborne/tanker-transport/boeing767/index.html</v>
          </cell>
        </row>
        <row r="145">
          <cell r="B145" t="str">
            <v>Precision Targeting</v>
          </cell>
          <cell r="C145" t="str">
            <v>KC-10</v>
          </cell>
          <cell r="U145">
            <v>100</v>
          </cell>
          <cell r="V145">
            <v>100</v>
          </cell>
          <cell r="W145">
            <v>100</v>
          </cell>
          <cell r="X145">
            <v>100</v>
          </cell>
          <cell r="Y145">
            <v>100</v>
          </cell>
          <cell r="Z145">
            <v>100</v>
          </cell>
          <cell r="AA145">
            <v>275</v>
          </cell>
          <cell r="AB145">
            <v>280</v>
          </cell>
          <cell r="AC145">
            <v>290</v>
          </cell>
          <cell r="AD145">
            <v>300</v>
          </cell>
          <cell r="AE145">
            <v>0</v>
          </cell>
          <cell r="AF145">
            <v>0</v>
          </cell>
          <cell r="AG145" t="str">
            <v>http://www.rockwellcollins.com/products/gov/surface/precision-targeting/index.html</v>
          </cell>
          <cell r="AH145">
            <v>0</v>
          </cell>
          <cell r="AJ145" t="str">
            <v>Spring 2010</v>
          </cell>
          <cell r="AK145" t="str">
            <v>http://www.rockwellcollins.com/products/gov/surface/soldier/jtrs-hms/index.html</v>
          </cell>
          <cell r="AO145" t="str">
            <v>http://www.rockwellcollins.com/products/gov/airborne/tanker-transport/c130/index.html</v>
          </cell>
        </row>
        <row r="146">
          <cell r="B146" t="str">
            <v>Maritime Solutions</v>
          </cell>
          <cell r="C146" t="str">
            <v>C-130 International</v>
          </cell>
          <cell r="L146">
            <v>94</v>
          </cell>
          <cell r="M146" t="str">
            <v>http://www.rockwellcollins.com/news/page11137.html</v>
          </cell>
          <cell r="P146" t="str">
            <v>Total $5.5B program potential</v>
          </cell>
          <cell r="T146" t="str">
            <v>Total $5.5B program potential</v>
          </cell>
          <cell r="U146">
            <v>100</v>
          </cell>
          <cell r="V146">
            <v>100</v>
          </cell>
          <cell r="W146">
            <v>100</v>
          </cell>
          <cell r="X146">
            <v>100</v>
          </cell>
          <cell r="Y146">
            <v>100</v>
          </cell>
          <cell r="Z146">
            <v>100</v>
          </cell>
          <cell r="AA146">
            <v>100</v>
          </cell>
          <cell r="AB146">
            <v>100</v>
          </cell>
          <cell r="AC146">
            <v>100</v>
          </cell>
          <cell r="AD146">
            <v>100</v>
          </cell>
          <cell r="AE146" t="str">
            <v>- IDIQ thru 2014, stock replenishment levels</v>
          </cell>
          <cell r="AF146">
            <v>100</v>
          </cell>
          <cell r="AG146" t="str">
            <v>http://www.rockwellcollins.com/products/gov/surface/maritime-solutions/index.html</v>
          </cell>
          <cell r="AH146">
            <v>100</v>
          </cell>
          <cell r="AJ146" t="str">
            <v>Look at LMT</v>
          </cell>
          <cell r="AK146" t="str">
            <v>http://www.rockwellcollins.com/products/gov/surface/soldier/jtrs-hms/index.html</v>
          </cell>
          <cell r="AO146" t="str">
            <v>http://www.rockwellcollins.com/products/gov/airborne/tanker-transport/c130/index.html</v>
          </cell>
        </row>
        <row r="147">
          <cell r="B147" t="str">
            <v>Displays - California Highway Patrol</v>
          </cell>
          <cell r="C147" t="str">
            <v>Commando Solo (EC-130E/J)</v>
          </cell>
          <cell r="U147">
            <v>100</v>
          </cell>
          <cell r="V147">
            <v>100</v>
          </cell>
          <cell r="W147">
            <v>100</v>
          </cell>
          <cell r="X147">
            <v>100</v>
          </cell>
          <cell r="Y147">
            <v>100</v>
          </cell>
          <cell r="Z147">
            <v>100</v>
          </cell>
          <cell r="AA147">
            <v>100</v>
          </cell>
          <cell r="AB147">
            <v>100</v>
          </cell>
          <cell r="AC147">
            <v>100</v>
          </cell>
          <cell r="AD147">
            <v>100</v>
          </cell>
          <cell r="AE147">
            <v>25</v>
          </cell>
          <cell r="AF147">
            <v>25</v>
          </cell>
          <cell r="AG147" t="str">
            <v>http://www.rockwellcollins.com/products/gov/surface/soldier/jtrs-hms/index.html</v>
          </cell>
          <cell r="AH147">
            <v>25</v>
          </cell>
          <cell r="AJ147" t="str">
            <v>Look at LMT</v>
          </cell>
          <cell r="AK147" t="str">
            <v>http://www.rockwellcollins.com/products/gov/surface/soldier/jtrs-hms/index.html</v>
          </cell>
          <cell r="AO147" t="str">
            <v>http://www.rockwellcollins.com/products/gov/airborne/special-mission/commando-solo/index.html</v>
          </cell>
        </row>
        <row r="148">
          <cell r="B148" t="str">
            <v>Displays - Royal Canadian Mountain Police</v>
          </cell>
          <cell r="C148" t="str">
            <v>E-6B Mercury</v>
          </cell>
          <cell r="L148">
            <v>94</v>
          </cell>
          <cell r="M148" t="str">
            <v>http://www.rockwellcollins.com/news/page11137.html</v>
          </cell>
          <cell r="Q148" t="str">
            <v>http://www.rockwellcollins.com/news/page11137.html</v>
          </cell>
          <cell r="U148">
            <v>100</v>
          </cell>
          <cell r="V148">
            <v>100</v>
          </cell>
          <cell r="W148">
            <v>100</v>
          </cell>
          <cell r="X148">
            <v>100</v>
          </cell>
          <cell r="Y148">
            <v>100</v>
          </cell>
          <cell r="Z148">
            <v>100</v>
          </cell>
          <cell r="AA148">
            <v>100</v>
          </cell>
          <cell r="AB148">
            <v>100</v>
          </cell>
          <cell r="AC148">
            <v>100</v>
          </cell>
          <cell r="AD148">
            <v>100</v>
          </cell>
          <cell r="AE148">
            <v>25</v>
          </cell>
          <cell r="AF148">
            <v>25</v>
          </cell>
          <cell r="AG148" t="str">
            <v>http://www.rockwellcollins.com/products/gov/surface/precision-targeting/index.html</v>
          </cell>
          <cell r="AH148">
            <v>25</v>
          </cell>
          <cell r="AJ148" t="str">
            <v>Now on block 45</v>
          </cell>
          <cell r="AK148" t="str">
            <v>http://www.rockwellcollins.com/products/gov/surface/soldier/jtrs-hms/index.html</v>
          </cell>
          <cell r="AL148" t="str">
            <v>Comment in old transcript</v>
          </cell>
          <cell r="AO148" t="str">
            <v>http://www.rockwellcollins.com/products/gov/airborne/special-mission/e6b/index.html</v>
          </cell>
        </row>
        <row r="149">
          <cell r="B149" t="str">
            <v>Other</v>
          </cell>
          <cell r="C149" t="str">
            <v>U.S. Coast Guard Deepwater</v>
          </cell>
          <cell r="U149">
            <v>-20</v>
          </cell>
          <cell r="V149">
            <v>70</v>
          </cell>
          <cell r="W149">
            <v>110</v>
          </cell>
          <cell r="X149">
            <v>140</v>
          </cell>
          <cell r="Y149">
            <v>175</v>
          </cell>
          <cell r="Z149">
            <v>210</v>
          </cell>
          <cell r="AA149">
            <v>100</v>
          </cell>
          <cell r="AB149">
            <v>100</v>
          </cell>
          <cell r="AC149">
            <v>100</v>
          </cell>
          <cell r="AD149">
            <v>100</v>
          </cell>
          <cell r="AE149">
            <v>25</v>
          </cell>
          <cell r="AF149">
            <v>25</v>
          </cell>
          <cell r="AG149" t="str">
            <v>http://www.rockwellcollins.com/products/gov/surface/soldier/soldier-systems/index.html</v>
          </cell>
          <cell r="AH149">
            <v>25</v>
          </cell>
          <cell r="AI149" t="str">
            <v>- avionics update CN235-300M a/c</v>
          </cell>
          <cell r="AK149" t="str">
            <v>http://www.rockwellcollins.com/products/gov/surface/soldier/jtrs-hms/index.html</v>
          </cell>
          <cell r="AO149" t="str">
            <v>http://www.rockwellcollins.com/products/gov/airborne/special-mission/deepwater/index.html</v>
          </cell>
        </row>
        <row r="150">
          <cell r="B150" t="str">
            <v>Precision Targeting</v>
          </cell>
          <cell r="C150" t="str">
            <v>Joint STARS (Surveillance Target Attack Radar System)</v>
          </cell>
          <cell r="L150">
            <v>94</v>
          </cell>
          <cell r="M150" t="str">
            <v>http://www.rockwellcollins.com/news/page11137.html</v>
          </cell>
          <cell r="Q150" t="str">
            <v>http://www.rockwellcollins.com/news/page11137.html</v>
          </cell>
          <cell r="U150">
            <v>1030</v>
          </cell>
          <cell r="V150">
            <v>1080</v>
          </cell>
          <cell r="W150">
            <v>1130</v>
          </cell>
          <cell r="X150">
            <v>1170</v>
          </cell>
          <cell r="Y150">
            <v>1215</v>
          </cell>
          <cell r="Z150">
            <v>1260</v>
          </cell>
          <cell r="AA150">
            <v>100</v>
          </cell>
          <cell r="AB150">
            <v>100</v>
          </cell>
          <cell r="AC150">
            <v>100</v>
          </cell>
          <cell r="AD150">
            <v>100</v>
          </cell>
          <cell r="AE150">
            <v>25</v>
          </cell>
          <cell r="AF150">
            <v>25</v>
          </cell>
          <cell r="AG150" t="str">
            <v>http://www.rockwellcollins.com/products/gov/surface/precision-targeting/index.html</v>
          </cell>
          <cell r="AH150">
            <v>25</v>
          </cell>
          <cell r="AK150" t="str">
            <v>http://www.rockwellcollins.com/products/gov/surface/precision-targeting/index.html</v>
          </cell>
          <cell r="AO150" t="str">
            <v>http://www.rockwellcollins.com/products/gov/airborne/special-mission/joint-stars/index.html</v>
          </cell>
        </row>
        <row r="151">
          <cell r="B151" t="str">
            <v>Maritime Solutions</v>
          </cell>
          <cell r="C151" t="str">
            <v>P-3 Orion</v>
          </cell>
          <cell r="I151" t="str">
            <v>Common Avionics Architecture System (CAAS)</v>
          </cell>
          <cell r="U151">
            <v>1030</v>
          </cell>
          <cell r="V151">
            <v>1080</v>
          </cell>
          <cell r="W151">
            <v>1130</v>
          </cell>
          <cell r="X151">
            <v>1170</v>
          </cell>
          <cell r="Y151">
            <v>1215</v>
          </cell>
          <cell r="Z151">
            <v>1260</v>
          </cell>
          <cell r="AA151">
            <v>100</v>
          </cell>
          <cell r="AB151">
            <v>100</v>
          </cell>
          <cell r="AC151">
            <v>100</v>
          </cell>
          <cell r="AD151">
            <v>100</v>
          </cell>
          <cell r="AE151">
            <v>25</v>
          </cell>
          <cell r="AF151">
            <v>25</v>
          </cell>
          <cell r="AG151" t="str">
            <v>http://www.rockwellcollins.com/products/gov/surface/maritime-solutions/index.html</v>
          </cell>
          <cell r="AH151">
            <v>25</v>
          </cell>
          <cell r="AK151" t="str">
            <v>http://www.rockwellcollins.com/products/gov/surface/soldier/soldier-systems/index.html</v>
          </cell>
          <cell r="AO151" t="str">
            <v>http://www.rockwellcollins.com/products/gov/airborne/special-mission/p3/index.html</v>
          </cell>
        </row>
        <row r="152">
          <cell r="B152" t="str">
            <v>Displays - California Highway Patrol</v>
          </cell>
          <cell r="C152" t="str">
            <v>S-92 Multi-Mission</v>
          </cell>
          <cell r="U152">
            <v>0</v>
          </cell>
          <cell r="V152">
            <v>0</v>
          </cell>
          <cell r="W152">
            <v>0</v>
          </cell>
          <cell r="X152">
            <v>0</v>
          </cell>
          <cell r="Y152">
            <v>0</v>
          </cell>
          <cell r="Z152">
            <v>0</v>
          </cell>
          <cell r="AA152">
            <v>100</v>
          </cell>
          <cell r="AB152">
            <v>100</v>
          </cell>
          <cell r="AC152">
            <v>100</v>
          </cell>
          <cell r="AD152">
            <v>100</v>
          </cell>
          <cell r="AE152">
            <v>50</v>
          </cell>
          <cell r="AF152">
            <v>50</v>
          </cell>
          <cell r="AG152">
            <v>50</v>
          </cell>
          <cell r="AH152">
            <v>50</v>
          </cell>
          <cell r="AJ152" t="str">
            <v>Look at UTX</v>
          </cell>
          <cell r="AK152" t="str">
            <v>http://www.rockwellcollins.com/products/gov/surface/precision-targeting/index.html</v>
          </cell>
          <cell r="AO152" t="str">
            <v>http://www.rockwellcollins.com/products/gov/airborne/special-mission/civil-transport/index.html</v>
          </cell>
        </row>
        <row r="153">
          <cell r="B153" t="str">
            <v>Displays - Royal Canadian Mountain Police</v>
          </cell>
          <cell r="C153" t="str">
            <v>U.S. Coast Guard MH-60T</v>
          </cell>
          <cell r="U153">
            <v>0</v>
          </cell>
          <cell r="V153">
            <v>0</v>
          </cell>
          <cell r="W153">
            <v>0</v>
          </cell>
          <cell r="X153">
            <v>0</v>
          </cell>
          <cell r="Y153">
            <v>0</v>
          </cell>
          <cell r="Z153">
            <v>0</v>
          </cell>
          <cell r="AA153">
            <v>100</v>
          </cell>
          <cell r="AB153">
            <v>100</v>
          </cell>
          <cell r="AC153">
            <v>100</v>
          </cell>
          <cell r="AD153">
            <v>100</v>
          </cell>
          <cell r="AE153">
            <v>50</v>
          </cell>
          <cell r="AF153">
            <v>50</v>
          </cell>
          <cell r="AG153">
            <v>50</v>
          </cell>
          <cell r="AH153">
            <v>50</v>
          </cell>
          <cell r="AJ153" t="str">
            <v>Look at UTX</v>
          </cell>
          <cell r="AK153" t="str">
            <v>http://www.rockwellcollins.com/products/gov/surface/maritime-solutions/index.html</v>
          </cell>
          <cell r="AO153" t="str">
            <v>http://www.rockwellcollins.com/products/gov/airborne/special-mission/mh-60t/index.html</v>
          </cell>
        </row>
        <row r="154">
          <cell r="B154" t="str">
            <v>Other</v>
          </cell>
          <cell r="C154" t="str">
            <v>S-70B SEAHAWK</v>
          </cell>
          <cell r="U154">
            <v>-20</v>
          </cell>
          <cell r="V154">
            <v>55</v>
          </cell>
          <cell r="W154">
            <v>105</v>
          </cell>
          <cell r="X154">
            <v>140</v>
          </cell>
          <cell r="Y154">
            <v>165</v>
          </cell>
          <cell r="Z154">
            <v>190</v>
          </cell>
          <cell r="AA154">
            <v>70</v>
          </cell>
          <cell r="AB154">
            <v>90</v>
          </cell>
          <cell r="AC154">
            <v>100</v>
          </cell>
          <cell r="AD154">
            <v>110</v>
          </cell>
          <cell r="AE154">
            <v>50</v>
          </cell>
          <cell r="AF154">
            <v>50</v>
          </cell>
          <cell r="AG154">
            <v>50</v>
          </cell>
          <cell r="AH154">
            <v>50</v>
          </cell>
          <cell r="AJ154" t="str">
            <v>Look at UTX</v>
          </cell>
          <cell r="AO154" t="str">
            <v>http://www.rockwellcollins.com/products/gov/airborne/special-mission/s-70b/index.html</v>
          </cell>
        </row>
        <row r="155">
          <cell r="A155" t="str">
            <v>Quarterly Marginal Sales Disclosure</v>
          </cell>
          <cell r="B155" t="str">
            <v>Displays - Royal Canadian Mountain Police</v>
          </cell>
          <cell r="C155" t="str">
            <v>USMC VH-60N (Presidential Helicopter)</v>
          </cell>
          <cell r="L155" t="str">
            <v>Program Value</v>
          </cell>
          <cell r="U155">
            <v>1030</v>
          </cell>
          <cell r="V155">
            <v>1065</v>
          </cell>
          <cell r="W155">
            <v>1125</v>
          </cell>
          <cell r="X155">
            <v>1170</v>
          </cell>
          <cell r="Y155">
            <v>1205</v>
          </cell>
          <cell r="Z155">
            <v>1240</v>
          </cell>
          <cell r="AA155">
            <v>1095</v>
          </cell>
          <cell r="AB155">
            <v>1120</v>
          </cell>
          <cell r="AC155">
            <v>1140</v>
          </cell>
          <cell r="AD155">
            <v>1160</v>
          </cell>
          <cell r="AE155">
            <v>25</v>
          </cell>
          <cell r="AF155">
            <v>25</v>
          </cell>
          <cell r="AG155">
            <v>25</v>
          </cell>
          <cell r="AH155">
            <v>25</v>
          </cell>
          <cell r="AO155" t="str">
            <v>http://www.rockwellcollins.com/products/gov/airborne/special-mission/vh-60n/index.html</v>
          </cell>
        </row>
        <row r="156">
          <cell r="A156" t="str">
            <v>Quarterly Marginal Sales Disclosure</v>
          </cell>
          <cell r="B156" t="str">
            <v>Other</v>
          </cell>
          <cell r="L156" t="str">
            <v>Program Value</v>
          </cell>
          <cell r="U156">
            <v>1030</v>
          </cell>
          <cell r="V156">
            <v>1065</v>
          </cell>
          <cell r="W156">
            <v>1125</v>
          </cell>
          <cell r="X156">
            <v>1170</v>
          </cell>
          <cell r="Y156">
            <v>1205</v>
          </cell>
          <cell r="Z156">
            <v>1240</v>
          </cell>
          <cell r="AA156">
            <v>70</v>
          </cell>
          <cell r="AB156">
            <v>90</v>
          </cell>
          <cell r="AC156">
            <v>100</v>
          </cell>
          <cell r="AD156">
            <v>110</v>
          </cell>
          <cell r="AE156">
            <v>300</v>
          </cell>
          <cell r="AF156">
            <v>300</v>
          </cell>
          <cell r="AG156">
            <v>300</v>
          </cell>
          <cell r="AH156">
            <v>300</v>
          </cell>
        </row>
        <row r="157">
          <cell r="B157" t="str">
            <v>4Q 08 Airborne Solutions</v>
          </cell>
          <cell r="T157">
            <v>459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1095</v>
          </cell>
          <cell r="AB157">
            <v>1120</v>
          </cell>
          <cell r="AC157">
            <v>1140</v>
          </cell>
          <cell r="AD157">
            <v>1160</v>
          </cell>
        </row>
        <row r="158">
          <cell r="A158" t="str">
            <v>Quarterly Marginal Sales Disclosure</v>
          </cell>
          <cell r="B158" t="str">
            <v>SEOS Group</v>
          </cell>
          <cell r="L158" t="str">
            <v>Program Value</v>
          </cell>
          <cell r="T158">
            <v>5</v>
          </cell>
          <cell r="W158">
            <v>704</v>
          </cell>
          <cell r="X158">
            <v>818</v>
          </cell>
          <cell r="Y158">
            <v>1009</v>
          </cell>
          <cell r="Z158">
            <v>1000</v>
          </cell>
          <cell r="AA158">
            <v>1095</v>
          </cell>
          <cell r="AB158">
            <v>1120</v>
          </cell>
          <cell r="AC158">
            <v>1140</v>
          </cell>
          <cell r="AD158">
            <v>1160</v>
          </cell>
        </row>
        <row r="159">
          <cell r="B159" t="str">
            <v>Organic:</v>
          </cell>
          <cell r="C159" t="str">
            <v>F-15 Eagle</v>
          </cell>
          <cell r="T159">
            <v>11</v>
          </cell>
          <cell r="W159">
            <v>0</v>
          </cell>
          <cell r="X159">
            <v>0</v>
          </cell>
          <cell r="Y159">
            <v>0</v>
          </cell>
          <cell r="Z159">
            <v>0</v>
          </cell>
          <cell r="AA159">
            <v>0</v>
          </cell>
          <cell r="AB159">
            <v>0</v>
          </cell>
          <cell r="AC159">
            <v>0</v>
          </cell>
          <cell r="AD159">
            <v>0</v>
          </cell>
          <cell r="AE159">
            <v>20</v>
          </cell>
          <cell r="AF159">
            <v>20</v>
          </cell>
          <cell r="AG159">
            <v>20</v>
          </cell>
          <cell r="AH159">
            <v>20</v>
          </cell>
          <cell r="AO159" t="str">
            <v>http://www.rockwellcollins.com/products/gov/airborne/fighters/f15/index.html</v>
          </cell>
        </row>
        <row r="160">
          <cell r="A160" t="str">
            <v>Quarterly Marginal Sales Disclosure</v>
          </cell>
          <cell r="B160" t="str">
            <v>+ F-15 Head-Down Displays</v>
          </cell>
          <cell r="C160" t="str">
            <v>F-16 Fighting Falcon</v>
          </cell>
          <cell r="L160" t="str">
            <v>Program Value</v>
          </cell>
          <cell r="T160">
            <v>11</v>
          </cell>
          <cell r="AA160">
            <v>20</v>
          </cell>
          <cell r="AB160">
            <v>20</v>
          </cell>
          <cell r="AC160">
            <v>20</v>
          </cell>
          <cell r="AD160">
            <v>20</v>
          </cell>
          <cell r="AE160">
            <v>20</v>
          </cell>
          <cell r="AF160">
            <v>20</v>
          </cell>
          <cell r="AG160">
            <v>20</v>
          </cell>
          <cell r="AH160">
            <v>20</v>
          </cell>
          <cell r="AO160" t="str">
            <v>http://www.rockwellcollins.com/products/gov/airborne/fighters/f16/index.html</v>
          </cell>
        </row>
        <row r="161">
          <cell r="B161" t="str">
            <v>+ UAV Controls</v>
          </cell>
          <cell r="C161" t="str">
            <v>F/A-18 Super Hornet</v>
          </cell>
          <cell r="T161">
            <v>5</v>
          </cell>
          <cell r="AA161">
            <v>20</v>
          </cell>
          <cell r="AB161">
            <v>20</v>
          </cell>
          <cell r="AC161">
            <v>20</v>
          </cell>
          <cell r="AD161">
            <v>20</v>
          </cell>
          <cell r="AE161">
            <v>20</v>
          </cell>
          <cell r="AF161">
            <v>20</v>
          </cell>
          <cell r="AG161">
            <v>20</v>
          </cell>
          <cell r="AH161">
            <v>20</v>
          </cell>
          <cell r="AI161" t="str">
            <v>- avionics update CN235-300M a/c</v>
          </cell>
          <cell r="AO161" t="str">
            <v>http://www.rockwellcollins.com/products/gov/airborne/fighters/f18/index.html</v>
          </cell>
        </row>
        <row r="162">
          <cell r="A162" t="str">
            <v>Quarterly Marginal Sales Disclosure</v>
          </cell>
          <cell r="B162" t="str">
            <v>4Q09 Airborne Solutions</v>
          </cell>
          <cell r="C162" t="str">
            <v>F-22A Raptor</v>
          </cell>
          <cell r="L162" t="str">
            <v>Program Value</v>
          </cell>
          <cell r="T162">
            <v>475</v>
          </cell>
          <cell r="X162">
            <v>459</v>
          </cell>
          <cell r="AA162">
            <v>20</v>
          </cell>
          <cell r="AB162">
            <v>20</v>
          </cell>
          <cell r="AC162">
            <v>20</v>
          </cell>
          <cell r="AD162">
            <v>20</v>
          </cell>
          <cell r="AE162">
            <v>20</v>
          </cell>
          <cell r="AF162">
            <v>20</v>
          </cell>
          <cell r="AG162">
            <v>20</v>
          </cell>
          <cell r="AH162">
            <v>20</v>
          </cell>
          <cell r="AO162" t="str">
            <v>http://www.rockwellcollins.com/products/gov/airborne/fighters/f22/index.html</v>
          </cell>
        </row>
        <row r="163">
          <cell r="B163" t="str">
            <v>SEOS Group</v>
          </cell>
          <cell r="C163" t="str">
            <v>F-35 Joint Strike Fighter</v>
          </cell>
          <cell r="T163">
            <v>5</v>
          </cell>
          <cell r="X163">
            <v>5</v>
          </cell>
          <cell r="AA163">
            <v>20</v>
          </cell>
          <cell r="AB163">
            <v>20</v>
          </cell>
          <cell r="AC163">
            <v>20</v>
          </cell>
          <cell r="AD163">
            <v>20</v>
          </cell>
          <cell r="AE163">
            <v>20</v>
          </cell>
          <cell r="AF163">
            <v>20</v>
          </cell>
          <cell r="AG163">
            <v>20</v>
          </cell>
          <cell r="AH163">
            <v>20</v>
          </cell>
          <cell r="AO163" t="str">
            <v>http://www.rockwellcollins.com/products/gov/airborne/fighters/f35/index.html</v>
          </cell>
        </row>
        <row r="164">
          <cell r="B164" t="str">
            <v>4Q 08 Surface Solutions</v>
          </cell>
          <cell r="C164" t="str">
            <v>B-1B Lancer</v>
          </cell>
          <cell r="T164">
            <v>177</v>
          </cell>
          <cell r="X164">
            <v>459</v>
          </cell>
          <cell r="AA164">
            <v>20</v>
          </cell>
          <cell r="AB164">
            <v>20</v>
          </cell>
          <cell r="AC164">
            <v>20</v>
          </cell>
          <cell r="AD164">
            <v>20</v>
          </cell>
          <cell r="AE164">
            <v>20</v>
          </cell>
          <cell r="AF164">
            <v>20</v>
          </cell>
          <cell r="AG164">
            <v>20</v>
          </cell>
          <cell r="AH164">
            <v>20</v>
          </cell>
          <cell r="AJ164" t="str">
            <v>Look at UTX</v>
          </cell>
          <cell r="AO164" t="str">
            <v>http://www.rockwellcollins.com/products/gov/airborne/fighters/B-1B/index.html</v>
          </cell>
        </row>
        <row r="165">
          <cell r="B165" t="str">
            <v>DataPath</v>
          </cell>
          <cell r="C165" t="str">
            <v>B-52H</v>
          </cell>
          <cell r="T165">
            <v>61</v>
          </cell>
          <cell r="X165">
            <v>5</v>
          </cell>
          <cell r="AA165">
            <v>20</v>
          </cell>
          <cell r="AB165">
            <v>20</v>
          </cell>
          <cell r="AC165">
            <v>20</v>
          </cell>
          <cell r="AD165">
            <v>20</v>
          </cell>
          <cell r="AE165">
            <v>20</v>
          </cell>
          <cell r="AF165">
            <v>20</v>
          </cell>
          <cell r="AG165">
            <v>20</v>
          </cell>
          <cell r="AH165">
            <v>20</v>
          </cell>
          <cell r="AJ165" t="str">
            <v>Look at UTX</v>
          </cell>
          <cell r="AO165" t="str">
            <v>http://www.rockwellcollins.com/products/gov/airborne/fighters/B-52/index.html</v>
          </cell>
        </row>
        <row r="166">
          <cell r="B166" t="str">
            <v>Organic:</v>
          </cell>
          <cell r="C166" t="str">
            <v>Mirage 2000 (Dassault)</v>
          </cell>
          <cell r="T166">
            <v>28</v>
          </cell>
          <cell r="X166">
            <v>11</v>
          </cell>
          <cell r="AA166">
            <v>20</v>
          </cell>
          <cell r="AB166">
            <v>20</v>
          </cell>
          <cell r="AC166">
            <v>20</v>
          </cell>
          <cell r="AD166">
            <v>20</v>
          </cell>
          <cell r="AE166">
            <v>20</v>
          </cell>
          <cell r="AF166">
            <v>20</v>
          </cell>
          <cell r="AG166">
            <v>20</v>
          </cell>
          <cell r="AH166">
            <v>20</v>
          </cell>
          <cell r="AJ166" t="str">
            <v>Look at UTX</v>
          </cell>
          <cell r="AO166" t="str">
            <v>http://www.rockwellcollins.com/products/gov/airborne/fighters/mirage/index.html</v>
          </cell>
        </row>
        <row r="167">
          <cell r="B167" t="str">
            <v>+ UK Precision Targeting</v>
          </cell>
          <cell r="C167" t="str">
            <v>Gripen (SAAB)</v>
          </cell>
          <cell r="T167">
            <v>475</v>
          </cell>
          <cell r="X167">
            <v>475</v>
          </cell>
          <cell r="AA167">
            <v>20</v>
          </cell>
          <cell r="AB167">
            <v>20</v>
          </cell>
          <cell r="AC167">
            <v>20</v>
          </cell>
          <cell r="AD167">
            <v>20</v>
          </cell>
          <cell r="AE167">
            <v>20</v>
          </cell>
          <cell r="AF167">
            <v>20</v>
          </cell>
          <cell r="AG167">
            <v>20</v>
          </cell>
          <cell r="AH167">
            <v>20</v>
          </cell>
          <cell r="AO167" t="str">
            <v>http://www.rockwellcollins.com/products/gov/airborne/fighters/gripen/index.html</v>
          </cell>
        </row>
        <row r="168">
          <cell r="B168" t="str">
            <v>+ JTRS</v>
          </cell>
          <cell r="T168">
            <v>61</v>
          </cell>
          <cell r="AA168">
            <v>180</v>
          </cell>
          <cell r="AB168">
            <v>180</v>
          </cell>
          <cell r="AC168">
            <v>180</v>
          </cell>
          <cell r="AD168">
            <v>180</v>
          </cell>
          <cell r="AE168">
            <v>180</v>
          </cell>
          <cell r="AF168">
            <v>180</v>
          </cell>
          <cell r="AG168">
            <v>180</v>
          </cell>
          <cell r="AH168">
            <v>180</v>
          </cell>
        </row>
        <row r="169">
          <cell r="B169" t="str">
            <v>+ JPALS</v>
          </cell>
          <cell r="T169">
            <v>177</v>
          </cell>
          <cell r="X169">
            <v>475</v>
          </cell>
        </row>
        <row r="170">
          <cell r="B170" t="str">
            <v>- DAGR</v>
          </cell>
          <cell r="T170">
            <v>61</v>
          </cell>
          <cell r="X170">
            <v>61</v>
          </cell>
        </row>
        <row r="171">
          <cell r="B171" t="str">
            <v>- GB-GRAM</v>
          </cell>
          <cell r="C171" t="str">
            <v>Athena Technologies</v>
          </cell>
          <cell r="T171">
            <v>28</v>
          </cell>
          <cell r="X171">
            <v>177</v>
          </cell>
          <cell r="AA171">
            <v>22</v>
          </cell>
          <cell r="AB171">
            <v>50</v>
          </cell>
          <cell r="AC171">
            <v>100</v>
          </cell>
          <cell r="AD171">
            <v>120</v>
          </cell>
          <cell r="AE171">
            <v>140</v>
          </cell>
          <cell r="AF171">
            <v>160</v>
          </cell>
          <cell r="AG171">
            <v>180</v>
          </cell>
          <cell r="AH171">
            <v>200</v>
          </cell>
          <cell r="AO171" t="str">
            <v>http://www.rockwellcollins.com/products/gov/airborne/uas-solutions/flight-controls/index.html</v>
          </cell>
        </row>
        <row r="172">
          <cell r="B172" t="str">
            <v>4Q09 Surface Solutions</v>
          </cell>
          <cell r="C172" t="str">
            <v>Other</v>
          </cell>
          <cell r="T172">
            <v>266</v>
          </cell>
          <cell r="X172">
            <v>61</v>
          </cell>
          <cell r="AA172">
            <v>10</v>
          </cell>
          <cell r="AB172">
            <v>20</v>
          </cell>
          <cell r="AC172">
            <v>30</v>
          </cell>
          <cell r="AD172">
            <v>40</v>
          </cell>
          <cell r="AE172">
            <v>50</v>
          </cell>
          <cell r="AF172">
            <v>60</v>
          </cell>
          <cell r="AG172">
            <v>70</v>
          </cell>
          <cell r="AH172">
            <v>80</v>
          </cell>
          <cell r="AO172" t="str">
            <v>http://www.rockwellcollins.com/products/gov/airborne/fighters/f16/index.html</v>
          </cell>
        </row>
        <row r="173">
          <cell r="B173" t="str">
            <v>+ JTRS</v>
          </cell>
          <cell r="C173" t="str">
            <v>F/A-18 Super Hornet</v>
          </cell>
          <cell r="T173">
            <v>266</v>
          </cell>
          <cell r="X173">
            <v>28</v>
          </cell>
          <cell r="AA173">
            <v>32</v>
          </cell>
          <cell r="AB173">
            <v>70</v>
          </cell>
          <cell r="AC173">
            <v>130</v>
          </cell>
          <cell r="AD173">
            <v>160</v>
          </cell>
          <cell r="AE173">
            <v>190</v>
          </cell>
          <cell r="AF173">
            <v>220</v>
          </cell>
          <cell r="AG173">
            <v>250</v>
          </cell>
          <cell r="AH173">
            <v>280</v>
          </cell>
          <cell r="AO173" t="str">
            <v>http://www.rockwellcollins.com/products/gov/airborne/fighters/f18/index.html</v>
          </cell>
        </row>
        <row r="174">
          <cell r="B174" t="str">
            <v>1Q 09 Airborne Solutions</v>
          </cell>
          <cell r="C174" t="str">
            <v>F-22A Raptor</v>
          </cell>
          <cell r="T174">
            <v>403</v>
          </cell>
          <cell r="AA174">
            <v>20</v>
          </cell>
          <cell r="AB174">
            <v>20</v>
          </cell>
          <cell r="AC174">
            <v>20</v>
          </cell>
          <cell r="AD174">
            <v>20</v>
          </cell>
          <cell r="AE174">
            <v>20</v>
          </cell>
          <cell r="AF174">
            <v>20</v>
          </cell>
          <cell r="AG174">
            <v>20</v>
          </cell>
          <cell r="AH174">
            <v>20</v>
          </cell>
          <cell r="AO174" t="str">
            <v>http://www.rockwellcollins.com/products/gov/airborne/fighters/f22/index.html</v>
          </cell>
        </row>
        <row r="175">
          <cell r="B175" t="str">
            <v>SEOS Group</v>
          </cell>
          <cell r="C175" t="str">
            <v>F-35 Joint Strike Fighter</v>
          </cell>
          <cell r="T175">
            <v>5</v>
          </cell>
          <cell r="AA175">
            <v>500</v>
          </cell>
          <cell r="AB175">
            <v>561</v>
          </cell>
          <cell r="AC175">
            <v>592</v>
          </cell>
          <cell r="AD175">
            <v>680</v>
          </cell>
          <cell r="AE175">
            <v>630</v>
          </cell>
          <cell r="AF175">
            <v>650</v>
          </cell>
          <cell r="AG175">
            <v>645</v>
          </cell>
          <cell r="AH175">
            <v>690</v>
          </cell>
          <cell r="AO175" t="str">
            <v>http://www.rockwellcollins.com/products/gov/airborne/fighters/f35/index.html</v>
          </cell>
        </row>
        <row r="176">
          <cell r="B176" t="str">
            <v>Organic:</v>
          </cell>
          <cell r="C176" t="str">
            <v>B-1B Lancer</v>
          </cell>
          <cell r="T176">
            <v>2</v>
          </cell>
          <cell r="AA176">
            <v>20</v>
          </cell>
          <cell r="AB176">
            <v>20</v>
          </cell>
          <cell r="AC176">
            <v>20</v>
          </cell>
          <cell r="AD176">
            <v>20</v>
          </cell>
          <cell r="AE176">
            <v>20</v>
          </cell>
          <cell r="AF176">
            <v>20</v>
          </cell>
          <cell r="AG176">
            <v>20</v>
          </cell>
          <cell r="AH176">
            <v>20</v>
          </cell>
          <cell r="AO176" t="str">
            <v>http://www.rockwellcollins.com/products/gov/airborne/fighters/B-1B/index.html</v>
          </cell>
        </row>
        <row r="177">
          <cell r="B177" t="str">
            <v>+ Transport / Tanker</v>
          </cell>
          <cell r="C177" t="str">
            <v>B-52H</v>
          </cell>
          <cell r="T177">
            <v>266</v>
          </cell>
          <cell r="X177">
            <v>266</v>
          </cell>
          <cell r="AA177">
            <v>1662</v>
          </cell>
          <cell r="AB177">
            <v>1761</v>
          </cell>
          <cell r="AC177">
            <v>1852</v>
          </cell>
          <cell r="AD177">
            <v>1970</v>
          </cell>
          <cell r="AE177">
            <v>2000</v>
          </cell>
          <cell r="AF177">
            <v>2100</v>
          </cell>
          <cell r="AG177">
            <v>2150</v>
          </cell>
          <cell r="AH177">
            <v>2250</v>
          </cell>
          <cell r="AO177" t="str">
            <v>http://www.rockwellcollins.com/products/gov/airborne/fighters/B-52/index.html</v>
          </cell>
        </row>
        <row r="178">
          <cell r="B178" t="str">
            <v>- F-22</v>
          </cell>
          <cell r="C178" t="str">
            <v>Difference vs. Top-Down Segment Forecast</v>
          </cell>
          <cell r="T178">
            <v>5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O178" t="str">
            <v>http://www.rockwellcollins.com/products/gov/airborne/fighters/mirage/index.html</v>
          </cell>
        </row>
        <row r="179">
          <cell r="B179" t="str">
            <v>1Q10 Airborne Solutions</v>
          </cell>
          <cell r="C179" t="str">
            <v>Gripen (SAAB)</v>
          </cell>
          <cell r="T179">
            <v>410</v>
          </cell>
          <cell r="X179">
            <v>266</v>
          </cell>
          <cell r="AA179">
            <v>20</v>
          </cell>
          <cell r="AB179">
            <v>20</v>
          </cell>
          <cell r="AC179">
            <v>20</v>
          </cell>
          <cell r="AD179">
            <v>20</v>
          </cell>
          <cell r="AE179">
            <v>20</v>
          </cell>
          <cell r="AF179">
            <v>20</v>
          </cell>
          <cell r="AG179">
            <v>20</v>
          </cell>
          <cell r="AH179">
            <v>20</v>
          </cell>
          <cell r="AO179" t="str">
            <v>http://www.rockwellcollins.com/products/gov/airborne/fighters/gripen/index.html</v>
          </cell>
        </row>
        <row r="180">
          <cell r="A180" t="str">
            <v>Surface Solutions Program Build</v>
          </cell>
          <cell r="B180" t="str">
            <v>SEOS Group</v>
          </cell>
          <cell r="L180" t="str">
            <v>Program Value</v>
          </cell>
          <cell r="T180">
            <v>5</v>
          </cell>
          <cell r="X180">
            <v>5</v>
          </cell>
          <cell r="AA180">
            <v>180</v>
          </cell>
          <cell r="AB180">
            <v>180</v>
          </cell>
          <cell r="AC180">
            <v>180</v>
          </cell>
          <cell r="AD180">
            <v>180</v>
          </cell>
          <cell r="AE180">
            <v>180</v>
          </cell>
          <cell r="AF180">
            <v>180</v>
          </cell>
          <cell r="AG180">
            <v>180</v>
          </cell>
          <cell r="AH180">
            <v>180</v>
          </cell>
        </row>
        <row r="181">
          <cell r="B181" t="str">
            <v>1Q 09 Surface Solutions</v>
          </cell>
          <cell r="T181">
            <v>171</v>
          </cell>
          <cell r="X181">
            <v>403</v>
          </cell>
        </row>
        <row r="182">
          <cell r="B182" t="str">
            <v>DataPath</v>
          </cell>
          <cell r="T182">
            <v>60</v>
          </cell>
          <cell r="X182">
            <v>5</v>
          </cell>
          <cell r="AA182">
            <v>0</v>
          </cell>
          <cell r="AB182">
            <v>84</v>
          </cell>
          <cell r="AC182">
            <v>256</v>
          </cell>
          <cell r="AD182">
            <v>240</v>
          </cell>
          <cell r="AE182">
            <v>250</v>
          </cell>
          <cell r="AF182">
            <v>275</v>
          </cell>
          <cell r="AG182">
            <v>290</v>
          </cell>
          <cell r="AH182">
            <v>300</v>
          </cell>
        </row>
        <row r="183">
          <cell r="B183" t="str">
            <v>Organic:</v>
          </cell>
          <cell r="C183" t="str">
            <v>Athena Technologies</v>
          </cell>
          <cell r="P183" t="str">
            <v>Total $5.5B program potential</v>
          </cell>
          <cell r="T183">
            <v>-25</v>
          </cell>
          <cell r="X183">
            <v>2</v>
          </cell>
          <cell r="AA183">
            <v>200</v>
          </cell>
          <cell r="AB183">
            <v>150</v>
          </cell>
          <cell r="AC183">
            <v>100</v>
          </cell>
          <cell r="AD183">
            <v>50</v>
          </cell>
          <cell r="AE183">
            <v>50</v>
          </cell>
          <cell r="AF183">
            <v>50</v>
          </cell>
          <cell r="AG183">
            <v>50</v>
          </cell>
          <cell r="AH183">
            <v>50</v>
          </cell>
          <cell r="AI183" t="str">
            <v>- IDIQ thru 2014, stock replenishment levels</v>
          </cell>
          <cell r="AO183" t="str">
            <v>http://www.rockwellcollins.com/products/gov/airborne/uas-solutions/flight-controls/index.html</v>
          </cell>
        </row>
        <row r="184">
          <cell r="B184" t="str">
            <v>- DAGR</v>
          </cell>
          <cell r="C184" t="str">
            <v>Other</v>
          </cell>
          <cell r="T184">
            <v>410</v>
          </cell>
          <cell r="X184">
            <v>410</v>
          </cell>
          <cell r="AA184">
            <v>10</v>
          </cell>
          <cell r="AB184">
            <v>20</v>
          </cell>
          <cell r="AC184">
            <v>100</v>
          </cell>
          <cell r="AD184">
            <v>100</v>
          </cell>
          <cell r="AE184">
            <v>100</v>
          </cell>
          <cell r="AF184">
            <v>100</v>
          </cell>
          <cell r="AG184">
            <v>100</v>
          </cell>
          <cell r="AH184">
            <v>100</v>
          </cell>
          <cell r="AO184" t="str">
            <v>http://www.rockwellcollins.com/products/gov/surface/soldier/jtrs-hms/index.html</v>
          </cell>
        </row>
        <row r="185">
          <cell r="B185" t="str">
            <v>1Q10 Surface Solutions</v>
          </cell>
          <cell r="T185">
            <v>206</v>
          </cell>
          <cell r="AA185">
            <v>32</v>
          </cell>
          <cell r="AB185">
            <v>70</v>
          </cell>
          <cell r="AC185">
            <v>100</v>
          </cell>
          <cell r="AD185">
            <v>100</v>
          </cell>
          <cell r="AE185">
            <v>100</v>
          </cell>
          <cell r="AF185">
            <v>100</v>
          </cell>
          <cell r="AG185">
            <v>100</v>
          </cell>
          <cell r="AH185">
            <v>100</v>
          </cell>
          <cell r="AO185" t="str">
            <v>http://www.rockwellcollins.com/products/gov/surface/soldier/jtrs-hms/index.html</v>
          </cell>
        </row>
        <row r="186">
          <cell r="B186" t="str">
            <v>1Q 09 Surface Solutions</v>
          </cell>
          <cell r="T186">
            <v>171</v>
          </cell>
          <cell r="X186">
            <v>410</v>
          </cell>
          <cell r="AC186">
            <v>100</v>
          </cell>
          <cell r="AD186">
            <v>100</v>
          </cell>
          <cell r="AE186">
            <v>100</v>
          </cell>
          <cell r="AF186">
            <v>100</v>
          </cell>
          <cell r="AG186">
            <v>100</v>
          </cell>
          <cell r="AH186">
            <v>100</v>
          </cell>
          <cell r="AO186" t="str">
            <v>http://www.rockwellcollins.com/products/gov/surface/soldier/jtrs-hms/index.html</v>
          </cell>
        </row>
        <row r="187">
          <cell r="B187" t="str">
            <v>DataPath</v>
          </cell>
          <cell r="L187">
            <v>94</v>
          </cell>
          <cell r="M187" t="str">
            <v>http://www.rockwellcollins.com/news/page11137.html</v>
          </cell>
          <cell r="Q187" t="str">
            <v>http://www.rockwellcollins.com/news/page11137.html</v>
          </cell>
          <cell r="T187">
            <v>60</v>
          </cell>
          <cell r="X187">
            <v>60</v>
          </cell>
          <cell r="AA187">
            <v>500</v>
          </cell>
          <cell r="AB187">
            <v>561</v>
          </cell>
          <cell r="AC187">
            <v>100</v>
          </cell>
          <cell r="AD187">
            <v>100</v>
          </cell>
          <cell r="AE187">
            <v>100</v>
          </cell>
          <cell r="AF187">
            <v>100</v>
          </cell>
          <cell r="AG187">
            <v>100</v>
          </cell>
          <cell r="AH187">
            <v>100</v>
          </cell>
        </row>
        <row r="188">
          <cell r="B188" t="str">
            <v>Organic:</v>
          </cell>
          <cell r="T188">
            <v>-25</v>
          </cell>
          <cell r="X188">
            <v>171</v>
          </cell>
          <cell r="AC188">
            <v>100</v>
          </cell>
          <cell r="AD188">
            <v>100</v>
          </cell>
          <cell r="AE188">
            <v>100</v>
          </cell>
          <cell r="AF188">
            <v>100</v>
          </cell>
          <cell r="AG188">
            <v>100</v>
          </cell>
          <cell r="AH188">
            <v>100</v>
          </cell>
          <cell r="AO188" t="str">
            <v>http://www.rockwellcollins.com/products/gov/surface/soldier/soldier-systems/index.html</v>
          </cell>
        </row>
        <row r="189">
          <cell r="B189" t="str">
            <v>- DAGR</v>
          </cell>
          <cell r="X189">
            <v>60</v>
          </cell>
          <cell r="AA189">
            <v>1662</v>
          </cell>
          <cell r="AB189">
            <v>1761</v>
          </cell>
          <cell r="AC189">
            <v>100</v>
          </cell>
          <cell r="AD189">
            <v>100</v>
          </cell>
          <cell r="AE189">
            <v>100</v>
          </cell>
          <cell r="AF189">
            <v>100</v>
          </cell>
          <cell r="AG189">
            <v>100</v>
          </cell>
          <cell r="AH189">
            <v>100</v>
          </cell>
          <cell r="AO189" t="str">
            <v>http://www.rockwellcollins.com/products/gov/surface/precision-targeting/index.html</v>
          </cell>
        </row>
        <row r="190">
          <cell r="B190" t="str">
            <v>1Q10 Surface Solutions</v>
          </cell>
          <cell r="C190" t="str">
            <v>Difference vs. Top-Down Segment Forecast</v>
          </cell>
          <cell r="T190">
            <v>206</v>
          </cell>
          <cell r="X190">
            <v>-25</v>
          </cell>
          <cell r="AA190">
            <v>0</v>
          </cell>
          <cell r="AB190">
            <v>0</v>
          </cell>
          <cell r="AC190">
            <v>100</v>
          </cell>
          <cell r="AD190">
            <v>100</v>
          </cell>
          <cell r="AE190">
            <v>100</v>
          </cell>
          <cell r="AF190">
            <v>100</v>
          </cell>
          <cell r="AG190">
            <v>100</v>
          </cell>
          <cell r="AH190">
            <v>100</v>
          </cell>
          <cell r="AO190" t="str">
            <v>http://www.rockwellcollins.com/products/gov/surface/maritime-solutions/index.html</v>
          </cell>
        </row>
        <row r="191">
          <cell r="B191" t="str">
            <v>- DAGR</v>
          </cell>
        </row>
        <row r="192">
          <cell r="A192" t="str">
            <v>Surface Solutions Program Build</v>
          </cell>
          <cell r="B192" t="str">
            <v>1Q10 Surface Solutions</v>
          </cell>
          <cell r="L192" t="str">
            <v>Program Value</v>
          </cell>
          <cell r="X192">
            <v>206</v>
          </cell>
        </row>
        <row r="193">
          <cell r="B193" t="str">
            <v>Other</v>
          </cell>
          <cell r="AA193">
            <v>504</v>
          </cell>
          <cell r="AB193">
            <v>584</v>
          </cell>
          <cell r="AC193">
            <v>-47</v>
          </cell>
          <cell r="AD193">
            <v>-165</v>
          </cell>
          <cell r="AE193">
            <v>-250</v>
          </cell>
          <cell r="AF193">
            <v>-200</v>
          </cell>
          <cell r="AG193">
            <v>-150</v>
          </cell>
          <cell r="AH193">
            <v>-125</v>
          </cell>
        </row>
        <row r="194">
          <cell r="B194" t="str">
            <v>DataPath</v>
          </cell>
          <cell r="AA194">
            <v>704</v>
          </cell>
          <cell r="AB194">
            <v>818</v>
          </cell>
          <cell r="AC194">
            <v>1009</v>
          </cell>
          <cell r="AD194">
            <v>825</v>
          </cell>
          <cell r="AE194">
            <v>750</v>
          </cell>
          <cell r="AF194">
            <v>825</v>
          </cell>
          <cell r="AG194">
            <v>890</v>
          </cell>
          <cell r="AH194">
            <v>925</v>
          </cell>
        </row>
        <row r="195">
          <cell r="B195" t="str">
            <v>DAGR (Defense Advanced GPS Receiver)</v>
          </cell>
          <cell r="P195" t="str">
            <v>Total $5.5B program potential</v>
          </cell>
          <cell r="T195" t="str">
            <v>Total $5.5B program potential</v>
          </cell>
          <cell r="AA195">
            <v>704</v>
          </cell>
          <cell r="AB195">
            <v>818</v>
          </cell>
          <cell r="AC195">
            <v>1009</v>
          </cell>
          <cell r="AD195">
            <v>825</v>
          </cell>
          <cell r="AE195">
            <v>750</v>
          </cell>
          <cell r="AF195">
            <v>825</v>
          </cell>
          <cell r="AG195">
            <v>890</v>
          </cell>
          <cell r="AH195">
            <v>925</v>
          </cell>
          <cell r="AI195" t="str">
            <v>- IDIQ thru 2014, stock replenishment levels</v>
          </cell>
        </row>
        <row r="196">
          <cell r="B196" t="str">
            <v>JTRS GMR (Ground Mobile Radio)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O196" t="str">
            <v>http://www.rockwellcollins.com/products/gov/surface/soldier/jtrs-hms/index.html</v>
          </cell>
        </row>
        <row r="197">
          <cell r="B197" t="str">
            <v>JTRS HMS (Handheld / Manpack / Small Form Fit)</v>
          </cell>
          <cell r="AC197">
            <v>100</v>
          </cell>
          <cell r="AD197">
            <v>100</v>
          </cell>
          <cell r="AE197">
            <v>100</v>
          </cell>
          <cell r="AF197">
            <v>100</v>
          </cell>
          <cell r="AG197">
            <v>100</v>
          </cell>
          <cell r="AH197">
            <v>100</v>
          </cell>
          <cell r="AO197" t="str">
            <v>http://www.rockwellcollins.com/products/gov/surface/soldier/jtrs-hms/index.html</v>
          </cell>
        </row>
        <row r="198">
          <cell r="B198" t="str">
            <v>MIDS-JTRS (DataLink Solutions JV with BAE Systems)</v>
          </cell>
          <cell r="AC198">
            <v>100</v>
          </cell>
          <cell r="AD198">
            <v>100</v>
          </cell>
          <cell r="AE198">
            <v>100</v>
          </cell>
          <cell r="AF198">
            <v>100</v>
          </cell>
          <cell r="AG198">
            <v>100</v>
          </cell>
          <cell r="AH198">
            <v>100</v>
          </cell>
          <cell r="AO198" t="str">
            <v>http://www.rockwellcollins.com/products/gov/surface/soldier/jtrs-hms/index.html</v>
          </cell>
        </row>
        <row r="199">
          <cell r="A199" t="str">
            <v>Quarterly Marginal Sales Disclosure</v>
          </cell>
          <cell r="B199" t="str">
            <v>JPALS (Jt. Precision Approach and Landing System)</v>
          </cell>
          <cell r="L199" t="str">
            <v>Program Value</v>
          </cell>
          <cell r="M199" t="str">
            <v>http://www.rockwellcollins.com/news/page11137.html</v>
          </cell>
          <cell r="Q199" t="str">
            <v>http://www.rockwellcollins.com/news/page11137.html</v>
          </cell>
          <cell r="AC199">
            <v>100</v>
          </cell>
          <cell r="AD199">
            <v>100</v>
          </cell>
          <cell r="AE199">
            <v>100</v>
          </cell>
          <cell r="AF199">
            <v>100</v>
          </cell>
          <cell r="AG199">
            <v>100</v>
          </cell>
          <cell r="AH199">
            <v>100</v>
          </cell>
        </row>
        <row r="200">
          <cell r="B200" t="str">
            <v>Soldier Displays</v>
          </cell>
          <cell r="AC200">
            <v>100</v>
          </cell>
          <cell r="AD200">
            <v>100</v>
          </cell>
          <cell r="AE200">
            <v>100</v>
          </cell>
          <cell r="AF200">
            <v>100</v>
          </cell>
          <cell r="AG200">
            <v>100</v>
          </cell>
          <cell r="AH200">
            <v>100</v>
          </cell>
          <cell r="AO200" t="str">
            <v>http://www.rockwellcollins.com/products/gov/surface/soldier/soldier-systems/index.html</v>
          </cell>
        </row>
        <row r="201">
          <cell r="B201" t="str">
            <v>4Q 08 Airborne Solutions</v>
          </cell>
          <cell r="AB201">
            <v>459</v>
          </cell>
          <cell r="AC201">
            <v>100</v>
          </cell>
          <cell r="AD201">
            <v>100</v>
          </cell>
          <cell r="AE201">
            <v>100</v>
          </cell>
          <cell r="AF201">
            <v>100</v>
          </cell>
          <cell r="AG201">
            <v>100</v>
          </cell>
          <cell r="AH201">
            <v>100</v>
          </cell>
          <cell r="AO201" t="str">
            <v>http://www.rockwellcollins.com/products/gov/surface/precision-targeting/index.html</v>
          </cell>
        </row>
        <row r="202">
          <cell r="B202" t="str">
            <v>SEOS Group</v>
          </cell>
          <cell r="AB202">
            <v>5</v>
          </cell>
          <cell r="AC202">
            <v>100</v>
          </cell>
          <cell r="AD202">
            <v>100</v>
          </cell>
          <cell r="AE202">
            <v>100</v>
          </cell>
          <cell r="AF202">
            <v>100</v>
          </cell>
          <cell r="AG202">
            <v>100</v>
          </cell>
          <cell r="AH202">
            <v>100</v>
          </cell>
          <cell r="AO202" t="str">
            <v>http://www.rockwellcollins.com/products/gov/surface/maritime-solutions/index.html</v>
          </cell>
        </row>
        <row r="203">
          <cell r="B203" t="str">
            <v>Organic:</v>
          </cell>
          <cell r="AB203">
            <v>11</v>
          </cell>
        </row>
        <row r="204">
          <cell r="B204" t="str">
            <v>+ F-15 Head-Down Displays</v>
          </cell>
        </row>
        <row r="205">
          <cell r="B205" t="str">
            <v>+ UAV Controls</v>
          </cell>
          <cell r="AA205">
            <v>504</v>
          </cell>
          <cell r="AB205">
            <v>584</v>
          </cell>
          <cell r="AC205">
            <v>-47</v>
          </cell>
          <cell r="AD205">
            <v>-165</v>
          </cell>
          <cell r="AE205">
            <v>-250</v>
          </cell>
          <cell r="AF205">
            <v>-200</v>
          </cell>
          <cell r="AG205">
            <v>-150</v>
          </cell>
          <cell r="AH205">
            <v>-125</v>
          </cell>
        </row>
        <row r="206">
          <cell r="B206" t="str">
            <v>4Q09 Airborne Solutions</v>
          </cell>
          <cell r="AA206">
            <v>704</v>
          </cell>
          <cell r="AB206">
            <v>475</v>
          </cell>
          <cell r="AC206">
            <v>1009</v>
          </cell>
          <cell r="AD206">
            <v>825</v>
          </cell>
          <cell r="AE206">
            <v>750</v>
          </cell>
          <cell r="AF206">
            <v>825</v>
          </cell>
          <cell r="AG206">
            <v>890</v>
          </cell>
          <cell r="AH206">
            <v>925</v>
          </cell>
        </row>
        <row r="207">
          <cell r="AA207">
            <v>704</v>
          </cell>
          <cell r="AB207">
            <v>818</v>
          </cell>
          <cell r="AC207">
            <v>1009</v>
          </cell>
          <cell r="AD207">
            <v>825</v>
          </cell>
          <cell r="AE207">
            <v>750</v>
          </cell>
          <cell r="AF207">
            <v>825</v>
          </cell>
          <cell r="AG207">
            <v>890</v>
          </cell>
          <cell r="AH207">
            <v>925</v>
          </cell>
        </row>
        <row r="208">
          <cell r="B208" t="str">
            <v>4Q 08 Surface Solutions</v>
          </cell>
          <cell r="AA208">
            <v>0</v>
          </cell>
          <cell r="AB208">
            <v>177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</row>
        <row r="209">
          <cell r="B209" t="str">
            <v>DataPath</v>
          </cell>
          <cell r="AB209">
            <v>61</v>
          </cell>
        </row>
        <row r="210">
          <cell r="B210" t="str">
            <v>Organic:</v>
          </cell>
          <cell r="AB210">
            <v>28</v>
          </cell>
        </row>
        <row r="211">
          <cell r="A211" t="str">
            <v>Quarterly Marginal Sales Disclosure</v>
          </cell>
          <cell r="B211" t="str">
            <v>+ UK Precision Targeting</v>
          </cell>
          <cell r="L211" t="str">
            <v>Program Value</v>
          </cell>
        </row>
        <row r="212">
          <cell r="B212" t="str">
            <v>+ JTRS</v>
          </cell>
        </row>
        <row r="213">
          <cell r="B213" t="str">
            <v>+ JPALS</v>
          </cell>
          <cell r="AB213">
            <v>459</v>
          </cell>
        </row>
        <row r="214">
          <cell r="B214" t="str">
            <v>- DAGR</v>
          </cell>
          <cell r="AB214">
            <v>5</v>
          </cell>
        </row>
        <row r="215">
          <cell r="B215" t="str">
            <v>- GB-GRAM</v>
          </cell>
          <cell r="AB215">
            <v>11</v>
          </cell>
        </row>
        <row r="216">
          <cell r="B216" t="str">
            <v>4Q09 Surface Solutions</v>
          </cell>
          <cell r="AB216">
            <v>266</v>
          </cell>
        </row>
        <row r="217">
          <cell r="B217" t="str">
            <v>+ UAV Controls</v>
          </cell>
        </row>
        <row r="218">
          <cell r="B218" t="str">
            <v>1Q 09 Airborne Solutions</v>
          </cell>
          <cell r="AB218">
            <v>403</v>
          </cell>
        </row>
        <row r="219">
          <cell r="B219" t="str">
            <v>SEOS Group</v>
          </cell>
          <cell r="AB219">
            <v>5</v>
          </cell>
        </row>
        <row r="220">
          <cell r="B220" t="str">
            <v>Organic:</v>
          </cell>
          <cell r="AB220">
            <v>2</v>
          </cell>
        </row>
        <row r="221">
          <cell r="B221" t="str">
            <v>+ Transport / Tanker</v>
          </cell>
          <cell r="AB221">
            <v>61</v>
          </cell>
        </row>
        <row r="222">
          <cell r="B222" t="str">
            <v>- F-22</v>
          </cell>
          <cell r="AB222">
            <v>28</v>
          </cell>
        </row>
        <row r="223">
          <cell r="B223" t="str">
            <v>1Q10 Airborne Solutions</v>
          </cell>
          <cell r="AB223">
            <v>410</v>
          </cell>
        </row>
        <row r="224">
          <cell r="B224" t="str">
            <v>+ JTRS</v>
          </cell>
        </row>
        <row r="225">
          <cell r="B225" t="str">
            <v>1Q 09 Surface Solutions</v>
          </cell>
          <cell r="AB225">
            <v>171</v>
          </cell>
        </row>
        <row r="226">
          <cell r="B226" t="str">
            <v>DataPath</v>
          </cell>
          <cell r="AB226">
            <v>60</v>
          </cell>
        </row>
        <row r="227">
          <cell r="B227" t="str">
            <v>Organic:</v>
          </cell>
          <cell r="AB227">
            <v>-25</v>
          </cell>
        </row>
        <row r="228">
          <cell r="B228" t="str">
            <v>- DAGR</v>
          </cell>
          <cell r="AB228">
            <v>266</v>
          </cell>
        </row>
        <row r="229">
          <cell r="B229" t="str">
            <v>1Q10 Surface Solutions</v>
          </cell>
          <cell r="AB229">
            <v>206</v>
          </cell>
        </row>
        <row r="230">
          <cell r="B230" t="str">
            <v>1Q 09 Airborne Solutions</v>
          </cell>
          <cell r="AB230">
            <v>403</v>
          </cell>
        </row>
        <row r="231">
          <cell r="B231" t="str">
            <v>SEOS Group</v>
          </cell>
          <cell r="AB231">
            <v>5</v>
          </cell>
        </row>
        <row r="232">
          <cell r="B232" t="str">
            <v>Organic:</v>
          </cell>
          <cell r="AB232">
            <v>2</v>
          </cell>
        </row>
        <row r="233">
          <cell r="B233" t="str">
            <v>+ Transport / Tanker</v>
          </cell>
        </row>
        <row r="234">
          <cell r="B234" t="str">
            <v>- F-22</v>
          </cell>
        </row>
        <row r="235">
          <cell r="B235" t="str">
            <v>1Q10 Airborne Solutions</v>
          </cell>
          <cell r="AB235">
            <v>410</v>
          </cell>
        </row>
        <row r="237">
          <cell r="B237" t="str">
            <v>1Q 09 Surface Solutions</v>
          </cell>
          <cell r="AB237">
            <v>171</v>
          </cell>
        </row>
        <row r="238">
          <cell r="B238" t="str">
            <v>DataPath</v>
          </cell>
          <cell r="AB238">
            <v>60</v>
          </cell>
        </row>
        <row r="239">
          <cell r="B239" t="str">
            <v>Organic:</v>
          </cell>
          <cell r="AB239">
            <v>-25</v>
          </cell>
        </row>
        <row r="240">
          <cell r="B240" t="str">
            <v>- DAGR</v>
          </cell>
        </row>
        <row r="241">
          <cell r="B241" t="str">
            <v>1Q10 Surface Solutions</v>
          </cell>
          <cell r="AB241">
            <v>206</v>
          </cell>
        </row>
      </sheetData>
      <sheetData sheetId="9" refreshError="1">
        <row r="1">
          <cell r="A1" t="str">
            <v>Rockwell Collins, Inc.</v>
          </cell>
          <cell r="AB1" t="str">
            <v>6mn adjustment in gov</v>
          </cell>
        </row>
        <row r="2">
          <cell r="A2" t="str">
            <v>Commercial Systems Segment Detail</v>
          </cell>
          <cell r="AB2" t="str">
            <v>9mn in commercial</v>
          </cell>
        </row>
        <row r="3">
          <cell r="A3" t="str">
            <v>Morgan Stanley Research</v>
          </cell>
          <cell r="O3" t="str">
            <v>IAM Strike</v>
          </cell>
        </row>
        <row r="4">
          <cell r="A4" t="str">
            <v>($ in Millions Except EPS)</v>
          </cell>
        </row>
        <row r="5">
          <cell r="A5" t="str">
            <v>Model Updated: 4/10</v>
          </cell>
        </row>
        <row r="6">
          <cell r="A6" t="str">
            <v>Fiscal Year Ended Sept. 30</v>
          </cell>
          <cell r="H6">
            <v>2007</v>
          </cell>
          <cell r="L6">
            <v>2008</v>
          </cell>
          <cell r="P6" t="str">
            <v>2009A</v>
          </cell>
          <cell r="T6" t="str">
            <v>2010E</v>
          </cell>
        </row>
        <row r="7">
          <cell r="I7" t="str">
            <v>Dec. 31</v>
          </cell>
          <cell r="J7" t="str">
            <v>March 31</v>
          </cell>
          <cell r="K7" t="str">
            <v>June 30</v>
          </cell>
          <cell r="L7" t="str">
            <v>Sept. 30</v>
          </cell>
          <cell r="M7" t="str">
            <v>Dec. 31</v>
          </cell>
          <cell r="N7" t="str">
            <v>March 31</v>
          </cell>
          <cell r="O7" t="str">
            <v>June 30</v>
          </cell>
          <cell r="P7" t="str">
            <v>Sept. 30</v>
          </cell>
          <cell r="Q7" t="str">
            <v>Dec</v>
          </cell>
          <cell r="R7" t="str">
            <v>March</v>
          </cell>
          <cell r="S7" t="str">
            <v>June</v>
          </cell>
          <cell r="T7" t="str">
            <v>Sept</v>
          </cell>
          <cell r="U7" t="str">
            <v>Dec</v>
          </cell>
          <cell r="V7" t="str">
            <v>March</v>
          </cell>
          <cell r="W7" t="str">
            <v>June</v>
          </cell>
          <cell r="X7" t="str">
            <v>Sept</v>
          </cell>
          <cell r="Y7" t="str">
            <v>Dec</v>
          </cell>
          <cell r="Z7" t="str">
            <v>March</v>
          </cell>
          <cell r="AA7" t="str">
            <v>June</v>
          </cell>
          <cell r="AB7" t="str">
            <v>Sept</v>
          </cell>
          <cell r="AC7" t="str">
            <v>Dec</v>
          </cell>
          <cell r="AD7" t="str">
            <v>March</v>
          </cell>
          <cell r="AE7" t="str">
            <v>June</v>
          </cell>
          <cell r="AF7" t="str">
            <v>Sept</v>
          </cell>
          <cell r="AJ7" t="str">
            <v>Y/Y Growth Rates</v>
          </cell>
          <cell r="AN7" t="str">
            <v>Y/Y Growth Rates</v>
          </cell>
          <cell r="AR7" t="str">
            <v>Y/Y Growth Rates</v>
          </cell>
        </row>
        <row r="8">
          <cell r="H8" t="str">
            <v>Q1</v>
          </cell>
          <cell r="I8" t="str">
            <v>1Q07</v>
          </cell>
          <cell r="J8" t="str">
            <v>2Q07</v>
          </cell>
          <cell r="K8" t="str">
            <v>3Q07</v>
          </cell>
          <cell r="L8" t="str">
            <v>4Q07</v>
          </cell>
          <cell r="M8" t="str">
            <v>1Q08</v>
          </cell>
          <cell r="N8" t="str">
            <v>2Q08</v>
          </cell>
          <cell r="O8" t="str">
            <v>3Q08</v>
          </cell>
          <cell r="P8" t="str">
            <v>4Q08</v>
          </cell>
          <cell r="Q8" t="str">
            <v>1Q09</v>
          </cell>
          <cell r="R8" t="str">
            <v>2Q09</v>
          </cell>
          <cell r="S8" t="str">
            <v>3Q09</v>
          </cell>
          <cell r="T8" t="str">
            <v>4Q09</v>
          </cell>
          <cell r="U8" t="str">
            <v>1Q10A</v>
          </cell>
          <cell r="V8" t="str">
            <v>2Q10A</v>
          </cell>
          <cell r="W8" t="str">
            <v>3Q10A</v>
          </cell>
          <cell r="X8" t="str">
            <v>4Q10E</v>
          </cell>
          <cell r="Y8">
            <v>2006</v>
          </cell>
          <cell r="Z8">
            <v>2007</v>
          </cell>
          <cell r="AA8">
            <v>2008</v>
          </cell>
          <cell r="AB8">
            <v>2009</v>
          </cell>
          <cell r="AC8">
            <v>2010</v>
          </cell>
          <cell r="AD8">
            <v>2011</v>
          </cell>
          <cell r="AE8">
            <v>2012</v>
          </cell>
          <cell r="AF8">
            <v>2013</v>
          </cell>
          <cell r="AG8">
            <v>2014</v>
          </cell>
          <cell r="AH8">
            <v>2015</v>
          </cell>
          <cell r="AI8" t="str">
            <v>2012E</v>
          </cell>
          <cell r="AJ8">
            <v>2010</v>
          </cell>
          <cell r="AK8">
            <v>2011</v>
          </cell>
          <cell r="AL8">
            <v>2012</v>
          </cell>
          <cell r="AM8">
            <v>2013</v>
          </cell>
          <cell r="AN8">
            <v>2014</v>
          </cell>
          <cell r="AO8">
            <v>2015</v>
          </cell>
          <cell r="AP8" t="str">
            <v>1Q10A</v>
          </cell>
          <cell r="AQ8" t="str">
            <v>2Q10A</v>
          </cell>
          <cell r="AR8" t="str">
            <v>3Q10A</v>
          </cell>
          <cell r="AS8" t="str">
            <v>4Q10E</v>
          </cell>
          <cell r="AT8" t="str">
            <v>1Q10</v>
          </cell>
          <cell r="AU8" t="str">
            <v>Notes</v>
          </cell>
          <cell r="AV8" t="str">
            <v>3Q10</v>
          </cell>
          <cell r="AW8" t="str">
            <v>4Q10</v>
          </cell>
          <cell r="AX8" t="str">
            <v>1Q10</v>
          </cell>
          <cell r="AY8" t="str">
            <v>Notes</v>
          </cell>
          <cell r="AZ8" t="str">
            <v>3Q10</v>
          </cell>
          <cell r="BA8" t="str">
            <v>4Q10</v>
          </cell>
          <cell r="BC8" t="str">
            <v>Notes</v>
          </cell>
        </row>
        <row r="9">
          <cell r="A9" t="str">
            <v>Macro Indicators</v>
          </cell>
        </row>
        <row r="10">
          <cell r="B10" t="str">
            <v>Commercial Systems Sales</v>
          </cell>
        </row>
        <row r="11">
          <cell r="B11" t="str">
            <v>Aircraft Deliveries</v>
          </cell>
          <cell r="C11" t="str">
            <v>Air Transport Aviation Electronics:</v>
          </cell>
        </row>
        <row r="12">
          <cell r="B12" t="str">
            <v>Boeing</v>
          </cell>
          <cell r="D12" t="str">
            <v>Original Equipment</v>
          </cell>
          <cell r="Q12">
            <v>67</v>
          </cell>
          <cell r="R12">
            <v>102</v>
          </cell>
          <cell r="S12">
            <v>91</v>
          </cell>
          <cell r="T12">
            <v>105</v>
          </cell>
          <cell r="U12">
            <v>98</v>
          </cell>
          <cell r="V12">
            <v>113</v>
          </cell>
          <cell r="W12">
            <v>114</v>
          </cell>
          <cell r="X12">
            <v>525</v>
          </cell>
          <cell r="Y12">
            <v>381</v>
          </cell>
          <cell r="Z12">
            <v>281</v>
          </cell>
          <cell r="AA12">
            <v>285</v>
          </cell>
          <cell r="AB12">
            <v>365</v>
          </cell>
          <cell r="AC12">
            <v>440</v>
          </cell>
          <cell r="AD12">
            <v>497.19999999999993</v>
          </cell>
          <cell r="AE12">
            <v>546.91999999999996</v>
          </cell>
          <cell r="AF12">
            <v>601.61199999999997</v>
          </cell>
          <cell r="AG12">
            <v>632.72986206896553</v>
          </cell>
          <cell r="AH12">
            <v>663.8477241379311</v>
          </cell>
          <cell r="AI12">
            <v>509</v>
          </cell>
          <cell r="AJ12">
            <v>0.20547945205479445</v>
          </cell>
          <cell r="AK12">
            <v>0.12999999999999989</v>
          </cell>
          <cell r="AL12">
            <v>0.10000000000000009</v>
          </cell>
          <cell r="AM12">
            <v>0.10000000000000009</v>
          </cell>
          <cell r="AN12">
            <v>5.1724137931034475E-2</v>
          </cell>
          <cell r="AO12">
            <v>4.9180327868852514E-2</v>
          </cell>
          <cell r="AP12">
            <v>0.46268656716417911</v>
          </cell>
          <cell r="AQ12">
            <v>0.10784313725490202</v>
          </cell>
          <cell r="AR12">
            <v>0.25274725274725274</v>
          </cell>
          <cell r="AS12">
            <v>9.5238095238095344E-2</v>
          </cell>
          <cell r="AT12">
            <v>0.46268656716417911</v>
          </cell>
          <cell r="AU12">
            <v>0.10784313725490202</v>
          </cell>
          <cell r="AV12">
            <v>0.25274725274725274</v>
          </cell>
          <cell r="AW12">
            <v>8.5714285714285632E-2</v>
          </cell>
          <cell r="AX12">
            <v>0.46268656716417911</v>
          </cell>
          <cell r="AY12">
            <v>0.10784313725490202</v>
          </cell>
          <cell r="AZ12">
            <v>0.25274725274725274</v>
          </cell>
          <cell r="BA12">
            <v>8.5714285714285632E-2</v>
          </cell>
        </row>
        <row r="13">
          <cell r="C13" t="str">
            <v>Y/Y Change</v>
          </cell>
          <cell r="D13" t="str">
            <v>Aftermarket</v>
          </cell>
          <cell r="Q13">
            <v>132</v>
          </cell>
          <cell r="R13">
            <v>140</v>
          </cell>
          <cell r="S13">
            <v>130</v>
          </cell>
          <cell r="T13">
            <v>134</v>
          </cell>
          <cell r="U13">
            <v>125</v>
          </cell>
          <cell r="V13">
            <v>127</v>
          </cell>
          <cell r="W13">
            <v>115</v>
          </cell>
          <cell r="X13">
            <v>147.4</v>
          </cell>
          <cell r="Y13">
            <v>-0.27428571428571424</v>
          </cell>
          <cell r="Z13">
            <v>-0.26246719160104992</v>
          </cell>
          <cell r="AA13">
            <v>1.4234875444839812E-2</v>
          </cell>
          <cell r="AB13">
            <v>536</v>
          </cell>
          <cell r="AC13">
            <v>514.4</v>
          </cell>
          <cell r="AD13">
            <v>565.84</v>
          </cell>
          <cell r="AE13">
            <v>622.42400000000009</v>
          </cell>
          <cell r="AF13">
            <v>672.21792000000016</v>
          </cell>
          <cell r="AG13">
            <v>703.24336246153871</v>
          </cell>
          <cell r="AH13">
            <v>734.26880492307725</v>
          </cell>
          <cell r="AI13">
            <v>0.1782407407407407</v>
          </cell>
          <cell r="AJ13">
            <v>-4.0298507462686595E-2</v>
          </cell>
          <cell r="AK13">
            <v>0.10000000000000009</v>
          </cell>
          <cell r="AL13">
            <v>0.10000000000000009</v>
          </cell>
          <cell r="AM13">
            <v>8.0000000000000071E-2</v>
          </cell>
          <cell r="AN13">
            <v>4.6153846153846212E-2</v>
          </cell>
          <cell r="AO13">
            <v>4.4117647058823595E-2</v>
          </cell>
          <cell r="AP13">
            <v>-5.3030303030302983E-2</v>
          </cell>
          <cell r="AQ13">
            <v>-9.285714285714286E-2</v>
          </cell>
          <cell r="AR13">
            <v>-0.11538461538461542</v>
          </cell>
          <cell r="AS13">
            <v>0.10000000000000009</v>
          </cell>
          <cell r="AT13">
            <v>-0.24242424242424243</v>
          </cell>
          <cell r="AU13" t="str">
            <v>7/10 - half non discretionary; 50% of discretionary is IFE (Inflight Entertainment)</v>
          </cell>
          <cell r="AV13">
            <v>-0.29230769230769227</v>
          </cell>
          <cell r="AW13">
            <v>-0.11194029850746268</v>
          </cell>
          <cell r="AX13">
            <v>-0.24242424242424243</v>
          </cell>
          <cell r="AY13" t="str">
            <v>7/10 - half non discretionary; 50% of discretionary is IFE (Inflight Entertainment)</v>
          </cell>
          <cell r="AZ13">
            <v>-0.33846153846153848</v>
          </cell>
          <cell r="BA13">
            <v>-0.19402985074626866</v>
          </cell>
          <cell r="BC13" t="str">
            <v>7/10 - half non discretionary; 50% of discretionary is IFE (Inflight Entertainment)</v>
          </cell>
        </row>
        <row r="14">
          <cell r="D14" t="str">
            <v xml:space="preserve">Wide-Body In-Flight Entertainment </v>
          </cell>
          <cell r="Q14">
            <v>21</v>
          </cell>
          <cell r="R14">
            <v>17</v>
          </cell>
          <cell r="S14">
            <v>23</v>
          </cell>
          <cell r="T14">
            <v>24</v>
          </cell>
          <cell r="U14">
            <v>18</v>
          </cell>
          <cell r="V14">
            <v>11</v>
          </cell>
          <cell r="W14">
            <v>10</v>
          </cell>
          <cell r="X14">
            <v>6</v>
          </cell>
          <cell r="Y14">
            <v>27</v>
          </cell>
          <cell r="Z14">
            <v>29</v>
          </cell>
          <cell r="AA14">
            <v>24</v>
          </cell>
          <cell r="AB14">
            <v>85</v>
          </cell>
          <cell r="AC14">
            <v>45</v>
          </cell>
          <cell r="AD14">
            <v>27</v>
          </cell>
          <cell r="AE14">
            <v>18.899999999999999</v>
          </cell>
          <cell r="AF14">
            <v>13.229999999999999</v>
          </cell>
          <cell r="AG14">
            <v>9.2609999999999992</v>
          </cell>
          <cell r="AH14">
            <v>6.4826999999999995</v>
          </cell>
          <cell r="AI14">
            <v>69.02</v>
          </cell>
          <cell r="AJ14">
            <v>-0.47058823529411764</v>
          </cell>
          <cell r="AK14">
            <v>-0.4</v>
          </cell>
          <cell r="AL14">
            <v>23.673859999999994</v>
          </cell>
          <cell r="AM14">
            <v>83.3</v>
          </cell>
          <cell r="AN14">
            <v>0.70588235294117641</v>
          </cell>
          <cell r="AO14">
            <v>-0.32000000000000006</v>
          </cell>
          <cell r="AP14">
            <v>-0.1428571428571429</v>
          </cell>
          <cell r="AQ14">
            <v>-0.3529411764705882</v>
          </cell>
          <cell r="AR14">
            <v>-0.56521739130434789</v>
          </cell>
          <cell r="AS14">
            <v>-0.75</v>
          </cell>
          <cell r="AT14">
            <v>1.0476190476190474</v>
          </cell>
          <cell r="AU14">
            <v>1.0588235294117645</v>
          </cell>
          <cell r="AV14">
            <v>0.43478260869565211</v>
          </cell>
          <cell r="AW14">
            <v>0.41666666666666674</v>
          </cell>
          <cell r="AX14">
            <v>1.0476190476190474</v>
          </cell>
          <cell r="AY14">
            <v>1.0588235294117645</v>
          </cell>
          <cell r="AZ14">
            <v>0.43478260869565211</v>
          </cell>
          <cell r="BA14">
            <v>0.41666666666666674</v>
          </cell>
        </row>
        <row r="15">
          <cell r="B15" t="str">
            <v>Airbus</v>
          </cell>
          <cell r="D15" t="str">
            <v>Total Air Transport Electronics</v>
          </cell>
          <cell r="Q15">
            <v>220</v>
          </cell>
          <cell r="R15">
            <v>259</v>
          </cell>
          <cell r="S15">
            <v>244</v>
          </cell>
          <cell r="T15">
            <v>263</v>
          </cell>
          <cell r="U15">
            <v>241</v>
          </cell>
          <cell r="V15">
            <v>251</v>
          </cell>
          <cell r="W15">
            <v>239</v>
          </cell>
          <cell r="X15">
            <v>325</v>
          </cell>
          <cell r="Y15">
            <v>303</v>
          </cell>
          <cell r="Z15">
            <v>305</v>
          </cell>
          <cell r="AA15">
            <v>320</v>
          </cell>
          <cell r="AB15">
            <v>986</v>
          </cell>
          <cell r="AC15">
            <v>999.4</v>
          </cell>
          <cell r="AD15">
            <v>1090.04</v>
          </cell>
          <cell r="AE15">
            <v>1188.2440000000001</v>
          </cell>
          <cell r="AF15">
            <v>1287.0599200000001</v>
          </cell>
          <cell r="AG15">
            <v>1345.2342245305042</v>
          </cell>
          <cell r="AH15">
            <v>1404.5992290610084</v>
          </cell>
          <cell r="AI15">
            <v>453</v>
          </cell>
          <cell r="AJ15">
            <v>1.3590263691683591E-2</v>
          </cell>
          <cell r="AK15">
            <v>9.0694416649989895E-2</v>
          </cell>
          <cell r="AL15">
            <v>9.0092106711680442E-2</v>
          </cell>
          <cell r="AM15">
            <v>8.3161303570647105E-2</v>
          </cell>
          <cell r="AN15">
            <v>4.5199375434287425E-2</v>
          </cell>
          <cell r="AO15">
            <v>4.4129864857715084E-2</v>
          </cell>
          <cell r="AP15">
            <v>9.5454545454545459E-2</v>
          </cell>
          <cell r="AQ15">
            <v>-3.0888030888030937E-2</v>
          </cell>
          <cell r="AR15">
            <v>-2.0491803278688492E-2</v>
          </cell>
          <cell r="AS15">
            <v>2.0532319391634912E-2</v>
          </cell>
          <cell r="AT15">
            <v>9.5454545454545459E-2</v>
          </cell>
          <cell r="AU15">
            <v>-3.0888030888030937E-2</v>
          </cell>
          <cell r="AV15">
            <v>-2.0491803278688492E-2</v>
          </cell>
          <cell r="AW15">
            <v>1.5209125475285079E-2</v>
          </cell>
          <cell r="AX15">
            <v>9.5454545454545459E-2</v>
          </cell>
          <cell r="AY15">
            <v>-3.0888030888030937E-2</v>
          </cell>
          <cell r="AZ15">
            <v>-4.5081967213114749E-2</v>
          </cell>
          <cell r="BA15">
            <v>-2.6615969581749055E-2</v>
          </cell>
        </row>
        <row r="16">
          <cell r="C16" t="str">
            <v>Y/Y Change</v>
          </cell>
          <cell r="Y16">
            <v>-6.7692307692307718E-2</v>
          </cell>
          <cell r="Z16">
            <v>6.6006600660066805E-3</v>
          </cell>
          <cell r="AA16">
            <v>4.9180327868852514E-2</v>
          </cell>
          <cell r="AB16">
            <v>0.18124999999999991</v>
          </cell>
          <cell r="AC16">
            <v>0.14814814814814814</v>
          </cell>
          <cell r="AD16">
            <v>4.377880184331806E-2</v>
          </cell>
          <cell r="AE16">
            <v>6.6225165562913801E-2</v>
          </cell>
          <cell r="AF16">
            <v>0</v>
          </cell>
          <cell r="AG16">
            <v>-0.10144927536231885</v>
          </cell>
          <cell r="AH16">
            <v>1.6129032258064502E-2</v>
          </cell>
          <cell r="AI16">
            <v>2.7210884353741527E-2</v>
          </cell>
          <cell r="AJ16">
            <v>1.7660044150110465E-2</v>
          </cell>
          <cell r="AK16">
            <v>3.0368763557483636E-2</v>
          </cell>
          <cell r="AL16">
            <v>5.2631578947368363E-2</v>
          </cell>
        </row>
        <row r="17">
          <cell r="C17" t="str">
            <v>Business and Regional Aviation Electronics:</v>
          </cell>
          <cell r="AM17">
            <v>0.15770127118644051</v>
          </cell>
        </row>
        <row r="18">
          <cell r="B18" t="str">
            <v>Large Commercial Deliveries</v>
          </cell>
          <cell r="D18" t="str">
            <v>Orginal Equipment</v>
          </cell>
          <cell r="Q18">
            <v>177</v>
          </cell>
          <cell r="R18">
            <v>193</v>
          </cell>
          <cell r="S18">
            <v>120</v>
          </cell>
          <cell r="T18">
            <v>115</v>
          </cell>
          <cell r="U18">
            <v>103</v>
          </cell>
          <cell r="V18">
            <v>120</v>
          </cell>
          <cell r="W18">
            <v>126</v>
          </cell>
          <cell r="X18">
            <v>850</v>
          </cell>
          <cell r="Y18">
            <v>683.72571428571428</v>
          </cell>
          <cell r="Z18">
            <v>585.73753280839901</v>
          </cell>
          <cell r="AA18">
            <v>605.0142348754448</v>
          </cell>
          <cell r="AB18">
            <v>605</v>
          </cell>
          <cell r="AC18">
            <v>479</v>
          </cell>
          <cell r="AD18">
            <v>526.90000000000009</v>
          </cell>
          <cell r="AE18">
            <v>632.28000000000009</v>
          </cell>
          <cell r="AF18">
            <v>720.79920000000016</v>
          </cell>
          <cell r="AG18">
            <v>821.71108800000025</v>
          </cell>
          <cell r="AH18">
            <v>887.4479750400003</v>
          </cell>
          <cell r="AI18">
            <v>962.17824074074076</v>
          </cell>
          <cell r="AJ18">
            <v>-0.20826446280991739</v>
          </cell>
          <cell r="AK18">
            <v>0.10000000000000009</v>
          </cell>
          <cell r="AL18">
            <v>0.19999999999999996</v>
          </cell>
          <cell r="AM18">
            <v>0.14000000000000012</v>
          </cell>
          <cell r="AN18">
            <v>0.14000000000000012</v>
          </cell>
          <cell r="AO18">
            <v>8.0000000000000071E-2</v>
          </cell>
          <cell r="AP18">
            <v>-0.41807909604519777</v>
          </cell>
          <cell r="AQ18">
            <v>-0.37823834196891193</v>
          </cell>
          <cell r="AR18">
            <v>5.0000000000000044E-2</v>
          </cell>
          <cell r="AS18">
            <v>0.13043478260869557</v>
          </cell>
          <cell r="AT18">
            <v>-0.41807909604519777</v>
          </cell>
          <cell r="AU18" t="str">
            <v>7/10 - 7% biz jet OEM growth would translate into 14% growth for COL</v>
          </cell>
          <cell r="AV18">
            <v>5.0000000000000044E-2</v>
          </cell>
          <cell r="AW18">
            <v>1.7391304347825987E-2</v>
          </cell>
          <cell r="AX18">
            <v>-0.41807909604519777</v>
          </cell>
          <cell r="AY18" t="str">
            <v>7/10 - 7% biz jet OEM growth would translate into 14% growth for COL</v>
          </cell>
          <cell r="AZ18">
            <v>5.0000000000000044E-2</v>
          </cell>
          <cell r="BA18">
            <v>1.7391304347825987E-2</v>
          </cell>
          <cell r="BC18" t="str">
            <v>7/10 - 7% biz jet OEM growth would translate into 14% growth for COL</v>
          </cell>
        </row>
        <row r="19">
          <cell r="C19" t="str">
            <v>Y/Y Change</v>
          </cell>
          <cell r="D19" t="str">
            <v>Aftermarket</v>
          </cell>
          <cell r="Q19">
            <v>87</v>
          </cell>
          <cell r="R19">
            <v>73</v>
          </cell>
          <cell r="S19">
            <v>69</v>
          </cell>
          <cell r="T19">
            <v>71</v>
          </cell>
          <cell r="U19">
            <v>67</v>
          </cell>
          <cell r="V19">
            <v>78</v>
          </cell>
          <cell r="W19">
            <v>95</v>
          </cell>
          <cell r="X19">
            <v>88</v>
          </cell>
          <cell r="Y19">
            <v>-0.19561680672268911</v>
          </cell>
          <cell r="Z19">
            <v>-0.14331504495144398</v>
          </cell>
          <cell r="AA19">
            <v>3.2910136344893148E-2</v>
          </cell>
          <cell r="AB19">
            <v>300</v>
          </cell>
          <cell r="AC19">
            <v>328</v>
          </cell>
          <cell r="AD19">
            <v>354.24</v>
          </cell>
          <cell r="AE19">
            <v>382.57920000000001</v>
          </cell>
          <cell r="AF19">
            <v>409.35974400000003</v>
          </cell>
          <cell r="AG19">
            <v>433.92132864000007</v>
          </cell>
          <cell r="AH19">
            <v>459.9566083584001</v>
          </cell>
          <cell r="AI19">
            <v>0.10218836139961085</v>
          </cell>
          <cell r="AJ19">
            <v>9.3333333333333268E-2</v>
          </cell>
          <cell r="AK19">
            <v>8.0000000000000071E-2</v>
          </cell>
          <cell r="AL19">
            <v>8.0000000000000071E-2</v>
          </cell>
          <cell r="AM19">
            <v>7.0000000000000062E-2</v>
          </cell>
          <cell r="AN19">
            <v>6.0000000000000053E-2</v>
          </cell>
          <cell r="AO19">
            <v>6.0000000000000053E-2</v>
          </cell>
          <cell r="AP19">
            <v>-0.22988505747126442</v>
          </cell>
          <cell r="AQ19">
            <v>6.8493150684931559E-2</v>
          </cell>
          <cell r="AR19">
            <v>0.37681159420289845</v>
          </cell>
          <cell r="AS19">
            <v>0.23943661971830976</v>
          </cell>
          <cell r="AT19">
            <v>-0.22988505747126442</v>
          </cell>
          <cell r="AU19">
            <v>6.8493150684931559E-2</v>
          </cell>
          <cell r="AV19">
            <v>0.37681159420289845</v>
          </cell>
          <cell r="AW19">
            <v>0.40845070422535201</v>
          </cell>
          <cell r="AX19">
            <v>-0.22988505747126442</v>
          </cell>
          <cell r="AY19">
            <v>6.8493150684931559E-2</v>
          </cell>
          <cell r="AZ19">
            <v>0.37681159420289845</v>
          </cell>
          <cell r="BA19">
            <v>0.40845070422535201</v>
          </cell>
        </row>
        <row r="20">
          <cell r="D20" t="str">
            <v>Total Business and Regional Aviation</v>
          </cell>
          <cell r="Q20">
            <v>264</v>
          </cell>
          <cell r="R20">
            <v>266</v>
          </cell>
          <cell r="S20">
            <v>189</v>
          </cell>
          <cell r="T20">
            <v>186</v>
          </cell>
          <cell r="U20">
            <v>170</v>
          </cell>
          <cell r="V20">
            <v>198</v>
          </cell>
          <cell r="W20">
            <v>221</v>
          </cell>
          <cell r="X20">
            <v>218</v>
          </cell>
          <cell r="Y20">
            <v>210</v>
          </cell>
          <cell r="Z20">
            <v>231</v>
          </cell>
          <cell r="AA20">
            <v>242</v>
          </cell>
          <cell r="AB20">
            <v>905</v>
          </cell>
          <cell r="AC20">
            <v>807</v>
          </cell>
          <cell r="AD20">
            <v>881.1400000000001</v>
          </cell>
          <cell r="AE20">
            <v>1014.8592000000001</v>
          </cell>
          <cell r="AF20">
            <v>1130.1589440000002</v>
          </cell>
          <cell r="AG20">
            <v>1255.6324166400004</v>
          </cell>
          <cell r="AH20">
            <v>1347.4045833984005</v>
          </cell>
          <cell r="AI20">
            <v>1069.5906</v>
          </cell>
          <cell r="AJ20">
            <v>-0.10828729281767957</v>
          </cell>
          <cell r="AK20">
            <v>9.1871127633209593E-2</v>
          </cell>
          <cell r="AL20">
            <v>0.15175704201375484</v>
          </cell>
          <cell r="AM20">
            <v>0.11361156700358044</v>
          </cell>
          <cell r="AN20">
            <v>0.11102285506488907</v>
          </cell>
          <cell r="AO20">
            <v>7.3088401941690195E-2</v>
          </cell>
          <cell r="AP20">
            <v>-0.35606060606060608</v>
          </cell>
          <cell r="AQ20">
            <v>-0.25563909774436089</v>
          </cell>
          <cell r="AR20">
            <v>0.1693121693121693</v>
          </cell>
          <cell r="AS20">
            <v>0.17204301075268824</v>
          </cell>
          <cell r="AT20">
            <v>-0.35606060606060608</v>
          </cell>
          <cell r="AU20">
            <v>-0.25563909774436089</v>
          </cell>
          <cell r="AV20">
            <v>0.1693121693121693</v>
          </cell>
          <cell r="AW20">
            <v>0.16666666666666674</v>
          </cell>
          <cell r="AX20">
            <v>-0.35606060606060608</v>
          </cell>
          <cell r="AY20">
            <v>-0.25563909774436089</v>
          </cell>
          <cell r="AZ20">
            <v>0.1693121693121693</v>
          </cell>
          <cell r="BA20">
            <v>0.16666666666666674</v>
          </cell>
        </row>
        <row r="21">
          <cell r="B21" t="str">
            <v>Regional Jet Deliveries</v>
          </cell>
          <cell r="X21">
            <v>330</v>
          </cell>
          <cell r="Y21">
            <v>315</v>
          </cell>
          <cell r="Z21">
            <v>316</v>
          </cell>
          <cell r="AA21">
            <v>331</v>
          </cell>
          <cell r="AB21">
            <v>258</v>
          </cell>
          <cell r="AC21">
            <v>210</v>
          </cell>
          <cell r="AD21">
            <v>258</v>
          </cell>
          <cell r="AE21">
            <v>272</v>
          </cell>
          <cell r="AF21">
            <v>200</v>
          </cell>
          <cell r="AG21">
            <v>160</v>
          </cell>
          <cell r="AH21">
            <v>110</v>
          </cell>
          <cell r="AI21">
            <v>105</v>
          </cell>
          <cell r="AJ21">
            <v>135</v>
          </cell>
          <cell r="AK21">
            <v>150</v>
          </cell>
          <cell r="AL21">
            <v>150</v>
          </cell>
          <cell r="AN21" t="str">
            <v>Source: Airline Monitor, Bombardier/Embraer</v>
          </cell>
        </row>
        <row r="22">
          <cell r="C22" t="str">
            <v>Y/Y Change</v>
          </cell>
          <cell r="Q22">
            <v>484</v>
          </cell>
          <cell r="R22">
            <v>525</v>
          </cell>
          <cell r="S22">
            <v>433</v>
          </cell>
          <cell r="T22">
            <v>449</v>
          </cell>
          <cell r="U22">
            <v>411</v>
          </cell>
          <cell r="V22">
            <v>449</v>
          </cell>
          <cell r="W22">
            <v>460</v>
          </cell>
          <cell r="X22">
            <v>486.4</v>
          </cell>
          <cell r="Y22">
            <v>-4.5454545454545414E-2</v>
          </cell>
          <cell r="Z22">
            <v>3.1746031746031633E-3</v>
          </cell>
          <cell r="AA22">
            <v>4.7468354430379778E-2</v>
          </cell>
          <cell r="AB22">
            <v>-0.22054380664652573</v>
          </cell>
          <cell r="AC22">
            <v>-0.18604651162790697</v>
          </cell>
          <cell r="AD22">
            <v>0.22857142857142865</v>
          </cell>
          <cell r="AE22">
            <v>5.4263565891472965E-2</v>
          </cell>
          <cell r="AF22">
            <v>-0.26470588235294112</v>
          </cell>
          <cell r="AG22">
            <v>-0.19999999999999996</v>
          </cell>
          <cell r="AH22">
            <v>-0.3125</v>
          </cell>
          <cell r="AI22">
            <v>-4.5454545454545414E-2</v>
          </cell>
          <cell r="AJ22">
            <v>-4.4738233738762512E-2</v>
          </cell>
          <cell r="AK22">
            <v>9.1220106288750991E-2</v>
          </cell>
          <cell r="AL22">
            <v>0.11765703791637527</v>
          </cell>
          <cell r="AM22">
            <v>9.7188213425499104E-2</v>
          </cell>
          <cell r="AN22">
            <v>7.5974823755348586E-2</v>
          </cell>
          <cell r="AO22">
            <v>5.8110311730895203E-2</v>
          </cell>
          <cell r="AP22">
            <v>-0.15082644628099173</v>
          </cell>
          <cell r="AQ22">
            <v>-0.14476190476190476</v>
          </cell>
          <cell r="AR22">
            <v>6.2355658198614217E-2</v>
          </cell>
          <cell r="AS22">
            <v>8.3296213808463193E-2</v>
          </cell>
          <cell r="AT22">
            <v>-0.15082644628099173</v>
          </cell>
          <cell r="AU22">
            <v>-0.14476190476190476</v>
          </cell>
          <cell r="AV22">
            <v>6.2355658198614217E-2</v>
          </cell>
          <cell r="AW22">
            <v>7.795100222717144E-2</v>
          </cell>
          <cell r="AX22">
            <v>-0.15082644628099173</v>
          </cell>
          <cell r="AY22">
            <v>-0.14476190476190476</v>
          </cell>
          <cell r="AZ22">
            <v>4.8498845265589008E-2</v>
          </cell>
          <cell r="BA22">
            <v>5.3452115812917533E-2</v>
          </cell>
        </row>
        <row r="23">
          <cell r="D23" t="str">
            <v>Check</v>
          </cell>
          <cell r="I23">
            <v>492</v>
          </cell>
          <cell r="J23">
            <v>542</v>
          </cell>
          <cell r="K23">
            <v>545</v>
          </cell>
          <cell r="L23">
            <v>605</v>
          </cell>
          <cell r="M23">
            <v>565</v>
          </cell>
          <cell r="N23">
            <v>610</v>
          </cell>
          <cell r="O23">
            <v>587</v>
          </cell>
          <cell r="P23">
            <v>641</v>
          </cell>
          <cell r="Q23">
            <v>484</v>
          </cell>
          <cell r="R23">
            <v>525</v>
          </cell>
          <cell r="S23">
            <v>433</v>
          </cell>
          <cell r="T23">
            <v>449</v>
          </cell>
          <cell r="U23">
            <v>411</v>
          </cell>
          <cell r="V23">
            <v>449</v>
          </cell>
          <cell r="W23">
            <v>460</v>
          </cell>
          <cell r="X23">
            <v>486.40000000000009</v>
          </cell>
          <cell r="Y23">
            <v>1820</v>
          </cell>
          <cell r="Z23">
            <v>2184</v>
          </cell>
          <cell r="AA23">
            <v>2403</v>
          </cell>
          <cell r="AB23">
            <v>1891</v>
          </cell>
          <cell r="AC23">
            <v>1806.4</v>
          </cell>
          <cell r="AD23">
            <v>1971.18</v>
          </cell>
          <cell r="AE23">
            <v>2203.1032000000005</v>
          </cell>
          <cell r="AF23">
            <v>2417.2188640000004</v>
          </cell>
          <cell r="AG23">
            <v>2600.8666411705044</v>
          </cell>
          <cell r="AH23">
            <v>2752.0038124594089</v>
          </cell>
          <cell r="AI23">
            <v>2252.3762000000002</v>
          </cell>
          <cell r="AJ23">
            <v>2493.8092040000001</v>
          </cell>
          <cell r="AK23">
            <v>2698.2184133600003</v>
          </cell>
          <cell r="AL23">
            <v>2856.3530421728001</v>
          </cell>
          <cell r="AM23">
            <v>2255.63</v>
          </cell>
          <cell r="AN23">
            <v>2492.8658</v>
          </cell>
          <cell r="AO23">
            <v>2696.2151020689657</v>
          </cell>
          <cell r="AP23">
            <v>2852.7883950179312</v>
          </cell>
        </row>
        <row r="24">
          <cell r="B24" t="str">
            <v>Total Large and Regional</v>
          </cell>
          <cell r="D24" t="str">
            <v>Difference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1180</v>
          </cell>
          <cell r="Y24">
            <v>998.72571428571428</v>
          </cell>
          <cell r="Z24">
            <v>901.73753280839901</v>
          </cell>
          <cell r="AA24">
            <v>936.0142348754448</v>
          </cell>
          <cell r="AB24">
            <v>926.01754385964909</v>
          </cell>
          <cell r="AC24">
            <v>1042.3724137931035</v>
          </cell>
          <cell r="AD24">
            <v>1152.108040201005</v>
          </cell>
          <cell r="AE24">
            <v>1129.8503401360545</v>
          </cell>
          <cell r="AF24">
            <v>1158.2666666666667</v>
          </cell>
          <cell r="AG24">
            <v>1038.9368421052632</v>
          </cell>
          <cell r="AH24">
            <v>982.97078651685388</v>
          </cell>
          <cell r="AI24">
            <v>1067.1782407407409</v>
          </cell>
          <cell r="AJ24">
            <v>1131.0510805500983</v>
          </cell>
          <cell r="AK24">
            <v>1166.0112149532711</v>
          </cell>
          <cell r="AL24">
            <v>1192.0018484288355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</row>
        <row r="25">
          <cell r="C25" t="str">
            <v>Y/Y Change</v>
          </cell>
          <cell r="Q25">
            <v>219</v>
          </cell>
          <cell r="R25">
            <v>213</v>
          </cell>
          <cell r="S25">
            <v>199</v>
          </cell>
          <cell r="T25">
            <v>205</v>
          </cell>
          <cell r="U25">
            <v>167</v>
          </cell>
          <cell r="V25">
            <v>181</v>
          </cell>
          <cell r="W25">
            <v>187</v>
          </cell>
          <cell r="X25">
            <v>219</v>
          </cell>
          <cell r="Y25">
            <v>-0.15362227602905565</v>
          </cell>
          <cell r="Z25">
            <v>-9.7111929822174425E-2</v>
          </cell>
          <cell r="AA25">
            <v>3.8011839165985828E-2</v>
          </cell>
          <cell r="AB25">
            <v>-1.0680063019688935E-2</v>
          </cell>
          <cell r="AC25">
            <v>0.12565082670948802</v>
          </cell>
          <cell r="AD25">
            <v>0.10527487580814121</v>
          </cell>
          <cell r="AE25">
            <v>-1.9319108354688086E-2</v>
          </cell>
          <cell r="AF25">
            <v>2.5150522614517667E-2</v>
          </cell>
          <cell r="AG25">
            <v>-0.10302448304484013</v>
          </cell>
          <cell r="AH25">
            <v>-5.386858307479192E-2</v>
          </cell>
          <cell r="AI25">
            <v>8.5666283656582687E-2</v>
          </cell>
          <cell r="AJ25">
            <v>5.9852082221075298E-2</v>
          </cell>
          <cell r="AK25">
            <v>3.0909421337690146E-2</v>
          </cell>
          <cell r="AL25">
            <v>2.2290208826684532E-2</v>
          </cell>
        </row>
        <row r="26">
          <cell r="C26" t="str">
            <v>Y/Y Growth Rates</v>
          </cell>
          <cell r="Q26">
            <v>265</v>
          </cell>
          <cell r="R26">
            <v>312</v>
          </cell>
          <cell r="S26">
            <v>234</v>
          </cell>
          <cell r="T26">
            <v>244</v>
          </cell>
          <cell r="U26">
            <v>244</v>
          </cell>
          <cell r="V26">
            <v>268</v>
          </cell>
          <cell r="W26">
            <v>273</v>
          </cell>
          <cell r="X26">
            <v>265</v>
          </cell>
          <cell r="Y26">
            <v>260</v>
          </cell>
          <cell r="Z26">
            <v>299</v>
          </cell>
          <cell r="AA26">
            <v>313</v>
          </cell>
          <cell r="AB26">
            <v>309.84999999999997</v>
          </cell>
          <cell r="AC26">
            <v>0</v>
          </cell>
          <cell r="AD26">
            <v>0</v>
          </cell>
          <cell r="AE26">
            <v>0</v>
          </cell>
          <cell r="AF26">
            <v>1055</v>
          </cell>
          <cell r="AG26">
            <v>1050</v>
          </cell>
          <cell r="AH26">
            <v>1181.8499999999999</v>
          </cell>
          <cell r="AI26">
            <v>1316.3748000000001</v>
          </cell>
          <cell r="AJ26">
            <v>1472.9776080000001</v>
          </cell>
          <cell r="AK26">
            <v>1596.81380352</v>
          </cell>
          <cell r="AL26">
            <v>1688.7445424016</v>
          </cell>
          <cell r="AM26">
            <v>1303.8499999999999</v>
          </cell>
          <cell r="AN26">
            <v>1455.4256</v>
          </cell>
          <cell r="AO26">
            <v>1575.7796860689655</v>
          </cell>
          <cell r="AP26">
            <v>1665.1268540579313</v>
          </cell>
        </row>
        <row r="27">
          <cell r="B27" t="str">
            <v>Biz Jets</v>
          </cell>
          <cell r="C27" t="str">
            <v>Air Transport Aviation Electronics:</v>
          </cell>
          <cell r="Q27">
            <v>219</v>
          </cell>
          <cell r="R27">
            <v>213</v>
          </cell>
          <cell r="S27">
            <v>199</v>
          </cell>
          <cell r="T27">
            <v>205</v>
          </cell>
          <cell r="U27">
            <v>167</v>
          </cell>
          <cell r="V27">
            <v>181</v>
          </cell>
          <cell r="W27">
            <v>181</v>
          </cell>
          <cell r="X27">
            <v>784</v>
          </cell>
          <cell r="Y27">
            <v>676</v>
          </cell>
          <cell r="Z27">
            <v>515</v>
          </cell>
          <cell r="AA27">
            <v>591</v>
          </cell>
          <cell r="AB27">
            <v>750</v>
          </cell>
          <cell r="AC27">
            <v>886</v>
          </cell>
          <cell r="AD27">
            <v>1138</v>
          </cell>
          <cell r="AE27">
            <v>1315</v>
          </cell>
          <cell r="AF27">
            <v>800</v>
          </cell>
          <cell r="AG27">
            <v>625</v>
          </cell>
          <cell r="AH27">
            <v>800</v>
          </cell>
          <cell r="AI27">
            <v>900</v>
          </cell>
          <cell r="AJ27">
            <v>1000</v>
          </cell>
          <cell r="AK27">
            <v>1100</v>
          </cell>
          <cell r="AL27">
            <v>1200</v>
          </cell>
          <cell r="AM27">
            <v>951.78</v>
          </cell>
          <cell r="AN27" t="str">
            <v>Source: GAMA, Honeywell</v>
          </cell>
          <cell r="AO27">
            <v>1120.4354160000003</v>
          </cell>
          <cell r="AP27">
            <v>1187.6615409600004</v>
          </cell>
        </row>
        <row r="28">
          <cell r="C28" t="str">
            <v>Y/Y Change</v>
          </cell>
          <cell r="D28" t="str">
            <v>Original Equipment</v>
          </cell>
          <cell r="U28">
            <v>0.46268656716417911</v>
          </cell>
          <cell r="V28">
            <v>0.10784313725490202</v>
          </cell>
          <cell r="W28">
            <v>0.25274725274725274</v>
          </cell>
          <cell r="X28">
            <v>9.5238095238095344E-2</v>
          </cell>
          <cell r="Y28">
            <v>-0.13775510204081631</v>
          </cell>
          <cell r="Z28">
            <v>-0.23816568047337283</v>
          </cell>
          <cell r="AA28">
            <v>0.14757281553398061</v>
          </cell>
          <cell r="AB28">
            <v>0.26903553299492389</v>
          </cell>
          <cell r="AC28">
            <v>0.20547945205479445</v>
          </cell>
          <cell r="AD28">
            <v>0.13</v>
          </cell>
          <cell r="AE28">
            <v>0.1</v>
          </cell>
          <cell r="AF28">
            <v>0.1</v>
          </cell>
          <cell r="AG28">
            <v>5.1724137931034475E-2</v>
          </cell>
          <cell r="AH28">
            <v>4.9180327868852514E-2</v>
          </cell>
          <cell r="AI28">
            <v>0.125</v>
          </cell>
          <cell r="AJ28">
            <v>0.11111111111111116</v>
          </cell>
          <cell r="AK28">
            <v>0.10000000000000009</v>
          </cell>
          <cell r="AL28">
            <v>9.0909090909090828E-2</v>
          </cell>
        </row>
        <row r="29">
          <cell r="C29" t="str">
            <v>Y/Y Growth Rates</v>
          </cell>
          <cell r="D29" t="str">
            <v>Aftermarket</v>
          </cell>
          <cell r="U29">
            <v>-5.3030303030302983E-2</v>
          </cell>
          <cell r="V29">
            <v>-9.285714285714286E-2</v>
          </cell>
          <cell r="W29">
            <v>-0.11538461538461542</v>
          </cell>
          <cell r="X29">
            <v>0.10000000000000009</v>
          </cell>
          <cell r="Y29">
            <v>0.17346938775510212</v>
          </cell>
          <cell r="Z29">
            <v>0.16814159292035402</v>
          </cell>
          <cell r="AA29">
            <v>0.13157894736842102</v>
          </cell>
          <cell r="AB29">
            <v>0.16877192982456091</v>
          </cell>
          <cell r="AC29">
            <v>-4.0298507462686595E-2</v>
          </cell>
          <cell r="AD29">
            <v>0.1</v>
          </cell>
          <cell r="AE29">
            <v>0.1</v>
          </cell>
          <cell r="AF29">
            <v>0.08</v>
          </cell>
          <cell r="AG29">
            <v>4.6153846153846212E-2</v>
          </cell>
          <cell r="AH29">
            <v>4.4117647058823595E-2</v>
          </cell>
          <cell r="AI29">
            <v>0.14000000000000001</v>
          </cell>
          <cell r="AJ29">
            <v>0.15</v>
          </cell>
          <cell r="AK29">
            <v>5.1724137931034475E-2</v>
          </cell>
          <cell r="AL29">
            <v>4.9180327868852514E-2</v>
          </cell>
        </row>
        <row r="30">
          <cell r="A30" t="str">
            <v>Segment Revenue</v>
          </cell>
          <cell r="C30" t="str">
            <v>Air Transport Aviation Electronics:</v>
          </cell>
          <cell r="D30" t="str">
            <v xml:space="preserve">Wide-Body In-Flight Entertainment </v>
          </cell>
          <cell r="U30">
            <v>-0.1428571428571429</v>
          </cell>
          <cell r="V30">
            <v>-0.3529411764705882</v>
          </cell>
          <cell r="W30">
            <v>-0.56521739130434789</v>
          </cell>
          <cell r="X30">
            <v>-0.75</v>
          </cell>
          <cell r="Y30">
            <v>8.0000000000000071E-2</v>
          </cell>
          <cell r="Z30">
            <v>0.11650485436893199</v>
          </cell>
          <cell r="AA30">
            <v>0.25</v>
          </cell>
          <cell r="AB30">
            <v>5.6134453781513161E-2</v>
          </cell>
          <cell r="AC30">
            <v>-0.47058823529411764</v>
          </cell>
          <cell r="AD30">
            <v>-0.4</v>
          </cell>
          <cell r="AE30">
            <v>-0.3</v>
          </cell>
          <cell r="AF30">
            <v>-0.3</v>
          </cell>
          <cell r="AG30">
            <v>-0.3</v>
          </cell>
          <cell r="AH30">
            <v>-0.3</v>
          </cell>
          <cell r="AI30">
            <v>0.15</v>
          </cell>
          <cell r="AJ30">
            <v>0.09</v>
          </cell>
          <cell r="AK30">
            <v>0.08</v>
          </cell>
          <cell r="AL30">
            <v>0.06</v>
          </cell>
        </row>
        <row r="31">
          <cell r="D31" t="str">
            <v>Total Air Transport Electronics</v>
          </cell>
          <cell r="U31">
            <v>9.5454545454545459E-2</v>
          </cell>
          <cell r="V31">
            <v>-3.0888030888030937E-2</v>
          </cell>
          <cell r="W31">
            <v>-2.0491803278688492E-2</v>
          </cell>
          <cell r="X31">
            <v>2.0532319391634912E-2</v>
          </cell>
          <cell r="Y31">
            <v>-0.37209302325581395</v>
          </cell>
          <cell r="Z31">
            <v>-0.17142857142857137</v>
          </cell>
          <cell r="AA31">
            <v>-0.27272727272727271</v>
          </cell>
          <cell r="AB31">
            <v>-0.4529411764705884</v>
          </cell>
          <cell r="AC31">
            <v>1.3590263691683591E-2</v>
          </cell>
          <cell r="AD31">
            <v>9.0694416649989895E-2</v>
          </cell>
          <cell r="AE31">
            <v>9.0092106711680442E-2</v>
          </cell>
          <cell r="AF31">
            <v>8.3161303570647105E-2</v>
          </cell>
          <cell r="AG31">
            <v>4.5199375434287425E-2</v>
          </cell>
          <cell r="AH31">
            <v>4.4129864857715084E-2</v>
          </cell>
          <cell r="AI31">
            <v>-0.3</v>
          </cell>
          <cell r="AJ31">
            <v>-0.3</v>
          </cell>
          <cell r="AK31">
            <v>-0.3</v>
          </cell>
          <cell r="AL31">
            <v>-0.3</v>
          </cell>
          <cell r="AM31">
            <v>0.14000000000000001</v>
          </cell>
          <cell r="AN31">
            <v>0.15</v>
          </cell>
          <cell r="AO31">
            <v>5.1724137931034475E-2</v>
          </cell>
          <cell r="AP31">
            <v>4.9180327868852514E-2</v>
          </cell>
        </row>
        <row r="32">
          <cell r="B32" t="str">
            <v>OEM Revenue</v>
          </cell>
          <cell r="D32" t="str">
            <v>Total Air Transport Electronics</v>
          </cell>
          <cell r="U32">
            <v>9.5454545454545459E-2</v>
          </cell>
          <cell r="V32">
            <v>-3.0888030888030937E-2</v>
          </cell>
          <cell r="W32">
            <v>-2.0491803278688492E-2</v>
          </cell>
          <cell r="X32">
            <v>1.5209125475285079E-2</v>
          </cell>
          <cell r="Y32">
            <v>3.7344398340249052E-2</v>
          </cell>
          <cell r="Z32">
            <v>9.960159362549792E-2</v>
          </cell>
          <cell r="AA32">
            <v>0.12133891213389125</v>
          </cell>
          <cell r="AB32">
            <v>3.9400749063670304E-2</v>
          </cell>
          <cell r="AC32">
            <v>0.11111111111111116</v>
          </cell>
          <cell r="AG32">
            <v>1.2170385395537497E-2</v>
          </cell>
          <cell r="AH32">
            <v>7.3667334669338613E-2</v>
          </cell>
          <cell r="AI32">
            <v>0.10383903240256842</v>
          </cell>
          <cell r="AJ32">
            <v>9.6691167021309754E-2</v>
          </cell>
          <cell r="AK32">
            <v>5.1293484737607642E-2</v>
          </cell>
          <cell r="AL32">
            <v>4.5500978679041459E-2</v>
          </cell>
          <cell r="AM32">
            <v>0.15</v>
          </cell>
          <cell r="AN32">
            <v>0.09</v>
          </cell>
          <cell r="AO32">
            <v>0.08</v>
          </cell>
          <cell r="AP32">
            <v>0.06</v>
          </cell>
        </row>
        <row r="33">
          <cell r="C33" t="str">
            <v>Business and Regional Aviation Electronics:</v>
          </cell>
          <cell r="D33" t="str">
            <v xml:space="preserve">Wide-Body In-Flight Entertainment </v>
          </cell>
          <cell r="U33">
            <v>1.0476190476190474</v>
          </cell>
          <cell r="V33">
            <v>1.0588235294117645</v>
          </cell>
          <cell r="W33">
            <v>0.43478260869565211</v>
          </cell>
          <cell r="X33">
            <v>0.41666666666666674</v>
          </cell>
          <cell r="Y33">
            <v>-0.37209302325581395</v>
          </cell>
          <cell r="Z33">
            <v>-0.17142857142857137</v>
          </cell>
          <cell r="AA33">
            <v>-0.15151515151515149</v>
          </cell>
          <cell r="AB33">
            <v>-0.2720588235294118</v>
          </cell>
          <cell r="AC33">
            <v>-7.407407407407407E-2</v>
          </cell>
          <cell r="AG33">
            <v>0.70588235294117641</v>
          </cell>
          <cell r="AH33">
            <v>-0.25</v>
          </cell>
          <cell r="AI33">
            <v>-0.3</v>
          </cell>
          <cell r="AJ33">
            <v>-0.3</v>
          </cell>
          <cell r="AK33">
            <v>-0.3</v>
          </cell>
          <cell r="AL33">
            <v>-0.3</v>
          </cell>
          <cell r="AM33">
            <v>-0.3</v>
          </cell>
          <cell r="AN33">
            <v>-0.3</v>
          </cell>
          <cell r="AO33">
            <v>-0.3</v>
          </cell>
          <cell r="AP33">
            <v>-0.3</v>
          </cell>
        </row>
        <row r="34">
          <cell r="C34" t="str">
            <v>Large Commercial OEM</v>
          </cell>
          <cell r="D34" t="str">
            <v>Orginal Equipment</v>
          </cell>
          <cell r="U34">
            <v>-0.41807909604519777</v>
          </cell>
          <cell r="V34">
            <v>-0.37823834196891193</v>
          </cell>
          <cell r="W34">
            <v>5.0000000000000044E-2</v>
          </cell>
          <cell r="X34">
            <v>0.13043478260869557</v>
          </cell>
          <cell r="Y34">
            <v>0.14563106796116498</v>
          </cell>
          <cell r="Z34">
            <v>4.1666666666666741E-2</v>
          </cell>
          <cell r="AA34">
            <v>7.1428571428571397E-2</v>
          </cell>
          <cell r="AB34">
            <v>0.23008547008547064</v>
          </cell>
          <cell r="AC34">
            <v>-0.20826446280991739</v>
          </cell>
          <cell r="AD34">
            <v>0.1</v>
          </cell>
          <cell r="AE34">
            <v>0.2</v>
          </cell>
          <cell r="AF34">
            <v>365</v>
          </cell>
          <cell r="AG34">
            <v>405</v>
          </cell>
          <cell r="AH34">
            <v>470</v>
          </cell>
          <cell r="AI34">
            <v>525</v>
          </cell>
          <cell r="AJ34">
            <v>600</v>
          </cell>
          <cell r="AK34">
            <v>650</v>
          </cell>
          <cell r="AL34">
            <v>700</v>
          </cell>
          <cell r="AM34">
            <v>9.4877589453860711E-2</v>
          </cell>
          <cell r="AN34" t="str">
            <v>~10% increase</v>
          </cell>
          <cell r="AO34">
            <v>4.7963861295757804E-2</v>
          </cell>
          <cell r="AP34">
            <v>4.3353651606964139E-2</v>
          </cell>
        </row>
        <row r="35">
          <cell r="D35" t="str">
            <v>Y/Y Change</v>
          </cell>
          <cell r="U35">
            <v>-0.22988505747126442</v>
          </cell>
          <cell r="V35">
            <v>6.8493150684931559E-2</v>
          </cell>
          <cell r="W35">
            <v>0.37681159420289845</v>
          </cell>
          <cell r="X35">
            <v>0.23943661971830976</v>
          </cell>
          <cell r="Y35">
            <v>0.14563106796116498</v>
          </cell>
          <cell r="Z35">
            <v>0.14999999999999991</v>
          </cell>
          <cell r="AA35">
            <v>0.11111111111111116</v>
          </cell>
          <cell r="AB35">
            <v>0.11606837606837539</v>
          </cell>
          <cell r="AC35">
            <v>9.3333333333333268E-2</v>
          </cell>
          <cell r="AD35">
            <v>0.08</v>
          </cell>
          <cell r="AE35">
            <v>0.08</v>
          </cell>
          <cell r="AF35">
            <v>7.0000000000000007E-2</v>
          </cell>
          <cell r="AG35">
            <v>0.1095890410958904</v>
          </cell>
          <cell r="AH35">
            <v>0.16049382716049387</v>
          </cell>
          <cell r="AI35">
            <v>0.11702127659574457</v>
          </cell>
          <cell r="AJ35">
            <v>0.14285714285714279</v>
          </cell>
          <cell r="AK35">
            <v>8.3333333333333259E-2</v>
          </cell>
          <cell r="AL35">
            <v>7.6923076923076872E-2</v>
          </cell>
        </row>
        <row r="36">
          <cell r="C36" t="str">
            <v>Business and Regional Aviation Electronics:</v>
          </cell>
          <cell r="D36" t="str">
            <v>Total Business and Regional Aviation</v>
          </cell>
          <cell r="U36">
            <v>-0.35606060606060608</v>
          </cell>
          <cell r="V36">
            <v>-0.25563909774436089</v>
          </cell>
          <cell r="W36">
            <v>0.1693121693121693</v>
          </cell>
          <cell r="X36">
            <v>0.17204301075268824</v>
          </cell>
          <cell r="Y36">
            <v>0.37313432835820892</v>
          </cell>
          <cell r="Z36">
            <v>0.19230769230769229</v>
          </cell>
          <cell r="AA36">
            <v>7.3684210526315796E-2</v>
          </cell>
          <cell r="AB36">
            <v>0.10799999999999965</v>
          </cell>
          <cell r="AC36">
            <v>-0.10828729281767957</v>
          </cell>
          <cell r="AD36">
            <v>9.1871127633209593E-2</v>
          </cell>
          <cell r="AE36">
            <v>0.15175704201375484</v>
          </cell>
          <cell r="AF36">
            <v>0.11361156700358044</v>
          </cell>
          <cell r="AG36">
            <v>0.11102285506488907</v>
          </cell>
          <cell r="AH36">
            <v>7.3088401941690195E-2</v>
          </cell>
          <cell r="AI36">
            <v>0.14000000000000001</v>
          </cell>
          <cell r="AJ36">
            <v>0.09</v>
          </cell>
          <cell r="AK36">
            <v>0.08</v>
          </cell>
          <cell r="AL36">
            <v>0.06</v>
          </cell>
        </row>
        <row r="37">
          <cell r="C37" t="str">
            <v>Regional Jet OEM</v>
          </cell>
          <cell r="D37" t="str">
            <v>Total Business and Regional Aviation</v>
          </cell>
          <cell r="U37">
            <v>-0.35606060606060608</v>
          </cell>
          <cell r="V37">
            <v>-0.25563909774436089</v>
          </cell>
          <cell r="W37">
            <v>0.1693121693121693</v>
          </cell>
          <cell r="X37">
            <v>0.16666666666666674</v>
          </cell>
          <cell r="Y37">
            <v>0.23529411764705888</v>
          </cell>
          <cell r="Z37">
            <v>0.16666666666666674</v>
          </cell>
          <cell r="AA37">
            <v>9.5022624434389247E-2</v>
          </cell>
          <cell r="AB37">
            <v>0.1123502304147459</v>
          </cell>
          <cell r="AC37">
            <v>0.19491525423728806</v>
          </cell>
          <cell r="AF37">
            <v>160</v>
          </cell>
          <cell r="AG37">
            <v>175</v>
          </cell>
          <cell r="AH37">
            <v>190</v>
          </cell>
          <cell r="AI37">
            <v>210</v>
          </cell>
          <cell r="AJ37">
            <v>230</v>
          </cell>
          <cell r="AK37">
            <v>250</v>
          </cell>
          <cell r="AL37">
            <v>275</v>
          </cell>
          <cell r="AM37">
            <v>0.17</v>
          </cell>
          <cell r="AN37" t="str">
            <v>~10% increase</v>
          </cell>
          <cell r="AO37">
            <v>0.14000000000000001</v>
          </cell>
          <cell r="AP37">
            <v>0.08</v>
          </cell>
        </row>
        <row r="38">
          <cell r="C38" t="str">
            <v>Total Commercial</v>
          </cell>
          <cell r="D38" t="str">
            <v>Y/Y Change</v>
          </cell>
          <cell r="U38">
            <v>-0.15082644628099173</v>
          </cell>
          <cell r="V38">
            <v>-0.14476190476190476</v>
          </cell>
          <cell r="W38">
            <v>6.2355658198614217E-2</v>
          </cell>
          <cell r="X38">
            <v>8.3296213808463193E-2</v>
          </cell>
          <cell r="Y38">
            <v>0.11922141119221408</v>
          </cell>
          <cell r="Z38">
            <v>0.19999999999999996</v>
          </cell>
          <cell r="AA38">
            <v>0.10027472527472536</v>
          </cell>
          <cell r="AB38">
            <v>-0.21306699958385356</v>
          </cell>
          <cell r="AC38">
            <v>-4.4738233738762512E-2</v>
          </cell>
          <cell r="AD38">
            <v>9.1220106288750991E-2</v>
          </cell>
          <cell r="AE38">
            <v>0.11765703791637527</v>
          </cell>
          <cell r="AF38">
            <v>9.7188213425499104E-2</v>
          </cell>
          <cell r="AG38">
            <v>9.375E-2</v>
          </cell>
          <cell r="AH38">
            <v>8.5714285714285632E-2</v>
          </cell>
          <cell r="AI38">
            <v>0.10526315789473695</v>
          </cell>
          <cell r="AJ38">
            <v>9.5238095238095344E-2</v>
          </cell>
          <cell r="AK38">
            <v>8.6956521739130377E-2</v>
          </cell>
          <cell r="AL38">
            <v>0.10000000000000009</v>
          </cell>
          <cell r="AM38">
            <v>0.14000000000000001</v>
          </cell>
          <cell r="AN38">
            <v>0.09</v>
          </cell>
          <cell r="AO38">
            <v>0.08</v>
          </cell>
          <cell r="AP38">
            <v>0.06</v>
          </cell>
        </row>
        <row r="39">
          <cell r="C39" t="str">
            <v>Total Commercial</v>
          </cell>
          <cell r="D39" t="str">
            <v>Total Business and Regional Aviation</v>
          </cell>
          <cell r="U39">
            <v>-0.15082644628099173</v>
          </cell>
          <cell r="V39">
            <v>-0.14476190476190476</v>
          </cell>
          <cell r="W39">
            <v>6.2355658198614217E-2</v>
          </cell>
          <cell r="X39">
            <v>7.795100222717144E-2</v>
          </cell>
          <cell r="Y39">
            <v>0.11922141119221408</v>
          </cell>
          <cell r="Z39">
            <v>0.12917594654788411</v>
          </cell>
          <cell r="AA39">
            <v>0.10869565217391308</v>
          </cell>
          <cell r="AB39">
            <v>7.2107438016528747E-2</v>
          </cell>
          <cell r="AC39">
            <v>0.15238095238095228</v>
          </cell>
          <cell r="AD39">
            <v>0.19999999999999996</v>
          </cell>
          <cell r="AE39">
            <v>0.10027472527472536</v>
          </cell>
          <cell r="AF39">
            <v>-0.21306699958385356</v>
          </cell>
          <cell r="AG39">
            <v>-4.6007403490216814E-2</v>
          </cell>
          <cell r="AH39">
            <v>0.10637472283813731</v>
          </cell>
          <cell r="AI39">
            <v>0.12850152813267224</v>
          </cell>
          <cell r="AJ39">
            <v>0.10719035479064276</v>
          </cell>
          <cell r="AK39">
            <v>8.1966659290587884E-2</v>
          </cell>
          <cell r="AL39">
            <v>5.8607052724052755E-2</v>
          </cell>
          <cell r="AM39">
            <v>0.15770127118644051</v>
          </cell>
          <cell r="AN39">
            <v>0.11981553158198155</v>
          </cell>
          <cell r="AO39">
            <v>0.11642354124748522</v>
          </cell>
          <cell r="AP39">
            <v>7.2397575976030026E-2</v>
          </cell>
        </row>
        <row r="40">
          <cell r="C40" t="str">
            <v>Business Jet OEM</v>
          </cell>
          <cell r="U40">
            <v>-0.23744292237442921</v>
          </cell>
          <cell r="V40">
            <v>-0.15023474178403751</v>
          </cell>
          <cell r="W40">
            <v>-6.0301507537688481E-2</v>
          </cell>
          <cell r="X40">
            <v>6.8292682926829329E-2</v>
          </cell>
          <cell r="Y40">
            <v>0.19760479041916157</v>
          </cell>
          <cell r="Z40">
            <v>0.149171270718232</v>
          </cell>
          <cell r="AA40">
            <v>0.16042780748663099</v>
          </cell>
          <cell r="AB40">
            <v>7.9817351598173492E-2</v>
          </cell>
          <cell r="AC40">
            <v>471.63498098859316</v>
          </cell>
          <cell r="AD40">
            <v>605.77946768060838</v>
          </cell>
          <cell r="AE40">
            <v>700</v>
          </cell>
          <cell r="AF40">
            <v>445</v>
          </cell>
          <cell r="AG40">
            <v>300</v>
          </cell>
          <cell r="AH40">
            <v>340</v>
          </cell>
          <cell r="AI40">
            <v>370</v>
          </cell>
          <cell r="AJ40">
            <v>405</v>
          </cell>
          <cell r="AK40">
            <v>440</v>
          </cell>
          <cell r="AL40">
            <v>475</v>
          </cell>
          <cell r="AN40" t="str">
            <v>~30% decline</v>
          </cell>
        </row>
        <row r="41">
          <cell r="C41" t="str">
            <v>Air Transport Aviation Electronics:</v>
          </cell>
          <cell r="D41" t="str">
            <v>Y/Y Change</v>
          </cell>
          <cell r="U41">
            <v>-0.15082644628099173</v>
          </cell>
          <cell r="V41">
            <v>-0.14476190476190476</v>
          </cell>
          <cell r="W41">
            <v>4.8498845265589008E-2</v>
          </cell>
          <cell r="X41">
            <v>7.795100222717144E-2</v>
          </cell>
          <cell r="Y41">
            <v>0.11922141119221408</v>
          </cell>
          <cell r="Z41">
            <v>0.12917594654788411</v>
          </cell>
          <cell r="AA41">
            <v>0.14977973568281944</v>
          </cell>
          <cell r="AB41">
            <v>0.14969008264462791</v>
          </cell>
          <cell r="AC41">
            <v>0.11086956521739122</v>
          </cell>
          <cell r="AD41">
            <v>0.28442437923250563</v>
          </cell>
          <cell r="AE41">
            <v>0.15553602811950795</v>
          </cell>
          <cell r="AF41">
            <v>-0.21306699958385356</v>
          </cell>
          <cell r="AG41">
            <v>-0.3258426966292135</v>
          </cell>
          <cell r="AH41">
            <v>0.1333333333333333</v>
          </cell>
          <cell r="AI41">
            <v>8.8235294117646967E-2</v>
          </cell>
          <cell r="AJ41">
            <v>9.4594594594594517E-2</v>
          </cell>
          <cell r="AK41">
            <v>8.6419753086419693E-2</v>
          </cell>
          <cell r="AL41">
            <v>7.9545454545454586E-2</v>
          </cell>
          <cell r="AM41">
            <v>0.12444167497507475</v>
          </cell>
          <cell r="AN41">
            <v>0.10517496220568079</v>
          </cell>
          <cell r="AO41">
            <v>8.1572502646939826E-2</v>
          </cell>
          <cell r="AP41">
            <v>5.8071513963710686E-2</v>
          </cell>
        </row>
        <row r="42">
          <cell r="C42" t="str">
            <v>Qtrly Sequential Growth Rates</v>
          </cell>
          <cell r="D42" t="str">
            <v>Original Equipment</v>
          </cell>
          <cell r="R42">
            <v>0.52238805970149249</v>
          </cell>
          <cell r="S42">
            <v>-0.10784313725490191</v>
          </cell>
          <cell r="T42">
            <v>0.15384615384615374</v>
          </cell>
          <cell r="U42">
            <v>-6.6666666666666652E-2</v>
          </cell>
          <cell r="V42">
            <v>0.15306122448979598</v>
          </cell>
          <cell r="W42">
            <v>8.8495575221239076E-3</v>
          </cell>
          <cell r="X42">
            <v>8.7719298245614308E-3</v>
          </cell>
          <cell r="Y42">
            <v>8.7719298245614308E-3</v>
          </cell>
          <cell r="Z42">
            <v>4.3478260869565188E-2</v>
          </cell>
          <cell r="AA42">
            <v>4.1666666666666741E-2</v>
          </cell>
          <cell r="AB42">
            <v>5.3440000000000598E-2</v>
          </cell>
        </row>
        <row r="43">
          <cell r="C43" t="str">
            <v>Regional and Business Jet OEM</v>
          </cell>
          <cell r="D43" t="str">
            <v>Aftermarket</v>
          </cell>
          <cell r="R43">
            <v>6.0606060606060552E-2</v>
          </cell>
          <cell r="S43">
            <v>-7.1428571428571397E-2</v>
          </cell>
          <cell r="T43">
            <v>3.076923076923066E-2</v>
          </cell>
          <cell r="U43">
            <v>-6.7164179104477584E-2</v>
          </cell>
          <cell r="V43">
            <v>1.6000000000000014E-2</v>
          </cell>
          <cell r="W43">
            <v>-9.4488188976378007E-2</v>
          </cell>
          <cell r="X43">
            <v>0.28173913043478271</v>
          </cell>
          <cell r="Y43">
            <v>-9.2436974789915971E-2</v>
          </cell>
          <cell r="Z43">
            <v>9.259259259259256E-2</v>
          </cell>
          <cell r="AA43">
            <v>-6.7796610169491567E-2</v>
          </cell>
          <cell r="AB43">
            <v>0.16072727272727327</v>
          </cell>
          <cell r="AC43">
            <v>0.11538461538461542</v>
          </cell>
          <cell r="AF43">
            <v>605</v>
          </cell>
          <cell r="AG43">
            <v>475</v>
          </cell>
          <cell r="AH43">
            <v>530</v>
          </cell>
          <cell r="AI43">
            <v>580</v>
          </cell>
          <cell r="AJ43">
            <v>635</v>
          </cell>
          <cell r="AK43">
            <v>690</v>
          </cell>
          <cell r="AL43">
            <v>750</v>
          </cell>
          <cell r="AN43" t="str">
            <v>~22% decline</v>
          </cell>
        </row>
        <row r="44">
          <cell r="C44" t="str">
            <v>Total Aftermarket</v>
          </cell>
          <cell r="D44" t="str">
            <v>% Total OEM Revenue</v>
          </cell>
          <cell r="R44">
            <v>-0.19047619047619047</v>
          </cell>
          <cell r="S44">
            <v>0.35294117647058831</v>
          </cell>
          <cell r="T44">
            <v>4.3478260869565188E-2</v>
          </cell>
          <cell r="U44">
            <v>-0.25</v>
          </cell>
          <cell r="V44">
            <v>-0.38888888888888884</v>
          </cell>
          <cell r="W44">
            <v>-9.0909090909090939E-2</v>
          </cell>
          <cell r="X44">
            <v>-0.4</v>
          </cell>
          <cell r="Y44">
            <v>8.7719298245614308E-3</v>
          </cell>
          <cell r="Z44">
            <v>0.14782608695652177</v>
          </cell>
          <cell r="AA44">
            <v>-2.2727272727272707E-2</v>
          </cell>
          <cell r="AB44">
            <v>3.2868217054263127E-2</v>
          </cell>
          <cell r="AC44">
            <v>0.10499999999999998</v>
          </cell>
          <cell r="AF44">
            <v>0.62371134020618557</v>
          </cell>
          <cell r="AG44">
            <v>0.53977272727272729</v>
          </cell>
          <cell r="AH44">
            <v>0.53</v>
          </cell>
          <cell r="AI44">
            <v>0.52488687782805432</v>
          </cell>
          <cell r="AJ44">
            <v>0.51417004048582993</v>
          </cell>
          <cell r="AK44">
            <v>0.5149253731343284</v>
          </cell>
          <cell r="AL44">
            <v>0.51724137931034486</v>
          </cell>
          <cell r="AM44">
            <v>0.14534296028880855</v>
          </cell>
          <cell r="AN44">
            <v>9.000000000000008E-2</v>
          </cell>
          <cell r="AO44">
            <v>8.0000000000000293E-2</v>
          </cell>
          <cell r="AP44">
            <v>6.0000000000000053E-2</v>
          </cell>
        </row>
        <row r="45">
          <cell r="D45" t="str">
            <v>Y/Y Change</v>
          </cell>
          <cell r="R45">
            <v>0.17727272727272725</v>
          </cell>
          <cell r="S45">
            <v>-5.791505791505791E-2</v>
          </cell>
          <cell r="T45">
            <v>7.7868852459016313E-2</v>
          </cell>
          <cell r="U45">
            <v>-8.365019011406849E-2</v>
          </cell>
          <cell r="V45">
            <v>4.1493775933610033E-2</v>
          </cell>
          <cell r="W45">
            <v>-4.7808764940239001E-2</v>
          </cell>
          <cell r="X45">
            <v>0.12301255230125507</v>
          </cell>
          <cell r="Y45">
            <v>-9.2436974789915971E-2</v>
          </cell>
          <cell r="Z45">
            <v>6.4814814814814881E-2</v>
          </cell>
          <cell r="AA45">
            <v>0</v>
          </cell>
          <cell r="AB45">
            <v>9.286956521739187E-2</v>
          </cell>
          <cell r="AG45">
            <v>-0.21487603305785119</v>
          </cell>
          <cell r="AH45">
            <v>0.11578947368421044</v>
          </cell>
          <cell r="AI45">
            <v>9.4339622641509413E-2</v>
          </cell>
          <cell r="AJ45">
            <v>9.4827586206896575E-2</v>
          </cell>
          <cell r="AK45">
            <v>8.6614173228346525E-2</v>
          </cell>
          <cell r="AL45">
            <v>8.6956521739130377E-2</v>
          </cell>
        </row>
        <row r="46">
          <cell r="C46" t="str">
            <v>Qtrly Sequential Growth Rates</v>
          </cell>
          <cell r="D46" t="str">
            <v xml:space="preserve">Wide-Body In-Flight Entertainment </v>
          </cell>
          <cell r="R46">
            <v>-0.19047619047619047</v>
          </cell>
          <cell r="S46">
            <v>0.35294117647058831</v>
          </cell>
          <cell r="T46">
            <v>4.3478260869565188E-2</v>
          </cell>
          <cell r="U46">
            <v>0.79166666666666674</v>
          </cell>
          <cell r="V46">
            <v>-0.18604651162790697</v>
          </cell>
          <cell r="W46">
            <v>-5.7142857142857162E-2</v>
          </cell>
          <cell r="X46">
            <v>3.0303030303030276E-2</v>
          </cell>
          <cell r="Y46">
            <v>-0.20588235294117652</v>
          </cell>
          <cell r="Z46">
            <v>7.4074074074074181E-2</v>
          </cell>
          <cell r="AA46">
            <v>-0.17241379310344829</v>
          </cell>
          <cell r="AB46">
            <v>-0.2250000000000002</v>
          </cell>
        </row>
        <row r="47">
          <cell r="C47" t="str">
            <v>Large Commercial + Regional Aircraft</v>
          </cell>
          <cell r="D47" t="str">
            <v>Total Air Transport Electronics</v>
          </cell>
          <cell r="R47">
            <v>0.17727272727272725</v>
          </cell>
          <cell r="S47">
            <v>-5.791505791505791E-2</v>
          </cell>
          <cell r="T47">
            <v>7.7868852459016313E-2</v>
          </cell>
          <cell r="U47">
            <v>-8.365019011406849E-2</v>
          </cell>
          <cell r="V47">
            <v>4.1493775933610033E-2</v>
          </cell>
          <cell r="W47">
            <v>-4.7808764940239001E-2</v>
          </cell>
          <cell r="X47">
            <v>0.11715481171548126</v>
          </cell>
          <cell r="Y47">
            <v>-6.3670411985018771E-2</v>
          </cell>
          <cell r="Z47">
            <v>0.10400000000000009</v>
          </cell>
          <cell r="AA47">
            <v>-2.8985507246376829E-2</v>
          </cell>
          <cell r="AB47">
            <v>3.5522388059701315E-2</v>
          </cell>
          <cell r="AC47">
            <v>412.36501901140684</v>
          </cell>
          <cell r="AD47">
            <v>457.22053231939162</v>
          </cell>
          <cell r="AE47">
            <v>569</v>
          </cell>
          <cell r="AF47">
            <v>525</v>
          </cell>
          <cell r="AG47">
            <v>575</v>
          </cell>
          <cell r="AN47" t="str">
            <v>low dbl digit growth</v>
          </cell>
        </row>
        <row r="48">
          <cell r="D48" t="str">
            <v>Y/Y Change</v>
          </cell>
          <cell r="R48">
            <v>9.0395480225988756E-2</v>
          </cell>
          <cell r="S48">
            <v>-0.37823834196891193</v>
          </cell>
          <cell r="T48">
            <v>-4.166666666666663E-2</v>
          </cell>
          <cell r="U48">
            <v>-0.10434782608695647</v>
          </cell>
          <cell r="V48">
            <v>0.16504854368932032</v>
          </cell>
          <cell r="W48">
            <v>5.0000000000000044E-2</v>
          </cell>
          <cell r="X48">
            <v>3.1746031746031855E-2</v>
          </cell>
          <cell r="Y48">
            <v>8.5470085470085166E-3</v>
          </cell>
          <cell r="Z48">
            <v>5.9322033898305149E-2</v>
          </cell>
          <cell r="AA48">
            <v>8.0000000000000071E-2</v>
          </cell>
          <cell r="AB48">
            <v>6.6074074074074618E-2</v>
          </cell>
          <cell r="AC48">
            <v>-1.5873015873015928E-2</v>
          </cell>
          <cell r="AD48">
            <v>0.10877623280345228</v>
          </cell>
          <cell r="AE48">
            <v>0.24447604553884017</v>
          </cell>
          <cell r="AF48">
            <v>-7.7328646748681895E-2</v>
          </cell>
          <cell r="AG48">
            <v>9.5238095238095344E-2</v>
          </cell>
        </row>
        <row r="49">
          <cell r="C49" t="str">
            <v>Business and Regional Aviation Electronics:</v>
          </cell>
          <cell r="D49" t="str">
            <v>Aftermarket</v>
          </cell>
          <cell r="R49">
            <v>-0.16091954022988508</v>
          </cell>
          <cell r="S49">
            <v>-5.4794520547945202E-2</v>
          </cell>
          <cell r="T49">
            <v>2.8985507246376718E-2</v>
          </cell>
          <cell r="U49">
            <v>-5.633802816901412E-2</v>
          </cell>
          <cell r="V49">
            <v>0.16417910447761197</v>
          </cell>
          <cell r="W49">
            <v>0.21794871794871784</v>
          </cell>
          <cell r="X49">
            <v>-7.3684210526315796E-2</v>
          </cell>
          <cell r="Y49">
            <v>-7.999999999999996E-2</v>
          </cell>
          <cell r="Z49">
            <v>3.2608695652173836E-2</v>
          </cell>
          <cell r="AA49">
            <v>7.3684210526315796E-2</v>
          </cell>
          <cell r="AB49">
            <v>6.6666666666666208E-2</v>
          </cell>
          <cell r="AC49">
            <v>7.1428571428571397E-2</v>
          </cell>
        </row>
        <row r="50">
          <cell r="B50" t="str">
            <v>Total OEM Revenue</v>
          </cell>
          <cell r="D50" t="str">
            <v>Total Business and Regional Aviation</v>
          </cell>
          <cell r="L50">
            <v>283</v>
          </cell>
          <cell r="M50">
            <v>328</v>
          </cell>
          <cell r="N50">
            <v>325</v>
          </cell>
          <cell r="O50">
            <v>333</v>
          </cell>
          <cell r="P50">
            <v>244</v>
          </cell>
          <cell r="Q50">
            <v>295</v>
          </cell>
          <cell r="R50">
            <v>7.575757575757569E-3</v>
          </cell>
          <cell r="S50">
            <v>-0.28947368421052633</v>
          </cell>
          <cell r="T50">
            <v>-1.5873015873015928E-2</v>
          </cell>
          <cell r="U50">
            <v>-8.6021505376344121E-2</v>
          </cell>
          <cell r="V50">
            <v>0.16470588235294126</v>
          </cell>
          <cell r="W50">
            <v>0.11616161616161613</v>
          </cell>
          <cell r="X50">
            <v>-1.3574660633484115E-2</v>
          </cell>
          <cell r="Y50">
            <v>8.5470085470085166E-3</v>
          </cell>
          <cell r="Z50">
            <v>0.16949152542372881</v>
          </cell>
          <cell r="AA50">
            <v>1.449275362318847E-2</v>
          </cell>
          <cell r="AB50">
            <v>-6.7285714285714837E-2</v>
          </cell>
          <cell r="AC50">
            <v>884</v>
          </cell>
          <cell r="AD50">
            <v>1063</v>
          </cell>
          <cell r="AE50">
            <v>1269</v>
          </cell>
          <cell r="AF50">
            <v>970</v>
          </cell>
          <cell r="AG50">
            <v>880</v>
          </cell>
          <cell r="AH50">
            <v>1000</v>
          </cell>
          <cell r="AI50">
            <v>1105</v>
          </cell>
          <cell r="AJ50">
            <v>1235</v>
          </cell>
          <cell r="AK50">
            <v>1340</v>
          </cell>
          <cell r="AL50">
            <v>1450</v>
          </cell>
          <cell r="AN50" t="str">
            <v>down ~10%</v>
          </cell>
        </row>
        <row r="51">
          <cell r="C51" t="str">
            <v>Y/Y Change</v>
          </cell>
          <cell r="D51" t="str">
            <v>Aftermarket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-0.13780918727915192</v>
          </cell>
          <cell r="Q51">
            <v>-0.10060975609756095</v>
          </cell>
          <cell r="R51">
            <v>-0.35076923076923072</v>
          </cell>
          <cell r="S51">
            <v>-0.33933933933933935</v>
          </cell>
          <cell r="T51">
            <v>-0.17622950819672134</v>
          </cell>
          <cell r="U51">
            <v>-5.633802816901412E-2</v>
          </cell>
          <cell r="V51">
            <v>0.16417910447761197</v>
          </cell>
          <cell r="W51">
            <v>0.21794871794871784</v>
          </cell>
          <cell r="X51">
            <v>5.2631578947368363E-2</v>
          </cell>
          <cell r="Y51">
            <v>-7.999999999999996E-2</v>
          </cell>
          <cell r="Z51">
            <v>1.0869565217391353E-2</v>
          </cell>
          <cell r="AA51">
            <v>9.6774193548387011E-2</v>
          </cell>
          <cell r="AB51">
            <v>8.627450980392104E-2</v>
          </cell>
          <cell r="AC51">
            <v>-1.46520146520146E-2</v>
          </cell>
          <cell r="AD51">
            <v>0.20248868778280538</v>
          </cell>
          <cell r="AE51">
            <v>0.19379115710253991</v>
          </cell>
          <cell r="AF51">
            <v>-0.23561859732072499</v>
          </cell>
          <cell r="AG51">
            <v>-9.2783505154639179E-2</v>
          </cell>
          <cell r="AH51">
            <v>0.13636363636363646</v>
          </cell>
          <cell r="AI51">
            <v>0.10499999999999998</v>
          </cell>
          <cell r="AJ51">
            <v>0.11764705882352944</v>
          </cell>
          <cell r="AK51">
            <v>8.5020242914979782E-2</v>
          </cell>
          <cell r="AL51">
            <v>8.2089552238805874E-2</v>
          </cell>
        </row>
        <row r="52">
          <cell r="B52" t="str">
            <v>Key Statistics</v>
          </cell>
          <cell r="D52" t="str">
            <v>Total Business and Regional Aviation</v>
          </cell>
          <cell r="R52">
            <v>7.575757575757569E-3</v>
          </cell>
          <cell r="S52">
            <v>-0.28947368421052633</v>
          </cell>
          <cell r="T52">
            <v>-1.5873015873015928E-2</v>
          </cell>
          <cell r="U52">
            <v>-8.6021505376344121E-2</v>
          </cell>
          <cell r="V52">
            <v>0.16470588235294126</v>
          </cell>
          <cell r="W52">
            <v>0.11616161616161613</v>
          </cell>
          <cell r="X52">
            <v>-1.8099547511312264E-2</v>
          </cell>
          <cell r="Y52">
            <v>-3.2258064516129004E-2</v>
          </cell>
          <cell r="Z52">
            <v>0.10000000000000009</v>
          </cell>
          <cell r="AA52">
            <v>4.7619047619047672E-2</v>
          </cell>
          <cell r="AB52">
            <v>-2.5619834710748357E-3</v>
          </cell>
        </row>
        <row r="53">
          <cell r="B53" t="str">
            <v>Aftermarket Revenue</v>
          </cell>
          <cell r="C53" t="str">
            <v>Revenue Breakdown</v>
          </cell>
        </row>
        <row r="54">
          <cell r="B54" t="str">
            <v>Key Statistics</v>
          </cell>
          <cell r="D54" t="str">
            <v>OEM</v>
          </cell>
          <cell r="M54">
            <v>283</v>
          </cell>
          <cell r="N54">
            <v>328</v>
          </cell>
          <cell r="O54">
            <v>325</v>
          </cell>
          <cell r="P54">
            <v>333</v>
          </cell>
          <cell r="Q54">
            <v>244</v>
          </cell>
          <cell r="R54">
            <v>295</v>
          </cell>
          <cell r="S54">
            <v>211</v>
          </cell>
          <cell r="T54">
            <v>220</v>
          </cell>
          <cell r="U54">
            <v>201</v>
          </cell>
          <cell r="V54">
            <v>233</v>
          </cell>
          <cell r="W54">
            <v>240</v>
          </cell>
          <cell r="X54">
            <v>245</v>
          </cell>
          <cell r="Y54">
            <v>884</v>
          </cell>
          <cell r="Z54">
            <v>1063</v>
          </cell>
          <cell r="AA54">
            <v>1269</v>
          </cell>
          <cell r="AB54">
            <v>970</v>
          </cell>
          <cell r="AC54">
            <v>919</v>
          </cell>
          <cell r="AD54">
            <v>1024.0999999999999</v>
          </cell>
          <cell r="AE54">
            <v>1179.2</v>
          </cell>
          <cell r="AF54">
            <v>1322.4112</v>
          </cell>
          <cell r="AG54">
            <v>1454.4409500689658</v>
          </cell>
          <cell r="AH54">
            <v>1551.2956991779315</v>
          </cell>
          <cell r="AI54">
            <v>1171.1616000000004</v>
          </cell>
          <cell r="AJ54">
            <v>1340.7293760000002</v>
          </cell>
          <cell r="AK54">
            <v>1471.5295317848281</v>
          </cell>
          <cell r="AL54">
            <v>1568.3582070448558</v>
          </cell>
        </row>
        <row r="55">
          <cell r="C55" t="str">
            <v>Non-Discretionary (Maintenance and Repair)</v>
          </cell>
          <cell r="D55" t="str">
            <v>Aftermarket</v>
          </cell>
          <cell r="M55">
            <v>241</v>
          </cell>
          <cell r="N55">
            <v>247</v>
          </cell>
          <cell r="O55">
            <v>239</v>
          </cell>
          <cell r="P55">
            <v>265</v>
          </cell>
          <cell r="Q55">
            <v>219</v>
          </cell>
          <cell r="R55">
            <v>213</v>
          </cell>
          <cell r="S55">
            <v>199</v>
          </cell>
          <cell r="T55">
            <v>205</v>
          </cell>
          <cell r="U55">
            <v>192</v>
          </cell>
          <cell r="V55">
            <v>205</v>
          </cell>
          <cell r="W55">
            <v>210</v>
          </cell>
          <cell r="X55">
            <v>235.4</v>
          </cell>
          <cell r="Y55">
            <v>804</v>
          </cell>
          <cell r="Z55">
            <v>953</v>
          </cell>
          <cell r="AA55">
            <v>992</v>
          </cell>
          <cell r="AB55">
            <v>836</v>
          </cell>
          <cell r="AC55">
            <v>842.4</v>
          </cell>
          <cell r="AD55">
            <v>920.08</v>
          </cell>
          <cell r="AE55">
            <v>420</v>
          </cell>
          <cell r="AF55">
            <v>370</v>
          </cell>
          <cell r="AG55">
            <v>385</v>
          </cell>
          <cell r="AH55">
            <v>445</v>
          </cell>
          <cell r="AI55">
            <v>500</v>
          </cell>
          <cell r="AJ55">
            <v>550</v>
          </cell>
          <cell r="AK55">
            <v>575</v>
          </cell>
          <cell r="AL55">
            <v>600</v>
          </cell>
        </row>
        <row r="56">
          <cell r="D56" t="str">
            <v>Y/Y Change</v>
          </cell>
          <cell r="M56">
            <v>41</v>
          </cell>
          <cell r="N56">
            <v>35</v>
          </cell>
          <cell r="O56">
            <v>23</v>
          </cell>
          <cell r="P56">
            <v>43</v>
          </cell>
          <cell r="Q56">
            <v>21</v>
          </cell>
          <cell r="R56">
            <v>17</v>
          </cell>
          <cell r="S56">
            <v>23</v>
          </cell>
          <cell r="T56">
            <v>24</v>
          </cell>
          <cell r="U56">
            <v>18</v>
          </cell>
          <cell r="V56">
            <v>11</v>
          </cell>
          <cell r="W56">
            <v>10</v>
          </cell>
          <cell r="X56">
            <v>6</v>
          </cell>
          <cell r="Y56">
            <v>132</v>
          </cell>
          <cell r="Z56">
            <v>168</v>
          </cell>
          <cell r="AA56">
            <v>142</v>
          </cell>
          <cell r="AB56">
            <v>85</v>
          </cell>
          <cell r="AC56">
            <v>45</v>
          </cell>
          <cell r="AD56">
            <v>27</v>
          </cell>
          <cell r="AE56">
            <v>18.899999999999999</v>
          </cell>
          <cell r="AF56">
            <v>13.229999999999999</v>
          </cell>
          <cell r="AG56">
            <v>4.0540540540540571E-2</v>
          </cell>
          <cell r="AH56">
            <v>0.1558441558441559</v>
          </cell>
          <cell r="AI56">
            <v>0.12359550561797761</v>
          </cell>
          <cell r="AJ56">
            <v>0.10000000000000009</v>
          </cell>
          <cell r="AK56">
            <v>4.5454545454545414E-2</v>
          </cell>
          <cell r="AL56">
            <v>4.3478260869565188E-2</v>
          </cell>
        </row>
        <row r="57">
          <cell r="C57" t="str">
            <v>% of Sales</v>
          </cell>
          <cell r="D57" t="str">
            <v>% Large Commercial Aftermarket</v>
          </cell>
          <cell r="M57">
            <v>241</v>
          </cell>
          <cell r="N57">
            <v>247</v>
          </cell>
          <cell r="O57">
            <v>239</v>
          </cell>
          <cell r="P57">
            <v>265</v>
          </cell>
          <cell r="Q57">
            <v>219</v>
          </cell>
          <cell r="R57">
            <v>213</v>
          </cell>
          <cell r="S57">
            <v>199</v>
          </cell>
          <cell r="T57">
            <v>205</v>
          </cell>
          <cell r="U57">
            <v>167</v>
          </cell>
          <cell r="V57">
            <v>181</v>
          </cell>
          <cell r="W57">
            <v>187</v>
          </cell>
          <cell r="X57">
            <v>219</v>
          </cell>
          <cell r="Y57">
            <v>200</v>
          </cell>
          <cell r="Z57">
            <v>208</v>
          </cell>
          <cell r="AA57">
            <v>217</v>
          </cell>
          <cell r="AB57">
            <v>236.48000000000002</v>
          </cell>
          <cell r="AC57">
            <v>804</v>
          </cell>
          <cell r="AD57">
            <v>953</v>
          </cell>
          <cell r="AE57">
            <v>0.7</v>
          </cell>
          <cell r="AF57">
            <v>0.71153846153846156</v>
          </cell>
          <cell r="AG57">
            <v>0.71962616822429903</v>
          </cell>
          <cell r="AH57">
            <v>0.73553719008264462</v>
          </cell>
          <cell r="AI57">
            <v>0.72992700729927007</v>
          </cell>
          <cell r="AJ57">
            <v>0.73333333333333328</v>
          </cell>
          <cell r="AK57">
            <v>0.72784810126582278</v>
          </cell>
          <cell r="AL57">
            <v>0.72289156626506024</v>
          </cell>
        </row>
        <row r="58">
          <cell r="B58" t="str">
            <v>Key Statistics</v>
          </cell>
          <cell r="D58" t="str">
            <v>OEM</v>
          </cell>
          <cell r="M58">
            <v>0.50088495575221237</v>
          </cell>
          <cell r="N58">
            <v>0.53770491803278686</v>
          </cell>
          <cell r="O58">
            <v>0.55366269165247017</v>
          </cell>
          <cell r="P58">
            <v>0.51950078003120126</v>
          </cell>
          <cell r="Q58">
            <v>0.50413223140495866</v>
          </cell>
          <cell r="R58">
            <v>0.56190476190476191</v>
          </cell>
          <cell r="S58">
            <v>0.48729792147806006</v>
          </cell>
          <cell r="T58">
            <v>0.48997772828507796</v>
          </cell>
          <cell r="U58">
            <v>0.48905109489051096</v>
          </cell>
          <cell r="V58">
            <v>0.51893095768374164</v>
          </cell>
          <cell r="W58">
            <v>0.52173913043478259</v>
          </cell>
          <cell r="X58">
            <v>0.50370065789473684</v>
          </cell>
          <cell r="Y58">
            <v>0.48571428571428571</v>
          </cell>
          <cell r="Z58">
            <v>0.48672161172161171</v>
          </cell>
          <cell r="AA58">
            <v>0.5280898876404494</v>
          </cell>
          <cell r="AB58">
            <v>0.51295610787942891</v>
          </cell>
          <cell r="AC58">
            <v>0.50874667847652788</v>
          </cell>
          <cell r="AD58">
            <v>0.51953652127152261</v>
          </cell>
          <cell r="AE58">
            <v>0.53524501258043644</v>
          </cell>
          <cell r="AF58">
            <v>0.5470796292776241</v>
          </cell>
          <cell r="AG58">
            <v>0.55921396623950059</v>
          </cell>
          <cell r="AH58">
            <v>0.56369678419579317</v>
          </cell>
          <cell r="AI58">
            <v>69.02</v>
          </cell>
          <cell r="AJ58">
            <v>48.313999999999993</v>
          </cell>
          <cell r="AK58">
            <v>33.819799999999994</v>
          </cell>
          <cell r="AL58">
            <v>23.673859999999994</v>
          </cell>
        </row>
        <row r="59">
          <cell r="C59" t="str">
            <v>Discretionary (Upgrades and Retrofits)</v>
          </cell>
          <cell r="D59" t="str">
            <v>Aftermarket</v>
          </cell>
          <cell r="M59">
            <v>0.42654867256637169</v>
          </cell>
          <cell r="N59">
            <v>0.40491803278688526</v>
          </cell>
          <cell r="O59">
            <v>0.40715502555366268</v>
          </cell>
          <cell r="P59">
            <v>0.41341653666146644</v>
          </cell>
          <cell r="Q59">
            <v>0.4524793388429752</v>
          </cell>
          <cell r="R59">
            <v>0.40571428571428569</v>
          </cell>
          <cell r="S59">
            <v>0.45958429561200925</v>
          </cell>
          <cell r="T59">
            <v>0.45657015590200445</v>
          </cell>
          <cell r="U59">
            <v>0.46715328467153283</v>
          </cell>
          <cell r="V59">
            <v>0.45657015590200445</v>
          </cell>
          <cell r="W59">
            <v>0.45652173913043476</v>
          </cell>
          <cell r="X59">
            <v>0.48396381578947373</v>
          </cell>
          <cell r="Y59">
            <v>0.44175824175824174</v>
          </cell>
          <cell r="Z59">
            <v>0.43635531135531136</v>
          </cell>
          <cell r="AA59">
            <v>0.41281731169371622</v>
          </cell>
          <cell r="AB59">
            <v>0.44209413008989951</v>
          </cell>
          <cell r="AC59">
            <v>0.46634189548272803</v>
          </cell>
          <cell r="AD59">
            <v>0.46676609949370429</v>
          </cell>
          <cell r="AE59">
            <v>180</v>
          </cell>
          <cell r="AF59">
            <v>150</v>
          </cell>
          <cell r="AG59">
            <v>150</v>
          </cell>
          <cell r="AH59">
            <v>160</v>
          </cell>
          <cell r="AI59">
            <v>185</v>
          </cell>
          <cell r="AJ59">
            <v>200</v>
          </cell>
          <cell r="AK59">
            <v>215</v>
          </cell>
          <cell r="AL59">
            <v>230</v>
          </cell>
        </row>
        <row r="60">
          <cell r="D60" t="str">
            <v>Y/Y Change</v>
          </cell>
          <cell r="M60">
            <v>7.2566371681415928E-2</v>
          </cell>
          <cell r="N60">
            <v>5.737704918032787E-2</v>
          </cell>
          <cell r="O60">
            <v>3.9182282793867124E-2</v>
          </cell>
          <cell r="P60">
            <v>6.7082683307332289E-2</v>
          </cell>
          <cell r="Q60">
            <v>4.3388429752066117E-2</v>
          </cell>
          <cell r="R60">
            <v>3.2380952380952378E-2</v>
          </cell>
          <cell r="S60">
            <v>5.3117782909930716E-2</v>
          </cell>
          <cell r="T60">
            <v>5.3452115812917596E-2</v>
          </cell>
          <cell r="U60">
            <v>4.3795620437956206E-2</v>
          </cell>
          <cell r="V60">
            <v>2.4498886414253896E-2</v>
          </cell>
          <cell r="W60">
            <v>2.1739130434782608E-2</v>
          </cell>
          <cell r="X60">
            <v>1.2335526315789474E-2</v>
          </cell>
          <cell r="Y60">
            <v>7.2527472527472533E-2</v>
          </cell>
          <cell r="Z60">
            <v>7.6923076923076927E-2</v>
          </cell>
          <cell r="AA60">
            <v>5.9092800665834375E-2</v>
          </cell>
          <cell r="AB60">
            <v>4.4949762030671601E-2</v>
          </cell>
          <cell r="AC60">
            <v>2.491142604074402E-2</v>
          </cell>
          <cell r="AD60">
            <v>1.369737923477308E-2</v>
          </cell>
          <cell r="AE60">
            <v>8.5788082918675772E-3</v>
          </cell>
          <cell r="AF60">
            <v>5.473232149987059E-3</v>
          </cell>
          <cell r="AG60">
            <v>0</v>
          </cell>
          <cell r="AH60">
            <v>6.6666666666666652E-2</v>
          </cell>
          <cell r="AI60">
            <v>0.15625</v>
          </cell>
          <cell r="AJ60">
            <v>8.1081081081081141E-2</v>
          </cell>
          <cell r="AK60">
            <v>7.4999999999999956E-2</v>
          </cell>
          <cell r="AL60">
            <v>6.9767441860465018E-2</v>
          </cell>
          <cell r="AM60">
            <v>1220.55</v>
          </cell>
          <cell r="AN60">
            <v>1397.1156000000001</v>
          </cell>
          <cell r="AO60">
            <v>1534.9626860689655</v>
          </cell>
          <cell r="AP60">
            <v>1636.5549540579314</v>
          </cell>
        </row>
        <row r="61">
          <cell r="C61" t="str">
            <v>Y/Y Growth Rates</v>
          </cell>
          <cell r="D61" t="str">
            <v>% Large Commercial Aftermarket</v>
          </cell>
          <cell r="M61">
            <v>0.42654867256637169</v>
          </cell>
          <cell r="N61">
            <v>0.40491803278688526</v>
          </cell>
          <cell r="O61">
            <v>0.40715502555366268</v>
          </cell>
          <cell r="P61">
            <v>0.41341653666146644</v>
          </cell>
          <cell r="Q61">
            <v>0.4524793388429752</v>
          </cell>
          <cell r="R61">
            <v>0.40571428571428569</v>
          </cell>
          <cell r="S61">
            <v>0.45958429561200925</v>
          </cell>
          <cell r="T61">
            <v>0.45657015590200445</v>
          </cell>
          <cell r="U61">
            <v>0.40632603406326034</v>
          </cell>
          <cell r="V61">
            <v>0.40311804008908686</v>
          </cell>
          <cell r="W61">
            <v>0.40652173913043477</v>
          </cell>
          <cell r="X61">
            <v>0.4524793388429752</v>
          </cell>
          <cell r="Y61">
            <v>0.43478260869565216</v>
          </cell>
          <cell r="Z61">
            <v>0.41025641025641024</v>
          </cell>
          <cell r="AA61">
            <v>0.42549019607843136</v>
          </cell>
          <cell r="AB61">
            <v>0.45573328194257096</v>
          </cell>
          <cell r="AC61">
            <v>0.44175824175824174</v>
          </cell>
          <cell r="AD61">
            <v>0.43635531135531136</v>
          </cell>
          <cell r="AE61">
            <v>0.3</v>
          </cell>
          <cell r="AF61">
            <v>0.28846153846153844</v>
          </cell>
          <cell r="AG61">
            <v>0.28037383177570091</v>
          </cell>
          <cell r="AH61">
            <v>0.43162483090335191</v>
          </cell>
          <cell r="AI61">
            <v>0.43808134715683822</v>
          </cell>
          <cell r="AJ61">
            <v>0.43127964973217742</v>
          </cell>
          <cell r="AK61">
            <v>0.43049572527137803</v>
          </cell>
          <cell r="AL61">
            <v>0.43106218460704998</v>
          </cell>
          <cell r="AM61">
            <v>951.78</v>
          </cell>
          <cell r="AN61">
            <v>1037.4402</v>
          </cell>
          <cell r="AO61">
            <v>1120.4354160000003</v>
          </cell>
          <cell r="AP61">
            <v>1187.6615409600004</v>
          </cell>
        </row>
        <row r="62">
          <cell r="D62" t="str">
            <v>OEM</v>
          </cell>
          <cell r="M62">
            <v>7.2566371681415928E-2</v>
          </cell>
          <cell r="N62">
            <v>5.737704918032787E-2</v>
          </cell>
          <cell r="O62">
            <v>3.9182282793867124E-2</v>
          </cell>
          <cell r="P62">
            <v>6.7082683307332289E-2</v>
          </cell>
          <cell r="Q62">
            <v>-0.13780918727915192</v>
          </cell>
          <cell r="R62">
            <v>-0.10060975609756095</v>
          </cell>
          <cell r="S62">
            <v>-0.35076923076923072</v>
          </cell>
          <cell r="T62">
            <v>-0.33933933933933935</v>
          </cell>
          <cell r="U62">
            <v>-0.17622950819672134</v>
          </cell>
          <cell r="V62">
            <v>-0.21016949152542375</v>
          </cell>
          <cell r="W62">
            <v>0.13744075829383884</v>
          </cell>
          <cell r="X62">
            <v>0.11363636363636354</v>
          </cell>
          <cell r="Y62">
            <v>0.15920398009950243</v>
          </cell>
          <cell r="Z62">
            <v>0.20248868778280538</v>
          </cell>
          <cell r="AA62">
            <v>0.19379115710253991</v>
          </cell>
          <cell r="AB62">
            <v>-0.23561859732072499</v>
          </cell>
          <cell r="AC62">
            <v>-5.2577319587628901E-2</v>
          </cell>
          <cell r="AD62">
            <v>0.11436343852013042</v>
          </cell>
          <cell r="AE62">
            <v>0.15145005370569287</v>
          </cell>
          <cell r="AF62">
            <v>0.12144776119402989</v>
          </cell>
          <cell r="AG62">
            <v>9.9840163232862711E-2</v>
          </cell>
          <cell r="AH62">
            <v>6.6592424466853206E-2</v>
          </cell>
          <cell r="AI62">
            <v>0.15544751381215494</v>
          </cell>
          <cell r="AJ62">
            <v>0.14478597658939618</v>
          </cell>
          <cell r="AK62">
            <v>9.7558954197799252E-2</v>
          </cell>
          <cell r="AL62">
            <v>6.5801380922735131E-2</v>
          </cell>
          <cell r="AM62">
            <v>83.3</v>
          </cell>
          <cell r="AN62">
            <v>58.309999999999995</v>
          </cell>
          <cell r="AO62">
            <v>40.816999999999993</v>
          </cell>
          <cell r="AP62">
            <v>28.571899999999992</v>
          </cell>
        </row>
        <row r="63">
          <cell r="C63" t="str">
            <v>Large Commercial Aftermarket</v>
          </cell>
          <cell r="D63" t="str">
            <v>Aftermarket</v>
          </cell>
          <cell r="Q63">
            <v>-9.1286307053941917E-2</v>
          </cell>
          <cell r="R63">
            <v>-0.13765182186234814</v>
          </cell>
          <cell r="S63">
            <v>-0.16736401673640167</v>
          </cell>
          <cell r="T63">
            <v>-0.22641509433962259</v>
          </cell>
          <cell r="U63">
            <v>-0.12328767123287676</v>
          </cell>
          <cell r="V63">
            <v>-3.7558685446009377E-2</v>
          </cell>
          <cell r="W63">
            <v>5.5276381909547645E-2</v>
          </cell>
          <cell r="X63">
            <v>0.1482926829268294</v>
          </cell>
          <cell r="Y63">
            <v>0.19760479041916157</v>
          </cell>
          <cell r="Z63">
            <v>0.18532338308457708</v>
          </cell>
          <cell r="AA63">
            <v>4.0923399790136372E-2</v>
          </cell>
          <cell r="AB63">
            <v>-0.157258064516129</v>
          </cell>
          <cell r="AC63">
            <v>7.6555023923443599E-3</v>
          </cell>
          <cell r="AD63">
            <v>9.2212725546058971E-2</v>
          </cell>
          <cell r="AE63">
            <v>600</v>
          </cell>
          <cell r="AF63">
            <v>520</v>
          </cell>
          <cell r="AG63">
            <v>535</v>
          </cell>
          <cell r="AH63">
            <v>605</v>
          </cell>
          <cell r="AI63">
            <v>685</v>
          </cell>
          <cell r="AJ63">
            <v>750</v>
          </cell>
          <cell r="AK63">
            <v>790</v>
          </cell>
          <cell r="AL63">
            <v>830</v>
          </cell>
          <cell r="AN63" t="str">
            <v>flat</v>
          </cell>
        </row>
        <row r="64">
          <cell r="D64" t="str">
            <v>Y/Y Change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0.50088495575221237</v>
          </cell>
          <cell r="N64">
            <v>0.53770491803278686</v>
          </cell>
          <cell r="O64">
            <v>0.55366269165247017</v>
          </cell>
          <cell r="P64">
            <v>0.51950078003120126</v>
          </cell>
          <cell r="Q64">
            <v>-0.48780487804878048</v>
          </cell>
          <cell r="R64">
            <v>-0.51428571428571423</v>
          </cell>
          <cell r="S64">
            <v>0</v>
          </cell>
          <cell r="T64">
            <v>-0.44186046511627908</v>
          </cell>
          <cell r="U64">
            <v>-0.1428571428571429</v>
          </cell>
          <cell r="V64">
            <v>-0.3529411764705882</v>
          </cell>
          <cell r="W64">
            <v>-0.56521739130434789</v>
          </cell>
          <cell r="X64">
            <v>-0.75</v>
          </cell>
          <cell r="Y64">
            <v>0.15920398009950243</v>
          </cell>
          <cell r="Z64">
            <v>0.27272727272727271</v>
          </cell>
          <cell r="AA64">
            <v>-0.15476190476190477</v>
          </cell>
          <cell r="AB64">
            <v>-0.40140845070422537</v>
          </cell>
          <cell r="AC64">
            <v>-0.47058823529411764</v>
          </cell>
          <cell r="AD64">
            <v>-0.4</v>
          </cell>
          <cell r="AE64">
            <v>0.19379115710253991</v>
          </cell>
          <cell r="AF64">
            <v>-0.23561859732072499</v>
          </cell>
          <cell r="AG64">
            <v>2.8846153846153744E-2</v>
          </cell>
          <cell r="AH64">
            <v>0.13084112149532712</v>
          </cell>
          <cell r="AI64">
            <v>0.13223140495867769</v>
          </cell>
          <cell r="AJ64">
            <v>9.4890510948905105E-2</v>
          </cell>
          <cell r="AK64">
            <v>5.3333333333333233E-2</v>
          </cell>
          <cell r="AL64">
            <v>5.0632911392405111E-2</v>
          </cell>
          <cell r="AM64">
            <v>0.5411126824878193</v>
          </cell>
          <cell r="AN64">
            <v>0.56044557232082048</v>
          </cell>
          <cell r="AO64">
            <v>0.56930275514408979</v>
          </cell>
          <cell r="AP64">
            <v>0.57366854019596669</v>
          </cell>
        </row>
        <row r="65">
          <cell r="D65" t="str">
            <v>Aftermarket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0.42654867256637169</v>
          </cell>
          <cell r="N65">
            <v>0.40491803278688526</v>
          </cell>
          <cell r="O65">
            <v>0.40715502555366268</v>
          </cell>
          <cell r="P65">
            <v>0.41341653666146644</v>
          </cell>
          <cell r="Q65">
            <v>-9.1286307053941917E-2</v>
          </cell>
          <cell r="R65">
            <v>-0.13765182186234814</v>
          </cell>
          <cell r="S65">
            <v>-0.16736401673640167</v>
          </cell>
          <cell r="T65">
            <v>-0.22641509433962259</v>
          </cell>
          <cell r="U65">
            <v>-0.23744292237442921</v>
          </cell>
          <cell r="V65">
            <v>-0.15023474178403751</v>
          </cell>
          <cell r="W65">
            <v>-6.0301507537688481E-2</v>
          </cell>
          <cell r="X65">
            <v>6.8292682926829329E-2</v>
          </cell>
          <cell r="Y65">
            <v>0.19760479041916157</v>
          </cell>
          <cell r="Z65">
            <v>0.149171270718232</v>
          </cell>
          <cell r="AA65">
            <v>0.16042780748663099</v>
          </cell>
          <cell r="AB65">
            <v>7.9817351598173492E-2</v>
          </cell>
          <cell r="AC65">
            <v>0.44175824175824174</v>
          </cell>
          <cell r="AD65">
            <v>0.18532338308457708</v>
          </cell>
          <cell r="AE65">
            <v>4.0923399790136372E-2</v>
          </cell>
          <cell r="AF65">
            <v>-0.157258064516129</v>
          </cell>
          <cell r="AG65">
            <v>-9.8086124401913888E-2</v>
          </cell>
          <cell r="AH65">
            <v>0.14254641909814336</v>
          </cell>
          <cell r="AI65">
            <v>0.1453823652319266</v>
          </cell>
          <cell r="AJ65">
            <v>9.000000000000008E-2</v>
          </cell>
          <cell r="AK65">
            <v>7.9999999999999849E-2</v>
          </cell>
          <cell r="AL65">
            <v>6.0000000000000053E-2</v>
          </cell>
          <cell r="AM65">
            <v>0.4219575018952576</v>
          </cell>
          <cell r="AN65">
            <v>0.41616367796453385</v>
          </cell>
          <cell r="AO65">
            <v>0.41555861590576498</v>
          </cell>
          <cell r="AP65">
            <v>0.41631603067164585</v>
          </cell>
        </row>
        <row r="66">
          <cell r="C66" t="str">
            <v>Regional and Business Jet Aftermarket</v>
          </cell>
          <cell r="D66" t="str">
            <v>Other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7.2566371681415928E-2</v>
          </cell>
          <cell r="N66">
            <v>5.737704918032787E-2</v>
          </cell>
          <cell r="O66">
            <v>3.9182282793867124E-2</v>
          </cell>
          <cell r="P66">
            <v>6.7082683307332289E-2</v>
          </cell>
          <cell r="Q66">
            <v>-0.48780487804878048</v>
          </cell>
          <cell r="R66">
            <v>-0.51428571428571423</v>
          </cell>
          <cell r="S66">
            <v>0</v>
          </cell>
          <cell r="T66">
            <v>-0.44186046511627908</v>
          </cell>
          <cell r="U66">
            <v>1.0476190476190474</v>
          </cell>
          <cell r="V66">
            <v>1.0588235294117645</v>
          </cell>
          <cell r="W66">
            <v>0.43478260869565211</v>
          </cell>
          <cell r="X66">
            <v>0.41666666666666674</v>
          </cell>
          <cell r="Y66">
            <v>-0.37209302325581395</v>
          </cell>
          <cell r="Z66">
            <v>-0.17142857142857137</v>
          </cell>
          <cell r="AA66">
            <v>-0.27272727272727271</v>
          </cell>
          <cell r="AB66">
            <v>-0.4529411764705884</v>
          </cell>
          <cell r="AC66">
            <v>7.2527472527472533E-2</v>
          </cell>
          <cell r="AD66">
            <v>0.27272727272727271</v>
          </cell>
          <cell r="AE66">
            <v>392</v>
          </cell>
          <cell r="AF66">
            <v>316</v>
          </cell>
          <cell r="AG66">
            <v>330</v>
          </cell>
          <cell r="AH66">
            <v>380</v>
          </cell>
          <cell r="AI66">
            <v>430</v>
          </cell>
          <cell r="AJ66">
            <v>450</v>
          </cell>
          <cell r="AK66">
            <v>475</v>
          </cell>
          <cell r="AL66">
            <v>500</v>
          </cell>
          <cell r="AM66">
            <v>3.6929815616922983E-2</v>
          </cell>
          <cell r="AN66" t="str">
            <v>low single digit w/ air routing</v>
          </cell>
          <cell r="AO66">
            <v>1.5138628950145219E-2</v>
          </cell>
          <cell r="AP66">
            <v>1.0015429132387649E-2</v>
          </cell>
        </row>
        <row r="67">
          <cell r="C67" t="str">
            <v>Y/Y Growth Rates</v>
          </cell>
          <cell r="D67" t="str">
            <v>Y/Y Change</v>
          </cell>
          <cell r="AG67">
            <v>4.4303797468354444E-2</v>
          </cell>
          <cell r="AH67">
            <v>0.1515151515151516</v>
          </cell>
          <cell r="AI67">
            <v>0.13157894736842102</v>
          </cell>
          <cell r="AJ67">
            <v>4.6511627906976827E-2</v>
          </cell>
          <cell r="AK67">
            <v>5.555555555555558E-2</v>
          </cell>
          <cell r="AL67">
            <v>5.2631578947368363E-2</v>
          </cell>
        </row>
        <row r="68">
          <cell r="A68" t="str">
            <v>Segment Operating Income</v>
          </cell>
          <cell r="D68" t="str">
            <v>OEM</v>
          </cell>
          <cell r="Q68">
            <v>-0.13780918727915192</v>
          </cell>
          <cell r="R68">
            <v>-0.10060975609756095</v>
          </cell>
          <cell r="S68">
            <v>-0.35076923076923072</v>
          </cell>
          <cell r="T68">
            <v>-0.33933933933933935</v>
          </cell>
          <cell r="U68">
            <v>-0.17622950819672134</v>
          </cell>
          <cell r="V68">
            <v>-0.21016949152542375</v>
          </cell>
          <cell r="W68">
            <v>0.13744075829383884</v>
          </cell>
          <cell r="X68">
            <v>5.0000000000000044E-2</v>
          </cell>
          <cell r="Y68">
            <v>0.15920398009950243</v>
          </cell>
          <cell r="Z68">
            <v>0.15879828326180268</v>
          </cell>
          <cell r="AA68">
            <v>0.1875</v>
          </cell>
          <cell r="AB68">
            <v>0.23419913419913407</v>
          </cell>
          <cell r="AC68">
            <v>0.13733905579399153</v>
          </cell>
          <cell r="AD68">
            <v>0.20248868778280538</v>
          </cell>
          <cell r="AE68">
            <v>0.19379115710253991</v>
          </cell>
          <cell r="AF68">
            <v>-0.23561859732072499</v>
          </cell>
          <cell r="AG68">
            <v>-6.7010309278350499E-2</v>
          </cell>
          <cell r="AH68">
            <v>0.18574585635359098</v>
          </cell>
          <cell r="AI68">
            <v>0.1557634889572268</v>
          </cell>
          <cell r="AJ68">
            <v>0.14468077963003911</v>
          </cell>
          <cell r="AK68">
            <v>9.8488004341296786E-2</v>
          </cell>
          <cell r="AL68">
            <v>6.6123939591793635E-2</v>
          </cell>
          <cell r="AM68">
            <v>0.15582386363636358</v>
          </cell>
          <cell r="AN68">
            <v>0.14466068575642144</v>
          </cell>
          <cell r="AO68">
            <v>9.8665483420960598E-2</v>
          </cell>
          <cell r="AP68">
            <v>6.6185496827381174E-2</v>
          </cell>
        </row>
        <row r="69">
          <cell r="C69" t="str">
            <v>Air Routing</v>
          </cell>
          <cell r="D69" t="str">
            <v>Aftermarket</v>
          </cell>
          <cell r="Q69">
            <v>-9.1286307053941917E-2</v>
          </cell>
          <cell r="R69">
            <v>-0.13765182186234814</v>
          </cell>
          <cell r="S69">
            <v>-0.16736401673640167</v>
          </cell>
          <cell r="T69">
            <v>-0.22641509433962259</v>
          </cell>
          <cell r="U69">
            <v>-0.23744292237442921</v>
          </cell>
          <cell r="V69">
            <v>-0.15023474178403751</v>
          </cell>
          <cell r="W69">
            <v>-9.0452261306532611E-2</v>
          </cell>
          <cell r="X69">
            <v>6.8292682926829329E-2</v>
          </cell>
          <cell r="Y69">
            <v>0.19760479041916157</v>
          </cell>
          <cell r="Z69">
            <v>0.149171270718232</v>
          </cell>
          <cell r="AA69">
            <v>0.15469613259668513</v>
          </cell>
          <cell r="AB69">
            <v>0.1260273972602739</v>
          </cell>
          <cell r="AC69">
            <v>0.10499999999999998</v>
          </cell>
          <cell r="AD69">
            <v>0.18532338308457708</v>
          </cell>
          <cell r="AE69">
            <v>4.0923399790136372E-2</v>
          </cell>
          <cell r="AF69">
            <v>-0.157258064516129</v>
          </cell>
          <cell r="AG69">
            <v>30</v>
          </cell>
          <cell r="AH69">
            <v>35</v>
          </cell>
          <cell r="AI69">
            <v>40</v>
          </cell>
          <cell r="AJ69">
            <v>45</v>
          </cell>
          <cell r="AK69">
            <v>50</v>
          </cell>
          <cell r="AL69">
            <v>55</v>
          </cell>
          <cell r="AM69">
            <v>0.14534296028880855</v>
          </cell>
          <cell r="AN69">
            <v>9.000000000000008E-2</v>
          </cell>
          <cell r="AO69">
            <v>8.0000000000000293E-2</v>
          </cell>
          <cell r="AP69">
            <v>6.0000000000000053E-2</v>
          </cell>
        </row>
        <row r="70">
          <cell r="A70" t="str">
            <v>Segment Operating Income</v>
          </cell>
          <cell r="C70" t="str">
            <v>Segment Operating Profit</v>
          </cell>
          <cell r="D70" t="str">
            <v>Y/Y Change</v>
          </cell>
          <cell r="I70">
            <v>114</v>
          </cell>
          <cell r="J70">
            <v>122</v>
          </cell>
          <cell r="K70">
            <v>119</v>
          </cell>
          <cell r="L70">
            <v>130</v>
          </cell>
          <cell r="M70">
            <v>137</v>
          </cell>
          <cell r="N70">
            <v>140</v>
          </cell>
          <cell r="O70">
            <v>139</v>
          </cell>
          <cell r="P70">
            <v>144</v>
          </cell>
          <cell r="Q70">
            <v>97</v>
          </cell>
          <cell r="R70">
            <v>110</v>
          </cell>
          <cell r="S70">
            <v>75</v>
          </cell>
          <cell r="T70">
            <v>71</v>
          </cell>
          <cell r="U70">
            <v>68</v>
          </cell>
          <cell r="V70">
            <v>69</v>
          </cell>
          <cell r="W70">
            <v>75</v>
          </cell>
          <cell r="X70">
            <v>80.636800000000051</v>
          </cell>
          <cell r="Y70">
            <v>370</v>
          </cell>
          <cell r="Z70">
            <v>485</v>
          </cell>
          <cell r="AA70">
            <v>560</v>
          </cell>
          <cell r="AB70">
            <v>353</v>
          </cell>
          <cell r="AC70">
            <v>292.63680000000005</v>
          </cell>
          <cell r="AD70">
            <v>358.75475999999998</v>
          </cell>
          <cell r="AE70">
            <v>451.63615600000008</v>
          </cell>
          <cell r="AF70">
            <v>531.78815008000004</v>
          </cell>
          <cell r="AG70">
            <v>598.19932746921609</v>
          </cell>
          <cell r="AH70">
            <v>0.16666666666666674</v>
          </cell>
          <cell r="AI70">
            <v>0.14285714285714279</v>
          </cell>
          <cell r="AJ70">
            <v>0.125</v>
          </cell>
          <cell r="AK70">
            <v>0.11111111111111116</v>
          </cell>
          <cell r="AL70">
            <v>0.10000000000000009</v>
          </cell>
        </row>
        <row r="71">
          <cell r="C71" t="str">
            <v>Operating Profit Margin (%)</v>
          </cell>
          <cell r="I71">
            <v>0.23170731707317074</v>
          </cell>
          <cell r="J71">
            <v>0.22509225092250923</v>
          </cell>
          <cell r="K71">
            <v>0.21834862385321102</v>
          </cell>
          <cell r="L71">
            <v>0.21487603305785125</v>
          </cell>
          <cell r="M71">
            <v>0.2424778761061947</v>
          </cell>
          <cell r="N71">
            <v>0.22950819672131148</v>
          </cell>
          <cell r="O71">
            <v>0.23679727427597955</v>
          </cell>
          <cell r="P71">
            <v>0.22464898595943839</v>
          </cell>
          <cell r="Q71">
            <v>0.20041322314049587</v>
          </cell>
          <cell r="R71">
            <v>0.20952380952380953</v>
          </cell>
          <cell r="S71">
            <v>0.17321016166281755</v>
          </cell>
          <cell r="T71">
            <v>0.15812917594654788</v>
          </cell>
          <cell r="U71">
            <v>0.16545012165450121</v>
          </cell>
          <cell r="V71">
            <v>0.15367483296213807</v>
          </cell>
          <cell r="W71">
            <v>0.16304347826086957</v>
          </cell>
          <cell r="X71">
            <v>0.16578289473684218</v>
          </cell>
          <cell r="Y71">
            <v>0.2032967032967033</v>
          </cell>
          <cell r="Z71">
            <v>0.22206959706959706</v>
          </cell>
          <cell r="AA71">
            <v>0.23304203079483979</v>
          </cell>
          <cell r="AB71">
            <v>0.18667371760973031</v>
          </cell>
          <cell r="AC71">
            <v>0.16200000000000001</v>
          </cell>
          <cell r="AD71">
            <v>0.182</v>
          </cell>
          <cell r="AE71">
            <v>0.20499999999999999</v>
          </cell>
          <cell r="AF71">
            <v>0.22</v>
          </cell>
          <cell r="AG71">
            <v>0.23</v>
          </cell>
          <cell r="AH71">
            <v>0.23499999999999999</v>
          </cell>
          <cell r="AI71">
            <v>0.214</v>
          </cell>
          <cell r="AJ71">
            <v>0.22</v>
          </cell>
          <cell r="AK71">
            <v>0.23</v>
          </cell>
          <cell r="AL71">
            <v>0.23499999999999999</v>
          </cell>
        </row>
        <row r="72">
          <cell r="B72" t="str">
            <v>Total Aftermarket Revenue</v>
          </cell>
          <cell r="C72" t="str">
            <v>Change in Margin (bps)</v>
          </cell>
          <cell r="I72">
            <v>114</v>
          </cell>
          <cell r="J72">
            <v>-66.150661506615137</v>
          </cell>
          <cell r="K72">
            <v>-67.436270692982077</v>
          </cell>
          <cell r="L72">
            <v>241</v>
          </cell>
          <cell r="M72">
            <v>247</v>
          </cell>
          <cell r="N72">
            <v>239</v>
          </cell>
          <cell r="O72">
            <v>265</v>
          </cell>
          <cell r="P72">
            <v>219</v>
          </cell>
          <cell r="Q72">
            <v>213</v>
          </cell>
          <cell r="R72">
            <v>199</v>
          </cell>
          <cell r="S72">
            <v>205</v>
          </cell>
          <cell r="T72">
            <v>-150.80985716269674</v>
          </cell>
          <cell r="U72">
            <v>73.209457079533308</v>
          </cell>
          <cell r="V72">
            <v>-117.75288692363134</v>
          </cell>
          <cell r="W72">
            <v>93.686452987314922</v>
          </cell>
          <cell r="X72">
            <v>27.39416475972617</v>
          </cell>
          <cell r="Y72">
            <v>375.1380855986111</v>
          </cell>
          <cell r="Z72">
            <v>187.72893772893761</v>
          </cell>
          <cell r="AA72">
            <v>109.7243372524273</v>
          </cell>
          <cell r="AB72">
            <v>-463.6831318510948</v>
          </cell>
          <cell r="AC72">
            <v>804</v>
          </cell>
          <cell r="AD72">
            <v>953</v>
          </cell>
          <cell r="AE72">
            <v>992</v>
          </cell>
          <cell r="AF72">
            <v>836</v>
          </cell>
          <cell r="AG72">
            <v>895</v>
          </cell>
          <cell r="AH72">
            <v>1020</v>
          </cell>
          <cell r="AI72">
            <v>1155</v>
          </cell>
          <cell r="AJ72">
            <v>1245</v>
          </cell>
          <cell r="AK72">
            <v>1315</v>
          </cell>
          <cell r="AL72">
            <v>1385</v>
          </cell>
          <cell r="AN72" t="str">
            <v>low sgl digit growth across all</v>
          </cell>
        </row>
        <row r="73">
          <cell r="C73" t="str">
            <v>Y/Y Change</v>
          </cell>
          <cell r="I73">
            <v>0.23170731707317074</v>
          </cell>
          <cell r="J73">
            <v>0.22509225092250923</v>
          </cell>
          <cell r="K73">
            <v>0.21834862385321102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-9.1286307053941917E-2</v>
          </cell>
          <cell r="Q73">
            <v>-0.13765182186234814</v>
          </cell>
          <cell r="R73">
            <v>-0.16736401673640167</v>
          </cell>
          <cell r="S73">
            <v>-0.22641509433962259</v>
          </cell>
          <cell r="T73">
            <v>0.15812917594654788</v>
          </cell>
          <cell r="U73">
            <v>0.16545012165450121</v>
          </cell>
          <cell r="V73">
            <v>0.15367483296213807</v>
          </cell>
          <cell r="W73">
            <v>0.16304347826086957</v>
          </cell>
          <cell r="X73">
            <v>0.16735537190082644</v>
          </cell>
          <cell r="Y73">
            <v>0.18260869565217391</v>
          </cell>
          <cell r="Z73">
            <v>0.1814595660749507</v>
          </cell>
          <cell r="AA73">
            <v>0.18823529411764706</v>
          </cell>
          <cell r="AB73">
            <v>0.19124571208325306</v>
          </cell>
          <cell r="AC73">
            <v>0.2032967032967033</v>
          </cell>
          <cell r="AD73">
            <v>0.18532338308457708</v>
          </cell>
          <cell r="AE73">
            <v>4.0923399790136372E-2</v>
          </cell>
          <cell r="AF73">
            <v>-0.157258064516129</v>
          </cell>
          <cell r="AG73">
            <v>7.0574162679425845E-2</v>
          </cell>
          <cell r="AH73">
            <v>0.13966480446927365</v>
          </cell>
          <cell r="AI73">
            <v>0.13235294117647056</v>
          </cell>
          <cell r="AJ73">
            <v>7.7922077922077948E-2</v>
          </cell>
          <cell r="AK73">
            <v>5.6224899598393607E-2</v>
          </cell>
          <cell r="AL73">
            <v>5.323193916349811E-2</v>
          </cell>
        </row>
        <row r="74">
          <cell r="A74" t="str">
            <v>Segment Operating Income</v>
          </cell>
          <cell r="C74" t="str">
            <v>Incremental Sales (Y/Y)</v>
          </cell>
          <cell r="J74">
            <v>-66.150661506615137</v>
          </cell>
          <cell r="K74">
            <v>-67.436270692982077</v>
          </cell>
          <cell r="L74">
            <v>-34.725907953597755</v>
          </cell>
          <cell r="M74">
            <v>73</v>
          </cell>
          <cell r="N74">
            <v>68</v>
          </cell>
          <cell r="O74">
            <v>42</v>
          </cell>
          <cell r="P74">
            <v>36</v>
          </cell>
          <cell r="Q74">
            <v>-81</v>
          </cell>
          <cell r="R74">
            <v>-85</v>
          </cell>
          <cell r="S74">
            <v>-154</v>
          </cell>
          <cell r="T74">
            <v>-192</v>
          </cell>
          <cell r="U74">
            <v>-73</v>
          </cell>
          <cell r="V74">
            <v>-76</v>
          </cell>
          <cell r="W74">
            <v>27</v>
          </cell>
          <cell r="X74">
            <v>37.400000000000091</v>
          </cell>
          <cell r="Y74">
            <v>185</v>
          </cell>
          <cell r="Z74">
            <v>364</v>
          </cell>
          <cell r="AA74">
            <v>219</v>
          </cell>
          <cell r="AB74">
            <v>-512</v>
          </cell>
          <cell r="AC74">
            <v>-84.599999999999909</v>
          </cell>
          <cell r="AD74">
            <v>164.77999999999997</v>
          </cell>
          <cell r="AE74">
            <v>231.92320000000041</v>
          </cell>
          <cell r="AF74">
            <v>214.11566399999992</v>
          </cell>
          <cell r="AG74">
            <v>183.64777717050401</v>
          </cell>
          <cell r="AH74">
            <v>151.13717128890448</v>
          </cell>
          <cell r="AI74">
            <v>253.22559999999999</v>
          </cell>
          <cell r="AJ74">
            <v>237.66693600000053</v>
          </cell>
          <cell r="AK74">
            <v>202.34828858482797</v>
          </cell>
          <cell r="AL74">
            <v>156.37702482802797</v>
          </cell>
        </row>
        <row r="75">
          <cell r="B75" t="str">
            <v>Wide-body IFE Revenue</v>
          </cell>
          <cell r="C75" t="str">
            <v>Incremental Operating Profit (Y/Y)</v>
          </cell>
          <cell r="L75">
            <v>41</v>
          </cell>
          <cell r="M75">
            <v>23</v>
          </cell>
          <cell r="N75">
            <v>18</v>
          </cell>
          <cell r="O75">
            <v>20</v>
          </cell>
          <cell r="P75">
            <v>14</v>
          </cell>
          <cell r="Q75">
            <v>-40</v>
          </cell>
          <cell r="R75">
            <v>-30</v>
          </cell>
          <cell r="S75">
            <v>-64</v>
          </cell>
          <cell r="T75">
            <v>-73</v>
          </cell>
          <cell r="U75">
            <v>-29</v>
          </cell>
          <cell r="V75">
            <v>-41</v>
          </cell>
          <cell r="W75">
            <v>0</v>
          </cell>
          <cell r="X75">
            <v>9.6368000000000507</v>
          </cell>
          <cell r="Y75">
            <v>74</v>
          </cell>
          <cell r="Z75">
            <v>115</v>
          </cell>
          <cell r="AA75">
            <v>75</v>
          </cell>
          <cell r="AB75">
            <v>-207</v>
          </cell>
          <cell r="AC75">
            <v>-60.363199999999949</v>
          </cell>
          <cell r="AD75">
            <v>66.117959999999925</v>
          </cell>
          <cell r="AE75">
            <v>92.881396000000109</v>
          </cell>
          <cell r="AF75">
            <v>80.151994079999952</v>
          </cell>
          <cell r="AG75">
            <v>66.41117738921605</v>
          </cell>
          <cell r="AH75">
            <v>48.521568458744923</v>
          </cell>
          <cell r="AI75">
            <v>-646.72089592796101</v>
          </cell>
          <cell r="AJ75">
            <v>0</v>
          </cell>
          <cell r="AK75">
            <v>0</v>
          </cell>
          <cell r="AL75">
            <v>0</v>
          </cell>
          <cell r="AM75">
            <v>-663.47499461202119</v>
          </cell>
          <cell r="AN75" t="str">
            <v>down 40%</v>
          </cell>
        </row>
        <row r="76">
          <cell r="C76" t="str">
            <v>Y/Y Change</v>
          </cell>
          <cell r="I76">
            <v>114</v>
          </cell>
          <cell r="J76">
            <v>122</v>
          </cell>
          <cell r="K76">
            <v>119</v>
          </cell>
          <cell r="L76">
            <v>0</v>
          </cell>
          <cell r="M76">
            <v>0.31506849315068491</v>
          </cell>
          <cell r="N76">
            <v>0.26470588235294118</v>
          </cell>
          <cell r="O76">
            <v>0.47619047619047616</v>
          </cell>
          <cell r="P76">
            <v>0.3888888888888889</v>
          </cell>
          <cell r="Q76">
            <v>0.49382716049382713</v>
          </cell>
          <cell r="R76">
            <v>0.35294117647058826</v>
          </cell>
          <cell r="S76">
            <v>0.41558441558441561</v>
          </cell>
          <cell r="T76">
            <v>0.38020833333333331</v>
          </cell>
          <cell r="U76">
            <v>0.39726027397260272</v>
          </cell>
          <cell r="V76">
            <v>0.53947368421052633</v>
          </cell>
          <cell r="W76">
            <v>0</v>
          </cell>
          <cell r="X76">
            <v>0.25766844919786169</v>
          </cell>
          <cell r="Y76">
            <v>0.4</v>
          </cell>
          <cell r="Z76">
            <v>0.31593406593406592</v>
          </cell>
          <cell r="AA76">
            <v>0.34246575342465752</v>
          </cell>
          <cell r="AB76">
            <v>0.404296875</v>
          </cell>
          <cell r="AC76">
            <v>0.71351300236406634</v>
          </cell>
          <cell r="AD76">
            <v>0.51291394586721661</v>
          </cell>
          <cell r="AE76">
            <v>0.40910696299464627</v>
          </cell>
          <cell r="AF76">
            <v>0.37433970304946945</v>
          </cell>
          <cell r="AG76">
            <v>0.3616225494935229</v>
          </cell>
          <cell r="AH76">
            <v>0.32104324862607153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478.19355999999999</v>
          </cell>
          <cell r="AN76">
            <v>548.430476</v>
          </cell>
          <cell r="AO76">
            <v>620.12947347586214</v>
          </cell>
          <cell r="AP76">
            <v>670.4052728292138</v>
          </cell>
        </row>
        <row r="77">
          <cell r="C77" t="str">
            <v>Incremental Operating Profit (Y/Y)</v>
          </cell>
          <cell r="I77">
            <v>0.23170731707317074</v>
          </cell>
          <cell r="J77">
            <v>0.22509225092250923</v>
          </cell>
          <cell r="K77">
            <v>0.21834862385321102</v>
          </cell>
          <cell r="L77">
            <v>0.21487603305785125</v>
          </cell>
          <cell r="M77">
            <v>23</v>
          </cell>
          <cell r="N77">
            <v>18</v>
          </cell>
          <cell r="O77">
            <v>20</v>
          </cell>
          <cell r="P77">
            <v>14</v>
          </cell>
          <cell r="Q77">
            <v>-40</v>
          </cell>
          <cell r="R77">
            <v>-30</v>
          </cell>
          <cell r="S77">
            <v>-64</v>
          </cell>
          <cell r="T77">
            <v>-73</v>
          </cell>
          <cell r="U77">
            <v>-29</v>
          </cell>
          <cell r="V77">
            <v>-41</v>
          </cell>
          <cell r="W77">
            <v>0</v>
          </cell>
          <cell r="X77">
            <v>10</v>
          </cell>
          <cell r="Y77">
            <v>16</v>
          </cell>
          <cell r="Z77">
            <v>23</v>
          </cell>
          <cell r="AA77">
            <v>21</v>
          </cell>
          <cell r="AB77">
            <v>18.23739999999998</v>
          </cell>
          <cell r="AC77">
            <v>74</v>
          </cell>
          <cell r="AD77">
            <v>115</v>
          </cell>
          <cell r="AE77">
            <v>75</v>
          </cell>
          <cell r="AF77">
            <v>-207</v>
          </cell>
          <cell r="AG77">
            <v>-60</v>
          </cell>
          <cell r="AH77">
            <v>78.23739999999998</v>
          </cell>
          <cell r="AI77">
            <v>110.77110680000004</v>
          </cell>
          <cell r="AJ77">
            <v>66.629518079999968</v>
          </cell>
          <cell r="AK77">
            <v>71.952210192800067</v>
          </cell>
          <cell r="AL77">
            <v>50.652729837807897</v>
          </cell>
          <cell r="AM77">
            <v>-671.24296491060795</v>
          </cell>
          <cell r="AN77">
            <v>0.22</v>
          </cell>
          <cell r="AO77">
            <v>0.23</v>
          </cell>
          <cell r="AP77">
            <v>0.23499999999999999</v>
          </cell>
        </row>
        <row r="78">
          <cell r="B78" t="str">
            <v>Total Commercial Systems Revenue</v>
          </cell>
          <cell r="C78" t="str">
            <v>Compensation Headwinds Y/Y</v>
          </cell>
          <cell r="H78">
            <v>492</v>
          </cell>
          <cell r="I78">
            <v>542</v>
          </cell>
          <cell r="J78">
            <v>545</v>
          </cell>
          <cell r="K78">
            <v>605</v>
          </cell>
          <cell r="L78">
            <v>565</v>
          </cell>
          <cell r="M78">
            <v>610</v>
          </cell>
          <cell r="N78">
            <v>587</v>
          </cell>
          <cell r="O78">
            <v>641</v>
          </cell>
          <cell r="P78">
            <v>484</v>
          </cell>
          <cell r="Q78">
            <v>525</v>
          </cell>
          <cell r="R78">
            <v>433</v>
          </cell>
          <cell r="S78">
            <v>449</v>
          </cell>
          <cell r="T78">
            <v>411</v>
          </cell>
          <cell r="U78">
            <v>450</v>
          </cell>
          <cell r="V78">
            <v>465</v>
          </cell>
          <cell r="W78">
            <v>499</v>
          </cell>
          <cell r="X78">
            <v>1752</v>
          </cell>
          <cell r="Y78">
            <v>1377</v>
          </cell>
          <cell r="Z78">
            <v>1272</v>
          </cell>
          <cell r="AA78">
            <v>1395</v>
          </cell>
          <cell r="AB78">
            <v>1635</v>
          </cell>
          <cell r="AC78">
            <v>1820</v>
          </cell>
          <cell r="AD78">
            <v>-14.399999999999999</v>
          </cell>
          <cell r="AE78">
            <v>-2</v>
          </cell>
          <cell r="AF78">
            <v>1891</v>
          </cell>
          <cell r="AG78">
            <v>1825</v>
          </cell>
          <cell r="AH78">
            <v>2050</v>
          </cell>
          <cell r="AI78">
            <v>2260</v>
          </cell>
          <cell r="AJ78">
            <v>2480</v>
          </cell>
          <cell r="AK78">
            <v>2655</v>
          </cell>
          <cell r="AL78">
            <v>2835</v>
          </cell>
          <cell r="AM78">
            <v>194.99999999999989</v>
          </cell>
          <cell r="AN78" t="str">
            <v>down 7% (y/y gr in 2H)</v>
          </cell>
          <cell r="AO78">
            <v>100.00000000000009</v>
          </cell>
          <cell r="AP78">
            <v>49.999999999999766</v>
          </cell>
        </row>
        <row r="79">
          <cell r="C79" t="str">
            <v>Y/Y Change</v>
          </cell>
          <cell r="L79">
            <v>0.14837398373983746</v>
          </cell>
          <cell r="M79">
            <v>0.1254612546125462</v>
          </cell>
          <cell r="N79">
            <v>7.7064220183486132E-2</v>
          </cell>
          <cell r="O79">
            <v>5.9504132231404938E-2</v>
          </cell>
          <cell r="P79">
            <v>-0.14336283185840704</v>
          </cell>
          <cell r="Q79">
            <v>-0.13934426229508201</v>
          </cell>
          <cell r="R79">
            <v>-0.26235093696763201</v>
          </cell>
          <cell r="S79">
            <v>-0.29953198127925118</v>
          </cell>
          <cell r="T79">
            <v>-0.15082644628099173</v>
          </cell>
          <cell r="U79">
            <v>-0.1428571428571429</v>
          </cell>
          <cell r="V79">
            <v>7.390300230946889E-2</v>
          </cell>
          <cell r="W79">
            <v>0.11135857461024501</v>
          </cell>
          <cell r="Y79">
            <v>-0.21404109589041098</v>
          </cell>
          <cell r="Z79">
            <v>-7.6252723311546866E-2</v>
          </cell>
          <cell r="AA79">
            <v>9.6698113207547065E-2</v>
          </cell>
          <cell r="AB79">
            <v>0.17204301075268824</v>
          </cell>
          <cell r="AC79">
            <v>0.11314984709480114</v>
          </cell>
          <cell r="AD79">
            <v>-4</v>
          </cell>
          <cell r="AE79">
            <v>0.10027472527472536</v>
          </cell>
          <cell r="AF79">
            <v>-0.21306699958385356</v>
          </cell>
          <cell r="AG79">
            <v>-3.4902168164992031E-2</v>
          </cell>
          <cell r="AH79">
            <v>0.12328767123287676</v>
          </cell>
          <cell r="AI79">
            <v>0.10243902439024399</v>
          </cell>
          <cell r="AJ79">
            <v>9.7345132743362761E-2</v>
          </cell>
          <cell r="AK79">
            <v>7.0564516129032251E-2</v>
          </cell>
          <cell r="AL79">
            <v>6.7796610169491567E-2</v>
          </cell>
        </row>
        <row r="80">
          <cell r="C80" t="str">
            <v>San Jose</v>
          </cell>
          <cell r="M80">
            <v>73</v>
          </cell>
          <cell r="N80">
            <v>68</v>
          </cell>
          <cell r="O80">
            <v>42</v>
          </cell>
          <cell r="P80">
            <v>36</v>
          </cell>
          <cell r="Q80">
            <v>-81</v>
          </cell>
          <cell r="R80">
            <v>-85</v>
          </cell>
          <cell r="S80">
            <v>-154</v>
          </cell>
          <cell r="T80">
            <v>-192</v>
          </cell>
          <cell r="U80">
            <v>-73</v>
          </cell>
          <cell r="V80">
            <v>-76</v>
          </cell>
          <cell r="W80">
            <v>21</v>
          </cell>
          <cell r="X80">
            <v>35</v>
          </cell>
          <cell r="Y80">
            <v>49</v>
          </cell>
          <cell r="Z80">
            <v>58</v>
          </cell>
          <cell r="AA80">
            <v>68</v>
          </cell>
          <cell r="AB80">
            <v>72.450000000000045</v>
          </cell>
          <cell r="AC80">
            <v>185</v>
          </cell>
          <cell r="AD80">
            <v>2</v>
          </cell>
          <cell r="AE80">
            <v>219</v>
          </cell>
          <cell r="AF80">
            <v>-512</v>
          </cell>
          <cell r="AG80">
            <v>-87</v>
          </cell>
          <cell r="AH80">
            <v>-14.399999999999999</v>
          </cell>
          <cell r="AI80">
            <v>-2</v>
          </cell>
          <cell r="AJ80">
            <v>245.63044799999989</v>
          </cell>
          <cell r="AK80">
            <v>210.09408672000063</v>
          </cell>
          <cell r="AL80">
            <v>161.79963075360001</v>
          </cell>
          <cell r="AM80">
            <v>262.63000000000011</v>
          </cell>
          <cell r="AN80">
            <v>237.23579999999993</v>
          </cell>
          <cell r="AO80">
            <v>203.3493020689657</v>
          </cell>
          <cell r="AP80">
            <v>156.57329294896545</v>
          </cell>
        </row>
        <row r="81">
          <cell r="B81" t="str">
            <v>vs Main Model</v>
          </cell>
          <cell r="C81" t="str">
            <v>Total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484</v>
          </cell>
          <cell r="Q81">
            <v>525</v>
          </cell>
          <cell r="R81">
            <v>433</v>
          </cell>
          <cell r="S81">
            <v>449</v>
          </cell>
          <cell r="T81">
            <v>411</v>
          </cell>
          <cell r="U81">
            <v>450</v>
          </cell>
          <cell r="V81">
            <v>465</v>
          </cell>
          <cell r="W81">
            <v>499</v>
          </cell>
          <cell r="X81">
            <v>10</v>
          </cell>
          <cell r="Y81">
            <v>16</v>
          </cell>
          <cell r="Z81">
            <v>23</v>
          </cell>
          <cell r="AA81">
            <v>33</v>
          </cell>
          <cell r="AB81">
            <v>1635</v>
          </cell>
          <cell r="AC81">
            <v>1820</v>
          </cell>
          <cell r="AD81">
            <v>-16.399999999999999</v>
          </cell>
          <cell r="AE81">
            <v>2403</v>
          </cell>
          <cell r="AF81">
            <v>1891</v>
          </cell>
          <cell r="AG81">
            <v>1825</v>
          </cell>
          <cell r="AH81">
            <v>2050</v>
          </cell>
          <cell r="AI81">
            <v>2260</v>
          </cell>
          <cell r="AJ81">
            <v>2480</v>
          </cell>
          <cell r="AK81">
            <v>2655</v>
          </cell>
          <cell r="AL81">
            <v>2835</v>
          </cell>
          <cell r="AM81">
            <v>-686.92731688629613</v>
          </cell>
          <cell r="AN81">
            <v>70.236916000000008</v>
          </cell>
          <cell r="AO81">
            <v>71.698997475862143</v>
          </cell>
          <cell r="AP81">
            <v>50.275799353351658</v>
          </cell>
          <cell r="AQ81">
            <v>-670.4052728292138</v>
          </cell>
        </row>
        <row r="82">
          <cell r="A82" t="str">
            <v>OEM Build-Up</v>
          </cell>
          <cell r="C82" t="str">
            <v>Difference</v>
          </cell>
          <cell r="M82">
            <v>0.31506849315068491</v>
          </cell>
          <cell r="N82">
            <v>0.26470588235294118</v>
          </cell>
          <cell r="O82">
            <v>0.47619047619047616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0.2857142857142857</v>
          </cell>
          <cell r="Y82">
            <v>0.32653061224489793</v>
          </cell>
          <cell r="Z82">
            <v>0.39655172413793105</v>
          </cell>
          <cell r="AA82">
            <v>0.48529411764705882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0.3580648060008374</v>
          </cell>
          <cell r="AN82">
            <v>0.29606373068482933</v>
          </cell>
          <cell r="AO82">
            <v>0.35259032977425958</v>
          </cell>
          <cell r="AP82">
            <v>0.32110073440007991</v>
          </cell>
        </row>
        <row r="83">
          <cell r="A83" t="str">
            <v>OEM Build-Up</v>
          </cell>
          <cell r="C83" t="str">
            <v>Total</v>
          </cell>
          <cell r="AH83">
            <v>1.6000000000000014</v>
          </cell>
        </row>
        <row r="84">
          <cell r="A84" t="str">
            <v>Segment Operating Profit</v>
          </cell>
          <cell r="C84" t="str">
            <v>Boeing Deliveries (Calendar)</v>
          </cell>
          <cell r="AH84">
            <v>-14.399999999999999</v>
          </cell>
          <cell r="AI84">
            <v>-2</v>
          </cell>
          <cell r="AL84">
            <v>-14.399999999999999</v>
          </cell>
          <cell r="AM84">
            <v>-2</v>
          </cell>
        </row>
        <row r="85">
          <cell r="A85" t="str">
            <v>OEM Build-Up</v>
          </cell>
          <cell r="C85" t="str">
            <v>Boeing Deliveries (Calendar)</v>
          </cell>
          <cell r="D85" t="str">
            <v>737NG</v>
          </cell>
          <cell r="Z85">
            <v>330</v>
          </cell>
          <cell r="AA85">
            <v>290</v>
          </cell>
          <cell r="AB85">
            <v>372</v>
          </cell>
          <cell r="AC85">
            <v>376</v>
          </cell>
          <cell r="AD85">
            <v>380</v>
          </cell>
          <cell r="AE85">
            <v>410</v>
          </cell>
          <cell r="AF85">
            <v>410</v>
          </cell>
          <cell r="AG85">
            <v>372</v>
          </cell>
          <cell r="AH85">
            <v>372</v>
          </cell>
          <cell r="AL85">
            <v>14</v>
          </cell>
        </row>
        <row r="86">
          <cell r="B86" t="str">
            <v>Segment Operating Profit</v>
          </cell>
          <cell r="C86" t="str">
            <v>San Jose</v>
          </cell>
          <cell r="D86" t="str">
            <v>737NG</v>
          </cell>
          <cell r="H86">
            <v>114</v>
          </cell>
          <cell r="I86">
            <v>122</v>
          </cell>
          <cell r="J86">
            <v>119</v>
          </cell>
          <cell r="K86">
            <v>130</v>
          </cell>
          <cell r="L86">
            <v>137</v>
          </cell>
          <cell r="M86">
            <v>140</v>
          </cell>
          <cell r="N86">
            <v>139</v>
          </cell>
          <cell r="O86">
            <v>144</v>
          </cell>
          <cell r="P86">
            <v>97</v>
          </cell>
          <cell r="Q86">
            <v>110</v>
          </cell>
          <cell r="R86">
            <v>75</v>
          </cell>
          <cell r="S86">
            <v>71</v>
          </cell>
          <cell r="T86">
            <v>68</v>
          </cell>
          <cell r="U86">
            <v>75</v>
          </cell>
          <cell r="V86">
            <v>83</v>
          </cell>
          <cell r="W86">
            <v>94</v>
          </cell>
          <cell r="X86">
            <v>275</v>
          </cell>
          <cell r="Y86">
            <v>174</v>
          </cell>
          <cell r="Z86">
            <v>330</v>
          </cell>
          <cell r="AA86">
            <v>290</v>
          </cell>
          <cell r="AB86">
            <v>372</v>
          </cell>
          <cell r="AC86">
            <v>376</v>
          </cell>
          <cell r="AD86">
            <v>380</v>
          </cell>
          <cell r="AE86">
            <v>410</v>
          </cell>
          <cell r="AF86">
            <v>410</v>
          </cell>
          <cell r="AG86">
            <v>372</v>
          </cell>
          <cell r="AH86">
            <v>372</v>
          </cell>
          <cell r="AI86">
            <v>494.75</v>
          </cell>
          <cell r="AJ86">
            <v>560.75</v>
          </cell>
          <cell r="AK86">
            <v>604.5</v>
          </cell>
          <cell r="AL86">
            <v>649.5</v>
          </cell>
        </row>
        <row r="87">
          <cell r="B87" t="str">
            <v>Operating Profit Margin (%)</v>
          </cell>
          <cell r="C87" t="str">
            <v>Boeing Deliveries (Calendar)</v>
          </cell>
          <cell r="D87">
            <v>747</v>
          </cell>
          <cell r="H87">
            <v>0.23170731707317074</v>
          </cell>
          <cell r="I87">
            <v>0.22509225092250923</v>
          </cell>
          <cell r="J87">
            <v>0.21834862385321102</v>
          </cell>
          <cell r="K87">
            <v>0.21487603305785125</v>
          </cell>
          <cell r="L87">
            <v>0.2424778761061947</v>
          </cell>
          <cell r="M87">
            <v>0.22950819672131148</v>
          </cell>
          <cell r="N87">
            <v>0.23679727427597955</v>
          </cell>
          <cell r="O87">
            <v>0.22464898595943839</v>
          </cell>
          <cell r="P87">
            <v>0.20041322314049587</v>
          </cell>
          <cell r="Q87">
            <v>0.20952380952380953</v>
          </cell>
          <cell r="R87">
            <v>0.17321016166281755</v>
          </cell>
          <cell r="S87">
            <v>0.15812917594654788</v>
          </cell>
          <cell r="T87">
            <v>0.16545012165450121</v>
          </cell>
          <cell r="U87">
            <v>0.16666666666666666</v>
          </cell>
          <cell r="V87">
            <v>0.17849462365591398</v>
          </cell>
          <cell r="W87">
            <v>0.18837675350701402</v>
          </cell>
          <cell r="X87">
            <v>0.1569634703196347</v>
          </cell>
          <cell r="Y87">
            <v>0.12636165577342048</v>
          </cell>
          <cell r="Z87">
            <v>16</v>
          </cell>
          <cell r="AA87">
            <v>14</v>
          </cell>
          <cell r="AB87">
            <v>8</v>
          </cell>
          <cell r="AC87">
            <v>8</v>
          </cell>
          <cell r="AD87">
            <v>0</v>
          </cell>
          <cell r="AE87">
            <v>12</v>
          </cell>
          <cell r="AF87">
            <v>20</v>
          </cell>
          <cell r="AG87">
            <v>22</v>
          </cell>
          <cell r="AH87">
            <v>20</v>
          </cell>
          <cell r="AI87">
            <v>20</v>
          </cell>
          <cell r="AJ87">
            <v>0.22610887096774193</v>
          </cell>
          <cell r="AK87">
            <v>0.22768361581920904</v>
          </cell>
          <cell r="AL87">
            <v>0.22910052910052911</v>
          </cell>
          <cell r="AM87">
            <v>20</v>
          </cell>
        </row>
        <row r="88">
          <cell r="B88" t="str">
            <v>Change in Margin (bps)</v>
          </cell>
          <cell r="D88">
            <v>767</v>
          </cell>
          <cell r="H88">
            <v>2317.0731707317073</v>
          </cell>
          <cell r="I88">
            <v>-66.150661506615137</v>
          </cell>
          <cell r="J88">
            <v>-67.436270692982077</v>
          </cell>
          <cell r="K88">
            <v>-34.725907953597755</v>
          </cell>
          <cell r="L88">
            <v>276.01843048343454</v>
          </cell>
          <cell r="M88">
            <v>-129.69679384883221</v>
          </cell>
          <cell r="N88">
            <v>72.890775546680658</v>
          </cell>
          <cell r="O88">
            <v>-121.48288316541162</v>
          </cell>
          <cell r="P88">
            <v>-242.35762818942518</v>
          </cell>
          <cell r="Q88">
            <v>91.105863833136624</v>
          </cell>
          <cell r="R88">
            <v>-363.13647860991978</v>
          </cell>
          <cell r="S88">
            <v>-150.80985716269674</v>
          </cell>
          <cell r="T88">
            <v>73.209457079533308</v>
          </cell>
          <cell r="U88">
            <v>12.165450121654487</v>
          </cell>
          <cell r="V88">
            <v>118.27956989247323</v>
          </cell>
          <cell r="W88">
            <v>98.821298511000407</v>
          </cell>
          <cell r="Y88">
            <v>-306.01814546214217</v>
          </cell>
          <cell r="Z88">
            <v>12</v>
          </cell>
          <cell r="AA88">
            <v>10</v>
          </cell>
          <cell r="AB88">
            <v>13</v>
          </cell>
          <cell r="AC88">
            <v>12</v>
          </cell>
          <cell r="AD88">
            <v>18</v>
          </cell>
          <cell r="AE88">
            <v>18</v>
          </cell>
          <cell r="AF88">
            <v>12</v>
          </cell>
          <cell r="AG88">
            <v>12</v>
          </cell>
          <cell r="AH88">
            <v>12</v>
          </cell>
          <cell r="AI88">
            <v>134.28124325491063</v>
          </cell>
          <cell r="AJ88">
            <v>71.929417642020994</v>
          </cell>
          <cell r="AK88">
            <v>15.747448514671081</v>
          </cell>
          <cell r="AL88">
            <v>14.169132813200703</v>
          </cell>
        </row>
        <row r="89">
          <cell r="A89" t="str">
            <v>OEM Build-Up</v>
          </cell>
          <cell r="D89">
            <v>777</v>
          </cell>
          <cell r="Z89">
            <v>83</v>
          </cell>
          <cell r="AA89">
            <v>61</v>
          </cell>
          <cell r="AB89">
            <v>88</v>
          </cell>
          <cell r="AC89">
            <v>72</v>
          </cell>
          <cell r="AD89">
            <v>72</v>
          </cell>
          <cell r="AE89">
            <v>84</v>
          </cell>
          <cell r="AF89">
            <v>84</v>
          </cell>
          <cell r="AG89">
            <v>84</v>
          </cell>
          <cell r="AH89">
            <v>84</v>
          </cell>
          <cell r="AI89">
            <v>35</v>
          </cell>
          <cell r="AJ89">
            <v>24</v>
          </cell>
          <cell r="AK89">
            <v>24</v>
          </cell>
          <cell r="AL89">
            <v>20</v>
          </cell>
          <cell r="AM89">
            <v>20</v>
          </cell>
        </row>
        <row r="90">
          <cell r="B90" t="str">
            <v>Incremental Sales (Y/Y)</v>
          </cell>
          <cell r="D90">
            <v>787</v>
          </cell>
          <cell r="L90">
            <v>73</v>
          </cell>
          <cell r="M90">
            <v>68</v>
          </cell>
          <cell r="N90">
            <v>42</v>
          </cell>
          <cell r="O90">
            <v>36</v>
          </cell>
          <cell r="P90">
            <v>-81</v>
          </cell>
          <cell r="Q90">
            <v>-85</v>
          </cell>
          <cell r="R90">
            <v>-154</v>
          </cell>
          <cell r="S90">
            <v>-192</v>
          </cell>
          <cell r="T90">
            <v>-73</v>
          </cell>
          <cell r="U90">
            <v>-75</v>
          </cell>
          <cell r="V90">
            <v>32</v>
          </cell>
          <cell r="W90">
            <v>50</v>
          </cell>
          <cell r="Y90">
            <v>-375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50</v>
          </cell>
          <cell r="AE90">
            <v>48</v>
          </cell>
          <cell r="AF90">
            <v>108</v>
          </cell>
          <cell r="AG90">
            <v>120</v>
          </cell>
          <cell r="AH90">
            <v>120</v>
          </cell>
          <cell r="AI90">
            <v>210</v>
          </cell>
          <cell r="AJ90">
            <v>220</v>
          </cell>
          <cell r="AK90">
            <v>175</v>
          </cell>
          <cell r="AL90">
            <v>180</v>
          </cell>
        </row>
        <row r="91">
          <cell r="B91" t="str">
            <v>Incremental Operating Profit (Y/Y)</v>
          </cell>
          <cell r="C91" t="str">
            <v>Boeing Deliveries (Calendar)</v>
          </cell>
          <cell r="D91" t="str">
            <v>Total Boeing</v>
          </cell>
          <cell r="L91">
            <v>23</v>
          </cell>
          <cell r="M91">
            <v>18</v>
          </cell>
          <cell r="N91">
            <v>20</v>
          </cell>
          <cell r="O91">
            <v>14</v>
          </cell>
          <cell r="P91">
            <v>-40</v>
          </cell>
          <cell r="Q91">
            <v>-30</v>
          </cell>
          <cell r="R91">
            <v>-64</v>
          </cell>
          <cell r="S91">
            <v>-73</v>
          </cell>
          <cell r="T91">
            <v>-29</v>
          </cell>
          <cell r="U91">
            <v>-35</v>
          </cell>
          <cell r="V91">
            <v>8</v>
          </cell>
          <cell r="W91">
            <v>23</v>
          </cell>
          <cell r="Y91">
            <v>-101</v>
          </cell>
          <cell r="Z91">
            <v>441</v>
          </cell>
          <cell r="AA91">
            <v>375</v>
          </cell>
          <cell r="AB91">
            <v>481</v>
          </cell>
          <cell r="AC91">
            <v>468</v>
          </cell>
          <cell r="AD91">
            <v>520</v>
          </cell>
          <cell r="AE91">
            <v>572</v>
          </cell>
          <cell r="AF91">
            <v>634</v>
          </cell>
          <cell r="AG91">
            <v>610</v>
          </cell>
          <cell r="AH91">
            <v>608</v>
          </cell>
          <cell r="AI91">
            <v>73.5</v>
          </cell>
          <cell r="AJ91">
            <v>66</v>
          </cell>
          <cell r="AK91">
            <v>43.75</v>
          </cell>
          <cell r="AL91">
            <v>45</v>
          </cell>
        </row>
        <row r="92">
          <cell r="B92" t="str">
            <v>Drop Through Rate</v>
          </cell>
          <cell r="C92" t="str">
            <v>Boeing Deliveries (Adjusted)</v>
          </cell>
          <cell r="D92">
            <v>787</v>
          </cell>
          <cell r="L92">
            <v>0.31506849315068491</v>
          </cell>
          <cell r="M92">
            <v>0.26470588235294118</v>
          </cell>
          <cell r="N92">
            <v>0.47619047619047616</v>
          </cell>
          <cell r="O92">
            <v>0.3888888888888889</v>
          </cell>
          <cell r="P92">
            <v>0.49382716049382713</v>
          </cell>
          <cell r="Q92">
            <v>0.35294117647058826</v>
          </cell>
          <cell r="R92">
            <v>0.41558441558441561</v>
          </cell>
          <cell r="S92">
            <v>0.38020833333333331</v>
          </cell>
          <cell r="T92">
            <v>0.39726027397260272</v>
          </cell>
          <cell r="U92">
            <v>0.46666666666666667</v>
          </cell>
          <cell r="V92">
            <v>0.25</v>
          </cell>
          <cell r="W92">
            <v>0.46</v>
          </cell>
          <cell r="Y92">
            <v>0.26933333333333331</v>
          </cell>
          <cell r="Z92">
            <v>0.35238095238095241</v>
          </cell>
          <cell r="AA92">
            <v>0.51219512195121952</v>
          </cell>
          <cell r="AB92">
            <v>0.4</v>
          </cell>
          <cell r="AC92">
            <v>0.4</v>
          </cell>
          <cell r="AD92">
            <v>0.31593406593406592</v>
          </cell>
          <cell r="AE92">
            <v>0.34246575342465752</v>
          </cell>
          <cell r="AF92">
            <v>0.404296875</v>
          </cell>
          <cell r="AG92">
            <v>0.5</v>
          </cell>
          <cell r="AH92">
            <v>0.45</v>
          </cell>
          <cell r="AI92">
            <v>0.35</v>
          </cell>
          <cell r="AJ92">
            <v>0.3</v>
          </cell>
          <cell r="AK92">
            <v>0.25</v>
          </cell>
          <cell r="AL92">
            <v>0.25</v>
          </cell>
          <cell r="AM92">
            <v>420</v>
          </cell>
          <cell r="AN92">
            <v>445</v>
          </cell>
          <cell r="AO92">
            <v>505</v>
          </cell>
          <cell r="AP92">
            <v>480</v>
          </cell>
        </row>
        <row r="93">
          <cell r="C93" t="str">
            <v>Boeing Deliveries (Adjusted)</v>
          </cell>
          <cell r="D93" t="str">
            <v>737NG</v>
          </cell>
          <cell r="Z93">
            <v>247.5</v>
          </cell>
          <cell r="AA93">
            <v>300</v>
          </cell>
          <cell r="AB93">
            <v>351.5</v>
          </cell>
          <cell r="AC93">
            <v>375</v>
          </cell>
          <cell r="AD93">
            <v>379</v>
          </cell>
          <cell r="AE93">
            <v>402.5</v>
          </cell>
          <cell r="AF93">
            <v>410</v>
          </cell>
          <cell r="AG93">
            <v>381.5</v>
          </cell>
          <cell r="AH93">
            <v>372</v>
          </cell>
          <cell r="AI93">
            <v>607</v>
          </cell>
          <cell r="AJ93">
            <v>665</v>
          </cell>
          <cell r="AK93">
            <v>690</v>
          </cell>
          <cell r="AL93">
            <v>694</v>
          </cell>
          <cell r="AM93">
            <v>20</v>
          </cell>
          <cell r="AN93">
            <v>24</v>
          </cell>
          <cell r="AO93">
            <v>24</v>
          </cell>
          <cell r="AP93">
            <v>24</v>
          </cell>
          <cell r="AQ93">
            <v>20</v>
          </cell>
        </row>
        <row r="94">
          <cell r="D94" t="str">
            <v>737NG</v>
          </cell>
          <cell r="H94" t="b">
            <v>1</v>
          </cell>
          <cell r="I94" t="b">
            <v>1</v>
          </cell>
          <cell r="J94" t="b">
            <v>1</v>
          </cell>
          <cell r="K94" t="b">
            <v>1</v>
          </cell>
          <cell r="L94" t="b">
            <v>1</v>
          </cell>
          <cell r="M94" t="b">
            <v>1</v>
          </cell>
          <cell r="N94" t="b">
            <v>1</v>
          </cell>
          <cell r="O94" t="b">
            <v>1</v>
          </cell>
          <cell r="P94" t="b">
            <v>1</v>
          </cell>
          <cell r="Q94" t="b">
            <v>1</v>
          </cell>
          <cell r="R94" t="b">
            <v>1</v>
          </cell>
          <cell r="S94" t="b">
            <v>1</v>
          </cell>
          <cell r="T94" t="b">
            <v>1</v>
          </cell>
          <cell r="U94" t="b">
            <v>1</v>
          </cell>
          <cell r="V94" t="b">
            <v>1</v>
          </cell>
          <cell r="W94" t="b">
            <v>1</v>
          </cell>
          <cell r="Z94">
            <v>247.5</v>
          </cell>
          <cell r="AA94">
            <v>300</v>
          </cell>
          <cell r="AB94">
            <v>351.5</v>
          </cell>
          <cell r="AC94">
            <v>375</v>
          </cell>
          <cell r="AD94">
            <v>379</v>
          </cell>
          <cell r="AE94">
            <v>402.5</v>
          </cell>
          <cell r="AF94">
            <v>410</v>
          </cell>
          <cell r="AG94">
            <v>381.5</v>
          </cell>
          <cell r="AH94">
            <v>372</v>
          </cell>
          <cell r="AI94" t="b">
            <v>1</v>
          </cell>
          <cell r="AJ94" t="b">
            <v>1</v>
          </cell>
          <cell r="AK94" t="b">
            <v>1</v>
          </cell>
          <cell r="AL94" t="b">
            <v>1</v>
          </cell>
          <cell r="AM94">
            <v>18</v>
          </cell>
          <cell r="AN94">
            <v>18</v>
          </cell>
          <cell r="AO94">
            <v>22</v>
          </cell>
          <cell r="AP94">
            <v>22</v>
          </cell>
        </row>
        <row r="95">
          <cell r="C95" t="str">
            <v>Boeing Deliveries (Adjusted)</v>
          </cell>
          <cell r="D95">
            <v>747</v>
          </cell>
          <cell r="Z95">
            <v>12</v>
          </cell>
          <cell r="AA95">
            <v>14.5</v>
          </cell>
          <cell r="AB95">
            <v>9.5</v>
          </cell>
          <cell r="AC95">
            <v>0</v>
          </cell>
          <cell r="AD95">
            <v>8</v>
          </cell>
          <cell r="AE95">
            <v>9</v>
          </cell>
          <cell r="AF95">
            <v>18</v>
          </cell>
          <cell r="AG95">
            <v>21.5</v>
          </cell>
          <cell r="AH95">
            <v>20.5</v>
          </cell>
          <cell r="AI95">
            <v>20</v>
          </cell>
          <cell r="AJ95">
            <v>26.75</v>
          </cell>
          <cell r="AK95">
            <v>24</v>
          </cell>
          <cell r="AL95">
            <v>21</v>
          </cell>
          <cell r="AM95">
            <v>20</v>
          </cell>
          <cell r="AN95">
            <v>95</v>
          </cell>
          <cell r="AO95">
            <v>95</v>
          </cell>
          <cell r="AP95">
            <v>100</v>
          </cell>
        </row>
        <row r="96">
          <cell r="D96">
            <v>767</v>
          </cell>
          <cell r="Z96">
            <v>9</v>
          </cell>
          <cell r="AA96">
            <v>10.5</v>
          </cell>
          <cell r="AB96">
            <v>12.25</v>
          </cell>
          <cell r="AC96">
            <v>12.25</v>
          </cell>
          <cell r="AD96">
            <v>16.5</v>
          </cell>
          <cell r="AE96">
            <v>18</v>
          </cell>
          <cell r="AF96">
            <v>13.5</v>
          </cell>
          <cell r="AG96">
            <v>12</v>
          </cell>
          <cell r="AH96">
            <v>12</v>
          </cell>
          <cell r="AI96">
            <v>401.25</v>
          </cell>
          <cell r="AJ96">
            <v>432.5</v>
          </cell>
          <cell r="AK96">
            <v>445.25</v>
          </cell>
          <cell r="AL96">
            <v>447</v>
          </cell>
          <cell r="AM96">
            <v>60</v>
          </cell>
          <cell r="AN96">
            <v>84</v>
          </cell>
          <cell r="AO96">
            <v>108</v>
          </cell>
          <cell r="AP96">
            <v>120</v>
          </cell>
        </row>
        <row r="97">
          <cell r="D97">
            <v>777</v>
          </cell>
          <cell r="Z97">
            <v>62.25</v>
          </cell>
          <cell r="AA97">
            <v>66.5</v>
          </cell>
          <cell r="AB97">
            <v>81.25</v>
          </cell>
          <cell r="AC97">
            <v>76</v>
          </cell>
          <cell r="AD97">
            <v>78</v>
          </cell>
          <cell r="AE97">
            <v>81</v>
          </cell>
          <cell r="AF97">
            <v>84</v>
          </cell>
          <cell r="AG97">
            <v>84</v>
          </cell>
          <cell r="AH97">
            <v>84</v>
          </cell>
          <cell r="AI97">
            <v>29.25</v>
          </cell>
          <cell r="AJ97">
            <v>26.75</v>
          </cell>
          <cell r="AK97">
            <v>24</v>
          </cell>
          <cell r="AL97">
            <v>21</v>
          </cell>
          <cell r="AM97">
            <v>20</v>
          </cell>
          <cell r="AN97">
            <v>666</v>
          </cell>
          <cell r="AO97">
            <v>754</v>
          </cell>
          <cell r="AP97">
            <v>746</v>
          </cell>
        </row>
        <row r="98">
          <cell r="D98">
            <v>787</v>
          </cell>
          <cell r="Z98">
            <v>0</v>
          </cell>
          <cell r="AA98">
            <v>0</v>
          </cell>
          <cell r="AB98">
            <v>10</v>
          </cell>
          <cell r="AC98">
            <v>18</v>
          </cell>
          <cell r="AD98">
            <v>50</v>
          </cell>
          <cell r="AE98">
            <v>60</v>
          </cell>
          <cell r="AF98">
            <v>108</v>
          </cell>
          <cell r="AG98">
            <v>120</v>
          </cell>
          <cell r="AH98">
            <v>120</v>
          </cell>
          <cell r="AI98">
            <v>18</v>
          </cell>
          <cell r="AJ98">
            <v>18</v>
          </cell>
          <cell r="AK98">
            <v>13.5</v>
          </cell>
          <cell r="AL98">
            <v>12</v>
          </cell>
        </row>
        <row r="99">
          <cell r="C99" t="str">
            <v>Boeing Deliveries (Adjusted)</v>
          </cell>
          <cell r="D99" t="str">
            <v>Total Boeing</v>
          </cell>
          <cell r="Z99">
            <v>330.75</v>
          </cell>
          <cell r="AA99">
            <v>391.5</v>
          </cell>
          <cell r="AB99">
            <v>464.5</v>
          </cell>
          <cell r="AC99">
            <v>481.25</v>
          </cell>
          <cell r="AD99">
            <v>531.5</v>
          </cell>
          <cell r="AE99">
            <v>570.5</v>
          </cell>
          <cell r="AF99">
            <v>633.5</v>
          </cell>
          <cell r="AG99">
            <v>619</v>
          </cell>
          <cell r="AH99">
            <v>608.5</v>
          </cell>
          <cell r="AI99">
            <v>81.25</v>
          </cell>
          <cell r="AJ99">
            <v>95.25</v>
          </cell>
          <cell r="AK99">
            <v>99</v>
          </cell>
          <cell r="AL99">
            <v>96</v>
          </cell>
        </row>
        <row r="100">
          <cell r="C100" t="str">
            <v>Airbus Deliveries (Calendar)</v>
          </cell>
          <cell r="D100">
            <v>787</v>
          </cell>
          <cell r="AD100">
            <v>0</v>
          </cell>
          <cell r="AE100">
            <v>0</v>
          </cell>
          <cell r="AF100">
            <v>10</v>
          </cell>
          <cell r="AG100">
            <v>18</v>
          </cell>
          <cell r="AH100">
            <v>30</v>
          </cell>
          <cell r="AI100">
            <v>50</v>
          </cell>
          <cell r="AJ100">
            <v>80</v>
          </cell>
          <cell r="AK100">
            <v>100</v>
          </cell>
          <cell r="AL100">
            <v>120</v>
          </cell>
          <cell r="AM100">
            <v>408.75</v>
          </cell>
          <cell r="AN100">
            <v>438.75</v>
          </cell>
          <cell r="AO100">
            <v>490</v>
          </cell>
          <cell r="AP100">
            <v>486.25</v>
          </cell>
        </row>
        <row r="101">
          <cell r="C101" t="str">
            <v>Airbus Deliveries (Calendar)</v>
          </cell>
          <cell r="D101" t="str">
            <v>A320 Family</v>
          </cell>
          <cell r="Z101">
            <v>367</v>
          </cell>
          <cell r="AA101">
            <v>386</v>
          </cell>
          <cell r="AB101">
            <v>402</v>
          </cell>
          <cell r="AC101">
            <v>408</v>
          </cell>
          <cell r="AD101">
            <v>427</v>
          </cell>
          <cell r="AE101">
            <v>450</v>
          </cell>
          <cell r="AF101">
            <v>452</v>
          </cell>
          <cell r="AG101">
            <v>452</v>
          </cell>
          <cell r="AH101">
            <v>458</v>
          </cell>
          <cell r="AI101">
            <v>579.75</v>
          </cell>
          <cell r="AJ101">
            <v>652.5</v>
          </cell>
          <cell r="AK101">
            <v>681.75</v>
          </cell>
          <cell r="AL101">
            <v>696</v>
          </cell>
          <cell r="AM101">
            <v>20</v>
          </cell>
          <cell r="AN101">
            <v>25.5</v>
          </cell>
          <cell r="AO101">
            <v>24</v>
          </cell>
          <cell r="AP101">
            <v>24</v>
          </cell>
          <cell r="AQ101">
            <v>20</v>
          </cell>
        </row>
        <row r="102">
          <cell r="D102" t="str">
            <v>A320 Family</v>
          </cell>
          <cell r="Z102">
            <v>367</v>
          </cell>
          <cell r="AA102">
            <v>386</v>
          </cell>
          <cell r="AB102">
            <v>402</v>
          </cell>
          <cell r="AC102">
            <v>408</v>
          </cell>
          <cell r="AD102">
            <v>427</v>
          </cell>
          <cell r="AE102">
            <v>450</v>
          </cell>
          <cell r="AF102">
            <v>452</v>
          </cell>
          <cell r="AG102">
            <v>452</v>
          </cell>
          <cell r="AH102">
            <v>458</v>
          </cell>
          <cell r="AI102">
            <v>454</v>
          </cell>
          <cell r="AJ102">
            <v>476</v>
          </cell>
          <cell r="AK102">
            <v>476</v>
          </cell>
          <cell r="AL102">
            <v>476</v>
          </cell>
          <cell r="AM102">
            <v>18</v>
          </cell>
          <cell r="AN102">
            <v>18</v>
          </cell>
          <cell r="AO102">
            <v>21</v>
          </cell>
          <cell r="AP102">
            <v>22</v>
          </cell>
        </row>
        <row r="103">
          <cell r="C103" t="str">
            <v>Airbus Deliveries (Calendar)</v>
          </cell>
          <cell r="D103" t="str">
            <v>A330</v>
          </cell>
          <cell r="Z103">
            <v>68</v>
          </cell>
          <cell r="AA103">
            <v>72</v>
          </cell>
          <cell r="AB103">
            <v>76</v>
          </cell>
          <cell r="AC103">
            <v>73</v>
          </cell>
          <cell r="AD103">
            <v>70</v>
          </cell>
          <cell r="AE103">
            <v>68</v>
          </cell>
          <cell r="AF103">
            <v>68</v>
          </cell>
          <cell r="AG103">
            <v>64</v>
          </cell>
          <cell r="AH103">
            <v>62</v>
          </cell>
          <cell r="AI103">
            <v>90</v>
          </cell>
          <cell r="AJ103">
            <v>90</v>
          </cell>
          <cell r="AK103">
            <v>82</v>
          </cell>
          <cell r="AL103">
            <v>74</v>
          </cell>
          <cell r="AM103">
            <v>81</v>
          </cell>
          <cell r="AN103">
            <v>92.25</v>
          </cell>
          <cell r="AO103">
            <v>95</v>
          </cell>
          <cell r="AP103">
            <v>98.75</v>
          </cell>
        </row>
        <row r="104">
          <cell r="D104" t="str">
            <v>A340</v>
          </cell>
          <cell r="Z104">
            <v>11</v>
          </cell>
          <cell r="AA104">
            <v>13</v>
          </cell>
          <cell r="AB104">
            <v>10</v>
          </cell>
          <cell r="AC104">
            <v>10</v>
          </cell>
          <cell r="AD104">
            <v>7</v>
          </cell>
          <cell r="AE104">
            <v>5</v>
          </cell>
          <cell r="AF104">
            <v>4</v>
          </cell>
          <cell r="AG104">
            <v>3</v>
          </cell>
          <cell r="AH104">
            <v>3</v>
          </cell>
          <cell r="AI104">
            <v>454</v>
          </cell>
          <cell r="AJ104">
            <v>476</v>
          </cell>
          <cell r="AK104">
            <v>476</v>
          </cell>
          <cell r="AL104">
            <v>476</v>
          </cell>
          <cell r="AM104">
            <v>46</v>
          </cell>
          <cell r="AN104">
            <v>78</v>
          </cell>
          <cell r="AO104">
            <v>102</v>
          </cell>
          <cell r="AP104">
            <v>117</v>
          </cell>
        </row>
        <row r="105">
          <cell r="D105" t="str">
            <v>A350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10</v>
          </cell>
          <cell r="AG105">
            <v>15</v>
          </cell>
          <cell r="AH105">
            <v>25</v>
          </cell>
          <cell r="AI105">
            <v>90</v>
          </cell>
          <cell r="AJ105">
            <v>90</v>
          </cell>
          <cell r="AK105">
            <v>82</v>
          </cell>
          <cell r="AL105">
            <v>74</v>
          </cell>
          <cell r="AM105">
            <v>579</v>
          </cell>
          <cell r="AN105">
            <v>652.5</v>
          </cell>
          <cell r="AO105">
            <v>732</v>
          </cell>
          <cell r="AP105">
            <v>748</v>
          </cell>
        </row>
        <row r="106">
          <cell r="D106" t="str">
            <v>A380</v>
          </cell>
          <cell r="Z106">
            <v>1</v>
          </cell>
          <cell r="AA106">
            <v>12</v>
          </cell>
          <cell r="AB106">
            <v>10</v>
          </cell>
          <cell r="AC106">
            <v>15</v>
          </cell>
          <cell r="AD106">
            <v>20</v>
          </cell>
          <cell r="AE106">
            <v>25</v>
          </cell>
          <cell r="AF106">
            <v>30</v>
          </cell>
          <cell r="AG106">
            <v>30</v>
          </cell>
          <cell r="AH106">
            <v>30</v>
          </cell>
          <cell r="AI106">
            <v>5</v>
          </cell>
          <cell r="AJ106">
            <v>4</v>
          </cell>
          <cell r="AK106">
            <v>2</v>
          </cell>
          <cell r="AL106">
            <v>2</v>
          </cell>
        </row>
        <row r="107">
          <cell r="C107" t="str">
            <v>Airbus Deliveries (Calendar)</v>
          </cell>
          <cell r="D107" t="str">
            <v>Total Airbus</v>
          </cell>
          <cell r="Z107">
            <v>447</v>
          </cell>
          <cell r="AA107">
            <v>483</v>
          </cell>
          <cell r="AB107">
            <v>498</v>
          </cell>
          <cell r="AC107">
            <v>506</v>
          </cell>
          <cell r="AD107">
            <v>524</v>
          </cell>
          <cell r="AE107">
            <v>548</v>
          </cell>
          <cell r="AF107">
            <v>564</v>
          </cell>
          <cell r="AG107">
            <v>564</v>
          </cell>
          <cell r="AH107">
            <v>578</v>
          </cell>
          <cell r="AI107">
            <v>0</v>
          </cell>
          <cell r="AJ107">
            <v>2</v>
          </cell>
          <cell r="AK107">
            <v>15</v>
          </cell>
          <cell r="AL107">
            <v>25</v>
          </cell>
        </row>
        <row r="108">
          <cell r="C108" t="str">
            <v>Airbus Deliveries (Adjusted)</v>
          </cell>
          <cell r="D108" t="str">
            <v>A380</v>
          </cell>
          <cell r="AD108">
            <v>1</v>
          </cell>
          <cell r="AE108">
            <v>12</v>
          </cell>
          <cell r="AF108">
            <v>10</v>
          </cell>
          <cell r="AG108">
            <v>18</v>
          </cell>
          <cell r="AH108">
            <v>22</v>
          </cell>
          <cell r="AI108">
            <v>25</v>
          </cell>
          <cell r="AJ108">
            <v>30</v>
          </cell>
          <cell r="AK108">
            <v>30</v>
          </cell>
          <cell r="AL108">
            <v>30</v>
          </cell>
          <cell r="AM108">
            <v>454</v>
          </cell>
          <cell r="AN108">
            <v>476</v>
          </cell>
          <cell r="AO108">
            <v>476</v>
          </cell>
          <cell r="AP108">
            <v>476</v>
          </cell>
        </row>
        <row r="109">
          <cell r="C109" t="str">
            <v>Airbus Deliveries (Adjusted)</v>
          </cell>
          <cell r="D109" t="str">
            <v>A320 Family</v>
          </cell>
          <cell r="Z109">
            <v>367</v>
          </cell>
          <cell r="AA109">
            <v>386</v>
          </cell>
          <cell r="AB109">
            <v>402</v>
          </cell>
          <cell r="AC109">
            <v>408</v>
          </cell>
          <cell r="AD109">
            <v>440</v>
          </cell>
          <cell r="AE109">
            <v>450</v>
          </cell>
          <cell r="AF109">
            <v>452</v>
          </cell>
          <cell r="AG109">
            <v>452</v>
          </cell>
          <cell r="AH109">
            <v>458</v>
          </cell>
          <cell r="AI109">
            <v>574</v>
          </cell>
          <cell r="AJ109">
            <v>602</v>
          </cell>
          <cell r="AK109">
            <v>605</v>
          </cell>
          <cell r="AL109">
            <v>607</v>
          </cell>
          <cell r="AM109">
            <v>90</v>
          </cell>
          <cell r="AN109">
            <v>90</v>
          </cell>
          <cell r="AO109">
            <v>90</v>
          </cell>
          <cell r="AP109">
            <v>90</v>
          </cell>
        </row>
        <row r="110">
          <cell r="D110" t="str">
            <v>A320 Family</v>
          </cell>
          <cell r="Z110">
            <v>367</v>
          </cell>
          <cell r="AA110">
            <v>386</v>
          </cell>
          <cell r="AB110">
            <v>402</v>
          </cell>
          <cell r="AC110">
            <v>408</v>
          </cell>
          <cell r="AD110">
            <v>440</v>
          </cell>
          <cell r="AE110">
            <v>450</v>
          </cell>
          <cell r="AF110">
            <v>452</v>
          </cell>
          <cell r="AG110">
            <v>452</v>
          </cell>
          <cell r="AH110">
            <v>458</v>
          </cell>
          <cell r="AI110">
            <v>450</v>
          </cell>
          <cell r="AJ110">
            <v>452</v>
          </cell>
          <cell r="AK110">
            <v>452</v>
          </cell>
          <cell r="AL110">
            <v>458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</row>
        <row r="111">
          <cell r="C111" t="str">
            <v>Airbus Deliveries (Adjusted)</v>
          </cell>
          <cell r="D111" t="str">
            <v>A330</v>
          </cell>
          <cell r="Z111">
            <v>68</v>
          </cell>
          <cell r="AA111">
            <v>72</v>
          </cell>
          <cell r="AB111">
            <v>76</v>
          </cell>
          <cell r="AC111">
            <v>73</v>
          </cell>
          <cell r="AD111">
            <v>70</v>
          </cell>
          <cell r="AE111">
            <v>68</v>
          </cell>
          <cell r="AF111">
            <v>68</v>
          </cell>
          <cell r="AG111">
            <v>64</v>
          </cell>
          <cell r="AH111">
            <v>62</v>
          </cell>
          <cell r="AI111">
            <v>68</v>
          </cell>
          <cell r="AJ111">
            <v>68</v>
          </cell>
          <cell r="AK111">
            <v>64</v>
          </cell>
          <cell r="AL111">
            <v>62</v>
          </cell>
          <cell r="AM111">
            <v>0</v>
          </cell>
          <cell r="AN111">
            <v>0</v>
          </cell>
          <cell r="AO111">
            <v>2</v>
          </cell>
          <cell r="AP111">
            <v>4</v>
          </cell>
        </row>
        <row r="112">
          <cell r="D112" t="str">
            <v>A340</v>
          </cell>
          <cell r="Z112">
            <v>11</v>
          </cell>
          <cell r="AA112">
            <v>13</v>
          </cell>
          <cell r="AB112">
            <v>10</v>
          </cell>
          <cell r="AC112">
            <v>10</v>
          </cell>
          <cell r="AD112">
            <v>7</v>
          </cell>
          <cell r="AE112">
            <v>5</v>
          </cell>
          <cell r="AF112">
            <v>4</v>
          </cell>
          <cell r="AG112">
            <v>3</v>
          </cell>
          <cell r="AH112">
            <v>3</v>
          </cell>
          <cell r="AI112">
            <v>450</v>
          </cell>
          <cell r="AJ112">
            <v>452</v>
          </cell>
          <cell r="AK112">
            <v>452</v>
          </cell>
          <cell r="AL112">
            <v>458</v>
          </cell>
          <cell r="AM112">
            <v>25</v>
          </cell>
          <cell r="AN112">
            <v>30</v>
          </cell>
          <cell r="AO112">
            <v>30</v>
          </cell>
          <cell r="AP112">
            <v>30</v>
          </cell>
        </row>
        <row r="113">
          <cell r="D113" t="str">
            <v>A350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10</v>
          </cell>
          <cell r="AG113">
            <v>15</v>
          </cell>
          <cell r="AH113">
            <v>25</v>
          </cell>
          <cell r="AI113">
            <v>68</v>
          </cell>
          <cell r="AJ113">
            <v>68</v>
          </cell>
          <cell r="AK113">
            <v>64</v>
          </cell>
          <cell r="AL113">
            <v>62</v>
          </cell>
          <cell r="AM113">
            <v>569</v>
          </cell>
          <cell r="AN113">
            <v>596</v>
          </cell>
          <cell r="AO113">
            <v>598</v>
          </cell>
          <cell r="AP113">
            <v>600</v>
          </cell>
        </row>
        <row r="114">
          <cell r="D114" t="str">
            <v>A380</v>
          </cell>
          <cell r="Z114">
            <v>1</v>
          </cell>
          <cell r="AA114">
            <v>12</v>
          </cell>
          <cell r="AB114">
            <v>10</v>
          </cell>
          <cell r="AC114">
            <v>15</v>
          </cell>
          <cell r="AD114">
            <v>20</v>
          </cell>
          <cell r="AE114">
            <v>25</v>
          </cell>
          <cell r="AF114">
            <v>30</v>
          </cell>
          <cell r="AG114">
            <v>30</v>
          </cell>
          <cell r="AH114">
            <v>30</v>
          </cell>
          <cell r="AI114">
            <v>5</v>
          </cell>
          <cell r="AJ114">
            <v>4</v>
          </cell>
          <cell r="AK114">
            <v>3</v>
          </cell>
          <cell r="AL114">
            <v>3</v>
          </cell>
        </row>
        <row r="115">
          <cell r="C115" t="str">
            <v>Airbus Deliveries (Adjusted)</v>
          </cell>
          <cell r="D115" t="str">
            <v>Total Airbus</v>
          </cell>
          <cell r="Z115">
            <v>447</v>
          </cell>
          <cell r="AA115">
            <v>483</v>
          </cell>
          <cell r="AB115">
            <v>498</v>
          </cell>
          <cell r="AC115">
            <v>506</v>
          </cell>
          <cell r="AD115">
            <v>537</v>
          </cell>
          <cell r="AE115">
            <v>548</v>
          </cell>
          <cell r="AF115">
            <v>564</v>
          </cell>
          <cell r="AG115">
            <v>564</v>
          </cell>
          <cell r="AH115">
            <v>578</v>
          </cell>
          <cell r="AI115">
            <v>0</v>
          </cell>
          <cell r="AJ115">
            <v>10</v>
          </cell>
          <cell r="AK115">
            <v>15</v>
          </cell>
          <cell r="AL115">
            <v>25</v>
          </cell>
        </row>
        <row r="116">
          <cell r="C116" t="str">
            <v>Boeing $ Content:</v>
          </cell>
          <cell r="D116" t="str">
            <v>A380</v>
          </cell>
          <cell r="AD116">
            <v>1</v>
          </cell>
          <cell r="AE116">
            <v>12</v>
          </cell>
          <cell r="AF116">
            <v>10</v>
          </cell>
          <cell r="AG116">
            <v>15</v>
          </cell>
          <cell r="AH116">
            <v>20</v>
          </cell>
          <cell r="AI116">
            <v>25</v>
          </cell>
          <cell r="AJ116">
            <v>30</v>
          </cell>
          <cell r="AK116">
            <v>30</v>
          </cell>
          <cell r="AL116">
            <v>30</v>
          </cell>
          <cell r="AM116">
            <v>443</v>
          </cell>
          <cell r="AN116">
            <v>470.5</v>
          </cell>
          <cell r="AO116">
            <v>476</v>
          </cell>
          <cell r="AP116">
            <v>476</v>
          </cell>
        </row>
        <row r="117">
          <cell r="C117" t="str">
            <v>Boeing $ Content:</v>
          </cell>
          <cell r="D117" t="str">
            <v>737NG</v>
          </cell>
          <cell r="F117">
            <v>0.47499999999999998</v>
          </cell>
          <cell r="Z117">
            <v>117.5625</v>
          </cell>
          <cell r="AA117">
            <v>142.5</v>
          </cell>
          <cell r="AB117">
            <v>166.96250000000001</v>
          </cell>
          <cell r="AC117">
            <v>178.125</v>
          </cell>
          <cell r="AD117">
            <v>180.02500000000001</v>
          </cell>
          <cell r="AE117">
            <v>191.1875</v>
          </cell>
          <cell r="AF117">
            <v>194.75</v>
          </cell>
          <cell r="AG117">
            <v>181.21250000000001</v>
          </cell>
          <cell r="AH117">
            <v>176.7</v>
          </cell>
          <cell r="AI117">
            <v>548</v>
          </cell>
          <cell r="AJ117">
            <v>564</v>
          </cell>
          <cell r="AK117">
            <v>564</v>
          </cell>
          <cell r="AL117">
            <v>578</v>
          </cell>
          <cell r="AM117">
            <v>88</v>
          </cell>
          <cell r="AN117">
            <v>90</v>
          </cell>
          <cell r="AO117">
            <v>90</v>
          </cell>
          <cell r="AP117">
            <v>90</v>
          </cell>
        </row>
        <row r="118">
          <cell r="C118">
            <v>717</v>
          </cell>
          <cell r="D118" t="str">
            <v>737NG</v>
          </cell>
          <cell r="F118">
            <v>0.47499999999999998</v>
          </cell>
          <cell r="Z118">
            <v>117.5625</v>
          </cell>
          <cell r="AA118">
            <v>142.5</v>
          </cell>
          <cell r="AB118">
            <v>166.96250000000001</v>
          </cell>
          <cell r="AC118">
            <v>178.125</v>
          </cell>
          <cell r="AD118">
            <v>180.02500000000001</v>
          </cell>
          <cell r="AE118">
            <v>191.1875</v>
          </cell>
          <cell r="AF118">
            <v>194.75</v>
          </cell>
          <cell r="AG118">
            <v>181.21250000000001</v>
          </cell>
          <cell r="AH118">
            <v>176.7</v>
          </cell>
          <cell r="AI118">
            <v>190.59375</v>
          </cell>
          <cell r="AJ118">
            <v>205.4375</v>
          </cell>
          <cell r="AK118">
            <v>211.49374999999998</v>
          </cell>
          <cell r="AL118">
            <v>212.32499999999999</v>
          </cell>
          <cell r="AM118">
            <v>1.75</v>
          </cell>
          <cell r="AN118">
            <v>0</v>
          </cell>
          <cell r="AO118">
            <v>0</v>
          </cell>
          <cell r="AP118">
            <v>0</v>
          </cell>
        </row>
        <row r="119">
          <cell r="C119" t="str">
            <v>Boeing $ Content:</v>
          </cell>
          <cell r="D119">
            <v>747</v>
          </cell>
          <cell r="F119">
            <v>0.97499999999999998</v>
          </cell>
          <cell r="Z119">
            <v>11.7</v>
          </cell>
          <cell r="AA119">
            <v>14.137499999999999</v>
          </cell>
          <cell r="AB119">
            <v>9.2624999999999993</v>
          </cell>
          <cell r="AC119">
            <v>0</v>
          </cell>
          <cell r="AD119">
            <v>7.8</v>
          </cell>
          <cell r="AE119">
            <v>8.7750000000000004</v>
          </cell>
          <cell r="AF119">
            <v>17.55</v>
          </cell>
          <cell r="AG119">
            <v>20.962499999999999</v>
          </cell>
          <cell r="AH119">
            <v>19.987500000000001</v>
          </cell>
          <cell r="AI119">
            <v>28.518750000000001</v>
          </cell>
          <cell r="AJ119">
            <v>26.081250000000001</v>
          </cell>
          <cell r="AK119">
            <v>23.4</v>
          </cell>
          <cell r="AL119">
            <v>20.474999999999998</v>
          </cell>
          <cell r="AM119">
            <v>0</v>
          </cell>
          <cell r="AN119">
            <v>0</v>
          </cell>
          <cell r="AO119">
            <v>1.5</v>
          </cell>
          <cell r="AP119">
            <v>3.5</v>
          </cell>
        </row>
        <row r="120">
          <cell r="D120">
            <v>767</v>
          </cell>
          <cell r="F120">
            <v>0.72</v>
          </cell>
          <cell r="Z120">
            <v>6.4799999999999995</v>
          </cell>
          <cell r="AA120">
            <v>7.56</v>
          </cell>
          <cell r="AB120">
            <v>8.82</v>
          </cell>
          <cell r="AC120">
            <v>8.82</v>
          </cell>
          <cell r="AD120">
            <v>11.879999999999999</v>
          </cell>
          <cell r="AE120">
            <v>12.959999999999999</v>
          </cell>
          <cell r="AF120">
            <v>9.7199999999999989</v>
          </cell>
          <cell r="AG120">
            <v>8.64</v>
          </cell>
          <cell r="AH120">
            <v>8.64</v>
          </cell>
          <cell r="AI120">
            <v>190.59375</v>
          </cell>
          <cell r="AJ120">
            <v>205.4375</v>
          </cell>
          <cell r="AK120">
            <v>211.49374999999998</v>
          </cell>
          <cell r="AL120">
            <v>212.32499999999999</v>
          </cell>
          <cell r="AM120">
            <v>24.25</v>
          </cell>
          <cell r="AN120">
            <v>28.75</v>
          </cell>
          <cell r="AO120">
            <v>30</v>
          </cell>
          <cell r="AP120">
            <v>30</v>
          </cell>
        </row>
        <row r="121">
          <cell r="D121">
            <v>777</v>
          </cell>
          <cell r="F121">
            <v>0.7</v>
          </cell>
          <cell r="Z121">
            <v>43.574999999999996</v>
          </cell>
          <cell r="AA121">
            <v>46.55</v>
          </cell>
          <cell r="AB121">
            <v>56.874999999999993</v>
          </cell>
          <cell r="AC121">
            <v>53.199999999999996</v>
          </cell>
          <cell r="AD121">
            <v>54.599999999999994</v>
          </cell>
          <cell r="AE121">
            <v>56.699999999999996</v>
          </cell>
          <cell r="AF121">
            <v>58.8</v>
          </cell>
          <cell r="AG121">
            <v>58.8</v>
          </cell>
          <cell r="AH121">
            <v>58.8</v>
          </cell>
          <cell r="AI121">
            <v>28.518750000000001</v>
          </cell>
          <cell r="AJ121">
            <v>26.081250000000001</v>
          </cell>
          <cell r="AK121">
            <v>23.4</v>
          </cell>
          <cell r="AL121">
            <v>20.474999999999998</v>
          </cell>
          <cell r="AM121">
            <v>557</v>
          </cell>
          <cell r="AN121">
            <v>589.25</v>
          </cell>
          <cell r="AO121">
            <v>597.5</v>
          </cell>
          <cell r="AP121">
            <v>599.5</v>
          </cell>
        </row>
        <row r="122">
          <cell r="D122">
            <v>787</v>
          </cell>
          <cell r="F122">
            <v>1</v>
          </cell>
          <cell r="Z122">
            <v>0</v>
          </cell>
          <cell r="AA122">
            <v>0</v>
          </cell>
          <cell r="AB122">
            <v>10</v>
          </cell>
          <cell r="AC122">
            <v>18</v>
          </cell>
          <cell r="AD122">
            <v>50</v>
          </cell>
          <cell r="AE122">
            <v>60</v>
          </cell>
          <cell r="AF122">
            <v>108</v>
          </cell>
          <cell r="AG122">
            <v>120</v>
          </cell>
          <cell r="AH122">
            <v>120</v>
          </cell>
          <cell r="AI122">
            <v>12.959999999999999</v>
          </cell>
          <cell r="AJ122">
            <v>12.959999999999999</v>
          </cell>
          <cell r="AK122">
            <v>9.7199999999999989</v>
          </cell>
          <cell r="AL122">
            <v>8.64</v>
          </cell>
        </row>
        <row r="123">
          <cell r="C123" t="str">
            <v>Boeing $ Content:</v>
          </cell>
          <cell r="D123" t="str">
            <v>Total Boeing</v>
          </cell>
          <cell r="F123">
            <v>0.7</v>
          </cell>
          <cell r="Z123">
            <v>179.31749999999997</v>
          </cell>
          <cell r="AA123">
            <v>210.7475</v>
          </cell>
          <cell r="AB123">
            <v>251.92</v>
          </cell>
          <cell r="AC123">
            <v>258.14499999999998</v>
          </cell>
          <cell r="AD123">
            <v>304.30500000000001</v>
          </cell>
          <cell r="AE123">
            <v>329.6225</v>
          </cell>
          <cell r="AF123">
            <v>388.82</v>
          </cell>
          <cell r="AG123">
            <v>389.61500000000001</v>
          </cell>
          <cell r="AH123">
            <v>384.1275</v>
          </cell>
          <cell r="AI123">
            <v>56.874999999999993</v>
          </cell>
          <cell r="AJ123">
            <v>66.674999999999997</v>
          </cell>
          <cell r="AK123">
            <v>69.3</v>
          </cell>
          <cell r="AL123">
            <v>67.199999999999989</v>
          </cell>
        </row>
        <row r="124">
          <cell r="C124" t="str">
            <v>Airbus $ Content</v>
          </cell>
          <cell r="D124">
            <v>787</v>
          </cell>
          <cell r="F124">
            <v>1</v>
          </cell>
          <cell r="AD124">
            <v>0</v>
          </cell>
          <cell r="AE124">
            <v>0</v>
          </cell>
          <cell r="AF124">
            <v>10</v>
          </cell>
          <cell r="AG124">
            <v>18</v>
          </cell>
          <cell r="AH124">
            <v>30</v>
          </cell>
          <cell r="AI124">
            <v>50</v>
          </cell>
          <cell r="AJ124">
            <v>80</v>
          </cell>
          <cell r="AK124">
            <v>100</v>
          </cell>
          <cell r="AL124">
            <v>120</v>
          </cell>
          <cell r="AM124">
            <v>194.15625</v>
          </cell>
          <cell r="AN124">
            <v>208.40625</v>
          </cell>
          <cell r="AO124">
            <v>232.75</v>
          </cell>
          <cell r="AP124">
            <v>230.96875</v>
          </cell>
        </row>
        <row r="125">
          <cell r="C125" t="str">
            <v>Airbus $ Content</v>
          </cell>
          <cell r="D125" t="str">
            <v>A320 Family</v>
          </cell>
          <cell r="F125">
            <v>0.32500000000000001</v>
          </cell>
          <cell r="Z125">
            <v>119.27500000000001</v>
          </cell>
          <cell r="AA125">
            <v>125.45</v>
          </cell>
          <cell r="AB125">
            <v>130.65</v>
          </cell>
          <cell r="AC125">
            <v>132.6</v>
          </cell>
          <cell r="AD125">
            <v>143</v>
          </cell>
          <cell r="AE125">
            <v>146.25</v>
          </cell>
          <cell r="AF125">
            <v>146.9</v>
          </cell>
          <cell r="AG125">
            <v>146.9</v>
          </cell>
          <cell r="AH125">
            <v>148.85</v>
          </cell>
          <cell r="AI125">
            <v>338.94749999999999</v>
          </cell>
          <cell r="AJ125">
            <v>391.15375</v>
          </cell>
          <cell r="AK125">
            <v>413.91374999999999</v>
          </cell>
          <cell r="AL125">
            <v>428.64</v>
          </cell>
          <cell r="AM125">
            <v>24.618749999999999</v>
          </cell>
          <cell r="AN125">
            <v>24.862500000000001</v>
          </cell>
          <cell r="AO125">
            <v>23.4</v>
          </cell>
          <cell r="AP125">
            <v>23.4</v>
          </cell>
        </row>
        <row r="126">
          <cell r="D126" t="str">
            <v>A320 Family</v>
          </cell>
          <cell r="F126">
            <v>0.32500000000000001</v>
          </cell>
          <cell r="Z126">
            <v>119.27500000000001</v>
          </cell>
          <cell r="AA126">
            <v>125.45</v>
          </cell>
          <cell r="AB126">
            <v>130.65</v>
          </cell>
          <cell r="AC126">
            <v>132.6</v>
          </cell>
          <cell r="AD126">
            <v>143</v>
          </cell>
          <cell r="AE126">
            <v>146.25</v>
          </cell>
          <cell r="AF126">
            <v>146.9</v>
          </cell>
          <cell r="AG126">
            <v>146.9</v>
          </cell>
          <cell r="AH126">
            <v>148.85</v>
          </cell>
          <cell r="AI126">
            <v>146.25</v>
          </cell>
          <cell r="AJ126">
            <v>146.9</v>
          </cell>
          <cell r="AK126">
            <v>146.9</v>
          </cell>
          <cell r="AL126">
            <v>148.85</v>
          </cell>
          <cell r="AM126">
            <v>12.959999999999999</v>
          </cell>
          <cell r="AN126">
            <v>12.959999999999999</v>
          </cell>
          <cell r="AO126">
            <v>15.12</v>
          </cell>
          <cell r="AP126">
            <v>15.84</v>
          </cell>
        </row>
        <row r="127">
          <cell r="C127" t="str">
            <v>Airbus $ Content</v>
          </cell>
          <cell r="D127" t="str">
            <v>A330</v>
          </cell>
          <cell r="F127">
            <v>0.32500000000000001</v>
          </cell>
          <cell r="Z127">
            <v>22.1</v>
          </cell>
          <cell r="AA127">
            <v>23.400000000000002</v>
          </cell>
          <cell r="AB127">
            <v>24.7</v>
          </cell>
          <cell r="AC127">
            <v>23.725000000000001</v>
          </cell>
          <cell r="AD127">
            <v>22.75</v>
          </cell>
          <cell r="AE127">
            <v>22.1</v>
          </cell>
          <cell r="AF127">
            <v>22.1</v>
          </cell>
          <cell r="AG127">
            <v>20.8</v>
          </cell>
          <cell r="AH127">
            <v>20.150000000000002</v>
          </cell>
          <cell r="AI127">
            <v>22.1</v>
          </cell>
          <cell r="AJ127">
            <v>22.1</v>
          </cell>
          <cell r="AK127">
            <v>20.8</v>
          </cell>
          <cell r="AL127">
            <v>20.150000000000002</v>
          </cell>
          <cell r="AM127">
            <v>56.699999999999996</v>
          </cell>
          <cell r="AN127">
            <v>64.575000000000003</v>
          </cell>
          <cell r="AO127">
            <v>66.5</v>
          </cell>
          <cell r="AP127">
            <v>69.125</v>
          </cell>
        </row>
        <row r="128">
          <cell r="D128" t="str">
            <v>A340</v>
          </cell>
          <cell r="F128">
            <v>0.32500000000000001</v>
          </cell>
          <cell r="Z128">
            <v>3.5750000000000002</v>
          </cell>
          <cell r="AA128">
            <v>4.2250000000000005</v>
          </cell>
          <cell r="AB128">
            <v>3.25</v>
          </cell>
          <cell r="AC128">
            <v>3.25</v>
          </cell>
          <cell r="AD128">
            <v>2.2749999999999999</v>
          </cell>
          <cell r="AE128">
            <v>1.625</v>
          </cell>
          <cell r="AF128">
            <v>1.3</v>
          </cell>
          <cell r="AG128">
            <v>0.97500000000000009</v>
          </cell>
          <cell r="AH128">
            <v>0.97500000000000009</v>
          </cell>
          <cell r="AI128">
            <v>146.25</v>
          </cell>
          <cell r="AJ128">
            <v>146.9</v>
          </cell>
          <cell r="AK128">
            <v>146.9</v>
          </cell>
          <cell r="AL128">
            <v>148.85</v>
          </cell>
          <cell r="AM128">
            <v>46</v>
          </cell>
          <cell r="AN128">
            <v>78</v>
          </cell>
          <cell r="AO128">
            <v>102</v>
          </cell>
          <cell r="AP128">
            <v>117</v>
          </cell>
        </row>
        <row r="129">
          <cell r="D129" t="str">
            <v>A350</v>
          </cell>
          <cell r="F129">
            <v>0.32500000000000001</v>
          </cell>
          <cell r="Z129">
            <v>0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3.25</v>
          </cell>
          <cell r="AG129">
            <v>4.875</v>
          </cell>
          <cell r="AH129">
            <v>8.125</v>
          </cell>
          <cell r="AI129">
            <v>22.1</v>
          </cell>
          <cell r="AJ129">
            <v>22.1</v>
          </cell>
          <cell r="AK129">
            <v>20.8</v>
          </cell>
          <cell r="AL129">
            <v>20.150000000000002</v>
          </cell>
          <cell r="AM129">
            <v>334.435</v>
          </cell>
          <cell r="AN129">
            <v>388.80375000000004</v>
          </cell>
          <cell r="AO129">
            <v>439.77</v>
          </cell>
          <cell r="AP129">
            <v>456.33375000000001</v>
          </cell>
        </row>
        <row r="130">
          <cell r="D130" t="str">
            <v>A380</v>
          </cell>
          <cell r="F130">
            <v>0.32500000000000001</v>
          </cell>
          <cell r="Z130">
            <v>0.32500000000000001</v>
          </cell>
          <cell r="AA130">
            <v>3.9000000000000004</v>
          </cell>
          <cell r="AB130">
            <v>3.25</v>
          </cell>
          <cell r="AC130">
            <v>4.875</v>
          </cell>
          <cell r="AD130">
            <v>6.5</v>
          </cell>
          <cell r="AE130">
            <v>8.125</v>
          </cell>
          <cell r="AF130">
            <v>9.75</v>
          </cell>
          <cell r="AG130">
            <v>9.75</v>
          </cell>
          <cell r="AH130">
            <v>9.75</v>
          </cell>
          <cell r="AI130">
            <v>1.625</v>
          </cell>
          <cell r="AJ130">
            <v>1.3</v>
          </cell>
          <cell r="AK130">
            <v>0.97500000000000009</v>
          </cell>
          <cell r="AL130">
            <v>0.97500000000000009</v>
          </cell>
        </row>
        <row r="131">
          <cell r="C131" t="str">
            <v>Airbus $ Content</v>
          </cell>
          <cell r="D131" t="str">
            <v>Total Airbus</v>
          </cell>
          <cell r="F131">
            <v>0.32500000000000001</v>
          </cell>
          <cell r="Z131">
            <v>145.27499999999998</v>
          </cell>
          <cell r="AA131">
            <v>156.97499999999999</v>
          </cell>
          <cell r="AB131">
            <v>161.85</v>
          </cell>
          <cell r="AC131">
            <v>164.45</v>
          </cell>
          <cell r="AD131">
            <v>174.52500000000001</v>
          </cell>
          <cell r="AE131">
            <v>178.1</v>
          </cell>
          <cell r="AF131">
            <v>183.3</v>
          </cell>
          <cell r="AG131">
            <v>183.3</v>
          </cell>
          <cell r="AH131">
            <v>187.85</v>
          </cell>
          <cell r="AI131">
            <v>0</v>
          </cell>
          <cell r="AJ131">
            <v>3.25</v>
          </cell>
          <cell r="AK131">
            <v>4.875</v>
          </cell>
          <cell r="AL131">
            <v>8.125</v>
          </cell>
        </row>
        <row r="132">
          <cell r="C132" t="str">
            <v>Total Boeing &amp; Airbus</v>
          </cell>
          <cell r="D132" t="str">
            <v>A380</v>
          </cell>
          <cell r="F132">
            <v>0.32500000000000001</v>
          </cell>
          <cell r="Z132">
            <v>324.59249999999997</v>
          </cell>
          <cell r="AA132">
            <v>367.72249999999997</v>
          </cell>
          <cell r="AB132">
            <v>413.77</v>
          </cell>
          <cell r="AC132">
            <v>422.59499999999997</v>
          </cell>
          <cell r="AD132">
            <v>478.83000000000004</v>
          </cell>
          <cell r="AE132">
            <v>507.72249999999997</v>
          </cell>
          <cell r="AF132">
            <v>572.12</v>
          </cell>
          <cell r="AG132">
            <v>572.91499999999996</v>
          </cell>
          <cell r="AH132">
            <v>571.97749999999996</v>
          </cell>
          <cell r="AI132">
            <v>8.125</v>
          </cell>
          <cell r="AJ132">
            <v>9.75</v>
          </cell>
          <cell r="AK132">
            <v>9.75</v>
          </cell>
          <cell r="AL132">
            <v>9.75</v>
          </cell>
          <cell r="AM132">
            <v>143.97499999999999</v>
          </cell>
          <cell r="AN132">
            <v>152.91249999999999</v>
          </cell>
          <cell r="AO132">
            <v>154.70000000000002</v>
          </cell>
          <cell r="AP132">
            <v>154.70000000000002</v>
          </cell>
        </row>
        <row r="133">
          <cell r="C133" t="str">
            <v>Total Boeing &amp; Airbus</v>
          </cell>
          <cell r="D133" t="str">
            <v>Total Airbus</v>
          </cell>
          <cell r="F133">
            <v>0.32500000000000001</v>
          </cell>
          <cell r="Z133">
            <v>324.59249999999997</v>
          </cell>
          <cell r="AA133">
            <v>367.72249999999997</v>
          </cell>
          <cell r="AB133">
            <v>413.77</v>
          </cell>
          <cell r="AC133">
            <v>422.59499999999997</v>
          </cell>
          <cell r="AD133">
            <v>478.83000000000004</v>
          </cell>
          <cell r="AE133">
            <v>507.72249999999997</v>
          </cell>
          <cell r="AF133">
            <v>572.12</v>
          </cell>
          <cell r="AG133">
            <v>572.91499999999996</v>
          </cell>
          <cell r="AH133">
            <v>571.97749999999996</v>
          </cell>
          <cell r="AI133">
            <v>178.1</v>
          </cell>
          <cell r="AJ133">
            <v>183.3</v>
          </cell>
          <cell r="AK133">
            <v>183.3</v>
          </cell>
          <cell r="AL133">
            <v>187.85</v>
          </cell>
          <cell r="AM133">
            <v>28.6</v>
          </cell>
          <cell r="AN133">
            <v>29.25</v>
          </cell>
          <cell r="AO133">
            <v>29.25</v>
          </cell>
          <cell r="AP133">
            <v>29.25</v>
          </cell>
        </row>
        <row r="134">
          <cell r="C134" t="str">
            <v>Y/Y Growth Rate</v>
          </cell>
          <cell r="D134" t="str">
            <v>A340</v>
          </cell>
          <cell r="F134">
            <v>0.32500000000000001</v>
          </cell>
          <cell r="AA134">
            <v>0.13287429623296898</v>
          </cell>
          <cell r="AB134">
            <v>0.12522350413695116</v>
          </cell>
          <cell r="AC134">
            <v>2.1328274161974026E-2</v>
          </cell>
          <cell r="AD134">
            <v>0.13307067050012433</v>
          </cell>
          <cell r="AE134">
            <v>6.0339786563080589E-2</v>
          </cell>
          <cell r="AF134">
            <v>0.12683601770652286</v>
          </cell>
          <cell r="AG134">
            <v>1.3895686219673742E-3</v>
          </cell>
          <cell r="AH134">
            <v>-1.63636839670811E-3</v>
          </cell>
          <cell r="AI134">
            <v>0.13127428966822463</v>
          </cell>
          <cell r="AJ134">
            <v>0.11102703329964858</v>
          </cell>
          <cell r="AK134">
            <v>3.9620247931186681E-2</v>
          </cell>
          <cell r="AL134">
            <v>3.2276969510497633E-2</v>
          </cell>
          <cell r="AM134">
            <v>0.56874999999999998</v>
          </cell>
          <cell r="AN134">
            <v>0</v>
          </cell>
          <cell r="AO134">
            <v>0</v>
          </cell>
          <cell r="AP134">
            <v>0</v>
          </cell>
        </row>
        <row r="135">
          <cell r="C135" t="str">
            <v>Model</v>
          </cell>
          <cell r="D135" t="str">
            <v>A350</v>
          </cell>
          <cell r="F135">
            <v>0.32500000000000001</v>
          </cell>
          <cell r="AB135">
            <v>365</v>
          </cell>
          <cell r="AC135">
            <v>440</v>
          </cell>
          <cell r="AD135">
            <v>497.19999999999993</v>
          </cell>
          <cell r="AE135">
            <v>537.78775510204082</v>
          </cell>
          <cell r="AF135">
            <v>588.52244897959179</v>
          </cell>
          <cell r="AG135">
            <v>618.96326530612237</v>
          </cell>
          <cell r="AH135">
            <v>649.40408163265306</v>
          </cell>
          <cell r="AI135">
            <v>517.04750000000001</v>
          </cell>
          <cell r="AJ135">
            <v>574.45375000000001</v>
          </cell>
          <cell r="AK135">
            <v>597.21375</v>
          </cell>
          <cell r="AL135">
            <v>616.49</v>
          </cell>
          <cell r="AM135">
            <v>0</v>
          </cell>
          <cell r="AN135">
            <v>0</v>
          </cell>
          <cell r="AO135">
            <v>0.48750000000000004</v>
          </cell>
          <cell r="AP135">
            <v>1.1375</v>
          </cell>
        </row>
        <row r="136">
          <cell r="C136" t="str">
            <v>Model</v>
          </cell>
          <cell r="D136" t="str">
            <v>A380</v>
          </cell>
          <cell r="F136">
            <v>0.32500000000000001</v>
          </cell>
          <cell r="AB136">
            <v>365</v>
          </cell>
          <cell r="AC136">
            <v>440</v>
          </cell>
          <cell r="AD136">
            <v>497.19999999999993</v>
          </cell>
          <cell r="AE136">
            <v>546.91999999999996</v>
          </cell>
          <cell r="AF136">
            <v>601.61199999999997</v>
          </cell>
          <cell r="AG136">
            <v>632.72986206896553</v>
          </cell>
          <cell r="AH136">
            <v>663.8477241379311</v>
          </cell>
          <cell r="AI136">
            <v>0.13127428966822463</v>
          </cell>
          <cell r="AJ136">
            <v>0.11102703329964858</v>
          </cell>
          <cell r="AK136">
            <v>3.9620247931186681E-2</v>
          </cell>
          <cell r="AL136">
            <v>3.2276969510497633E-2</v>
          </cell>
          <cell r="AM136">
            <v>7.8812500000000005</v>
          </cell>
          <cell r="AN136">
            <v>9.34375</v>
          </cell>
          <cell r="AO136">
            <v>9.75</v>
          </cell>
          <cell r="AP136">
            <v>9.75</v>
          </cell>
        </row>
        <row r="137">
          <cell r="C137" t="str">
            <v>Y/Y Growth Rate</v>
          </cell>
          <cell r="D137" t="str">
            <v>Total Airbus</v>
          </cell>
          <cell r="AB137">
            <v>48.769999999999982</v>
          </cell>
          <cell r="AC137">
            <v>0.20547945205479445</v>
          </cell>
          <cell r="AD137">
            <v>0.12999999999999989</v>
          </cell>
          <cell r="AE137">
            <v>0.10000000000000009</v>
          </cell>
          <cell r="AF137">
            <v>0.10000000000000009</v>
          </cell>
          <cell r="AG137">
            <v>5.1724137931034475E-2</v>
          </cell>
          <cell r="AH137">
            <v>4.9180327868852514E-2</v>
          </cell>
          <cell r="AI137">
            <v>0.14000000000000012</v>
          </cell>
          <cell r="AJ137">
            <v>0.14999999999999991</v>
          </cell>
          <cell r="AK137">
            <v>5.1724137931034475E-2</v>
          </cell>
          <cell r="AL137">
            <v>4.9180327868852514E-2</v>
          </cell>
          <cell r="AM137">
            <v>181.02499999999998</v>
          </cell>
          <cell r="AN137">
            <v>191.50624999999999</v>
          </cell>
          <cell r="AO137">
            <v>194.18750000000003</v>
          </cell>
          <cell r="AP137">
            <v>194.83750000000001</v>
          </cell>
        </row>
        <row r="138">
          <cell r="C138" t="str">
            <v>Difference</v>
          </cell>
          <cell r="AB138">
            <v>48.769999999999982</v>
          </cell>
          <cell r="AC138">
            <v>-17.40500000000003</v>
          </cell>
          <cell r="AD138">
            <v>-18.369999999999891</v>
          </cell>
          <cell r="AE138">
            <v>-39.197499999999991</v>
          </cell>
          <cell r="AF138">
            <v>-29.491999999999962</v>
          </cell>
          <cell r="AG138">
            <v>-59.814862068965567</v>
          </cell>
          <cell r="AH138">
            <v>-91.870224137931132</v>
          </cell>
          <cell r="AI138">
            <v>580.53359999999998</v>
          </cell>
          <cell r="AJ138">
            <v>667.61363999999992</v>
          </cell>
          <cell r="AK138">
            <v>702.14537999999993</v>
          </cell>
          <cell r="AL138">
            <v>736.67711999999995</v>
          </cell>
        </row>
        <row r="139">
          <cell r="C139" t="str">
            <v>Y/Y Growth Rate</v>
          </cell>
          <cell r="AB139">
            <v>0.13361643835616432</v>
          </cell>
          <cell r="AC139">
            <v>-3.9556818181818248E-2</v>
          </cell>
          <cell r="AD139">
            <v>-3.6946902654867039E-2</v>
          </cell>
          <cell r="AE139">
            <v>-7.1669531192861832E-2</v>
          </cell>
          <cell r="AF139">
            <v>-4.9021628557940941E-2</v>
          </cell>
          <cell r="AG139">
            <v>-9.4534596286283606E-2</v>
          </cell>
          <cell r="AH139">
            <v>-0.13839050854205048</v>
          </cell>
          <cell r="AI139">
            <v>0.14000000000000012</v>
          </cell>
          <cell r="AJ139">
            <v>0.14999999999999991</v>
          </cell>
          <cell r="AK139">
            <v>5.1724137931034475E-2</v>
          </cell>
          <cell r="AL139">
            <v>4.9180327868852514E-2</v>
          </cell>
          <cell r="AM139">
            <v>515.46</v>
          </cell>
          <cell r="AN139">
            <v>580.31000000000006</v>
          </cell>
          <cell r="AO139">
            <v>633.95749999999998</v>
          </cell>
          <cell r="AP139">
            <v>651.17124999999999</v>
          </cell>
        </row>
        <row r="140">
          <cell r="C140" t="str">
            <v>Difference</v>
          </cell>
          <cell r="AE140">
            <v>0.13287429623296898</v>
          </cell>
          <cell r="AF140">
            <v>48.769999999999982</v>
          </cell>
          <cell r="AG140">
            <v>-15.355000000000018</v>
          </cell>
          <cell r="AH140">
            <v>-52.191249999999911</v>
          </cell>
          <cell r="AI140">
            <v>-63.486099999999965</v>
          </cell>
          <cell r="AJ140">
            <v>-93.159889999999905</v>
          </cell>
          <cell r="AK140">
            <v>-104.93162999999993</v>
          </cell>
          <cell r="AL140">
            <v>-120.18711999999994</v>
          </cell>
          <cell r="AM140">
            <v>3.3247389745401756E-2</v>
          </cell>
          <cell r="AN140">
            <v>0.12580995615566692</v>
          </cell>
          <cell r="AO140">
            <v>9.2446278713101515E-2</v>
          </cell>
          <cell r="AP140">
            <v>2.7152845419448512E-2</v>
          </cell>
        </row>
        <row r="141">
          <cell r="AF141">
            <v>0.13361643835616432</v>
          </cell>
          <cell r="AG141">
            <v>-3.4977220956719859E-2</v>
          </cell>
          <cell r="AH141">
            <v>-0.10248851229282836</v>
          </cell>
          <cell r="AI141">
            <v>-0.10935818357455962</v>
          </cell>
          <cell r="AJ141">
            <v>-0.1395416217080285</v>
          </cell>
          <cell r="AK141">
            <v>-0.14944430738830744</v>
          </cell>
          <cell r="AL141">
            <v>-0.16314762157945117</v>
          </cell>
        </row>
        <row r="142">
          <cell r="C142" t="str">
            <v>Model</v>
          </cell>
          <cell r="AF142">
            <v>365</v>
          </cell>
          <cell r="AG142">
            <v>439</v>
          </cell>
          <cell r="AH142">
            <v>509.23999999999995</v>
          </cell>
          <cell r="AI142">
            <v>580.53359999999998</v>
          </cell>
          <cell r="AJ142">
            <v>667.61363999999992</v>
          </cell>
          <cell r="AK142">
            <v>702.14537999999993</v>
          </cell>
          <cell r="AL142">
            <v>736.67711999999995</v>
          </cell>
          <cell r="AM142">
            <v>568.86</v>
          </cell>
          <cell r="AN142">
            <v>654.18899999999996</v>
          </cell>
          <cell r="AO142">
            <v>688.02636206896545</v>
          </cell>
          <cell r="AP142">
            <v>721.86372413793106</v>
          </cell>
        </row>
        <row r="143">
          <cell r="C143" t="str">
            <v>Y/Y Growth Rate</v>
          </cell>
          <cell r="AG143">
            <v>0.20273972602739732</v>
          </cell>
          <cell r="AH143">
            <v>0.15999999999999992</v>
          </cell>
          <cell r="AI143">
            <v>0.14000000000000012</v>
          </cell>
          <cell r="AJ143">
            <v>0.14999999999999991</v>
          </cell>
          <cell r="AK143">
            <v>5.1724137931034475E-2</v>
          </cell>
          <cell r="AL143">
            <v>4.9180327868852514E-2</v>
          </cell>
          <cell r="AM143">
            <v>0.14000000000000012</v>
          </cell>
          <cell r="AN143">
            <v>0.14999999999999991</v>
          </cell>
          <cell r="AO143">
            <v>5.1724137931034475E-2</v>
          </cell>
          <cell r="AP143">
            <v>4.9180327868852514E-2</v>
          </cell>
        </row>
        <row r="144">
          <cell r="C144" t="str">
            <v>Difference</v>
          </cell>
          <cell r="AF144">
            <v>48.769999999999982</v>
          </cell>
          <cell r="AG144">
            <v>-15.355000000000018</v>
          </cell>
          <cell r="AH144">
            <v>-52.191249999999911</v>
          </cell>
          <cell r="AI144">
            <v>-63.486099999999965</v>
          </cell>
          <cell r="AJ144">
            <v>-93.159889999999905</v>
          </cell>
          <cell r="AK144">
            <v>-104.93162999999993</v>
          </cell>
          <cell r="AL144">
            <v>-120.18711999999994</v>
          </cell>
          <cell r="AM144">
            <v>-53.399999999999977</v>
          </cell>
          <cell r="AN144">
            <v>-73.878999999999905</v>
          </cell>
          <cell r="AO144">
            <v>-54.068862068965473</v>
          </cell>
          <cell r="AP144">
            <v>-70.692474137931072</v>
          </cell>
        </row>
        <row r="145">
          <cell r="AF145">
            <v>0.13361643835616432</v>
          </cell>
          <cell r="AG145">
            <v>-3.4977220956719859E-2</v>
          </cell>
          <cell r="AH145">
            <v>-0.10248851229282836</v>
          </cell>
          <cell r="AI145">
            <v>-0.10935818357455962</v>
          </cell>
          <cell r="AJ145">
            <v>-0.1395416217080285</v>
          </cell>
          <cell r="AK145">
            <v>-0.14944430738830744</v>
          </cell>
          <cell r="AL145">
            <v>-0.16314762157945117</v>
          </cell>
          <cell r="AM145">
            <v>-9.3871954435186117E-2</v>
          </cell>
          <cell r="AN145">
            <v>-0.11293219543587543</v>
          </cell>
          <cell r="AO145">
            <v>-7.8585451153898936E-2</v>
          </cell>
          <cell r="AP145">
            <v>-9.7930498200825805E-2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>
        <row r="1">
          <cell r="A1" t="str">
            <v>Rockwell Collins, Inc.</v>
          </cell>
        </row>
        <row r="2">
          <cell r="A2" t="str">
            <v>Business Model Breakdown</v>
          </cell>
        </row>
        <row r="3">
          <cell r="A3" t="str">
            <v>Morgan Stanley Research</v>
          </cell>
        </row>
        <row r="4">
          <cell r="A4" t="str">
            <v>($ in Millions Except EPS)</v>
          </cell>
        </row>
        <row r="5">
          <cell r="A5" t="str">
            <v>Model Updated: 4/10</v>
          </cell>
        </row>
        <row r="7">
          <cell r="W7" t="str">
            <v>% Revenue Contribution</v>
          </cell>
        </row>
        <row r="8">
          <cell r="G8" t="str">
            <v>% Sales Contribution</v>
          </cell>
          <cell r="K8" t="str">
            <v>% Implied Revenue</v>
          </cell>
          <cell r="O8" t="str">
            <v>Revenue</v>
          </cell>
          <cell r="W8" t="str">
            <v>Total</v>
          </cell>
          <cell r="Y8" t="str">
            <v>Segment</v>
          </cell>
          <cell r="AA8" t="str">
            <v>Sub-Segment</v>
          </cell>
        </row>
        <row r="9">
          <cell r="G9" t="str">
            <v>Total</v>
          </cell>
          <cell r="H9" t="str">
            <v>Segment</v>
          </cell>
          <cell r="I9" t="str">
            <v>Sub-Segment</v>
          </cell>
          <cell r="K9" t="str">
            <v>Low</v>
          </cell>
          <cell r="L9" t="str">
            <v>Mid</v>
          </cell>
          <cell r="M9" t="str">
            <v>High</v>
          </cell>
          <cell r="O9" t="str">
            <v>09A</v>
          </cell>
          <cell r="P9" t="str">
            <v>10E</v>
          </cell>
          <cell r="R9" t="str">
            <v>Y/Y</v>
          </cell>
          <cell r="T9" t="str">
            <v>Guidance</v>
          </cell>
          <cell r="W9" t="str">
            <v>Calc</v>
          </cell>
          <cell r="X9" t="str">
            <v>Guide</v>
          </cell>
          <cell r="Y9" t="str">
            <v>Calc</v>
          </cell>
          <cell r="Z9" t="str">
            <v>Guide</v>
          </cell>
          <cell r="AA9" t="str">
            <v>Calc</v>
          </cell>
          <cell r="AB9" t="str">
            <v>Guide</v>
          </cell>
        </row>
        <row r="10">
          <cell r="B10" t="str">
            <v>Total Revenue</v>
          </cell>
          <cell r="K10">
            <v>4600</v>
          </cell>
          <cell r="L10">
            <v>4700</v>
          </cell>
          <cell r="M10">
            <v>4800</v>
          </cell>
          <cell r="O10">
            <v>4470</v>
          </cell>
          <cell r="P10">
            <v>4725</v>
          </cell>
          <cell r="R10">
            <v>5.7046979865771785E-2</v>
          </cell>
          <cell r="T10" t="str">
            <v>$4.6-4.8B Total Revenue</v>
          </cell>
          <cell r="X10" t="str">
            <v>@ High-end of guidance</v>
          </cell>
        </row>
        <row r="13">
          <cell r="B13" t="str">
            <v>Government Systems</v>
          </cell>
          <cell r="G13">
            <v>0.6</v>
          </cell>
          <cell r="H13">
            <v>1</v>
          </cell>
          <cell r="K13">
            <v>2760</v>
          </cell>
          <cell r="L13">
            <v>2820</v>
          </cell>
          <cell r="M13">
            <v>2880</v>
          </cell>
          <cell r="O13">
            <v>2579</v>
          </cell>
          <cell r="P13">
            <v>2900</v>
          </cell>
          <cell r="R13">
            <v>0.12446684761535476</v>
          </cell>
          <cell r="T13" t="str">
            <v xml:space="preserve"> +12% y/y</v>
          </cell>
          <cell r="W13">
            <v>0.61375661375661372</v>
          </cell>
          <cell r="X13">
            <v>0.6</v>
          </cell>
          <cell r="Y13">
            <v>1</v>
          </cell>
        </row>
        <row r="15">
          <cell r="B15" t="str">
            <v>Airborne Solutions</v>
          </cell>
          <cell r="G15">
            <v>0.39</v>
          </cell>
          <cell r="H15">
            <v>0.65</v>
          </cell>
          <cell r="K15">
            <v>1794</v>
          </cell>
          <cell r="L15">
            <v>1833</v>
          </cell>
          <cell r="M15">
            <v>1872</v>
          </cell>
          <cell r="O15">
            <v>1761</v>
          </cell>
          <cell r="P15">
            <v>1870</v>
          </cell>
          <cell r="R15">
            <v>6.1896649630891476E-2</v>
          </cell>
          <cell r="T15" t="str">
            <v xml:space="preserve"> +6% y/y</v>
          </cell>
          <cell r="W15">
            <v>0.39576719576719577</v>
          </cell>
          <cell r="Y15">
            <v>0.64482758620689651</v>
          </cell>
          <cell r="Z15">
            <v>0.65</v>
          </cell>
        </row>
        <row r="17">
          <cell r="B17" t="str">
            <v>Surface Solutions</v>
          </cell>
          <cell r="G17">
            <v>0.20999999999999996</v>
          </cell>
          <cell r="H17">
            <v>0.35</v>
          </cell>
          <cell r="K17">
            <v>965.99999999999989</v>
          </cell>
          <cell r="L17">
            <v>986.99999999999989</v>
          </cell>
          <cell r="M17">
            <v>1007.9999999999999</v>
          </cell>
          <cell r="O17">
            <v>818</v>
          </cell>
          <cell r="P17">
            <v>1030</v>
          </cell>
          <cell r="R17">
            <v>0.25916870415647919</v>
          </cell>
          <cell r="T17" t="str">
            <v xml:space="preserve"> +26% y/y (20% DataPath)</v>
          </cell>
          <cell r="W17">
            <v>0.21798941798941798</v>
          </cell>
          <cell r="Y17">
            <v>0.35517241379310344</v>
          </cell>
          <cell r="Z17">
            <v>0.35</v>
          </cell>
        </row>
        <row r="18">
          <cell r="K18">
            <v>0</v>
          </cell>
          <cell r="L18">
            <v>0</v>
          </cell>
          <cell r="M18">
            <v>0</v>
          </cell>
          <cell r="O18">
            <v>0</v>
          </cell>
          <cell r="P18">
            <v>0</v>
          </cell>
        </row>
        <row r="20">
          <cell r="B20" t="str">
            <v>Commercial Systems</v>
          </cell>
          <cell r="G20">
            <v>0.4</v>
          </cell>
          <cell r="H20">
            <v>1</v>
          </cell>
          <cell r="K20">
            <v>1840</v>
          </cell>
          <cell r="L20">
            <v>1880</v>
          </cell>
          <cell r="M20">
            <v>1920</v>
          </cell>
          <cell r="O20">
            <v>1891</v>
          </cell>
          <cell r="P20">
            <v>1825</v>
          </cell>
          <cell r="R20">
            <v>-3.4902168164992031E-2</v>
          </cell>
          <cell r="T20" t="str">
            <v xml:space="preserve"> -3% y/y</v>
          </cell>
          <cell r="W20">
            <v>0.38624338624338622</v>
          </cell>
          <cell r="X20">
            <v>0.4</v>
          </cell>
          <cell r="Y20">
            <v>1</v>
          </cell>
        </row>
        <row r="22">
          <cell r="B22" t="str">
            <v>OEM vs. Aftermarket</v>
          </cell>
        </row>
        <row r="23">
          <cell r="C23" t="str">
            <v>Original Equipment</v>
          </cell>
          <cell r="O23">
            <v>439</v>
          </cell>
          <cell r="P23">
            <v>509.23999999999995</v>
          </cell>
          <cell r="R23">
            <v>0.15999999999999992</v>
          </cell>
          <cell r="T23" t="str">
            <v xml:space="preserve"> +10% y/y</v>
          </cell>
        </row>
        <row r="24">
          <cell r="B24" t="str">
            <v>Total OEM</v>
          </cell>
          <cell r="C24" t="str">
            <v>Aftermarket</v>
          </cell>
          <cell r="G24">
            <v>0.21200000000000002</v>
          </cell>
          <cell r="H24">
            <v>0.53</v>
          </cell>
          <cell r="I24">
            <v>1</v>
          </cell>
          <cell r="K24">
            <v>975.2</v>
          </cell>
          <cell r="L24">
            <v>996.40000000000009</v>
          </cell>
          <cell r="M24">
            <v>1017.6000000000001</v>
          </cell>
          <cell r="O24">
            <v>970</v>
          </cell>
          <cell r="P24">
            <v>880</v>
          </cell>
          <cell r="R24">
            <v>-9.2783505154639179E-2</v>
          </cell>
          <cell r="T24" t="str">
            <v xml:space="preserve"> -10% y/y</v>
          </cell>
          <cell r="W24">
            <v>0.18624338624338624</v>
          </cell>
          <cell r="X24">
            <v>0.19</v>
          </cell>
          <cell r="Y24">
            <v>0.48219178082191783</v>
          </cell>
          <cell r="AA24">
            <v>1</v>
          </cell>
        </row>
        <row r="25">
          <cell r="C25" t="str">
            <v xml:space="preserve">Wide-Body In-Flight Entertainment </v>
          </cell>
          <cell r="O25">
            <v>145</v>
          </cell>
          <cell r="P25">
            <v>98.6</v>
          </cell>
          <cell r="R25">
            <v>-0.32000000000000006</v>
          </cell>
          <cell r="T25" t="str">
            <v xml:space="preserve"> -40% y/y</v>
          </cell>
        </row>
        <row r="26">
          <cell r="B26" t="str">
            <v>Air Transport OEM</v>
          </cell>
          <cell r="G26">
            <v>9.5400000000000013E-2</v>
          </cell>
          <cell r="H26">
            <v>0.23850000000000002</v>
          </cell>
          <cell r="I26">
            <v>0.45</v>
          </cell>
          <cell r="K26">
            <v>438.84000000000003</v>
          </cell>
          <cell r="L26">
            <v>448.38000000000005</v>
          </cell>
          <cell r="M26">
            <v>457.92000000000007</v>
          </cell>
          <cell r="O26">
            <v>365</v>
          </cell>
          <cell r="P26">
            <v>405</v>
          </cell>
          <cell r="R26">
            <v>0.1095890410958904</v>
          </cell>
          <cell r="T26" t="str">
            <v xml:space="preserve"> +10% y/y</v>
          </cell>
          <cell r="W26">
            <v>8.5714285714285715E-2</v>
          </cell>
          <cell r="Y26">
            <v>0.22191780821917809</v>
          </cell>
          <cell r="AA26">
            <v>0.46022727272727271</v>
          </cell>
          <cell r="AB26">
            <v>0.45</v>
          </cell>
        </row>
        <row r="28">
          <cell r="B28" t="str">
            <v>Business &amp; Regional Jet OEM</v>
          </cell>
          <cell r="G28">
            <v>0.11660000000000002</v>
          </cell>
          <cell r="H28">
            <v>0.29150000000000004</v>
          </cell>
          <cell r="I28">
            <v>0.55000000000000004</v>
          </cell>
          <cell r="K28">
            <v>536.36</v>
          </cell>
          <cell r="L28">
            <v>548.0200000000001</v>
          </cell>
          <cell r="M28">
            <v>559.68000000000006</v>
          </cell>
          <cell r="O28">
            <v>605</v>
          </cell>
          <cell r="P28">
            <v>475</v>
          </cell>
          <cell r="R28">
            <v>-0.21487603305785119</v>
          </cell>
          <cell r="T28" t="str">
            <v xml:space="preserve"> -22% y/y</v>
          </cell>
          <cell r="W28">
            <v>0.10052910052910052</v>
          </cell>
          <cell r="Y28">
            <v>0.26027397260273971</v>
          </cell>
          <cell r="AA28">
            <v>0.53977272727272729</v>
          </cell>
          <cell r="AB28">
            <v>0.55000000000000004</v>
          </cell>
        </row>
        <row r="29">
          <cell r="C29" t="str">
            <v>Orginal Equipment</v>
          </cell>
          <cell r="K29">
            <v>0</v>
          </cell>
          <cell r="L29">
            <v>0</v>
          </cell>
          <cell r="M29">
            <v>0</v>
          </cell>
          <cell r="O29">
            <v>466</v>
          </cell>
          <cell r="P29">
            <v>526.57999999999993</v>
          </cell>
          <cell r="R29">
            <v>0.12999999999999989</v>
          </cell>
          <cell r="T29" t="str">
            <v xml:space="preserve"> low double digits</v>
          </cell>
        </row>
        <row r="30">
          <cell r="C30" t="str">
            <v>Aftermarket</v>
          </cell>
          <cell r="O30">
            <v>340</v>
          </cell>
          <cell r="P30">
            <v>397.79999999999995</v>
          </cell>
          <cell r="R30">
            <v>0.16999999999999993</v>
          </cell>
          <cell r="T30" t="str">
            <v>+ mid-teens</v>
          </cell>
        </row>
        <row r="31">
          <cell r="B31" t="str">
            <v>Total Aftermarket</v>
          </cell>
          <cell r="G31">
            <v>0.17600000000000002</v>
          </cell>
          <cell r="H31">
            <v>0.44</v>
          </cell>
          <cell r="I31">
            <v>1</v>
          </cell>
          <cell r="K31">
            <v>809.60000000000014</v>
          </cell>
          <cell r="L31">
            <v>827.2</v>
          </cell>
          <cell r="M31">
            <v>844.80000000000007</v>
          </cell>
          <cell r="O31">
            <v>836</v>
          </cell>
          <cell r="P31">
            <v>895</v>
          </cell>
          <cell r="R31">
            <v>7.0574162679425845E-2</v>
          </cell>
          <cell r="T31" t="str">
            <v xml:space="preserve"> +6% y/y</v>
          </cell>
          <cell r="W31">
            <v>0.18941798941798943</v>
          </cell>
          <cell r="X31">
            <v>0.19</v>
          </cell>
          <cell r="Y31">
            <v>0.49041095890410957</v>
          </cell>
          <cell r="AA31">
            <v>1</v>
          </cell>
        </row>
        <row r="33">
          <cell r="B33" t="str">
            <v>Air Transport Aftermarket</v>
          </cell>
          <cell r="G33">
            <v>0.1056</v>
          </cell>
          <cell r="H33">
            <v>0.26400000000000001</v>
          </cell>
          <cell r="I33">
            <v>0.6</v>
          </cell>
          <cell r="K33">
            <v>485.76000000000005</v>
          </cell>
          <cell r="L33">
            <v>496.32</v>
          </cell>
          <cell r="M33">
            <v>506.88</v>
          </cell>
          <cell r="O33">
            <v>520</v>
          </cell>
          <cell r="P33">
            <v>535</v>
          </cell>
          <cell r="R33">
            <v>2.8846153846153744E-2</v>
          </cell>
          <cell r="T33" t="str">
            <v xml:space="preserve"> +2-3% y/y</v>
          </cell>
          <cell r="W33">
            <v>0.11322751322751323</v>
          </cell>
          <cell r="Y33">
            <v>0.29315068493150687</v>
          </cell>
          <cell r="AA33">
            <v>0.5977653631284916</v>
          </cell>
          <cell r="AB33">
            <v>0.6</v>
          </cell>
        </row>
        <row r="34">
          <cell r="C34" t="str">
            <v>Orginal Equipment</v>
          </cell>
          <cell r="O34">
            <v>0.50166297117516634</v>
          </cell>
          <cell r="P34">
            <v>0.51897389648780001</v>
          </cell>
        </row>
        <row r="35">
          <cell r="B35" t="str">
            <v>Business &amp; Regional Jet Aftermarket</v>
          </cell>
          <cell r="C35" t="str">
            <v>Aftermarket</v>
          </cell>
          <cell r="G35">
            <v>7.0400000000000004E-2</v>
          </cell>
          <cell r="H35">
            <v>0.17600000000000002</v>
          </cell>
          <cell r="I35">
            <v>0.4</v>
          </cell>
          <cell r="K35">
            <v>323.84000000000009</v>
          </cell>
          <cell r="L35">
            <v>330.88000000000005</v>
          </cell>
          <cell r="M35">
            <v>337.92000000000007</v>
          </cell>
          <cell r="O35">
            <v>316</v>
          </cell>
          <cell r="P35">
            <v>360</v>
          </cell>
          <cell r="R35">
            <v>0.139240506329114</v>
          </cell>
          <cell r="T35" t="str">
            <v xml:space="preserve"> +13% y/y (Air Routing 10%)</v>
          </cell>
          <cell r="W35">
            <v>7.6190476190476197E-2</v>
          </cell>
          <cell r="Y35">
            <v>0.19726027397260273</v>
          </cell>
          <cell r="AA35">
            <v>0.4022346368715084</v>
          </cell>
          <cell r="AB35">
            <v>0.4</v>
          </cell>
        </row>
        <row r="36">
          <cell r="C36" t="str">
            <v>Other</v>
          </cell>
          <cell r="O36">
            <v>8.03769401330377E-2</v>
          </cell>
          <cell r="P36">
            <v>4.9401272608848142E-2</v>
          </cell>
        </row>
        <row r="38">
          <cell r="B38" t="str">
            <v>Wide-Body IFE</v>
          </cell>
          <cell r="G38">
            <v>1.2E-2</v>
          </cell>
          <cell r="H38">
            <v>0.03</v>
          </cell>
          <cell r="I38" t="str">
            <v xml:space="preserve">NA </v>
          </cell>
          <cell r="K38">
            <v>55.199999999999996</v>
          </cell>
          <cell r="L38">
            <v>56.4</v>
          </cell>
          <cell r="M38">
            <v>57.599999999999994</v>
          </cell>
          <cell r="O38">
            <v>85</v>
          </cell>
          <cell r="P38">
            <v>50</v>
          </cell>
          <cell r="R38">
            <v>-0.41176470588235292</v>
          </cell>
          <cell r="T38" t="str">
            <v xml:space="preserve"> -40% y/y</v>
          </cell>
          <cell r="W38">
            <v>1.0582010582010581E-2</v>
          </cell>
          <cell r="Y38">
            <v>2.7397260273972601E-2</v>
          </cell>
        </row>
        <row r="39">
          <cell r="B39" t="str">
            <v>Summary - % of Total Company Revenues</v>
          </cell>
        </row>
        <row r="41">
          <cell r="B41" t="str">
            <v>Air Transport vs. Business &amp; Regional Jet</v>
          </cell>
          <cell r="C41" t="str">
            <v>Government Systems</v>
          </cell>
          <cell r="O41">
            <v>0.61329046087888528</v>
          </cell>
          <cell r="P41">
            <v>0.59645362825774884</v>
          </cell>
        </row>
        <row r="42">
          <cell r="D42" t="str">
            <v>Airborne Solutions</v>
          </cell>
          <cell r="O42">
            <v>0.3969989281886388</v>
          </cell>
          <cell r="P42">
            <v>0.39426595766190181</v>
          </cell>
        </row>
        <row r="43">
          <cell r="B43" t="str">
            <v>Air Transport</v>
          </cell>
          <cell r="D43" t="str">
            <v>Surface Solutions</v>
          </cell>
          <cell r="G43">
            <v>0.21200000000000002</v>
          </cell>
          <cell r="H43">
            <v>0.53</v>
          </cell>
          <cell r="K43">
            <v>975.2</v>
          </cell>
          <cell r="L43">
            <v>996.40000000000009</v>
          </cell>
          <cell r="M43">
            <v>1017.6</v>
          </cell>
          <cell r="O43">
            <v>885</v>
          </cell>
          <cell r="P43">
            <v>940</v>
          </cell>
          <cell r="R43">
            <v>6.2146892655367214E-2</v>
          </cell>
          <cell r="W43">
            <v>0.19894179894179895</v>
          </cell>
          <cell r="Y43">
            <v>0.51506849315068493</v>
          </cell>
          <cell r="Z43">
            <v>0.53</v>
          </cell>
          <cell r="AA43">
            <v>1</v>
          </cell>
        </row>
        <row r="45">
          <cell r="C45" t="str">
            <v>OEM</v>
          </cell>
          <cell r="K45">
            <v>438.84000000000003</v>
          </cell>
          <cell r="L45">
            <v>448.38000000000005</v>
          </cell>
          <cell r="M45">
            <v>457.92000000000007</v>
          </cell>
          <cell r="O45">
            <v>365</v>
          </cell>
          <cell r="P45">
            <v>405</v>
          </cell>
          <cell r="R45">
            <v>0.1095890410958904</v>
          </cell>
          <cell r="T45" t="str">
            <v xml:space="preserve"> +10% y/y</v>
          </cell>
          <cell r="W45">
            <v>8.5714285714285715E-2</v>
          </cell>
          <cell r="Y45">
            <v>0.22191780821917809</v>
          </cell>
          <cell r="AA45">
            <v>0.43085106382978722</v>
          </cell>
        </row>
        <row r="47">
          <cell r="C47" t="str">
            <v>Aftermarket</v>
          </cell>
          <cell r="K47">
            <v>485.76000000000005</v>
          </cell>
          <cell r="L47">
            <v>496.32</v>
          </cell>
          <cell r="M47">
            <v>506.88</v>
          </cell>
          <cell r="O47">
            <v>520</v>
          </cell>
          <cell r="P47">
            <v>535</v>
          </cell>
          <cell r="R47">
            <v>2.8846153846153744E-2</v>
          </cell>
          <cell r="T47" t="str">
            <v xml:space="preserve"> +2-3% y/y</v>
          </cell>
          <cell r="W47">
            <v>0.11322751322751323</v>
          </cell>
          <cell r="Y47">
            <v>0.29315068493150687</v>
          </cell>
          <cell r="AA47">
            <v>0.56914893617021278</v>
          </cell>
        </row>
        <row r="48">
          <cell r="C48" t="str">
            <v>Total</v>
          </cell>
          <cell r="K48">
            <v>924.60000000000014</v>
          </cell>
          <cell r="L48">
            <v>944.7</v>
          </cell>
          <cell r="M48">
            <v>964.80000000000007</v>
          </cell>
          <cell r="O48">
            <v>885</v>
          </cell>
          <cell r="P48">
            <v>940</v>
          </cell>
          <cell r="R48">
            <v>6.2146892655367214E-2</v>
          </cell>
          <cell r="T48" t="str">
            <v xml:space="preserve"> -10% y/y</v>
          </cell>
        </row>
        <row r="49">
          <cell r="C49" t="str">
            <v>Difference</v>
          </cell>
          <cell r="D49" t="str">
            <v>Air Transport</v>
          </cell>
          <cell r="K49">
            <v>-50.599999999999909</v>
          </cell>
          <cell r="L49">
            <v>-51.700000000000045</v>
          </cell>
          <cell r="M49">
            <v>-52.799999999999955</v>
          </cell>
          <cell r="O49">
            <v>0.21393354769560557</v>
          </cell>
          <cell r="P49">
            <v>0.21664813279686207</v>
          </cell>
        </row>
        <row r="50">
          <cell r="D50" t="str">
            <v>Business and Regional</v>
          </cell>
          <cell r="O50">
            <v>0.17277599142550912</v>
          </cell>
          <cell r="P50">
            <v>0.18689823894538909</v>
          </cell>
        </row>
        <row r="52">
          <cell r="B52" t="str">
            <v>Business &amp; Regional Jet</v>
          </cell>
          <cell r="D52" t="str">
            <v>OEM</v>
          </cell>
          <cell r="G52">
            <v>0.17600000000000002</v>
          </cell>
          <cell r="H52">
            <v>0.44</v>
          </cell>
          <cell r="K52">
            <v>809.6</v>
          </cell>
          <cell r="L52">
            <v>827.2</v>
          </cell>
          <cell r="M52">
            <v>844.8</v>
          </cell>
          <cell r="O52">
            <v>921</v>
          </cell>
          <cell r="P52">
            <v>835</v>
          </cell>
          <cell r="R52">
            <v>-9.3376764386536415E-2</v>
          </cell>
          <cell r="W52">
            <v>0.17671957671957672</v>
          </cell>
          <cell r="Y52">
            <v>0.45753424657534247</v>
          </cell>
          <cell r="Z52">
            <v>0.44</v>
          </cell>
          <cell r="AA52">
            <v>1</v>
          </cell>
        </row>
        <row r="53">
          <cell r="D53" t="str">
            <v xml:space="preserve">Aftermarket </v>
          </cell>
          <cell r="O53">
            <v>0.16162915326902466</v>
          </cell>
          <cell r="P53">
            <v>0.17418063446491033</v>
          </cell>
        </row>
        <row r="54">
          <cell r="C54" t="str">
            <v>OEM</v>
          </cell>
          <cell r="D54" t="str">
            <v>Other</v>
          </cell>
          <cell r="K54">
            <v>536.36</v>
          </cell>
          <cell r="L54">
            <v>548.0200000000001</v>
          </cell>
          <cell r="M54">
            <v>559.68000000000006</v>
          </cell>
          <cell r="O54">
            <v>605</v>
          </cell>
          <cell r="P54">
            <v>475</v>
          </cell>
          <cell r="R54">
            <v>-0.21487603305785119</v>
          </cell>
          <cell r="T54" t="str">
            <v xml:space="preserve"> -22% y/y</v>
          </cell>
          <cell r="W54">
            <v>0.10052910052910052</v>
          </cell>
          <cell r="Y54">
            <v>0.26027397260273971</v>
          </cell>
          <cell r="AA54">
            <v>0.56886227544910184</v>
          </cell>
        </row>
        <row r="56">
          <cell r="C56" t="str">
            <v>Aftermarket</v>
          </cell>
          <cell r="K56">
            <v>323.84000000000009</v>
          </cell>
          <cell r="L56">
            <v>330.88000000000005</v>
          </cell>
          <cell r="M56">
            <v>337.92000000000007</v>
          </cell>
          <cell r="O56">
            <v>316</v>
          </cell>
          <cell r="P56">
            <v>360</v>
          </cell>
          <cell r="R56">
            <v>0.139240506329114</v>
          </cell>
          <cell r="T56" t="str">
            <v xml:space="preserve"> +13% y/y (Air Routing 10%)</v>
          </cell>
          <cell r="W56">
            <v>7.6190476190476197E-2</v>
          </cell>
          <cell r="Y56">
            <v>0.19726027397260273</v>
          </cell>
          <cell r="AA56">
            <v>0.43113772455089822</v>
          </cell>
        </row>
        <row r="57">
          <cell r="C57" t="str">
            <v>Total</v>
          </cell>
          <cell r="K57">
            <v>860.2</v>
          </cell>
          <cell r="L57">
            <v>878.90000000000009</v>
          </cell>
          <cell r="M57">
            <v>897.60000000000014</v>
          </cell>
          <cell r="O57">
            <v>921</v>
          </cell>
          <cell r="P57">
            <v>835</v>
          </cell>
          <cell r="R57">
            <v>-9.3376764386536415E-2</v>
          </cell>
          <cell r="T57" t="str">
            <v xml:space="preserve"> +6% y/y</v>
          </cell>
        </row>
        <row r="58">
          <cell r="C58" t="str">
            <v>Difference</v>
          </cell>
          <cell r="K58">
            <v>50.600000000000023</v>
          </cell>
          <cell r="L58">
            <v>51.700000000000045</v>
          </cell>
          <cell r="M58">
            <v>52.800000000000182</v>
          </cell>
        </row>
        <row r="61">
          <cell r="C61" t="str">
            <v>Revenue Check</v>
          </cell>
          <cell r="O61">
            <v>0</v>
          </cell>
          <cell r="P61">
            <v>0</v>
          </cell>
        </row>
        <row r="63">
          <cell r="B63" t="str">
            <v>OEM Cross-check</v>
          </cell>
          <cell r="O63">
            <v>0</v>
          </cell>
          <cell r="P63">
            <v>0</v>
          </cell>
        </row>
        <row r="65">
          <cell r="B65" t="str">
            <v>Aftermarket Cross-check</v>
          </cell>
          <cell r="O65">
            <v>0</v>
          </cell>
          <cell r="P65">
            <v>0</v>
          </cell>
        </row>
      </sheetData>
      <sheetData sheetId="16" refreshError="1"/>
      <sheetData sheetId="17" refreshError="1"/>
      <sheetData sheetId="18" refreshError="1">
        <row r="2">
          <cell r="F2">
            <v>2009</v>
          </cell>
          <cell r="G2">
            <v>2010</v>
          </cell>
          <cell r="H2">
            <v>2011</v>
          </cell>
          <cell r="I2">
            <v>2012</v>
          </cell>
          <cell r="J2">
            <v>2013</v>
          </cell>
          <cell r="K2">
            <v>2014</v>
          </cell>
        </row>
        <row r="5">
          <cell r="B5" t="str">
            <v>Sales</v>
          </cell>
          <cell r="F5">
            <v>4470</v>
          </cell>
          <cell r="G5">
            <v>4725</v>
          </cell>
          <cell r="H5">
            <v>5100</v>
          </cell>
          <cell r="I5">
            <v>5460</v>
          </cell>
          <cell r="J5">
            <v>5850</v>
          </cell>
          <cell r="K5">
            <v>6170</v>
          </cell>
        </row>
        <row r="8">
          <cell r="B8" t="str">
            <v>EBIT</v>
          </cell>
          <cell r="F8">
            <v>867.44</v>
          </cell>
          <cell r="G8">
            <v>991.1724999999999</v>
          </cell>
          <cell r="H8">
            <v>1066.55</v>
          </cell>
          <cell r="I8">
            <v>1168.931785714286</v>
          </cell>
          <cell r="J8">
            <v>1237.6240842490843</v>
          </cell>
          <cell r="K8">
            <v>1307.4809890109889</v>
          </cell>
        </row>
        <row r="9">
          <cell r="B9" t="str">
            <v>Tax Rate</v>
          </cell>
          <cell r="F9">
            <v>0.31184435170255148</v>
          </cell>
          <cell r="G9">
            <v>0.31</v>
          </cell>
          <cell r="H9">
            <v>0.31</v>
          </cell>
          <cell r="I9">
            <v>0.31</v>
          </cell>
          <cell r="J9">
            <v>0.31</v>
          </cell>
          <cell r="K9">
            <v>0.31</v>
          </cell>
        </row>
        <row r="10">
          <cell r="B10" t="str">
            <v>NOPAT</v>
          </cell>
          <cell r="F10">
            <v>596.93373555913877</v>
          </cell>
          <cell r="G10">
            <v>683.90902499999993</v>
          </cell>
          <cell r="H10">
            <v>735.91949999999986</v>
          </cell>
          <cell r="I10">
            <v>806.56293214285722</v>
          </cell>
          <cell r="J10">
            <v>853.96061813186805</v>
          </cell>
          <cell r="K10">
            <v>902.16188241758221</v>
          </cell>
        </row>
        <row r="12">
          <cell r="B12" t="str">
            <v>Debt</v>
          </cell>
          <cell r="F12">
            <v>531</v>
          </cell>
          <cell r="G12">
            <v>531</v>
          </cell>
          <cell r="H12">
            <v>531</v>
          </cell>
          <cell r="I12">
            <v>531</v>
          </cell>
          <cell r="J12">
            <v>531</v>
          </cell>
          <cell r="K12">
            <v>531</v>
          </cell>
        </row>
        <row r="13">
          <cell r="B13" t="str">
            <v>Equity</v>
          </cell>
          <cell r="F13">
            <v>1292</v>
          </cell>
          <cell r="G13">
            <v>1588.2926000000002</v>
          </cell>
          <cell r="H13">
            <v>1894.9539175000002</v>
          </cell>
          <cell r="I13">
            <v>2188.0225675000002</v>
          </cell>
          <cell r="J13">
            <v>2480.5416200000004</v>
          </cell>
          <cell r="K13">
            <v>2756.2390526923082</v>
          </cell>
        </row>
        <row r="14">
          <cell r="B14" t="str">
            <v>Total Capital</v>
          </cell>
          <cell r="F14">
            <v>1823</v>
          </cell>
          <cell r="G14">
            <v>2119.2926000000002</v>
          </cell>
          <cell r="H14">
            <v>2425.9539175</v>
          </cell>
          <cell r="I14">
            <v>2719.0225675000002</v>
          </cell>
          <cell r="J14">
            <v>3011.5416200000004</v>
          </cell>
          <cell r="K14">
            <v>3287.2390526923082</v>
          </cell>
        </row>
        <row r="16">
          <cell r="B16" t="str">
            <v>Return on Avg. Capital</v>
          </cell>
          <cell r="G16">
            <v>0.34696005314268141</v>
          </cell>
          <cell r="H16">
            <v>0.32381939996723175</v>
          </cell>
          <cell r="I16">
            <v>0.31353415685936109</v>
          </cell>
          <cell r="J16">
            <v>0.2980371880292696</v>
          </cell>
          <cell r="K16">
            <v>0.28645603944547832</v>
          </cell>
        </row>
        <row r="18">
          <cell r="B18" t="str">
            <v>Less: Excess Cash</v>
          </cell>
          <cell r="F18">
            <v>-335.55606153846156</v>
          </cell>
          <cell r="G18">
            <v>-518.68084057692329</v>
          </cell>
          <cell r="H18">
            <v>-691.90461878205144</v>
          </cell>
          <cell r="I18">
            <v>-806.27879948718009</v>
          </cell>
          <cell r="J18">
            <v>-913.01469371794929</v>
          </cell>
          <cell r="K18">
            <v>-1002.8831396153854</v>
          </cell>
        </row>
        <row r="19">
          <cell r="B19" t="str">
            <v>Net Capital</v>
          </cell>
          <cell r="F19">
            <v>1487.4439384615384</v>
          </cell>
          <cell r="G19">
            <v>1600.6117594230768</v>
          </cell>
          <cell r="H19">
            <v>1734.0492987179487</v>
          </cell>
          <cell r="I19">
            <v>1912.7437680128201</v>
          </cell>
          <cell r="J19">
            <v>2098.5269262820511</v>
          </cell>
          <cell r="K19">
            <v>2284.3559130769227</v>
          </cell>
        </row>
        <row r="21">
          <cell r="B21" t="str">
            <v>Return on Avg. Net Capital</v>
          </cell>
          <cell r="G21">
            <v>0.44293827049071194</v>
          </cell>
          <cell r="H21">
            <v>0.44137589228348928</v>
          </cell>
          <cell r="I21">
            <v>0.44234093757664983</v>
          </cell>
          <cell r="J21">
            <v>0.4257805983258296</v>
          </cell>
          <cell r="K21">
            <v>0.41167510767845644</v>
          </cell>
        </row>
        <row r="28">
          <cell r="B28" t="str">
            <v>Cash</v>
          </cell>
          <cell r="E28">
            <v>235</v>
          </cell>
          <cell r="F28">
            <v>469.65606153846159</v>
          </cell>
          <cell r="G28">
            <v>660.43084057692329</v>
          </cell>
          <cell r="H28">
            <v>844.90461878205144</v>
          </cell>
          <cell r="I28">
            <v>970.07879948718005</v>
          </cell>
          <cell r="J28">
            <v>1088.5146937179493</v>
          </cell>
          <cell r="K28">
            <v>1187.9831396153854</v>
          </cell>
        </row>
        <row r="29">
          <cell r="F29">
            <v>0.10506847014283258</v>
          </cell>
          <cell r="G29">
            <v>0.13977372287342291</v>
          </cell>
          <cell r="H29">
            <v>0.16566757231020615</v>
          </cell>
          <cell r="I29">
            <v>0.17767010979618683</v>
          </cell>
          <cell r="J29">
            <v>0.18607088781503406</v>
          </cell>
          <cell r="K29">
            <v>0.19254183786310947</v>
          </cell>
        </row>
        <row r="32">
          <cell r="F32">
            <v>0.03</v>
          </cell>
          <cell r="G32">
            <v>0.03</v>
          </cell>
          <cell r="H32">
            <v>0.03</v>
          </cell>
          <cell r="I32">
            <v>0.03</v>
          </cell>
          <cell r="J32">
            <v>0.03</v>
          </cell>
          <cell r="K32">
            <v>0.03</v>
          </cell>
        </row>
        <row r="33">
          <cell r="B33" t="str">
            <v>Operating Cash</v>
          </cell>
          <cell r="F33">
            <v>134.1</v>
          </cell>
          <cell r="G33">
            <v>141.75</v>
          </cell>
          <cell r="H33">
            <v>153</v>
          </cell>
          <cell r="I33">
            <v>163.79999999999998</v>
          </cell>
          <cell r="J33">
            <v>175.5</v>
          </cell>
          <cell r="K33">
            <v>185.1</v>
          </cell>
        </row>
        <row r="35">
          <cell r="B35" t="str">
            <v>Excess Cash</v>
          </cell>
          <cell r="F35">
            <v>335.55606153846156</v>
          </cell>
          <cell r="G35">
            <v>518.68084057692329</v>
          </cell>
          <cell r="H35">
            <v>691.90461878205144</v>
          </cell>
          <cell r="I35">
            <v>806.27879948718009</v>
          </cell>
          <cell r="J35">
            <v>913.01469371794929</v>
          </cell>
          <cell r="K35">
            <v>1002.8831396153854</v>
          </cell>
        </row>
        <row r="38">
          <cell r="F38">
            <v>2009</v>
          </cell>
          <cell r="G38">
            <v>2010</v>
          </cell>
          <cell r="H38">
            <v>2011</v>
          </cell>
          <cell r="I38">
            <v>2012</v>
          </cell>
          <cell r="J38">
            <v>2013</v>
          </cell>
          <cell r="K38">
            <v>2014</v>
          </cell>
        </row>
        <row r="40">
          <cell r="B40" t="str">
            <v>Net Income</v>
          </cell>
          <cell r="F40">
            <v>594</v>
          </cell>
          <cell r="G40">
            <v>580.41800000000001</v>
          </cell>
          <cell r="H40">
            <v>666.65902499999993</v>
          </cell>
          <cell r="I40">
            <v>718.66949999999997</v>
          </cell>
          <cell r="J40">
            <v>789.31293214285733</v>
          </cell>
          <cell r="K40">
            <v>836.71061813186816</v>
          </cell>
        </row>
        <row r="41">
          <cell r="B41" t="str">
            <v>D&amp;A</v>
          </cell>
          <cell r="F41">
            <v>144</v>
          </cell>
          <cell r="G41">
            <v>151.73846153846154</v>
          </cell>
          <cell r="H41">
            <v>156.23846153846154</v>
          </cell>
          <cell r="I41">
            <v>163.40512820512822</v>
          </cell>
          <cell r="J41">
            <v>170.90512820512822</v>
          </cell>
          <cell r="K41">
            <v>178.73846153846154</v>
          </cell>
        </row>
        <row r="42">
          <cell r="B42" t="str">
            <v>Non-cash Comp</v>
          </cell>
          <cell r="F42">
            <v>81</v>
          </cell>
          <cell r="G42">
            <v>90</v>
          </cell>
          <cell r="H42">
            <v>90</v>
          </cell>
          <cell r="I42">
            <v>90</v>
          </cell>
          <cell r="J42">
            <v>90</v>
          </cell>
          <cell r="K42">
            <v>90</v>
          </cell>
        </row>
        <row r="43">
          <cell r="B43" t="str">
            <v>Pension &amp; Other</v>
          </cell>
          <cell r="F43">
            <v>-30</v>
          </cell>
          <cell r="G43">
            <v>-98</v>
          </cell>
          <cell r="H43">
            <v>-100</v>
          </cell>
          <cell r="I43">
            <v>-100</v>
          </cell>
          <cell r="J43">
            <v>-100</v>
          </cell>
          <cell r="K43">
            <v>-100</v>
          </cell>
        </row>
        <row r="44">
          <cell r="B44" t="str">
            <v>Working Capital</v>
          </cell>
          <cell r="F44">
            <v>-156</v>
          </cell>
          <cell r="G44">
            <v>20.625000000000057</v>
          </cell>
          <cell r="H44">
            <v>-22.124999999999886</v>
          </cell>
          <cell r="I44">
            <v>-12</v>
          </cell>
          <cell r="J44">
            <v>-68.249999999999886</v>
          </cell>
          <cell r="K44">
            <v>-56.000000000000171</v>
          </cell>
        </row>
        <row r="45">
          <cell r="B45" t="str">
            <v>Operating Cash Flow (OCF)</v>
          </cell>
          <cell r="F45">
            <v>633</v>
          </cell>
          <cell r="G45">
            <v>744.7814615384616</v>
          </cell>
          <cell r="H45">
            <v>790.77248653846152</v>
          </cell>
          <cell r="I45">
            <v>860.07462820512819</v>
          </cell>
          <cell r="J45">
            <v>881.96806034798567</v>
          </cell>
          <cell r="K45">
            <v>949.44907967032941</v>
          </cell>
        </row>
        <row r="47">
          <cell r="B47" t="str">
            <v>OCF % Net Income</v>
          </cell>
          <cell r="F47">
            <v>1.0656565656565657</v>
          </cell>
          <cell r="G47">
            <v>1.2831811927584285</v>
          </cell>
          <cell r="H47">
            <v>1.1861723263079826</v>
          </cell>
          <cell r="I47">
            <v>1.1967596067526565</v>
          </cell>
          <cell r="J47">
            <v>1.1173870646634214</v>
          </cell>
          <cell r="K47">
            <v>1.1347400870687807</v>
          </cell>
        </row>
        <row r="48">
          <cell r="B48" t="str">
            <v>OCF % Sales</v>
          </cell>
          <cell r="F48">
            <v>0.14161073825503356</v>
          </cell>
          <cell r="G48">
            <v>0.15762570614570615</v>
          </cell>
          <cell r="H48">
            <v>0.15505342873303168</v>
          </cell>
          <cell r="I48">
            <v>0.15752282567859491</v>
          </cell>
          <cell r="J48">
            <v>0.15076377099965568</v>
          </cell>
          <cell r="K48">
            <v>0.15388153641334351</v>
          </cell>
          <cell r="M48" t="str">
            <v>In-line with historical mid-teen OCF margins</v>
          </cell>
        </row>
        <row r="50">
          <cell r="B50" t="str">
            <v>Capex</v>
          </cell>
          <cell r="F50">
            <v>-153</v>
          </cell>
          <cell r="G50">
            <v>-135</v>
          </cell>
          <cell r="H50">
            <v>-150</v>
          </cell>
          <cell r="I50">
            <v>-160</v>
          </cell>
          <cell r="J50">
            <v>-170</v>
          </cell>
          <cell r="K50">
            <v>-180</v>
          </cell>
        </row>
        <row r="51">
          <cell r="B51" t="str">
            <v>Free Cash Flow</v>
          </cell>
          <cell r="F51">
            <v>480</v>
          </cell>
          <cell r="G51">
            <v>609.7814615384616</v>
          </cell>
          <cell r="H51">
            <v>640.77248653846152</v>
          </cell>
          <cell r="I51">
            <v>700.07462820512819</v>
          </cell>
          <cell r="J51">
            <v>711.96806034798567</v>
          </cell>
          <cell r="K51">
            <v>769.44907967032941</v>
          </cell>
        </row>
        <row r="53">
          <cell r="B53" t="str">
            <v>Capex % Sales</v>
          </cell>
          <cell r="F53">
            <v>3.4228187919463089E-2</v>
          </cell>
          <cell r="G53">
            <v>2.8571428571428571E-2</v>
          </cell>
          <cell r="H53">
            <v>2.9411764705882353E-2</v>
          </cell>
          <cell r="I53">
            <v>2.9304029304029304E-2</v>
          </cell>
          <cell r="J53">
            <v>2.9059829059829061E-2</v>
          </cell>
          <cell r="K53">
            <v>2.9173419773095625E-2</v>
          </cell>
          <cell r="M53" t="str">
            <v>2001-2009 avg of ~3% sales</v>
          </cell>
        </row>
        <row r="55">
          <cell r="B55" t="str">
            <v>Dividends</v>
          </cell>
          <cell r="F55">
            <v>-152</v>
          </cell>
          <cell r="G55">
            <v>-174.12539999999998</v>
          </cell>
          <cell r="H55">
            <v>-199.99770749999996</v>
          </cell>
          <cell r="I55">
            <v>-215.60084999999998</v>
          </cell>
          <cell r="J55">
            <v>-236.79387964285718</v>
          </cell>
          <cell r="K55">
            <v>-251.01318543956043</v>
          </cell>
        </row>
        <row r="56">
          <cell r="B56" t="str">
            <v>Discretionary Cash Flow</v>
          </cell>
          <cell r="F56">
            <v>328</v>
          </cell>
          <cell r="G56">
            <v>435.65606153846159</v>
          </cell>
          <cell r="H56">
            <v>440.77477903846159</v>
          </cell>
          <cell r="I56">
            <v>484.47377820512821</v>
          </cell>
          <cell r="J56">
            <v>475.17418070512849</v>
          </cell>
          <cell r="K56">
            <v>518.43589423076901</v>
          </cell>
        </row>
        <row r="58">
          <cell r="B58" t="str">
            <v>Dividend Payout Ratio</v>
          </cell>
          <cell r="F58">
            <v>0.25589225589225589</v>
          </cell>
          <cell r="G58">
            <v>0.3</v>
          </cell>
          <cell r="H58">
            <v>0.3</v>
          </cell>
          <cell r="I58">
            <v>0.3</v>
          </cell>
          <cell r="J58">
            <v>0.3</v>
          </cell>
          <cell r="K58">
            <v>0.3</v>
          </cell>
          <cell r="M58">
            <v>0.21424672489082969</v>
          </cell>
        </row>
        <row r="60">
          <cell r="B60" t="str">
            <v>Assumed Share Repurchase</v>
          </cell>
          <cell r="F60">
            <v>-153</v>
          </cell>
          <cell r="G60">
            <v>-200</v>
          </cell>
          <cell r="H60">
            <v>-250</v>
          </cell>
          <cell r="I60">
            <v>-300</v>
          </cell>
          <cell r="J60">
            <v>-350</v>
          </cell>
          <cell r="K60">
            <v>-400</v>
          </cell>
        </row>
        <row r="61">
          <cell r="B61" t="str">
            <v>Remaining Free Cash Flow</v>
          </cell>
          <cell r="F61">
            <v>175</v>
          </cell>
          <cell r="G61">
            <v>235.65606153846159</v>
          </cell>
          <cell r="H61">
            <v>190.77477903846159</v>
          </cell>
          <cell r="I61">
            <v>184.47377820512821</v>
          </cell>
          <cell r="J61">
            <v>125.17418070512849</v>
          </cell>
          <cell r="K61">
            <v>118.43589423076901</v>
          </cell>
        </row>
        <row r="63">
          <cell r="F63">
            <v>235</v>
          </cell>
          <cell r="G63">
            <v>470.65606153846159</v>
          </cell>
          <cell r="H63">
            <v>661.43084057692317</v>
          </cell>
          <cell r="I63">
            <v>845.90461878205133</v>
          </cell>
          <cell r="J63">
            <v>971.07879948717982</v>
          </cell>
          <cell r="K63">
            <v>1089.5146937179488</v>
          </cell>
        </row>
        <row r="64">
          <cell r="G64">
            <v>234.65606153846159</v>
          </cell>
          <cell r="H64">
            <v>190.7747790384617</v>
          </cell>
          <cell r="I64">
            <v>184.47377820512816</v>
          </cell>
          <cell r="J64">
            <v>125.17418070512861</v>
          </cell>
          <cell r="K64">
            <v>118.43589423076912</v>
          </cell>
        </row>
        <row r="66">
          <cell r="G66">
            <v>159</v>
          </cell>
          <cell r="H66">
            <v>157</v>
          </cell>
          <cell r="I66">
            <v>153</v>
          </cell>
          <cell r="J66">
            <v>151.47</v>
          </cell>
          <cell r="K66">
            <v>149.95529999999999</v>
          </cell>
        </row>
        <row r="68">
          <cell r="G68">
            <v>4.6841601354620224</v>
          </cell>
          <cell r="H68">
            <v>5.0367674301812837</v>
          </cell>
          <cell r="I68">
            <v>5.6214027987263284</v>
          </cell>
          <cell r="J68">
            <v>5.8227243701590128</v>
          </cell>
          <cell r="K68">
            <v>6.3315473322405369</v>
          </cell>
        </row>
        <row r="69">
          <cell r="G69">
            <v>3.8351035316884379</v>
          </cell>
          <cell r="H69">
            <v>4.08135341744243</v>
          </cell>
          <cell r="I69">
            <v>4.5756511647393996</v>
          </cell>
          <cell r="J69">
            <v>4.7003899144912236</v>
          </cell>
          <cell r="K69">
            <v>5.1311896256439713</v>
          </cell>
        </row>
        <row r="71">
          <cell r="F71">
            <v>62.62</v>
          </cell>
          <cell r="G71">
            <v>7.4802940521590908E-2</v>
          </cell>
          <cell r="H71">
            <v>8.0433845898774892E-2</v>
          </cell>
          <cell r="I71">
            <v>8.9770086214090203E-2</v>
          </cell>
          <cell r="J71">
            <v>9.298505861001298E-2</v>
          </cell>
          <cell r="K71">
            <v>0.10111062491600986</v>
          </cell>
        </row>
        <row r="72">
          <cell r="G72">
            <v>6.1244067896653431E-2</v>
          </cell>
          <cell r="H72">
            <v>6.5176515768802776E-2</v>
          </cell>
          <cell r="I72">
            <v>7.3070123997754713E-2</v>
          </cell>
          <cell r="J72">
            <v>7.5062119362683227E-2</v>
          </cell>
          <cell r="K72">
            <v>8.1941705934908515E-2</v>
          </cell>
        </row>
        <row r="74">
          <cell r="G74">
            <v>4.4800000000000004</v>
          </cell>
          <cell r="H74">
            <v>4.95</v>
          </cell>
          <cell r="I74">
            <v>5.38</v>
          </cell>
        </row>
        <row r="75">
          <cell r="G75">
            <v>3.29</v>
          </cell>
          <cell r="H75">
            <v>3.99</v>
          </cell>
          <cell r="I75">
            <v>4.4400000000000004</v>
          </cell>
        </row>
        <row r="77">
          <cell r="G77">
            <v>4.5571458808487009E-2</v>
          </cell>
          <cell r="H77">
            <v>1.7528773773996642E-2</v>
          </cell>
          <cell r="I77">
            <v>4.487040868519121E-2</v>
          </cell>
        </row>
        <row r="78">
          <cell r="G78">
            <v>0.16568496403903876</v>
          </cell>
          <cell r="H78">
            <v>2.2895593343967402E-2</v>
          </cell>
          <cell r="I78">
            <v>3.0552064130495271E-2</v>
          </cell>
        </row>
        <row r="81">
          <cell r="F81">
            <v>3.8143036386449181</v>
          </cell>
          <cell r="G81">
            <v>3.6463396226415097</v>
          </cell>
          <cell r="H81">
            <v>4.2462358280254771</v>
          </cell>
          <cell r="I81">
            <v>4.6971862745098036</v>
          </cell>
          <cell r="J81">
            <v>5.2110182355770602</v>
          </cell>
          <cell r="K81">
            <v>5.5797335481431345</v>
          </cell>
        </row>
        <row r="82">
          <cell r="G82">
            <v>18</v>
          </cell>
          <cell r="H82">
            <v>18</v>
          </cell>
          <cell r="I82">
            <v>18</v>
          </cell>
          <cell r="J82">
            <v>18</v>
          </cell>
          <cell r="K82">
            <v>18</v>
          </cell>
        </row>
        <row r="83">
          <cell r="F83">
            <v>50</v>
          </cell>
          <cell r="G83">
            <v>65.634113207547173</v>
          </cell>
          <cell r="H83">
            <v>76.432244904458585</v>
          </cell>
          <cell r="I83">
            <v>84.549352941176465</v>
          </cell>
          <cell r="J83">
            <v>93.798328240387079</v>
          </cell>
          <cell r="K83">
            <v>100.43520386657642</v>
          </cell>
        </row>
        <row r="86">
          <cell r="F86">
            <v>-2.1485573971761762E-2</v>
          </cell>
          <cell r="G86">
            <v>-2.5094102885822034E-3</v>
          </cell>
          <cell r="H86">
            <v>-1.2578616352201255E-2</v>
          </cell>
          <cell r="I86">
            <v>-2.5477707006369421E-2</v>
          </cell>
          <cell r="J86">
            <v>-1.0000000000000009E-2</v>
          </cell>
          <cell r="K86">
            <v>-1.0000000000000009E-2</v>
          </cell>
        </row>
        <row r="87">
          <cell r="F87">
            <v>-350</v>
          </cell>
          <cell r="G87">
            <v>-52.507290566038485</v>
          </cell>
          <cell r="H87">
            <v>-305.72897961783434</v>
          </cell>
          <cell r="I87">
            <v>-676.39482352941172</v>
          </cell>
          <cell r="J87">
            <v>-287.02288441558466</v>
          </cell>
          <cell r="K87">
            <v>-304.25840659340759</v>
          </cell>
        </row>
        <row r="96">
          <cell r="D96">
            <v>235</v>
          </cell>
          <cell r="E96">
            <v>609.7814615384616</v>
          </cell>
          <cell r="F96">
            <v>640.77248653846152</v>
          </cell>
          <cell r="G96">
            <v>700.07462820512819</v>
          </cell>
          <cell r="H96">
            <v>2185.6285762820512</v>
          </cell>
          <cell r="I96">
            <v>-531</v>
          </cell>
          <cell r="J96">
            <v>1654.6285762820512</v>
          </cell>
        </row>
        <row r="103">
          <cell r="E103">
            <v>3.52</v>
          </cell>
          <cell r="F103">
            <v>3.95</v>
          </cell>
          <cell r="G103">
            <v>4.51</v>
          </cell>
        </row>
        <row r="104">
          <cell r="E104">
            <v>559</v>
          </cell>
          <cell r="F104">
            <v>621</v>
          </cell>
          <cell r="G104">
            <v>699</v>
          </cell>
        </row>
        <row r="105">
          <cell r="E105">
            <v>158.80681818181819</v>
          </cell>
          <cell r="F105">
            <v>157.21518987341773</v>
          </cell>
          <cell r="G105">
            <v>154.9889135254989</v>
          </cell>
        </row>
        <row r="107">
          <cell r="E107">
            <v>159</v>
          </cell>
          <cell r="F107">
            <v>157</v>
          </cell>
          <cell r="G107">
            <v>153</v>
          </cell>
        </row>
        <row r="109">
          <cell r="E109">
            <v>3.5157232704402515</v>
          </cell>
          <cell r="F109">
            <v>3.9554140127388533</v>
          </cell>
          <cell r="G109">
            <v>4.5686274509803919</v>
          </cell>
        </row>
        <row r="111">
          <cell r="E111">
            <v>580.41800000000001</v>
          </cell>
          <cell r="F111">
            <v>666.65902499999993</v>
          </cell>
          <cell r="G111">
            <v>718.66949999999997</v>
          </cell>
        </row>
        <row r="119">
          <cell r="D119">
            <v>2002</v>
          </cell>
          <cell r="E119">
            <v>2003</v>
          </cell>
          <cell r="F119">
            <v>2004</v>
          </cell>
          <cell r="G119">
            <v>2005</v>
          </cell>
          <cell r="H119">
            <v>2006</v>
          </cell>
          <cell r="I119" t="str">
            <v>2007</v>
          </cell>
          <cell r="J119">
            <v>2008</v>
          </cell>
          <cell r="K119" t="str">
            <v>2009A</v>
          </cell>
          <cell r="L119" t="str">
            <v>2010E</v>
          </cell>
          <cell r="M119" t="str">
            <v>2011E</v>
          </cell>
          <cell r="N119" t="str">
            <v>2012E</v>
          </cell>
        </row>
        <row r="120">
          <cell r="D120">
            <v>102</v>
          </cell>
          <cell r="E120">
            <v>154</v>
          </cell>
          <cell r="F120">
            <v>179</v>
          </cell>
          <cell r="G120">
            <v>498</v>
          </cell>
          <cell r="H120">
            <v>492</v>
          </cell>
          <cell r="I120">
            <v>333</v>
          </cell>
          <cell r="J120">
            <v>576</v>
          </cell>
          <cell r="K120">
            <v>153</v>
          </cell>
          <cell r="L120">
            <v>200</v>
          </cell>
          <cell r="M120">
            <v>250</v>
          </cell>
          <cell r="N120">
            <v>300</v>
          </cell>
        </row>
        <row r="121">
          <cell r="D121">
            <v>1.6567796610169492</v>
          </cell>
          <cell r="E121">
            <v>1.1705426356589148</v>
          </cell>
          <cell r="F121">
            <v>1.0199335548172757</v>
          </cell>
          <cell r="G121">
            <v>1.1313131313131313</v>
          </cell>
          <cell r="H121">
            <v>0.9454926624737946</v>
          </cell>
          <cell r="I121">
            <v>0.82393162393162389</v>
          </cell>
          <cell r="J121">
            <v>0.66224188790560468</v>
          </cell>
          <cell r="K121">
            <v>0.80808080808080807</v>
          </cell>
          <cell r="L121">
            <v>1.0505901979925873</v>
          </cell>
          <cell r="M121">
            <v>0.96116974721591997</v>
          </cell>
          <cell r="N121">
            <v>0.97412597613385321</v>
          </cell>
        </row>
        <row r="153">
          <cell r="D153">
            <v>2002</v>
          </cell>
          <cell r="E153">
            <v>2003</v>
          </cell>
          <cell r="F153">
            <v>2004</v>
          </cell>
          <cell r="G153">
            <v>2005</v>
          </cell>
          <cell r="H153">
            <v>2006</v>
          </cell>
          <cell r="I153" t="str">
            <v>2007</v>
          </cell>
          <cell r="J153">
            <v>2008</v>
          </cell>
          <cell r="K153" t="str">
            <v>2009A</v>
          </cell>
          <cell r="L153" t="str">
            <v>2010E</v>
          </cell>
          <cell r="M153" t="str">
            <v>2011E</v>
          </cell>
          <cell r="N153" t="str">
            <v>2012E</v>
          </cell>
        </row>
        <row r="154">
          <cell r="C154" t="str">
            <v>% Net Income</v>
          </cell>
          <cell r="D154">
            <v>0.27966101694915252</v>
          </cell>
          <cell r="E154">
            <v>0.24806201550387597</v>
          </cell>
          <cell r="F154">
            <v>0.2292358803986711</v>
          </cell>
          <cell r="G154">
            <v>0.21464646464646464</v>
          </cell>
          <cell r="H154">
            <v>0.20125786163522014</v>
          </cell>
          <cell r="I154">
            <v>0.18290598290598289</v>
          </cell>
          <cell r="J154">
            <v>0.19026548672566371</v>
          </cell>
          <cell r="K154">
            <v>0.25589225589225589</v>
          </cell>
          <cell r="L154">
            <v>0.3</v>
          </cell>
          <cell r="M154">
            <v>0.3</v>
          </cell>
          <cell r="N154">
            <v>0.3</v>
          </cell>
        </row>
        <row r="155">
          <cell r="C155" t="str">
            <v>% FCF</v>
          </cell>
          <cell r="D155">
            <v>0.16879795396419436</v>
          </cell>
          <cell r="E155">
            <v>0.2119205298013245</v>
          </cell>
          <cell r="F155">
            <v>0.22475570032573289</v>
          </cell>
          <cell r="G155">
            <v>0.18973214285714285</v>
          </cell>
          <cell r="H155">
            <v>0.21286031042128603</v>
          </cell>
          <cell r="I155">
            <v>0.22199170124481327</v>
          </cell>
          <cell r="J155">
            <v>0.28730512249443207</v>
          </cell>
          <cell r="K155">
            <v>0.31666666666666665</v>
          </cell>
          <cell r="L155">
            <v>0.28555377784146874</v>
          </cell>
          <cell r="M155">
            <v>0.31211968631864051</v>
          </cell>
          <cell r="N155">
            <v>0.30796838124638759</v>
          </cell>
        </row>
      </sheetData>
      <sheetData sheetId="19" refreshError="1"/>
      <sheetData sheetId="20" refreshError="1"/>
      <sheetData sheetId="21" refreshError="1"/>
      <sheetData sheetId="22" refreshError="1">
        <row r="2">
          <cell r="B2" t="str">
            <v>Newly announced 2010 Guidance in-line with Prior MS Forecast</v>
          </cell>
        </row>
        <row r="4">
          <cell r="C4" t="str">
            <v>COL Guidance</v>
          </cell>
          <cell r="D4" t="str">
            <v xml:space="preserve">MSe </v>
          </cell>
        </row>
        <row r="5">
          <cell r="B5" t="str">
            <v>Total Sales ($B)</v>
          </cell>
          <cell r="C5" t="str">
            <v>$4.6 - 4.8</v>
          </cell>
          <cell r="D5">
            <v>4.7249999999999996</v>
          </cell>
        </row>
        <row r="6">
          <cell r="B6" t="str">
            <v>Segment Operating Margin (%)</v>
          </cell>
          <cell r="C6" t="str">
            <v>18.5 - 19.5%</v>
          </cell>
          <cell r="D6">
            <v>0.19882328042328043</v>
          </cell>
        </row>
        <row r="7">
          <cell r="B7" t="str">
            <v>EPS</v>
          </cell>
          <cell r="C7" t="str">
            <v>$3.35 - 3.55</v>
          </cell>
          <cell r="D7">
            <v>3.6463396226415097</v>
          </cell>
        </row>
        <row r="11">
          <cell r="B11" t="str">
            <v>CFO ($MM)</v>
          </cell>
          <cell r="C11" t="str">
            <v>$600 - 700</v>
          </cell>
          <cell r="D11">
            <v>744.7814615384616</v>
          </cell>
        </row>
        <row r="12">
          <cell r="B12" t="str">
            <v>Capex ($MM)</v>
          </cell>
          <cell r="C12">
            <v>135</v>
          </cell>
          <cell r="D12">
            <v>135</v>
          </cell>
        </row>
        <row r="13">
          <cell r="B13" t="str">
            <v>FCF ($MM)</v>
          </cell>
          <cell r="C13" t="str">
            <v>$465 - 565</v>
          </cell>
          <cell r="D13">
            <v>609.7814615384616</v>
          </cell>
        </row>
        <row r="21">
          <cell r="H21">
            <v>2001</v>
          </cell>
          <cell r="I21">
            <v>2002</v>
          </cell>
          <cell r="J21">
            <v>2003</v>
          </cell>
          <cell r="K21">
            <v>2004</v>
          </cell>
          <cell r="L21">
            <v>2005</v>
          </cell>
          <cell r="M21">
            <v>2006</v>
          </cell>
          <cell r="N21" t="str">
            <v>2007</v>
          </cell>
          <cell r="O21">
            <v>2008</v>
          </cell>
          <cell r="P21" t="str">
            <v>2009A</v>
          </cell>
          <cell r="Q21" t="str">
            <v>2010E</v>
          </cell>
          <cell r="R21" t="str">
            <v>2011E</v>
          </cell>
          <cell r="S21" t="str">
            <v>2012E</v>
          </cell>
        </row>
        <row r="22">
          <cell r="G22" t="str">
            <v>Commercial</v>
          </cell>
          <cell r="H22">
            <v>0.37872340425531914</v>
          </cell>
          <cell r="I22">
            <v>0.4474317817014446</v>
          </cell>
          <cell r="J22">
            <v>0.49960660896931552</v>
          </cell>
          <cell r="K22">
            <v>0.52389078498293518</v>
          </cell>
          <cell r="L22">
            <v>0.52539912917271403</v>
          </cell>
          <cell r="M22">
            <v>0.5288635775304168</v>
          </cell>
          <cell r="N22">
            <v>0.50532276330690828</v>
          </cell>
          <cell r="O22">
            <v>0.49612078003774374</v>
          </cell>
          <cell r="P22">
            <v>0.57695749440715882</v>
          </cell>
          <cell r="Q22">
            <v>0.61375661375661372</v>
          </cell>
          <cell r="R22">
            <v>0.59803921568627449</v>
          </cell>
          <cell r="S22">
            <v>0.58608058608058611</v>
          </cell>
        </row>
        <row r="23">
          <cell r="G23" t="str">
            <v>Government</v>
          </cell>
          <cell r="H23">
            <v>0.62127659574468086</v>
          </cell>
          <cell r="I23">
            <v>0.5525682182985554</v>
          </cell>
          <cell r="J23">
            <v>0.50039339103068448</v>
          </cell>
          <cell r="K23">
            <v>0.47610921501706482</v>
          </cell>
          <cell r="L23">
            <v>0.47460087082728591</v>
          </cell>
          <cell r="M23">
            <v>0.4711364224695832</v>
          </cell>
          <cell r="N23">
            <v>0.49467723669309172</v>
          </cell>
          <cell r="O23">
            <v>0.50387921996225626</v>
          </cell>
          <cell r="P23">
            <v>0.42304250559284118</v>
          </cell>
          <cell r="Q23">
            <v>0.38624338624338622</v>
          </cell>
          <cell r="R23">
            <v>0.40196078431372551</v>
          </cell>
          <cell r="S23">
            <v>0.41391941391941389</v>
          </cell>
        </row>
      </sheetData>
      <sheetData sheetId="23" refreshError="1"/>
      <sheetData sheetId="24" refreshError="1">
        <row r="1">
          <cell r="A1" t="str">
            <v>RRS-5.13</v>
          </cell>
          <cell r="D1" t="str">
            <v>RISK-REWARD SNAPSHOT
(You must upload your model to ModelWare to capture changes to your scenario values and NOT delete this worksheet.)</v>
          </cell>
          <cell r="I1" t="str">
            <v>Select Language</v>
          </cell>
          <cell r="N1" t="str">
            <v>http://ChartGallery</v>
          </cell>
          <cell r="O1" t="str">
            <v>http://ChartGallery</v>
          </cell>
          <cell r="AA1" t="str">
            <v>ElementName</v>
          </cell>
          <cell r="AB1" t="str">
            <v>ScaleOverride</v>
          </cell>
          <cell r="AC1" t="str">
            <v>UnitOverride</v>
          </cell>
          <cell r="AD1" t="str">
            <v>ReverseSign</v>
          </cell>
          <cell r="AE1" t="str">
            <v>IsDrivingAssumption</v>
          </cell>
          <cell r="AF1" t="str">
            <v>SegmentID</v>
          </cell>
        </row>
        <row r="2">
          <cell r="B2" t="str">
            <v>Instructions:</v>
          </cell>
          <cell r="G2" t="str">
            <v>Is refreshing chart data too slow? Read below to improve performance.</v>
          </cell>
          <cell r="AQ2" t="str">
            <v>Refer to cell G2 to learn about improving chart refresh performance</v>
          </cell>
        </row>
        <row r="4">
          <cell r="B4" t="str">
            <v>Ticker:</v>
          </cell>
          <cell r="C4" t="str">
            <v>COL.N</v>
          </cell>
          <cell r="E4" t="str">
            <v>Company Name:</v>
          </cell>
          <cell r="F4" t="str">
            <v>Rockwell Collins</v>
          </cell>
          <cell r="I4" t="str">
            <v>Sedol:</v>
          </cell>
          <cell r="J4">
            <v>2767228</v>
          </cell>
          <cell r="K4">
            <v>2767228</v>
          </cell>
        </row>
        <row r="5">
          <cell r="B5" t="str">
            <v xml:space="preserve">Chart Data Inputs (decimal formats will reflect on chart): </v>
          </cell>
          <cell r="H5" t="str">
            <v>Risk Reward Chart Gallery 
(Click on the below image for other Risk-Reward Charts)</v>
          </cell>
        </row>
        <row r="6">
          <cell r="B6" t="str">
            <v>Bull Case</v>
          </cell>
          <cell r="C6">
            <v>90</v>
          </cell>
          <cell r="AA6" t="str">
            <v>mstag:bullCaseValueEstimatePerShare</v>
          </cell>
          <cell r="AB6">
            <v>0</v>
          </cell>
          <cell r="AC6" t="str">
            <v>ISO4217:USD</v>
          </cell>
          <cell r="AD6" t="b">
            <v>0</v>
          </cell>
        </row>
        <row r="7">
          <cell r="B7" t="str">
            <v>Base Case</v>
          </cell>
          <cell r="C7">
            <v>80</v>
          </cell>
          <cell r="AA7" t="str">
            <v>mstag:met_12monthIntrinsicValueEstimate</v>
          </cell>
          <cell r="AB7">
            <v>0</v>
          </cell>
          <cell r="AC7" t="str">
            <v>ISO4217:USD</v>
          </cell>
          <cell r="AD7" t="b">
            <v>0</v>
          </cell>
        </row>
        <row r="8">
          <cell r="B8" t="str">
            <v>Bear Case</v>
          </cell>
          <cell r="C8">
            <v>50</v>
          </cell>
          <cell r="K8" t="str">
            <v>日本語</v>
          </cell>
          <cell r="M8" t="str">
            <v>-</v>
          </cell>
          <cell r="AA8" t="str">
            <v>mstag:bearCaseValueEstimatePerShare</v>
          </cell>
          <cell r="AB8">
            <v>0</v>
          </cell>
          <cell r="AC8" t="str">
            <v>ISO4217:USD</v>
          </cell>
          <cell r="AD8" t="b">
            <v>0</v>
          </cell>
        </row>
        <row r="9">
          <cell r="B9" t="str">
            <v>Extreme Upside</v>
          </cell>
          <cell r="K9" t="str">
            <v>English</v>
          </cell>
          <cell r="L9" t="str">
            <v>年</v>
          </cell>
          <cell r="M9" t="str">
            <v>月</v>
          </cell>
          <cell r="N9" t="str">
            <v>-</v>
          </cell>
          <cell r="AA9" t="str">
            <v>mstag:extremeBullCaseValueEstimatePerShare</v>
          </cell>
          <cell r="AB9">
            <v>0</v>
          </cell>
          <cell r="AC9" t="str">
            <v>ISO4217:USD</v>
          </cell>
          <cell r="AD9" t="b">
            <v>0</v>
          </cell>
          <cell r="AH9" t="str">
            <v>Other Refresh Chart Option</v>
          </cell>
        </row>
        <row r="10">
          <cell r="B10" t="str">
            <v>Extreme Downside</v>
          </cell>
          <cell r="O10" t="b">
            <v>0</v>
          </cell>
          <cell r="AA10" t="str">
            <v>mstag:extremeBearCaseValueEstimatePerShare</v>
          </cell>
          <cell r="AB10">
            <v>0</v>
          </cell>
          <cell r="AC10" t="str">
            <v>ISO4217:USD</v>
          </cell>
          <cell r="AD10" t="b">
            <v>0</v>
          </cell>
        </row>
        <row r="11">
          <cell r="B11" t="str">
            <v>Price Target</v>
          </cell>
          <cell r="C11">
            <v>80</v>
          </cell>
          <cell r="O11" t="b">
            <v>1</v>
          </cell>
        </row>
        <row r="12">
          <cell r="B12" t="str">
            <v>Currency</v>
          </cell>
          <cell r="C12" t="str">
            <v>USD American Dollar</v>
          </cell>
          <cell r="F12">
            <v>0</v>
          </cell>
        </row>
        <row r="13">
          <cell r="B13" t="str">
            <v>Currency Symbol</v>
          </cell>
          <cell r="C13" t="str">
            <v>$</v>
          </cell>
          <cell r="F13">
            <v>0</v>
          </cell>
          <cell r="I13" t="str">
            <v xml:space="preserve">WARNINGDONOTEDIT_RRS4RL~COL.N~ </v>
          </cell>
        </row>
        <row r="14">
          <cell r="B14" t="str">
            <v>"Refresh RR Chart" updates chart dates below, as of today. If your PT time horizon is &gt; 1yr. or price history is &lt; 2yrs., adjust Start/End dates and select "Apply Manually Adjusted Dates" option.</v>
          </cell>
        </row>
        <row r="15">
          <cell r="B15" t="str">
            <v>Start Date (-2 Yrs)</v>
          </cell>
          <cell r="C15">
            <v>39547</v>
          </cell>
          <cell r="E15" t="str">
            <v>NA</v>
          </cell>
          <cell r="F15" t="str">
            <v>USD</v>
          </cell>
        </row>
        <row r="16">
          <cell r="B16" t="str">
            <v>End Date (+1 Yr)</v>
          </cell>
          <cell r="C16">
            <v>40642</v>
          </cell>
          <cell r="E16" t="str">
            <v>USD</v>
          </cell>
          <cell r="F16" t="str">
            <v>USD</v>
          </cell>
        </row>
        <row r="17">
          <cell r="B17">
            <v>63.51</v>
          </cell>
          <cell r="C17" t="str">
            <v>Hand entert Share Price</v>
          </cell>
          <cell r="H17" t="str">
            <v>2007-FY</v>
          </cell>
        </row>
        <row r="18">
          <cell r="B18" t="b">
            <v>0</v>
          </cell>
          <cell r="C18">
            <v>40277</v>
          </cell>
        </row>
        <row r="19">
          <cell r="C19" t="str">
            <v>2010-FY</v>
          </cell>
        </row>
        <row r="34">
          <cell r="A34" t="str">
            <v>BullCase</v>
          </cell>
        </row>
        <row r="52">
          <cell r="A52">
            <v>40642</v>
          </cell>
          <cell r="B52">
            <v>758</v>
          </cell>
          <cell r="N52" t="str">
            <v>Apr-11</v>
          </cell>
          <cell r="O52" t="str">
            <v>Dec-12</v>
          </cell>
          <cell r="P52" t="str">
            <v>Base Case  (Dec-12)</v>
          </cell>
          <cell r="R52" t="b">
            <v>0</v>
          </cell>
        </row>
        <row r="53">
          <cell r="A53" t="str">
            <v>Header</v>
          </cell>
          <cell r="B53" t="str">
            <v>Date</v>
          </cell>
          <cell r="C53" t="str">
            <v>Past/Future</v>
          </cell>
          <cell r="D53" t="str">
            <v>Historical Stock Performance</v>
          </cell>
          <cell r="E53" t="str">
            <v>Extreme Upside Cone</v>
          </cell>
          <cell r="F53" t="str">
            <v>Blue Cone</v>
          </cell>
          <cell r="G53" t="str">
            <v>Extreme Downside Cone</v>
          </cell>
          <cell r="H53" t="str">
            <v>White Mask</v>
          </cell>
          <cell r="I53" t="str">
            <v>Current Stock Price</v>
          </cell>
          <cell r="J53" t="str">
            <v>Extreme Upside Price(Apr-11)</v>
          </cell>
          <cell r="K53" t="str">
            <v>Bull Price(Apr-11)</v>
          </cell>
          <cell r="L53" t="str">
            <v>Bear Price(Apr-11)</v>
          </cell>
          <cell r="M53" t="str">
            <v>Extreme Downside Price(Apr-11)</v>
          </cell>
          <cell r="N53" t="str">
            <v>Price Target (Apr-11)</v>
          </cell>
          <cell r="O53" t="str">
            <v>Gray Line</v>
          </cell>
          <cell r="P53" t="str">
            <v>Prices</v>
          </cell>
          <cell r="Q53" t="str">
            <v>Volume</v>
          </cell>
          <cell r="R53" t="str">
            <v>Base Case(Apr-11)</v>
          </cell>
          <cell r="S53" t="str">
            <v>Header Row</v>
          </cell>
          <cell r="T53">
            <v>53</v>
          </cell>
          <cell r="U53">
            <v>0</v>
          </cell>
          <cell r="AI53" t="str">
            <v xml:space="preserve">Display </v>
          </cell>
          <cell r="AJ53" t="str">
            <v>Symbol</v>
          </cell>
          <cell r="AK53" t="str">
            <v>Unit</v>
          </cell>
          <cell r="AL53" t="str">
            <v>FactsetUnit</v>
          </cell>
          <cell r="AM53" t="str">
            <v>Right alligned</v>
          </cell>
          <cell r="AN53" t="str">
            <v>Display 2 Decimal Places for Currency Amount</v>
          </cell>
        </row>
        <row r="54">
          <cell r="A54">
            <v>39547</v>
          </cell>
          <cell r="B54">
            <v>39547</v>
          </cell>
          <cell r="C54" t="str">
            <v>Past</v>
          </cell>
          <cell r="D54">
            <v>63.2</v>
          </cell>
          <cell r="E54" t="e">
            <v>#N/A</v>
          </cell>
          <cell r="F54" t="e">
            <v>#N/A</v>
          </cell>
          <cell r="G54" t="e">
            <v>#N/A</v>
          </cell>
          <cell r="H54" t="e">
            <v>#N/A</v>
          </cell>
          <cell r="I54" t="e">
            <v>#N/A</v>
          </cell>
          <cell r="J54" t="e">
            <v>#N/A</v>
          </cell>
          <cell r="K54" t="e">
            <v>#N/A</v>
          </cell>
          <cell r="L54" t="e">
            <v>#N/A</v>
          </cell>
          <cell r="M54" t="e">
            <v>#N/A</v>
          </cell>
          <cell r="N54" t="e">
            <v>#N/A</v>
          </cell>
          <cell r="O54" t="e">
            <v>#N/A</v>
          </cell>
          <cell r="P54">
            <v>63.2</v>
          </cell>
          <cell r="Q54">
            <v>2.3414999999999999</v>
          </cell>
          <cell r="R54" t="e">
            <v>#N/A</v>
          </cell>
          <cell r="S54" t="str">
            <v>Count</v>
          </cell>
          <cell r="T54">
            <v>758</v>
          </cell>
          <cell r="U54">
            <v>90</v>
          </cell>
          <cell r="AI54" t="str">
            <v>AED UAE Dirham</v>
          </cell>
          <cell r="AJ54" t="str">
            <v>AED</v>
          </cell>
          <cell r="AK54" t="str">
            <v>AED</v>
          </cell>
          <cell r="AL54" t="str">
            <v>AED</v>
          </cell>
          <cell r="AM54">
            <v>0</v>
          </cell>
          <cell r="AN54">
            <v>2</v>
          </cell>
        </row>
        <row r="55">
          <cell r="A55">
            <v>39548</v>
          </cell>
          <cell r="B55">
            <v>39548</v>
          </cell>
          <cell r="C55" t="str">
            <v>Past</v>
          </cell>
          <cell r="D55">
            <v>63.26</v>
          </cell>
          <cell r="E55" t="e">
            <v>#N/A</v>
          </cell>
          <cell r="F55" t="e">
            <v>#N/A</v>
          </cell>
          <cell r="G55" t="e">
            <v>#N/A</v>
          </cell>
          <cell r="H55" t="e">
            <v>#N/A</v>
          </cell>
          <cell r="I55" t="e">
            <v>#N/A</v>
          </cell>
          <cell r="J55" t="e">
            <v>#N/A</v>
          </cell>
          <cell r="K55" t="e">
            <v>#N/A</v>
          </cell>
          <cell r="L55" t="e">
            <v>#N/A</v>
          </cell>
          <cell r="M55" t="e">
            <v>#N/A</v>
          </cell>
          <cell r="N55" t="e">
            <v>#N/A</v>
          </cell>
          <cell r="O55" t="e">
            <v>#N/A</v>
          </cell>
          <cell r="P55">
            <v>63.26</v>
          </cell>
          <cell r="Q55">
            <v>1.0905669999999998</v>
          </cell>
          <cell r="R55" t="e">
            <v>#N/A</v>
          </cell>
          <cell r="S55" t="str">
            <v>Curr Price</v>
          </cell>
          <cell r="T55">
            <v>63.51</v>
          </cell>
          <cell r="U55">
            <v>505</v>
          </cell>
          <cell r="V55">
            <v>26.288689999999999</v>
          </cell>
          <cell r="AI55" t="str">
            <v>ARS Argentinian Pesos</v>
          </cell>
          <cell r="AJ55" t="str">
            <v>Ar$</v>
          </cell>
          <cell r="AK55" t="str">
            <v>ARS</v>
          </cell>
          <cell r="AL55" t="str">
            <v>ARS</v>
          </cell>
          <cell r="AM55">
            <v>0</v>
          </cell>
          <cell r="AN55">
            <v>2</v>
          </cell>
        </row>
        <row r="56">
          <cell r="A56">
            <v>39549</v>
          </cell>
          <cell r="B56">
            <v>39549</v>
          </cell>
          <cell r="C56" t="str">
            <v>Past</v>
          </cell>
          <cell r="D56">
            <v>61.67</v>
          </cell>
          <cell r="E56" t="e">
            <v>#N/A</v>
          </cell>
          <cell r="F56" t="e">
            <v>#N/A</v>
          </cell>
          <cell r="G56" t="e">
            <v>#N/A</v>
          </cell>
          <cell r="H56" t="e">
            <v>#N/A</v>
          </cell>
          <cell r="I56" t="e">
            <v>#N/A</v>
          </cell>
          <cell r="J56" t="e">
            <v>#N/A</v>
          </cell>
          <cell r="K56" t="e">
            <v>#N/A</v>
          </cell>
          <cell r="L56" t="e">
            <v>#N/A</v>
          </cell>
          <cell r="M56" t="e">
            <v>#N/A</v>
          </cell>
          <cell r="N56" t="e">
            <v>#N/A</v>
          </cell>
          <cell r="O56" t="e">
            <v>#N/A</v>
          </cell>
          <cell r="P56">
            <v>61.67</v>
          </cell>
          <cell r="Q56">
            <v>0.87271799999999999</v>
          </cell>
          <cell r="R56" t="e">
            <v>#N/A</v>
          </cell>
          <cell r="S56" t="str">
            <v>Curr Price Date</v>
          </cell>
          <cell r="T56">
            <v>40277</v>
          </cell>
          <cell r="U56">
            <v>40274.855555555558</v>
          </cell>
          <cell r="AI56" t="str">
            <v>AUD Australian Dollar</v>
          </cell>
          <cell r="AJ56" t="str">
            <v>A$</v>
          </cell>
          <cell r="AK56" t="str">
            <v>AUD</v>
          </cell>
          <cell r="AL56" t="str">
            <v>AUD</v>
          </cell>
          <cell r="AM56">
            <v>0</v>
          </cell>
          <cell r="AN56">
            <v>2</v>
          </cell>
        </row>
        <row r="57">
          <cell r="A57">
            <v>39552</v>
          </cell>
          <cell r="B57">
            <v>39552</v>
          </cell>
          <cell r="C57" t="str">
            <v>Past</v>
          </cell>
          <cell r="D57">
            <v>62.51</v>
          </cell>
          <cell r="E57" t="e">
            <v>#N/A</v>
          </cell>
          <cell r="F57" t="e">
            <v>#N/A</v>
          </cell>
          <cell r="G57" t="e">
            <v>#N/A</v>
          </cell>
          <cell r="H57" t="e">
            <v>#N/A</v>
          </cell>
          <cell r="I57" t="e">
            <v>#N/A</v>
          </cell>
          <cell r="J57" t="e">
            <v>#N/A</v>
          </cell>
          <cell r="K57" t="e">
            <v>#N/A</v>
          </cell>
          <cell r="L57" t="e">
            <v>#N/A</v>
          </cell>
          <cell r="M57" t="e">
            <v>#N/A</v>
          </cell>
          <cell r="N57" t="e">
            <v>#N/A</v>
          </cell>
          <cell r="O57" t="e">
            <v>#N/A</v>
          </cell>
          <cell r="P57">
            <v>62.51</v>
          </cell>
          <cell r="Q57">
            <v>1.0499369999999999</v>
          </cell>
          <cell r="R57" t="e">
            <v>#N/A</v>
          </cell>
          <cell r="S57" t="str">
            <v>Bull-Curr</v>
          </cell>
          <cell r="T57">
            <v>26.490000000000002</v>
          </cell>
          <cell r="U57">
            <v>0.10429133858267717</v>
          </cell>
          <cell r="AI57" t="str">
            <v>BGL Bulgarian levs</v>
          </cell>
          <cell r="AJ57" t="str">
            <v>BGL</v>
          </cell>
          <cell r="AK57" t="str">
            <v>BGL</v>
          </cell>
          <cell r="AL57" t="str">
            <v>BGN</v>
          </cell>
          <cell r="AM57">
            <v>0</v>
          </cell>
          <cell r="AN57">
            <v>2</v>
          </cell>
        </row>
        <row r="58">
          <cell r="A58">
            <v>39553</v>
          </cell>
          <cell r="B58">
            <v>39553</v>
          </cell>
          <cell r="C58" t="str">
            <v>Past</v>
          </cell>
          <cell r="D58">
            <v>61.41</v>
          </cell>
          <cell r="E58" t="e">
            <v>#N/A</v>
          </cell>
          <cell r="F58" t="e">
            <v>#N/A</v>
          </cell>
          <cell r="G58" t="e">
            <v>#N/A</v>
          </cell>
          <cell r="H58" t="e">
            <v>#N/A</v>
          </cell>
          <cell r="I58" t="e">
            <v>#N/A</v>
          </cell>
          <cell r="J58" t="e">
            <v>#N/A</v>
          </cell>
          <cell r="K58" t="e">
            <v>#N/A</v>
          </cell>
          <cell r="L58" t="e">
            <v>#N/A</v>
          </cell>
          <cell r="M58" t="e">
            <v>#N/A</v>
          </cell>
          <cell r="N58" t="e">
            <v>#N/A</v>
          </cell>
          <cell r="O58" t="e">
            <v>#N/A</v>
          </cell>
          <cell r="P58">
            <v>61.41</v>
          </cell>
          <cell r="Q58">
            <v>1.6427</v>
          </cell>
          <cell r="R58" t="e">
            <v>#N/A</v>
          </cell>
          <cell r="S58" t="str">
            <v>Upp-Cur</v>
          </cell>
          <cell r="T58">
            <v>-63.51</v>
          </cell>
          <cell r="U58">
            <v>-0.25003937007874016</v>
          </cell>
          <cell r="AI58" t="str">
            <v>BMD Bermudan Dollars</v>
          </cell>
          <cell r="AJ58" t="str">
            <v>BMD</v>
          </cell>
          <cell r="AK58" t="str">
            <v>BMD</v>
          </cell>
          <cell r="AL58" t="str">
            <v>BMD</v>
          </cell>
          <cell r="AM58">
            <v>0</v>
          </cell>
          <cell r="AN58">
            <v>2</v>
          </cell>
        </row>
        <row r="59">
          <cell r="A59">
            <v>39554</v>
          </cell>
          <cell r="B59">
            <v>39554</v>
          </cell>
          <cell r="C59" t="str">
            <v>Past</v>
          </cell>
          <cell r="D59">
            <v>62.4</v>
          </cell>
          <cell r="E59" t="e">
            <v>#N/A</v>
          </cell>
          <cell r="F59" t="e">
            <v>#N/A</v>
          </cell>
          <cell r="G59" t="e">
            <v>#N/A</v>
          </cell>
          <cell r="H59" t="e">
            <v>#N/A</v>
          </cell>
          <cell r="I59" t="e">
            <v>#N/A</v>
          </cell>
          <cell r="J59" t="e">
            <v>#N/A</v>
          </cell>
          <cell r="K59" t="e">
            <v>#N/A</v>
          </cell>
          <cell r="L59" t="e">
            <v>#N/A</v>
          </cell>
          <cell r="M59" t="e">
            <v>#N/A</v>
          </cell>
          <cell r="N59" t="e">
            <v>#N/A</v>
          </cell>
          <cell r="O59" t="e">
            <v>#N/A</v>
          </cell>
          <cell r="P59">
            <v>62.4</v>
          </cell>
          <cell r="Q59">
            <v>1.2424389999999998</v>
          </cell>
          <cell r="R59" t="e">
            <v>#N/A</v>
          </cell>
          <cell r="S59" t="str">
            <v>Curr-Bear</v>
          </cell>
          <cell r="T59">
            <v>13.509999999999998</v>
          </cell>
          <cell r="U59">
            <v>5.3188976377952751E-2</v>
          </cell>
          <cell r="AI59" t="str">
            <v>BRL Brazilian Real</v>
          </cell>
          <cell r="AJ59" t="str">
            <v>R$</v>
          </cell>
          <cell r="AK59" t="str">
            <v>BRL</v>
          </cell>
          <cell r="AL59" t="str">
            <v>BRL</v>
          </cell>
          <cell r="AM59">
            <v>0</v>
          </cell>
          <cell r="AN59">
            <v>2</v>
          </cell>
        </row>
        <row r="60">
          <cell r="A60">
            <v>39555</v>
          </cell>
          <cell r="B60">
            <v>39555</v>
          </cell>
          <cell r="C60" t="str">
            <v>Past</v>
          </cell>
          <cell r="D60">
            <v>62.01</v>
          </cell>
          <cell r="E60" t="e">
            <v>#N/A</v>
          </cell>
          <cell r="F60" t="e">
            <v>#N/A</v>
          </cell>
          <cell r="G60" t="e">
            <v>#N/A</v>
          </cell>
          <cell r="H60" t="e">
            <v>#N/A</v>
          </cell>
          <cell r="I60" t="e">
            <v>#N/A</v>
          </cell>
          <cell r="J60" t="e">
            <v>#N/A</v>
          </cell>
          <cell r="K60" t="e">
            <v>#N/A</v>
          </cell>
          <cell r="L60" t="e">
            <v>#N/A</v>
          </cell>
          <cell r="M60" t="e">
            <v>#N/A</v>
          </cell>
          <cell r="N60" t="e">
            <v>#N/A</v>
          </cell>
          <cell r="O60" t="e">
            <v>#N/A</v>
          </cell>
          <cell r="P60">
            <v>62.01</v>
          </cell>
          <cell r="Q60">
            <v>0.83691699999999991</v>
          </cell>
          <cell r="R60" t="e">
            <v>#N/A</v>
          </cell>
          <cell r="S60" t="str">
            <v>Curr-Lower</v>
          </cell>
          <cell r="T60">
            <v>63.51</v>
          </cell>
          <cell r="U60">
            <v>0.25003937007874016</v>
          </cell>
          <cell r="AI60" t="str">
            <v>CAD Canadian Dollars</v>
          </cell>
          <cell r="AJ60" t="str">
            <v>C$</v>
          </cell>
          <cell r="AK60" t="str">
            <v>CAD</v>
          </cell>
          <cell r="AL60" t="str">
            <v>CAD</v>
          </cell>
          <cell r="AM60">
            <v>0</v>
          </cell>
          <cell r="AN60">
            <v>2</v>
          </cell>
        </row>
        <row r="61">
          <cell r="A61">
            <v>39556</v>
          </cell>
          <cell r="B61">
            <v>39556</v>
          </cell>
          <cell r="C61" t="str">
            <v>Past</v>
          </cell>
          <cell r="D61">
            <v>63.66</v>
          </cell>
          <cell r="E61" t="e">
            <v>#N/A</v>
          </cell>
          <cell r="F61" t="e">
            <v>#N/A</v>
          </cell>
          <cell r="G61" t="e">
            <v>#N/A</v>
          </cell>
          <cell r="H61" t="e">
            <v>#N/A</v>
          </cell>
          <cell r="I61" t="e">
            <v>#N/A</v>
          </cell>
          <cell r="J61" t="e">
            <v>#N/A</v>
          </cell>
          <cell r="K61" t="e">
            <v>#N/A</v>
          </cell>
          <cell r="L61" t="e">
            <v>#N/A</v>
          </cell>
          <cell r="M61" t="e">
            <v>#N/A</v>
          </cell>
          <cell r="N61" t="e">
            <v>#N/A</v>
          </cell>
          <cell r="O61" t="e">
            <v>#N/A</v>
          </cell>
          <cell r="P61">
            <v>63.66</v>
          </cell>
          <cell r="Q61">
            <v>0.799095</v>
          </cell>
          <cell r="R61" t="e">
            <v>#N/A</v>
          </cell>
          <cell r="S61" t="str">
            <v>PriceFoundAt</v>
          </cell>
          <cell r="T61">
            <v>505</v>
          </cell>
          <cell r="AI61" t="str">
            <v>CHF Swiss Francs</v>
          </cell>
          <cell r="AJ61" t="str">
            <v>SFr</v>
          </cell>
          <cell r="AK61" t="str">
            <v>CHF</v>
          </cell>
          <cell r="AL61" t="str">
            <v>CHF</v>
          </cell>
          <cell r="AM61">
            <v>0</v>
          </cell>
          <cell r="AN61">
            <v>2</v>
          </cell>
        </row>
        <row r="62">
          <cell r="A62">
            <v>39559</v>
          </cell>
          <cell r="B62">
            <v>39559</v>
          </cell>
          <cell r="C62" t="str">
            <v>Past</v>
          </cell>
          <cell r="D62">
            <v>62.26</v>
          </cell>
          <cell r="E62" t="e">
            <v>#N/A</v>
          </cell>
          <cell r="F62" t="e">
            <v>#N/A</v>
          </cell>
          <cell r="G62" t="e">
            <v>#N/A</v>
          </cell>
          <cell r="H62" t="e">
            <v>#N/A</v>
          </cell>
          <cell r="I62" t="e">
            <v>#N/A</v>
          </cell>
          <cell r="J62" t="e">
            <v>#N/A</v>
          </cell>
          <cell r="K62" t="e">
            <v>#N/A</v>
          </cell>
          <cell r="L62" t="e">
            <v>#N/A</v>
          </cell>
          <cell r="M62" t="e">
            <v>#N/A</v>
          </cell>
          <cell r="N62" t="e">
            <v>#N/A</v>
          </cell>
          <cell r="O62" t="e">
            <v>#N/A</v>
          </cell>
          <cell r="P62">
            <v>62.26</v>
          </cell>
          <cell r="Q62">
            <v>1.2850429999999999</v>
          </cell>
          <cell r="R62" t="e">
            <v>#N/A</v>
          </cell>
          <cell r="S62" t="str">
            <v>Starting Point</v>
          </cell>
          <cell r="T62">
            <v>558</v>
          </cell>
          <cell r="AI62" t="str">
            <v>CLP Chilean Pesos</v>
          </cell>
          <cell r="AJ62" t="str">
            <v>CLP</v>
          </cell>
          <cell r="AK62" t="str">
            <v>CLP</v>
          </cell>
          <cell r="AL62" t="str">
            <v>CLP</v>
          </cell>
          <cell r="AM62">
            <v>0</v>
          </cell>
          <cell r="AN62">
            <v>2</v>
          </cell>
        </row>
        <row r="63">
          <cell r="A63">
            <v>39560</v>
          </cell>
          <cell r="B63">
            <v>39560</v>
          </cell>
          <cell r="C63" t="str">
            <v>Past</v>
          </cell>
          <cell r="D63">
            <v>61.42</v>
          </cell>
          <cell r="E63" t="e">
            <v>#N/A</v>
          </cell>
          <cell r="F63" t="e">
            <v>#N/A</v>
          </cell>
          <cell r="G63" t="e">
            <v>#N/A</v>
          </cell>
          <cell r="H63" t="e">
            <v>#N/A</v>
          </cell>
          <cell r="I63" t="e">
            <v>#N/A</v>
          </cell>
          <cell r="J63" t="e">
            <v>#N/A</v>
          </cell>
          <cell r="K63" t="e">
            <v>#N/A</v>
          </cell>
          <cell r="L63" t="e">
            <v>#N/A</v>
          </cell>
          <cell r="M63" t="e">
            <v>#N/A</v>
          </cell>
          <cell r="N63" t="e">
            <v>#N/A</v>
          </cell>
          <cell r="O63" t="e">
            <v>#N/A</v>
          </cell>
          <cell r="P63">
            <v>61.42</v>
          </cell>
          <cell r="Q63">
            <v>0.88567399999999996</v>
          </cell>
          <cell r="R63" t="e">
            <v>#N/A</v>
          </cell>
          <cell r="S63" t="str">
            <v>Saved</v>
          </cell>
          <cell r="T63">
            <v>254</v>
          </cell>
          <cell r="AI63" t="str">
            <v>CNY Chinese Renminbi Yuan</v>
          </cell>
          <cell r="AJ63" t="str">
            <v>Rmb</v>
          </cell>
          <cell r="AK63" t="str">
            <v>CNY</v>
          </cell>
          <cell r="AL63" t="str">
            <v>CNY</v>
          </cell>
          <cell r="AM63">
            <v>0</v>
          </cell>
          <cell r="AN63">
            <v>2</v>
          </cell>
        </row>
        <row r="64">
          <cell r="A64">
            <v>39561</v>
          </cell>
          <cell r="B64">
            <v>39561</v>
          </cell>
          <cell r="C64" t="str">
            <v>Past</v>
          </cell>
          <cell r="D64">
            <v>62.49</v>
          </cell>
          <cell r="E64" t="e">
            <v>#N/A</v>
          </cell>
          <cell r="F64" t="e">
            <v>#N/A</v>
          </cell>
          <cell r="G64" t="e">
            <v>#N/A</v>
          </cell>
          <cell r="H64" t="e">
            <v>#N/A</v>
          </cell>
          <cell r="I64" t="e">
            <v>#N/A</v>
          </cell>
          <cell r="J64" t="e">
            <v>#N/A</v>
          </cell>
          <cell r="K64" t="e">
            <v>#N/A</v>
          </cell>
          <cell r="L64" t="e">
            <v>#N/A</v>
          </cell>
          <cell r="M64" t="e">
            <v>#N/A</v>
          </cell>
          <cell r="N64" t="e">
            <v>#N/A</v>
          </cell>
          <cell r="O64" t="e">
            <v>#N/A</v>
          </cell>
          <cell r="P64">
            <v>62.49</v>
          </cell>
          <cell r="Q64">
            <v>1.2205809999999999</v>
          </cell>
          <cell r="R64" t="e">
            <v>#N/A</v>
          </cell>
          <cell r="S64" t="str">
            <v>Right alligned</v>
          </cell>
          <cell r="T64">
            <v>0</v>
          </cell>
          <cell r="AI64" t="str">
            <v>COP Colombian Peso</v>
          </cell>
          <cell r="AJ64" t="str">
            <v>COP</v>
          </cell>
          <cell r="AK64" t="str">
            <v>COP</v>
          </cell>
          <cell r="AL64" t="str">
            <v>COP</v>
          </cell>
          <cell r="AM64">
            <v>0</v>
          </cell>
          <cell r="AN64">
            <v>2</v>
          </cell>
        </row>
        <row r="65">
          <cell r="A65">
            <v>39562</v>
          </cell>
          <cell r="B65">
            <v>39562</v>
          </cell>
          <cell r="C65" t="str">
            <v>Past</v>
          </cell>
          <cell r="D65">
            <v>62.36</v>
          </cell>
          <cell r="E65" t="e">
            <v>#N/A</v>
          </cell>
          <cell r="F65" t="e">
            <v>#N/A</v>
          </cell>
          <cell r="G65" t="e">
            <v>#N/A</v>
          </cell>
          <cell r="H65" t="e">
            <v>#N/A</v>
          </cell>
          <cell r="I65" t="e">
            <v>#N/A</v>
          </cell>
          <cell r="J65" t="e">
            <v>#N/A</v>
          </cell>
          <cell r="K65" t="e">
            <v>#N/A</v>
          </cell>
          <cell r="L65" t="e">
            <v>#N/A</v>
          </cell>
          <cell r="M65" t="e">
            <v>#N/A</v>
          </cell>
          <cell r="N65" t="e">
            <v>#N/A</v>
          </cell>
          <cell r="O65" t="e">
            <v>#N/A</v>
          </cell>
          <cell r="P65">
            <v>62.36</v>
          </cell>
          <cell r="Q65">
            <v>1.5931579999999999</v>
          </cell>
          <cell r="R65" t="e">
            <v>#N/A</v>
          </cell>
          <cell r="S65" t="str">
            <v>Decimal</v>
          </cell>
          <cell r="T65">
            <v>2</v>
          </cell>
          <cell r="AI65" t="str">
            <v>CZK Czech Krona</v>
          </cell>
          <cell r="AJ65" t="str">
            <v>Kcs</v>
          </cell>
          <cell r="AK65" t="str">
            <v>CZK</v>
          </cell>
          <cell r="AL65" t="str">
            <v>CZK</v>
          </cell>
          <cell r="AM65">
            <v>0</v>
          </cell>
          <cell r="AN65">
            <v>2</v>
          </cell>
        </row>
        <row r="66">
          <cell r="A66">
            <v>39563</v>
          </cell>
          <cell r="B66">
            <v>39563</v>
          </cell>
          <cell r="C66" t="str">
            <v>Past</v>
          </cell>
          <cell r="D66">
            <v>64.44</v>
          </cell>
          <cell r="E66" t="e">
            <v>#N/A</v>
          </cell>
          <cell r="F66" t="e">
            <v>#N/A</v>
          </cell>
          <cell r="G66" t="e">
            <v>#N/A</v>
          </cell>
          <cell r="H66" t="e">
            <v>#N/A</v>
          </cell>
          <cell r="I66" t="e">
            <v>#N/A</v>
          </cell>
          <cell r="J66" t="e">
            <v>#N/A</v>
          </cell>
          <cell r="K66" t="e">
            <v>#N/A</v>
          </cell>
          <cell r="L66" t="e">
            <v>#N/A</v>
          </cell>
          <cell r="M66" t="e">
            <v>#N/A</v>
          </cell>
          <cell r="N66" t="e">
            <v>#N/A</v>
          </cell>
          <cell r="O66" t="e">
            <v>#N/A</v>
          </cell>
          <cell r="P66">
            <v>64.44</v>
          </cell>
          <cell r="Q66">
            <v>1.258497</v>
          </cell>
          <cell r="R66" t="e">
            <v>#N/A</v>
          </cell>
          <cell r="S66" t="str">
            <v>default StartDate</v>
          </cell>
          <cell r="T66">
            <v>39547</v>
          </cell>
          <cell r="AI66" t="str">
            <v>DKK Danish Krone</v>
          </cell>
          <cell r="AJ66" t="str">
            <v>DKr</v>
          </cell>
          <cell r="AK66" t="str">
            <v>DKK</v>
          </cell>
          <cell r="AL66" t="str">
            <v>DKK</v>
          </cell>
          <cell r="AM66">
            <v>0</v>
          </cell>
          <cell r="AN66">
            <v>2</v>
          </cell>
        </row>
        <row r="67">
          <cell r="A67">
            <v>39566</v>
          </cell>
          <cell r="B67">
            <v>39566</v>
          </cell>
          <cell r="C67" t="str">
            <v>Past</v>
          </cell>
          <cell r="D67">
            <v>64.06</v>
          </cell>
          <cell r="E67" t="e">
            <v>#N/A</v>
          </cell>
          <cell r="F67" t="e">
            <v>#N/A</v>
          </cell>
          <cell r="G67" t="e">
            <v>#N/A</v>
          </cell>
          <cell r="H67" t="e">
            <v>#N/A</v>
          </cell>
          <cell r="I67" t="e">
            <v>#N/A</v>
          </cell>
          <cell r="J67" t="e">
            <v>#N/A</v>
          </cell>
          <cell r="K67" t="e">
            <v>#N/A</v>
          </cell>
          <cell r="L67" t="e">
            <v>#N/A</v>
          </cell>
          <cell r="M67" t="e">
            <v>#N/A</v>
          </cell>
          <cell r="N67" t="e">
            <v>#N/A</v>
          </cell>
          <cell r="O67" t="e">
            <v>#N/A</v>
          </cell>
          <cell r="P67">
            <v>64.06</v>
          </cell>
          <cell r="Q67">
            <v>1.0035969999999999</v>
          </cell>
          <cell r="R67" t="e">
            <v>#N/A</v>
          </cell>
          <cell r="S67" t="str">
            <v>default EndDate</v>
          </cell>
          <cell r="T67">
            <v>40642</v>
          </cell>
          <cell r="AI67" t="str">
            <v>DZD Algerian Dinar</v>
          </cell>
          <cell r="AJ67" t="str">
            <v>DZD</v>
          </cell>
          <cell r="AK67" t="str">
            <v>DZD</v>
          </cell>
          <cell r="AL67" t="str">
            <v>DZD</v>
          </cell>
          <cell r="AM67">
            <v>0</v>
          </cell>
          <cell r="AN67">
            <v>2</v>
          </cell>
        </row>
        <row r="68">
          <cell r="A68">
            <v>39567</v>
          </cell>
          <cell r="B68">
            <v>39567</v>
          </cell>
          <cell r="C68" t="str">
            <v>Past</v>
          </cell>
          <cell r="D68">
            <v>63.94</v>
          </cell>
          <cell r="E68" t="e">
            <v>#N/A</v>
          </cell>
          <cell r="F68" t="e">
            <v>#N/A</v>
          </cell>
          <cell r="G68" t="e">
            <v>#N/A</v>
          </cell>
          <cell r="H68" t="e">
            <v>#N/A</v>
          </cell>
          <cell r="I68" t="e">
            <v>#N/A</v>
          </cell>
          <cell r="J68" t="e">
            <v>#N/A</v>
          </cell>
          <cell r="K68" t="e">
            <v>#N/A</v>
          </cell>
          <cell r="L68" t="e">
            <v>#N/A</v>
          </cell>
          <cell r="M68" t="e">
            <v>#N/A</v>
          </cell>
          <cell r="N68" t="e">
            <v>#N/A</v>
          </cell>
          <cell r="O68" t="e">
            <v>#N/A</v>
          </cell>
          <cell r="P68">
            <v>63.94</v>
          </cell>
          <cell r="Q68">
            <v>1.09409</v>
          </cell>
          <cell r="R68" t="e">
            <v>#N/A</v>
          </cell>
          <cell r="S68" t="str">
            <v>Max sharePrice</v>
          </cell>
          <cell r="T68">
            <v>66.34</v>
          </cell>
          <cell r="AI68" t="str">
            <v>EGP Egyptian Pound</v>
          </cell>
          <cell r="AJ68" t="str">
            <v>EGP</v>
          </cell>
          <cell r="AK68" t="str">
            <v>EGP</v>
          </cell>
          <cell r="AL68" t="str">
            <v>EGP</v>
          </cell>
          <cell r="AM68">
            <v>0</v>
          </cell>
          <cell r="AN68">
            <v>2</v>
          </cell>
        </row>
        <row r="69">
          <cell r="A69">
            <v>39568</v>
          </cell>
          <cell r="B69">
            <v>39568</v>
          </cell>
          <cell r="C69" t="str">
            <v>Past</v>
          </cell>
          <cell r="D69">
            <v>63.11</v>
          </cell>
          <cell r="E69" t="e">
            <v>#N/A</v>
          </cell>
          <cell r="F69" t="e">
            <v>#N/A</v>
          </cell>
          <cell r="G69" t="e">
            <v>#N/A</v>
          </cell>
          <cell r="H69" t="e">
            <v>#N/A</v>
          </cell>
          <cell r="I69" t="e">
            <v>#N/A</v>
          </cell>
          <cell r="J69" t="e">
            <v>#N/A</v>
          </cell>
          <cell r="K69" t="e">
            <v>#N/A</v>
          </cell>
          <cell r="L69" t="e">
            <v>#N/A</v>
          </cell>
          <cell r="M69" t="e">
            <v>#N/A</v>
          </cell>
          <cell r="N69" t="e">
            <v>#N/A</v>
          </cell>
          <cell r="O69" t="e">
            <v>#N/A</v>
          </cell>
          <cell r="P69">
            <v>63.11</v>
          </cell>
          <cell r="Q69">
            <v>0.93711499999999992</v>
          </cell>
          <cell r="R69" t="e">
            <v>#N/A</v>
          </cell>
          <cell r="AI69" t="str">
            <v>EUR Euro</v>
          </cell>
          <cell r="AJ69" t="str">
            <v>€</v>
          </cell>
          <cell r="AK69" t="str">
            <v>EUR</v>
          </cell>
          <cell r="AL69" t="str">
            <v>EUR</v>
          </cell>
          <cell r="AM69">
            <v>0</v>
          </cell>
          <cell r="AN69">
            <v>2</v>
          </cell>
        </row>
        <row r="70">
          <cell r="A70">
            <v>39569</v>
          </cell>
          <cell r="B70">
            <v>39569</v>
          </cell>
          <cell r="C70" t="str">
            <v>Past</v>
          </cell>
          <cell r="D70">
            <v>63.7</v>
          </cell>
          <cell r="E70" t="e">
            <v>#N/A</v>
          </cell>
          <cell r="F70" t="e">
            <v>#N/A</v>
          </cell>
          <cell r="G70" t="e">
            <v>#N/A</v>
          </cell>
          <cell r="H70" t="e">
            <v>#N/A</v>
          </cell>
          <cell r="I70" t="e">
            <v>#N/A</v>
          </cell>
          <cell r="J70" t="e">
            <v>#N/A</v>
          </cell>
          <cell r="K70" t="e">
            <v>#N/A</v>
          </cell>
          <cell r="L70" t="e">
            <v>#N/A</v>
          </cell>
          <cell r="M70" t="e">
            <v>#N/A</v>
          </cell>
          <cell r="N70" t="e">
            <v>#N/A</v>
          </cell>
          <cell r="O70" t="e">
            <v>#N/A</v>
          </cell>
          <cell r="P70">
            <v>63.7</v>
          </cell>
          <cell r="Q70">
            <v>1.054791</v>
          </cell>
          <cell r="R70" t="e">
            <v>#N/A</v>
          </cell>
          <cell r="AI70" t="str">
            <v>GBp British Pence</v>
          </cell>
          <cell r="AJ70" t="str">
            <v>p</v>
          </cell>
          <cell r="AK70" t="str">
            <v>GBp</v>
          </cell>
          <cell r="AL70" t="str">
            <v>GBX</v>
          </cell>
          <cell r="AM70">
            <v>1</v>
          </cell>
          <cell r="AN70">
            <v>0</v>
          </cell>
        </row>
        <row r="71">
          <cell r="A71">
            <v>39570</v>
          </cell>
          <cell r="B71">
            <v>39570</v>
          </cell>
          <cell r="C71" t="str">
            <v>Past</v>
          </cell>
          <cell r="D71">
            <v>64.849999999999994</v>
          </cell>
          <cell r="E71" t="e">
            <v>#N/A</v>
          </cell>
          <cell r="F71" t="e">
            <v>#N/A</v>
          </cell>
          <cell r="G71" t="e">
            <v>#N/A</v>
          </cell>
          <cell r="H71" t="e">
            <v>#N/A</v>
          </cell>
          <cell r="I71" t="e">
            <v>#N/A</v>
          </cell>
          <cell r="J71" t="e">
            <v>#N/A</v>
          </cell>
          <cell r="K71" t="e">
            <v>#N/A</v>
          </cell>
          <cell r="L71" t="e">
            <v>#N/A</v>
          </cell>
          <cell r="M71" t="e">
            <v>#N/A</v>
          </cell>
          <cell r="N71" t="e">
            <v>#N/A</v>
          </cell>
          <cell r="O71" t="e">
            <v>#N/A</v>
          </cell>
          <cell r="P71">
            <v>64.849999999999994</v>
          </cell>
          <cell r="Q71">
            <v>1.0130520000000001</v>
          </cell>
          <cell r="R71" t="e">
            <v>#N/A</v>
          </cell>
          <cell r="AI71" t="str">
            <v>GBP British Pound</v>
          </cell>
          <cell r="AJ71" t="str">
            <v>₤</v>
          </cell>
          <cell r="AK71" t="str">
            <v>GBP</v>
          </cell>
          <cell r="AL71" t="str">
            <v>GBP</v>
          </cell>
          <cell r="AM71">
            <v>0</v>
          </cell>
          <cell r="AN71">
            <v>2</v>
          </cell>
        </row>
        <row r="72">
          <cell r="A72">
            <v>39573</v>
          </cell>
          <cell r="B72">
            <v>39573</v>
          </cell>
          <cell r="C72" t="str">
            <v>Past</v>
          </cell>
          <cell r="D72">
            <v>63.89</v>
          </cell>
          <cell r="E72" t="e">
            <v>#N/A</v>
          </cell>
          <cell r="F72" t="e">
            <v>#N/A</v>
          </cell>
          <cell r="G72" t="e">
            <v>#N/A</v>
          </cell>
          <cell r="H72" t="e">
            <v>#N/A</v>
          </cell>
          <cell r="I72" t="e">
            <v>#N/A</v>
          </cell>
          <cell r="J72" t="e">
            <v>#N/A</v>
          </cell>
          <cell r="K72" t="e">
            <v>#N/A</v>
          </cell>
          <cell r="L72" t="e">
            <v>#N/A</v>
          </cell>
          <cell r="M72" t="e">
            <v>#N/A</v>
          </cell>
          <cell r="N72" t="e">
            <v>#N/A</v>
          </cell>
          <cell r="O72" t="e">
            <v>#N/A</v>
          </cell>
          <cell r="P72">
            <v>63.89</v>
          </cell>
          <cell r="Q72">
            <v>0.89414799999999994</v>
          </cell>
          <cell r="R72" t="e">
            <v>#N/A</v>
          </cell>
          <cell r="AI72" t="str">
            <v>HKD Hong Kong Dollar</v>
          </cell>
          <cell r="AJ72" t="str">
            <v>HK$</v>
          </cell>
          <cell r="AK72" t="str">
            <v>HKD</v>
          </cell>
          <cell r="AL72" t="str">
            <v>HKD</v>
          </cell>
          <cell r="AM72">
            <v>0</v>
          </cell>
          <cell r="AN72">
            <v>2</v>
          </cell>
        </row>
        <row r="73">
          <cell r="A73">
            <v>39574</v>
          </cell>
          <cell r="B73">
            <v>39574</v>
          </cell>
          <cell r="C73" t="str">
            <v>Past</v>
          </cell>
          <cell r="D73">
            <v>64.239999999999995</v>
          </cell>
          <cell r="E73" t="e">
            <v>#N/A</v>
          </cell>
          <cell r="F73" t="e">
            <v>#N/A</v>
          </cell>
          <cell r="G73" t="e">
            <v>#N/A</v>
          </cell>
          <cell r="H73" t="e">
            <v>#N/A</v>
          </cell>
          <cell r="I73" t="e">
            <v>#N/A</v>
          </cell>
          <cell r="J73" t="e">
            <v>#N/A</v>
          </cell>
          <cell r="K73" t="e">
            <v>#N/A</v>
          </cell>
          <cell r="L73" t="e">
            <v>#N/A</v>
          </cell>
          <cell r="M73" t="e">
            <v>#N/A</v>
          </cell>
          <cell r="N73" t="e">
            <v>#N/A</v>
          </cell>
          <cell r="O73" t="e">
            <v>#N/A</v>
          </cell>
          <cell r="P73">
            <v>64.239999999999995</v>
          </cell>
          <cell r="Q73">
            <v>0.80053399999999997</v>
          </cell>
          <cell r="R73" t="e">
            <v>#N/A</v>
          </cell>
          <cell r="AI73" t="str">
            <v>HUF Hungarian forint</v>
          </cell>
          <cell r="AJ73" t="str">
            <v>Ft</v>
          </cell>
          <cell r="AK73" t="str">
            <v>HUF</v>
          </cell>
          <cell r="AL73" t="str">
            <v>HUF</v>
          </cell>
          <cell r="AM73">
            <v>0</v>
          </cell>
          <cell r="AN73">
            <v>2</v>
          </cell>
        </row>
        <row r="74">
          <cell r="A74">
            <v>39575</v>
          </cell>
          <cell r="B74">
            <v>39575</v>
          </cell>
          <cell r="C74" t="str">
            <v>Past</v>
          </cell>
          <cell r="D74">
            <v>62.64</v>
          </cell>
          <cell r="E74" t="e">
            <v>#N/A</v>
          </cell>
          <cell r="F74" t="e">
            <v>#N/A</v>
          </cell>
          <cell r="G74" t="e">
            <v>#N/A</v>
          </cell>
          <cell r="H74" t="e">
            <v>#N/A</v>
          </cell>
          <cell r="I74" t="e">
            <v>#N/A</v>
          </cell>
          <cell r="J74" t="e">
            <v>#N/A</v>
          </cell>
          <cell r="K74" t="e">
            <v>#N/A</v>
          </cell>
          <cell r="L74" t="e">
            <v>#N/A</v>
          </cell>
          <cell r="M74" t="e">
            <v>#N/A</v>
          </cell>
          <cell r="N74" t="e">
            <v>#N/A</v>
          </cell>
          <cell r="O74" t="e">
            <v>#N/A</v>
          </cell>
          <cell r="P74">
            <v>62.64</v>
          </cell>
          <cell r="Q74">
            <v>0.89341899999999996</v>
          </cell>
          <cell r="R74" t="e">
            <v>#N/A</v>
          </cell>
          <cell r="AI74" t="str">
            <v>IDR Indonesian Rupiah</v>
          </cell>
          <cell r="AJ74" t="str">
            <v>Rp</v>
          </cell>
          <cell r="AK74" t="str">
            <v>IDR</v>
          </cell>
          <cell r="AL74" t="str">
            <v>IDR</v>
          </cell>
          <cell r="AM74">
            <v>0</v>
          </cell>
          <cell r="AN74">
            <v>0</v>
          </cell>
        </row>
        <row r="75">
          <cell r="A75">
            <v>39576</v>
          </cell>
          <cell r="B75">
            <v>39576</v>
          </cell>
          <cell r="C75" t="str">
            <v>Past</v>
          </cell>
          <cell r="D75">
            <v>63.42</v>
          </cell>
          <cell r="E75" t="e">
            <v>#N/A</v>
          </cell>
          <cell r="F75" t="e">
            <v>#N/A</v>
          </cell>
          <cell r="G75" t="e">
            <v>#N/A</v>
          </cell>
          <cell r="H75" t="e">
            <v>#N/A</v>
          </cell>
          <cell r="I75" t="e">
            <v>#N/A</v>
          </cell>
          <cell r="J75" t="e">
            <v>#N/A</v>
          </cell>
          <cell r="K75" t="e">
            <v>#N/A</v>
          </cell>
          <cell r="L75" t="e">
            <v>#N/A</v>
          </cell>
          <cell r="M75" t="e">
            <v>#N/A</v>
          </cell>
          <cell r="N75" t="e">
            <v>#N/A</v>
          </cell>
          <cell r="O75" t="e">
            <v>#N/A</v>
          </cell>
          <cell r="P75">
            <v>63.42</v>
          </cell>
          <cell r="Q75">
            <v>0.76153899999999997</v>
          </cell>
          <cell r="R75" t="e">
            <v>#N/A</v>
          </cell>
          <cell r="AI75" t="str">
            <v>ILS Israeli shekel</v>
          </cell>
          <cell r="AJ75" t="str">
            <v>ILS</v>
          </cell>
          <cell r="AK75" t="str">
            <v>ILS</v>
          </cell>
          <cell r="AL75" t="str">
            <v>ILS</v>
          </cell>
          <cell r="AM75">
            <v>0</v>
          </cell>
          <cell r="AN75">
            <v>2</v>
          </cell>
        </row>
        <row r="76">
          <cell r="A76">
            <v>39577</v>
          </cell>
          <cell r="B76">
            <v>39577</v>
          </cell>
          <cell r="C76" t="str">
            <v>Past</v>
          </cell>
          <cell r="D76">
            <v>63.03</v>
          </cell>
          <cell r="E76" t="e">
            <v>#N/A</v>
          </cell>
          <cell r="F76" t="e">
            <v>#N/A</v>
          </cell>
          <cell r="G76" t="e">
            <v>#N/A</v>
          </cell>
          <cell r="H76" t="e">
            <v>#N/A</v>
          </cell>
          <cell r="I76" t="e">
            <v>#N/A</v>
          </cell>
          <cell r="J76" t="e">
            <v>#N/A</v>
          </cell>
          <cell r="K76" t="e">
            <v>#N/A</v>
          </cell>
          <cell r="L76" t="e">
            <v>#N/A</v>
          </cell>
          <cell r="M76" t="e">
            <v>#N/A</v>
          </cell>
          <cell r="N76" t="e">
            <v>#N/A</v>
          </cell>
          <cell r="O76" t="e">
            <v>#N/A</v>
          </cell>
          <cell r="P76">
            <v>63.03</v>
          </cell>
          <cell r="Q76">
            <v>0.673929</v>
          </cell>
          <cell r="R76" t="e">
            <v>#N/A</v>
          </cell>
          <cell r="AI76" t="str">
            <v>INR Indian Rupee</v>
          </cell>
          <cell r="AJ76" t="str">
            <v>Rs.</v>
          </cell>
          <cell r="AK76" t="str">
            <v>INR</v>
          </cell>
          <cell r="AL76" t="str">
            <v>INR</v>
          </cell>
          <cell r="AM76">
            <v>0</v>
          </cell>
          <cell r="AN76">
            <v>2</v>
          </cell>
        </row>
        <row r="77">
          <cell r="A77">
            <v>39580</v>
          </cell>
          <cell r="B77">
            <v>39580</v>
          </cell>
          <cell r="C77" t="str">
            <v>Past</v>
          </cell>
          <cell r="D77">
            <v>63.88</v>
          </cell>
          <cell r="E77" t="e">
            <v>#N/A</v>
          </cell>
          <cell r="F77" t="e">
            <v>#N/A</v>
          </cell>
          <cell r="G77" t="e">
            <v>#N/A</v>
          </cell>
          <cell r="H77" t="e">
            <v>#N/A</v>
          </cell>
          <cell r="I77" t="e">
            <v>#N/A</v>
          </cell>
          <cell r="J77" t="e">
            <v>#N/A</v>
          </cell>
          <cell r="K77" t="e">
            <v>#N/A</v>
          </cell>
          <cell r="L77" t="e">
            <v>#N/A</v>
          </cell>
          <cell r="M77" t="e">
            <v>#N/A</v>
          </cell>
          <cell r="N77" t="e">
            <v>#N/A</v>
          </cell>
          <cell r="O77" t="e">
            <v>#N/A</v>
          </cell>
          <cell r="P77">
            <v>63.88</v>
          </cell>
          <cell r="Q77">
            <v>0.36889699999999997</v>
          </cell>
          <cell r="R77" t="e">
            <v>#N/A</v>
          </cell>
          <cell r="AI77" t="str">
            <v>IQD Iraqi Dinar</v>
          </cell>
          <cell r="AJ77" t="str">
            <v>IQD</v>
          </cell>
          <cell r="AK77" t="str">
            <v>IQD</v>
          </cell>
          <cell r="AL77" t="str">
            <v>IQD</v>
          </cell>
          <cell r="AM77">
            <v>0</v>
          </cell>
          <cell r="AN77">
            <v>2</v>
          </cell>
        </row>
        <row r="78">
          <cell r="A78">
            <v>39581</v>
          </cell>
          <cell r="B78">
            <v>39581</v>
          </cell>
          <cell r="C78" t="str">
            <v>Past</v>
          </cell>
          <cell r="D78">
            <v>64.680000000000007</v>
          </cell>
          <cell r="E78" t="e">
            <v>#N/A</v>
          </cell>
          <cell r="F78" t="e">
            <v>#N/A</v>
          </cell>
          <cell r="G78" t="e">
            <v>#N/A</v>
          </cell>
          <cell r="H78" t="e">
            <v>#N/A</v>
          </cell>
          <cell r="I78" t="e">
            <v>#N/A</v>
          </cell>
          <cell r="J78" t="e">
            <v>#N/A</v>
          </cell>
          <cell r="K78" t="e">
            <v>#N/A</v>
          </cell>
          <cell r="L78" t="e">
            <v>#N/A</v>
          </cell>
          <cell r="M78" t="e">
            <v>#N/A</v>
          </cell>
          <cell r="N78" t="e">
            <v>#N/A</v>
          </cell>
          <cell r="O78" t="e">
            <v>#N/A</v>
          </cell>
          <cell r="P78">
            <v>64.680000000000007</v>
          </cell>
          <cell r="Q78">
            <v>0.67565299999999995</v>
          </cell>
          <cell r="R78" t="e">
            <v>#N/A</v>
          </cell>
          <cell r="AI78" t="str">
            <v>IRR Iranian Rial</v>
          </cell>
          <cell r="AJ78" t="str">
            <v>IRR</v>
          </cell>
          <cell r="AK78" t="str">
            <v>IRR</v>
          </cell>
          <cell r="AL78" t="str">
            <v>IRR</v>
          </cell>
          <cell r="AM78">
            <v>0</v>
          </cell>
          <cell r="AN78">
            <v>2</v>
          </cell>
        </row>
        <row r="79">
          <cell r="A79">
            <v>39582</v>
          </cell>
          <cell r="B79">
            <v>39582</v>
          </cell>
          <cell r="C79" t="str">
            <v>Past</v>
          </cell>
          <cell r="D79">
            <v>65.72</v>
          </cell>
          <cell r="E79" t="e">
            <v>#N/A</v>
          </cell>
          <cell r="F79" t="e">
            <v>#N/A</v>
          </cell>
          <cell r="G79" t="e">
            <v>#N/A</v>
          </cell>
          <cell r="H79" t="e">
            <v>#N/A</v>
          </cell>
          <cell r="I79" t="e">
            <v>#N/A</v>
          </cell>
          <cell r="J79" t="e">
            <v>#N/A</v>
          </cell>
          <cell r="K79" t="e">
            <v>#N/A</v>
          </cell>
          <cell r="L79" t="e">
            <v>#N/A</v>
          </cell>
          <cell r="M79" t="e">
            <v>#N/A</v>
          </cell>
          <cell r="N79" t="e">
            <v>#N/A</v>
          </cell>
          <cell r="O79" t="e">
            <v>#N/A</v>
          </cell>
          <cell r="P79">
            <v>65.72</v>
          </cell>
          <cell r="Q79">
            <v>1.0094189999999998</v>
          </cell>
          <cell r="R79" t="e">
            <v>#N/A</v>
          </cell>
          <cell r="AI79" t="str">
            <v>ISK Iceland Krona</v>
          </cell>
          <cell r="AJ79" t="str">
            <v>kr</v>
          </cell>
          <cell r="AK79" t="str">
            <v>ISK</v>
          </cell>
          <cell r="AL79" t="str">
            <v>ISK</v>
          </cell>
          <cell r="AM79">
            <v>0</v>
          </cell>
          <cell r="AN79">
            <v>2</v>
          </cell>
        </row>
        <row r="80">
          <cell r="A80">
            <v>39583</v>
          </cell>
          <cell r="B80">
            <v>39583</v>
          </cell>
          <cell r="C80" t="str">
            <v>Past</v>
          </cell>
          <cell r="D80">
            <v>66.34</v>
          </cell>
          <cell r="E80" t="e">
            <v>#N/A</v>
          </cell>
          <cell r="F80" t="e">
            <v>#N/A</v>
          </cell>
          <cell r="G80" t="e">
            <v>#N/A</v>
          </cell>
          <cell r="H80" t="e">
            <v>#N/A</v>
          </cell>
          <cell r="I80" t="e">
            <v>#N/A</v>
          </cell>
          <cell r="J80" t="e">
            <v>#N/A</v>
          </cell>
          <cell r="K80" t="e">
            <v>#N/A</v>
          </cell>
          <cell r="L80" t="e">
            <v>#N/A</v>
          </cell>
          <cell r="M80" t="e">
            <v>#N/A</v>
          </cell>
          <cell r="N80" t="e">
            <v>#N/A</v>
          </cell>
          <cell r="O80" t="e">
            <v>#N/A</v>
          </cell>
          <cell r="P80">
            <v>66.34</v>
          </cell>
          <cell r="Q80">
            <v>0.69335199999999997</v>
          </cell>
          <cell r="R80" t="e">
            <v>#N/A</v>
          </cell>
          <cell r="AI80" t="str">
            <v>JMD Jamaican Dollars</v>
          </cell>
          <cell r="AJ80" t="str">
            <v>JMD</v>
          </cell>
          <cell r="AK80" t="str">
            <v>JMD</v>
          </cell>
          <cell r="AL80" t="str">
            <v>JMD</v>
          </cell>
          <cell r="AM80">
            <v>0</v>
          </cell>
          <cell r="AN80">
            <v>2</v>
          </cell>
        </row>
        <row r="81">
          <cell r="A81">
            <v>39584</v>
          </cell>
          <cell r="B81">
            <v>39584</v>
          </cell>
          <cell r="C81" t="str">
            <v>Past</v>
          </cell>
          <cell r="D81">
            <v>65.77</v>
          </cell>
          <cell r="E81" t="e">
            <v>#N/A</v>
          </cell>
          <cell r="F81" t="e">
            <v>#N/A</v>
          </cell>
          <cell r="G81" t="e">
            <v>#N/A</v>
          </cell>
          <cell r="H81" t="e">
            <v>#N/A</v>
          </cell>
          <cell r="I81" t="e">
            <v>#N/A</v>
          </cell>
          <cell r="J81" t="e">
            <v>#N/A</v>
          </cell>
          <cell r="K81" t="e">
            <v>#N/A</v>
          </cell>
          <cell r="L81" t="e">
            <v>#N/A</v>
          </cell>
          <cell r="M81" t="e">
            <v>#N/A</v>
          </cell>
          <cell r="N81" t="e">
            <v>#N/A</v>
          </cell>
          <cell r="O81" t="e">
            <v>#N/A</v>
          </cell>
          <cell r="P81">
            <v>65.77</v>
          </cell>
          <cell r="Q81">
            <v>0.80123499999999992</v>
          </cell>
          <cell r="R81" t="e">
            <v>#N/A</v>
          </cell>
          <cell r="AI81" t="str">
            <v>JPY Japanese Yen</v>
          </cell>
          <cell r="AJ81" t="str">
            <v>¥</v>
          </cell>
          <cell r="AK81" t="str">
            <v>JPY</v>
          </cell>
          <cell r="AL81" t="str">
            <v>JPY</v>
          </cell>
          <cell r="AM81">
            <v>0</v>
          </cell>
          <cell r="AN81">
            <v>0</v>
          </cell>
        </row>
        <row r="82">
          <cell r="A82">
            <v>39587</v>
          </cell>
          <cell r="B82">
            <v>39587</v>
          </cell>
          <cell r="C82" t="str">
            <v>Past</v>
          </cell>
          <cell r="D82">
            <v>66.3</v>
          </cell>
          <cell r="E82" t="e">
            <v>#N/A</v>
          </cell>
          <cell r="F82" t="e">
            <v>#N/A</v>
          </cell>
          <cell r="G82" t="e">
            <v>#N/A</v>
          </cell>
          <cell r="H82" t="e">
            <v>#N/A</v>
          </cell>
          <cell r="I82" t="e">
            <v>#N/A</v>
          </cell>
          <cell r="J82" t="e">
            <v>#N/A</v>
          </cell>
          <cell r="K82" t="e">
            <v>#N/A</v>
          </cell>
          <cell r="L82" t="e">
            <v>#N/A</v>
          </cell>
          <cell r="M82" t="e">
            <v>#N/A</v>
          </cell>
          <cell r="N82" t="e">
            <v>#N/A</v>
          </cell>
          <cell r="O82" t="e">
            <v>#N/A</v>
          </cell>
          <cell r="P82">
            <v>66.3</v>
          </cell>
          <cell r="Q82">
            <v>0.94335599999999997</v>
          </cell>
          <cell r="R82" t="e">
            <v>#N/A</v>
          </cell>
          <cell r="AI82" t="str">
            <v>KES Kenyan Shilling</v>
          </cell>
          <cell r="AJ82" t="str">
            <v>KES</v>
          </cell>
          <cell r="AK82" t="str">
            <v>KES</v>
          </cell>
          <cell r="AL82" t="str">
            <v>KES</v>
          </cell>
          <cell r="AM82">
            <v>0</v>
          </cell>
          <cell r="AN82">
            <v>0</v>
          </cell>
        </row>
        <row r="83">
          <cell r="A83">
            <v>39588</v>
          </cell>
          <cell r="B83">
            <v>39588</v>
          </cell>
          <cell r="C83" t="str">
            <v>Past</v>
          </cell>
          <cell r="D83">
            <v>65.33</v>
          </cell>
          <cell r="E83" t="e">
            <v>#N/A</v>
          </cell>
          <cell r="F83" t="e">
            <v>#N/A</v>
          </cell>
          <cell r="G83" t="e">
            <v>#N/A</v>
          </cell>
          <cell r="H83" t="e">
            <v>#N/A</v>
          </cell>
          <cell r="I83" t="e">
            <v>#N/A</v>
          </cell>
          <cell r="J83" t="e">
            <v>#N/A</v>
          </cell>
          <cell r="K83" t="e">
            <v>#N/A</v>
          </cell>
          <cell r="L83" t="e">
            <v>#N/A</v>
          </cell>
          <cell r="M83" t="e">
            <v>#N/A</v>
          </cell>
          <cell r="N83" t="e">
            <v>#N/A</v>
          </cell>
          <cell r="O83" t="e">
            <v>#N/A</v>
          </cell>
          <cell r="P83">
            <v>65.33</v>
          </cell>
          <cell r="Q83">
            <v>0.738506</v>
          </cell>
          <cell r="R83" t="e">
            <v>#N/A</v>
          </cell>
          <cell r="AI83" t="str">
            <v>KRW South Korean Won</v>
          </cell>
          <cell r="AJ83" t="str">
            <v>₩</v>
          </cell>
          <cell r="AK83" t="str">
            <v>KRW</v>
          </cell>
          <cell r="AL83" t="str">
            <v>KRW</v>
          </cell>
          <cell r="AM83">
            <v>0</v>
          </cell>
          <cell r="AN83">
            <v>0</v>
          </cell>
        </row>
        <row r="84">
          <cell r="A84">
            <v>39589</v>
          </cell>
          <cell r="B84">
            <v>39589</v>
          </cell>
          <cell r="C84" t="str">
            <v>Past</v>
          </cell>
          <cell r="D84">
            <v>62.96</v>
          </cell>
          <cell r="E84" t="e">
            <v>#N/A</v>
          </cell>
          <cell r="F84" t="e">
            <v>#N/A</v>
          </cell>
          <cell r="G84" t="e">
            <v>#N/A</v>
          </cell>
          <cell r="H84" t="e">
            <v>#N/A</v>
          </cell>
          <cell r="I84" t="e">
            <v>#N/A</v>
          </cell>
          <cell r="J84" t="e">
            <v>#N/A</v>
          </cell>
          <cell r="K84" t="e">
            <v>#N/A</v>
          </cell>
          <cell r="L84" t="e">
            <v>#N/A</v>
          </cell>
          <cell r="M84" t="e">
            <v>#N/A</v>
          </cell>
          <cell r="N84" t="e">
            <v>#N/A</v>
          </cell>
          <cell r="O84" t="e">
            <v>#N/A</v>
          </cell>
          <cell r="P84">
            <v>62.96</v>
          </cell>
          <cell r="Q84">
            <v>1.104722</v>
          </cell>
          <cell r="R84" t="e">
            <v>#N/A</v>
          </cell>
          <cell r="AI84" t="str">
            <v>KWD Kuwaiti Dinar</v>
          </cell>
          <cell r="AJ84" t="str">
            <v>KWD</v>
          </cell>
          <cell r="AK84" t="str">
            <v>KWD</v>
          </cell>
          <cell r="AL84" t="str">
            <v>KWD</v>
          </cell>
          <cell r="AM84">
            <v>0</v>
          </cell>
          <cell r="AN84">
            <v>2</v>
          </cell>
        </row>
        <row r="85">
          <cell r="A85">
            <v>39590</v>
          </cell>
          <cell r="B85">
            <v>39590</v>
          </cell>
          <cell r="C85" t="str">
            <v>Past</v>
          </cell>
          <cell r="D85">
            <v>61.87</v>
          </cell>
          <cell r="E85" t="e">
            <v>#N/A</v>
          </cell>
          <cell r="F85" t="e">
            <v>#N/A</v>
          </cell>
          <cell r="G85" t="e">
            <v>#N/A</v>
          </cell>
          <cell r="H85" t="e">
            <v>#N/A</v>
          </cell>
          <cell r="I85" t="e">
            <v>#N/A</v>
          </cell>
          <cell r="J85" t="e">
            <v>#N/A</v>
          </cell>
          <cell r="K85" t="e">
            <v>#N/A</v>
          </cell>
          <cell r="L85" t="e">
            <v>#N/A</v>
          </cell>
          <cell r="M85" t="e">
            <v>#N/A</v>
          </cell>
          <cell r="N85" t="e">
            <v>#N/A</v>
          </cell>
          <cell r="O85" t="e">
            <v>#N/A</v>
          </cell>
          <cell r="P85">
            <v>61.87</v>
          </cell>
          <cell r="Q85">
            <v>1.5921900000000002</v>
          </cell>
          <cell r="R85" t="e">
            <v>#N/A</v>
          </cell>
          <cell r="AI85" t="str">
            <v>KYD Cayman Dollars</v>
          </cell>
          <cell r="AJ85" t="str">
            <v>KYD</v>
          </cell>
          <cell r="AK85" t="str">
            <v>KYD</v>
          </cell>
          <cell r="AL85" t="str">
            <v>KYD</v>
          </cell>
          <cell r="AM85">
            <v>0</v>
          </cell>
          <cell r="AN85">
            <v>2</v>
          </cell>
        </row>
        <row r="86">
          <cell r="A86">
            <v>39591</v>
          </cell>
          <cell r="B86">
            <v>39591</v>
          </cell>
          <cell r="C86" t="str">
            <v>Past</v>
          </cell>
          <cell r="D86">
            <v>61.32</v>
          </cell>
          <cell r="E86" t="e">
            <v>#N/A</v>
          </cell>
          <cell r="F86" t="e">
            <v>#N/A</v>
          </cell>
          <cell r="G86" t="e">
            <v>#N/A</v>
          </cell>
          <cell r="H86" t="e">
            <v>#N/A</v>
          </cell>
          <cell r="I86" t="e">
            <v>#N/A</v>
          </cell>
          <cell r="J86" t="e">
            <v>#N/A</v>
          </cell>
          <cell r="K86" t="e">
            <v>#N/A</v>
          </cell>
          <cell r="L86" t="e">
            <v>#N/A</v>
          </cell>
          <cell r="M86" t="e">
            <v>#N/A</v>
          </cell>
          <cell r="N86" t="e">
            <v>#N/A</v>
          </cell>
          <cell r="O86" t="e">
            <v>#N/A</v>
          </cell>
          <cell r="P86">
            <v>61.32</v>
          </cell>
          <cell r="Q86">
            <v>0.83629599999999993</v>
          </cell>
          <cell r="R86" t="e">
            <v>#N/A</v>
          </cell>
          <cell r="AI86" t="str">
            <v>LKR Sri Lankan Rupee</v>
          </cell>
          <cell r="AJ86" t="str">
            <v>LKR</v>
          </cell>
          <cell r="AK86" t="str">
            <v>LKR</v>
          </cell>
          <cell r="AL86" t="str">
            <v>LKR</v>
          </cell>
          <cell r="AM86">
            <v>0</v>
          </cell>
          <cell r="AN86">
            <v>2</v>
          </cell>
        </row>
        <row r="87">
          <cell r="A87">
            <v>39595</v>
          </cell>
          <cell r="B87">
            <v>39595</v>
          </cell>
          <cell r="C87" t="str">
            <v>Past</v>
          </cell>
          <cell r="D87">
            <v>61.08</v>
          </cell>
          <cell r="E87" t="e">
            <v>#N/A</v>
          </cell>
          <cell r="F87" t="e">
            <v>#N/A</v>
          </cell>
          <cell r="G87" t="e">
            <v>#N/A</v>
          </cell>
          <cell r="H87" t="e">
            <v>#N/A</v>
          </cell>
          <cell r="I87" t="e">
            <v>#N/A</v>
          </cell>
          <cell r="J87" t="e">
            <v>#N/A</v>
          </cell>
          <cell r="K87" t="e">
            <v>#N/A</v>
          </cell>
          <cell r="L87" t="e">
            <v>#N/A</v>
          </cell>
          <cell r="M87" t="e">
            <v>#N/A</v>
          </cell>
          <cell r="N87" t="e">
            <v>#N/A</v>
          </cell>
          <cell r="O87" t="e">
            <v>#N/A</v>
          </cell>
          <cell r="P87">
            <v>61.08</v>
          </cell>
          <cell r="Q87">
            <v>1.1519279999999998</v>
          </cell>
          <cell r="R87" t="e">
            <v>#N/A</v>
          </cell>
          <cell r="AI87" t="str">
            <v>MAD Moroccan Dirham</v>
          </cell>
          <cell r="AJ87" t="str">
            <v>MAD</v>
          </cell>
          <cell r="AK87" t="str">
            <v>MAD</v>
          </cell>
          <cell r="AL87" t="str">
            <v>MAD</v>
          </cell>
          <cell r="AM87">
            <v>0</v>
          </cell>
          <cell r="AN87">
            <v>2</v>
          </cell>
        </row>
        <row r="88">
          <cell r="A88">
            <v>39596</v>
          </cell>
          <cell r="B88">
            <v>39596</v>
          </cell>
          <cell r="C88" t="str">
            <v>Past</v>
          </cell>
          <cell r="D88">
            <v>60.83</v>
          </cell>
          <cell r="E88" t="e">
            <v>#N/A</v>
          </cell>
          <cell r="F88" t="e">
            <v>#N/A</v>
          </cell>
          <cell r="G88" t="e">
            <v>#N/A</v>
          </cell>
          <cell r="H88" t="e">
            <v>#N/A</v>
          </cell>
          <cell r="I88" t="e">
            <v>#N/A</v>
          </cell>
          <cell r="J88" t="e">
            <v>#N/A</v>
          </cell>
          <cell r="K88" t="e">
            <v>#N/A</v>
          </cell>
          <cell r="L88" t="e">
            <v>#N/A</v>
          </cell>
          <cell r="M88" t="e">
            <v>#N/A</v>
          </cell>
          <cell r="N88" t="e">
            <v>#N/A</v>
          </cell>
          <cell r="O88" t="e">
            <v>#N/A</v>
          </cell>
          <cell r="P88">
            <v>60.83</v>
          </cell>
          <cell r="Q88">
            <v>0.94472599999999995</v>
          </cell>
          <cell r="R88" t="e">
            <v>#N/A</v>
          </cell>
          <cell r="AI88" t="str">
            <v>MXN Mexican Pesos (new)</v>
          </cell>
          <cell r="AJ88" t="str">
            <v>M$</v>
          </cell>
          <cell r="AK88" t="str">
            <v>MXN</v>
          </cell>
          <cell r="AL88" t="str">
            <v>MXN</v>
          </cell>
          <cell r="AM88">
            <v>0</v>
          </cell>
          <cell r="AN88">
            <v>2</v>
          </cell>
        </row>
        <row r="89">
          <cell r="A89">
            <v>39597</v>
          </cell>
          <cell r="B89">
            <v>39597</v>
          </cell>
          <cell r="C89" t="str">
            <v>Past</v>
          </cell>
          <cell r="D89">
            <v>61.13</v>
          </cell>
          <cell r="E89" t="e">
            <v>#N/A</v>
          </cell>
          <cell r="F89" t="e">
            <v>#N/A</v>
          </cell>
          <cell r="G89" t="e">
            <v>#N/A</v>
          </cell>
          <cell r="H89" t="e">
            <v>#N/A</v>
          </cell>
          <cell r="I89" t="e">
            <v>#N/A</v>
          </cell>
          <cell r="J89" t="e">
            <v>#N/A</v>
          </cell>
          <cell r="K89" t="e">
            <v>#N/A</v>
          </cell>
          <cell r="L89" t="e">
            <v>#N/A</v>
          </cell>
          <cell r="M89" t="e">
            <v>#N/A</v>
          </cell>
          <cell r="N89" t="e">
            <v>#N/A</v>
          </cell>
          <cell r="O89" t="e">
            <v>#N/A</v>
          </cell>
          <cell r="P89">
            <v>61.13</v>
          </cell>
          <cell r="Q89">
            <v>0.61835699999999993</v>
          </cell>
          <cell r="R89" t="e">
            <v>#N/A</v>
          </cell>
          <cell r="AI89" t="str">
            <v>MYR Malaysian Ringgit</v>
          </cell>
          <cell r="AJ89" t="str">
            <v>RM</v>
          </cell>
          <cell r="AK89" t="str">
            <v>MYR</v>
          </cell>
          <cell r="AL89" t="str">
            <v>MYR</v>
          </cell>
          <cell r="AM89">
            <v>0</v>
          </cell>
          <cell r="AN89">
            <v>2</v>
          </cell>
        </row>
        <row r="90">
          <cell r="A90">
            <v>39598</v>
          </cell>
          <cell r="B90">
            <v>39598</v>
          </cell>
          <cell r="C90" t="str">
            <v>Past</v>
          </cell>
          <cell r="D90">
            <v>61.37</v>
          </cell>
          <cell r="E90" t="e">
            <v>#N/A</v>
          </cell>
          <cell r="F90" t="e">
            <v>#N/A</v>
          </cell>
          <cell r="G90" t="e">
            <v>#N/A</v>
          </cell>
          <cell r="H90" t="e">
            <v>#N/A</v>
          </cell>
          <cell r="I90" t="e">
            <v>#N/A</v>
          </cell>
          <cell r="J90" t="e">
            <v>#N/A</v>
          </cell>
          <cell r="K90" t="e">
            <v>#N/A</v>
          </cell>
          <cell r="L90" t="e">
            <v>#N/A</v>
          </cell>
          <cell r="M90" t="e">
            <v>#N/A</v>
          </cell>
          <cell r="N90" t="e">
            <v>#N/A</v>
          </cell>
          <cell r="O90" t="e">
            <v>#N/A</v>
          </cell>
          <cell r="P90">
            <v>61.37</v>
          </cell>
          <cell r="Q90">
            <v>1.0274700000000001</v>
          </cell>
          <cell r="R90" t="e">
            <v>#N/A</v>
          </cell>
          <cell r="AI90" t="str">
            <v>NOK Norwegian Krone</v>
          </cell>
          <cell r="AJ90" t="str">
            <v>NKr</v>
          </cell>
          <cell r="AK90" t="str">
            <v>NOK</v>
          </cell>
          <cell r="AL90" t="str">
            <v>NOK</v>
          </cell>
          <cell r="AM90">
            <v>0</v>
          </cell>
          <cell r="AN90">
            <v>2</v>
          </cell>
        </row>
        <row r="91">
          <cell r="A91">
            <v>39601</v>
          </cell>
          <cell r="B91">
            <v>39601</v>
          </cell>
          <cell r="C91" t="str">
            <v>Past</v>
          </cell>
          <cell r="D91">
            <v>60.48</v>
          </cell>
          <cell r="E91" t="e">
            <v>#N/A</v>
          </cell>
          <cell r="F91" t="e">
            <v>#N/A</v>
          </cell>
          <cell r="G91" t="e">
            <v>#N/A</v>
          </cell>
          <cell r="H91" t="e">
            <v>#N/A</v>
          </cell>
          <cell r="I91" t="e">
            <v>#N/A</v>
          </cell>
          <cell r="J91" t="e">
            <v>#N/A</v>
          </cell>
          <cell r="K91" t="e">
            <v>#N/A</v>
          </cell>
          <cell r="L91" t="e">
            <v>#N/A</v>
          </cell>
          <cell r="M91" t="e">
            <v>#N/A</v>
          </cell>
          <cell r="N91" t="e">
            <v>#N/A</v>
          </cell>
          <cell r="O91" t="e">
            <v>#N/A</v>
          </cell>
          <cell r="P91">
            <v>60.48</v>
          </cell>
          <cell r="Q91">
            <v>0.90958799999999995</v>
          </cell>
          <cell r="R91" t="e">
            <v>#N/A</v>
          </cell>
          <cell r="AI91" t="str">
            <v>NZD New Zealand Dollars</v>
          </cell>
          <cell r="AJ91" t="str">
            <v>NZ$</v>
          </cell>
          <cell r="AK91" t="str">
            <v>NZD</v>
          </cell>
          <cell r="AL91" t="str">
            <v>NZD</v>
          </cell>
          <cell r="AM91">
            <v>0</v>
          </cell>
          <cell r="AN91">
            <v>2</v>
          </cell>
        </row>
        <row r="92">
          <cell r="A92">
            <v>39602</v>
          </cell>
          <cell r="B92">
            <v>39602</v>
          </cell>
          <cell r="C92" t="str">
            <v>Past</v>
          </cell>
          <cell r="D92">
            <v>59.53</v>
          </cell>
          <cell r="E92" t="e">
            <v>#N/A</v>
          </cell>
          <cell r="F92" t="e">
            <v>#N/A</v>
          </cell>
          <cell r="G92" t="e">
            <v>#N/A</v>
          </cell>
          <cell r="H92" t="e">
            <v>#N/A</v>
          </cell>
          <cell r="I92" t="e">
            <v>#N/A</v>
          </cell>
          <cell r="J92" t="e">
            <v>#N/A</v>
          </cell>
          <cell r="K92" t="e">
            <v>#N/A</v>
          </cell>
          <cell r="L92" t="e">
            <v>#N/A</v>
          </cell>
          <cell r="M92" t="e">
            <v>#N/A</v>
          </cell>
          <cell r="N92" t="e">
            <v>#N/A</v>
          </cell>
          <cell r="O92" t="e">
            <v>#N/A</v>
          </cell>
          <cell r="P92">
            <v>59.53</v>
          </cell>
          <cell r="Q92">
            <v>2.1573549999999999</v>
          </cell>
          <cell r="R92" t="e">
            <v>#N/A</v>
          </cell>
          <cell r="AI92" t="str">
            <v>OMR Rial Omani</v>
          </cell>
          <cell r="AJ92" t="str">
            <v>OMR</v>
          </cell>
          <cell r="AK92" t="str">
            <v>OMR</v>
          </cell>
          <cell r="AL92" t="str">
            <v>OMR</v>
          </cell>
          <cell r="AM92">
            <v>0</v>
          </cell>
          <cell r="AN92">
            <v>2</v>
          </cell>
        </row>
        <row r="93">
          <cell r="A93">
            <v>39603</v>
          </cell>
          <cell r="B93">
            <v>39603</v>
          </cell>
          <cell r="C93" t="str">
            <v>Past</v>
          </cell>
          <cell r="D93">
            <v>58.46</v>
          </cell>
          <cell r="E93" t="e">
            <v>#N/A</v>
          </cell>
          <cell r="F93" t="e">
            <v>#N/A</v>
          </cell>
          <cell r="G93" t="e">
            <v>#N/A</v>
          </cell>
          <cell r="H93" t="e">
            <v>#N/A</v>
          </cell>
          <cell r="I93" t="e">
            <v>#N/A</v>
          </cell>
          <cell r="J93" t="e">
            <v>#N/A</v>
          </cell>
          <cell r="K93" t="e">
            <v>#N/A</v>
          </cell>
          <cell r="L93" t="e">
            <v>#N/A</v>
          </cell>
          <cell r="M93" t="e">
            <v>#N/A</v>
          </cell>
          <cell r="N93" t="e">
            <v>#N/A</v>
          </cell>
          <cell r="O93" t="e">
            <v>#N/A</v>
          </cell>
          <cell r="P93">
            <v>58.46</v>
          </cell>
          <cell r="Q93">
            <v>2.5510300000000004</v>
          </cell>
          <cell r="R93" t="e">
            <v>#N/A</v>
          </cell>
          <cell r="AI93" t="str">
            <v>PAB Panamanian Balboa</v>
          </cell>
          <cell r="AJ93" t="str">
            <v>PAB</v>
          </cell>
          <cell r="AK93" t="str">
            <v>PAB</v>
          </cell>
          <cell r="AL93" t="str">
            <v>PAB</v>
          </cell>
          <cell r="AM93">
            <v>0</v>
          </cell>
          <cell r="AN93">
            <v>2</v>
          </cell>
        </row>
        <row r="94">
          <cell r="A94">
            <v>39604</v>
          </cell>
          <cell r="B94">
            <v>39604</v>
          </cell>
          <cell r="C94" t="str">
            <v>Past</v>
          </cell>
          <cell r="D94">
            <v>58.6</v>
          </cell>
          <cell r="E94" t="e">
            <v>#N/A</v>
          </cell>
          <cell r="F94" t="e">
            <v>#N/A</v>
          </cell>
          <cell r="G94" t="e">
            <v>#N/A</v>
          </cell>
          <cell r="H94" t="e">
            <v>#N/A</v>
          </cell>
          <cell r="I94" t="e">
            <v>#N/A</v>
          </cell>
          <cell r="J94" t="e">
            <v>#N/A</v>
          </cell>
          <cell r="K94" t="e">
            <v>#N/A</v>
          </cell>
          <cell r="L94" t="e">
            <v>#N/A</v>
          </cell>
          <cell r="M94" t="e">
            <v>#N/A</v>
          </cell>
          <cell r="N94" t="e">
            <v>#N/A</v>
          </cell>
          <cell r="O94" t="e">
            <v>#N/A</v>
          </cell>
          <cell r="P94">
            <v>58.6</v>
          </cell>
          <cell r="Q94">
            <v>1.563715</v>
          </cell>
          <cell r="R94" t="e">
            <v>#N/A</v>
          </cell>
          <cell r="AI94" t="str">
            <v>PEN Peruvian PEN</v>
          </cell>
          <cell r="AJ94" t="str">
            <v>PEN</v>
          </cell>
          <cell r="AK94" t="str">
            <v>PEN</v>
          </cell>
          <cell r="AL94" t="str">
            <v>PEN</v>
          </cell>
          <cell r="AM94">
            <v>0</v>
          </cell>
          <cell r="AN94">
            <v>2</v>
          </cell>
        </row>
        <row r="95">
          <cell r="A95">
            <v>39605</v>
          </cell>
          <cell r="B95">
            <v>39605</v>
          </cell>
          <cell r="C95" t="str">
            <v>Past</v>
          </cell>
          <cell r="D95">
            <v>55.66</v>
          </cell>
          <cell r="E95" t="e">
            <v>#N/A</v>
          </cell>
          <cell r="F95" t="e">
            <v>#N/A</v>
          </cell>
          <cell r="G95" t="e">
            <v>#N/A</v>
          </cell>
          <cell r="H95" t="e">
            <v>#N/A</v>
          </cell>
          <cell r="I95" t="e">
            <v>#N/A</v>
          </cell>
          <cell r="J95" t="e">
            <v>#N/A</v>
          </cell>
          <cell r="K95" t="e">
            <v>#N/A</v>
          </cell>
          <cell r="L95" t="e">
            <v>#N/A</v>
          </cell>
          <cell r="M95" t="e">
            <v>#N/A</v>
          </cell>
          <cell r="N95" t="e">
            <v>#N/A</v>
          </cell>
          <cell r="O95" t="e">
            <v>#N/A</v>
          </cell>
          <cell r="P95">
            <v>55.66</v>
          </cell>
          <cell r="Q95">
            <v>2.6248209999999998</v>
          </cell>
          <cell r="R95" t="e">
            <v>#N/A</v>
          </cell>
          <cell r="AI95" t="str">
            <v>PHP Philippino Peso</v>
          </cell>
          <cell r="AJ95" t="str">
            <v>PP</v>
          </cell>
          <cell r="AK95" t="str">
            <v>PHP</v>
          </cell>
          <cell r="AL95" t="str">
            <v>PHP</v>
          </cell>
          <cell r="AM95">
            <v>0</v>
          </cell>
          <cell r="AN95">
            <v>2</v>
          </cell>
        </row>
        <row r="96">
          <cell r="A96">
            <v>39608</v>
          </cell>
          <cell r="B96">
            <v>39608</v>
          </cell>
          <cell r="C96" t="str">
            <v>Past</v>
          </cell>
          <cell r="D96">
            <v>54.4</v>
          </cell>
          <cell r="E96" t="e">
            <v>#N/A</v>
          </cell>
          <cell r="F96" t="e">
            <v>#N/A</v>
          </cell>
          <cell r="G96" t="e">
            <v>#N/A</v>
          </cell>
          <cell r="H96" t="e">
            <v>#N/A</v>
          </cell>
          <cell r="I96" t="e">
            <v>#N/A</v>
          </cell>
          <cell r="J96" t="e">
            <v>#N/A</v>
          </cell>
          <cell r="K96" t="e">
            <v>#N/A</v>
          </cell>
          <cell r="L96" t="e">
            <v>#N/A</v>
          </cell>
          <cell r="M96" t="e">
            <v>#N/A</v>
          </cell>
          <cell r="N96" t="e">
            <v>#N/A</v>
          </cell>
          <cell r="O96" t="e">
            <v>#N/A</v>
          </cell>
          <cell r="P96">
            <v>54.4</v>
          </cell>
          <cell r="Q96">
            <v>3.6331560000000001</v>
          </cell>
          <cell r="R96" t="e">
            <v>#N/A</v>
          </cell>
          <cell r="AI96" t="str">
            <v>PKR Pakistani Rupee</v>
          </cell>
          <cell r="AJ96" t="str">
            <v>Rs.</v>
          </cell>
          <cell r="AK96" t="str">
            <v>PKR</v>
          </cell>
          <cell r="AL96" t="str">
            <v>PKR</v>
          </cell>
          <cell r="AM96">
            <v>0</v>
          </cell>
          <cell r="AN96">
            <v>2</v>
          </cell>
        </row>
        <row r="97">
          <cell r="A97">
            <v>39609</v>
          </cell>
          <cell r="B97">
            <v>39609</v>
          </cell>
          <cell r="C97" t="str">
            <v>Past</v>
          </cell>
          <cell r="D97">
            <v>54.17</v>
          </cell>
          <cell r="E97" t="e">
            <v>#N/A</v>
          </cell>
          <cell r="F97" t="e">
            <v>#N/A</v>
          </cell>
          <cell r="G97" t="e">
            <v>#N/A</v>
          </cell>
          <cell r="H97" t="e">
            <v>#N/A</v>
          </cell>
          <cell r="I97" t="e">
            <v>#N/A</v>
          </cell>
          <cell r="J97" t="e">
            <v>#N/A</v>
          </cell>
          <cell r="K97" t="e">
            <v>#N/A</v>
          </cell>
          <cell r="L97" t="e">
            <v>#N/A</v>
          </cell>
          <cell r="M97" t="e">
            <v>#N/A</v>
          </cell>
          <cell r="N97" t="e">
            <v>#N/A</v>
          </cell>
          <cell r="O97" t="e">
            <v>#N/A</v>
          </cell>
          <cell r="P97">
            <v>54.17</v>
          </cell>
          <cell r="Q97">
            <v>2.279776</v>
          </cell>
          <cell r="R97" t="e">
            <v>#N/A</v>
          </cell>
          <cell r="AI97" t="str">
            <v>PLN Polish Zloty</v>
          </cell>
          <cell r="AJ97" t="str">
            <v>zł</v>
          </cell>
          <cell r="AK97" t="str">
            <v>PLN</v>
          </cell>
          <cell r="AL97" t="str">
            <v>PLN</v>
          </cell>
          <cell r="AM97">
            <v>0</v>
          </cell>
          <cell r="AN97">
            <v>2</v>
          </cell>
        </row>
        <row r="98">
          <cell r="A98">
            <v>39610</v>
          </cell>
          <cell r="B98">
            <v>39610</v>
          </cell>
          <cell r="C98" t="str">
            <v>Past</v>
          </cell>
          <cell r="D98">
            <v>53.74</v>
          </cell>
          <cell r="E98" t="e">
            <v>#N/A</v>
          </cell>
          <cell r="F98" t="e">
            <v>#N/A</v>
          </cell>
          <cell r="G98" t="e">
            <v>#N/A</v>
          </cell>
          <cell r="H98" t="e">
            <v>#N/A</v>
          </cell>
          <cell r="I98" t="e">
            <v>#N/A</v>
          </cell>
          <cell r="J98" t="e">
            <v>#N/A</v>
          </cell>
          <cell r="K98" t="e">
            <v>#N/A</v>
          </cell>
          <cell r="L98" t="e">
            <v>#N/A</v>
          </cell>
          <cell r="M98" t="e">
            <v>#N/A</v>
          </cell>
          <cell r="N98" t="e">
            <v>#N/A</v>
          </cell>
          <cell r="O98" t="e">
            <v>#N/A</v>
          </cell>
          <cell r="P98">
            <v>53.74</v>
          </cell>
          <cell r="Q98">
            <v>2.453938</v>
          </cell>
          <cell r="R98" t="e">
            <v>#N/A</v>
          </cell>
          <cell r="AI98" t="str">
            <v>QAR Qatari Riyal</v>
          </cell>
          <cell r="AJ98" t="str">
            <v>QAR</v>
          </cell>
          <cell r="AK98" t="str">
            <v>QAR</v>
          </cell>
          <cell r="AL98" t="str">
            <v>QAR</v>
          </cell>
          <cell r="AM98">
            <v>0</v>
          </cell>
          <cell r="AN98">
            <v>2</v>
          </cell>
        </row>
        <row r="99">
          <cell r="A99">
            <v>39611</v>
          </cell>
          <cell r="B99">
            <v>39611</v>
          </cell>
          <cell r="C99" t="str">
            <v>Past</v>
          </cell>
          <cell r="D99">
            <v>53.82</v>
          </cell>
          <cell r="E99" t="e">
            <v>#N/A</v>
          </cell>
          <cell r="F99" t="e">
            <v>#N/A</v>
          </cell>
          <cell r="G99" t="e">
            <v>#N/A</v>
          </cell>
          <cell r="H99" t="e">
            <v>#N/A</v>
          </cell>
          <cell r="I99" t="e">
            <v>#N/A</v>
          </cell>
          <cell r="J99" t="e">
            <v>#N/A</v>
          </cell>
          <cell r="K99" t="e">
            <v>#N/A</v>
          </cell>
          <cell r="L99" t="e">
            <v>#N/A</v>
          </cell>
          <cell r="M99" t="e">
            <v>#N/A</v>
          </cell>
          <cell r="N99" t="e">
            <v>#N/A</v>
          </cell>
          <cell r="O99" t="e">
            <v>#N/A</v>
          </cell>
          <cell r="P99">
            <v>53.82</v>
          </cell>
          <cell r="Q99">
            <v>2.8789039999999999</v>
          </cell>
          <cell r="R99" t="e">
            <v>#N/A</v>
          </cell>
          <cell r="AI99" t="str">
            <v>RUB Russian Rouble</v>
          </cell>
          <cell r="AJ99" t="str">
            <v>RUB</v>
          </cell>
          <cell r="AK99" t="str">
            <v>RUB</v>
          </cell>
          <cell r="AL99" t="str">
            <v>RUB</v>
          </cell>
          <cell r="AM99">
            <v>0</v>
          </cell>
          <cell r="AN99">
            <v>2</v>
          </cell>
        </row>
        <row r="100">
          <cell r="A100">
            <v>39612</v>
          </cell>
          <cell r="B100">
            <v>39612</v>
          </cell>
          <cell r="C100" t="str">
            <v>Past</v>
          </cell>
          <cell r="D100">
            <v>54.2</v>
          </cell>
          <cell r="E100" t="e">
            <v>#N/A</v>
          </cell>
          <cell r="F100" t="e">
            <v>#N/A</v>
          </cell>
          <cell r="G100" t="e">
            <v>#N/A</v>
          </cell>
          <cell r="H100" t="e">
            <v>#N/A</v>
          </cell>
          <cell r="I100" t="e">
            <v>#N/A</v>
          </cell>
          <cell r="J100" t="e">
            <v>#N/A</v>
          </cell>
          <cell r="K100" t="e">
            <v>#N/A</v>
          </cell>
          <cell r="L100" t="e">
            <v>#N/A</v>
          </cell>
          <cell r="M100" t="e">
            <v>#N/A</v>
          </cell>
          <cell r="N100" t="e">
            <v>#N/A</v>
          </cell>
          <cell r="O100" t="e">
            <v>#N/A</v>
          </cell>
          <cell r="P100">
            <v>54.2</v>
          </cell>
          <cell r="Q100">
            <v>2.1869549999999998</v>
          </cell>
          <cell r="R100" t="e">
            <v>#N/A</v>
          </cell>
          <cell r="AI100" t="str">
            <v>SAR Saudi Riyal</v>
          </cell>
          <cell r="AJ100" t="str">
            <v>SAR</v>
          </cell>
          <cell r="AK100" t="str">
            <v>SAR</v>
          </cell>
          <cell r="AL100" t="str">
            <v>SAR</v>
          </cell>
          <cell r="AM100">
            <v>0</v>
          </cell>
          <cell r="AN100">
            <v>2</v>
          </cell>
        </row>
        <row r="101">
          <cell r="A101">
            <v>39615</v>
          </cell>
          <cell r="B101">
            <v>39615</v>
          </cell>
          <cell r="C101" t="str">
            <v>Past</v>
          </cell>
          <cell r="D101">
            <v>53.98</v>
          </cell>
          <cell r="E101" t="e">
            <v>#N/A</v>
          </cell>
          <cell r="F101" t="e">
            <v>#N/A</v>
          </cell>
          <cell r="G101" t="e">
            <v>#N/A</v>
          </cell>
          <cell r="H101" t="e">
            <v>#N/A</v>
          </cell>
          <cell r="I101" t="e">
            <v>#N/A</v>
          </cell>
          <cell r="J101" t="e">
            <v>#N/A</v>
          </cell>
          <cell r="K101" t="e">
            <v>#N/A</v>
          </cell>
          <cell r="L101" t="e">
            <v>#N/A</v>
          </cell>
          <cell r="M101" t="e">
            <v>#N/A</v>
          </cell>
          <cell r="N101" t="e">
            <v>#N/A</v>
          </cell>
          <cell r="O101" t="e">
            <v>#N/A</v>
          </cell>
          <cell r="P101">
            <v>53.98</v>
          </cell>
          <cell r="Q101">
            <v>1.654158</v>
          </cell>
          <cell r="R101" t="e">
            <v>#N/A</v>
          </cell>
          <cell r="AI101" t="str">
            <v>SEK Swedish Krona</v>
          </cell>
          <cell r="AJ101" t="str">
            <v>SKr</v>
          </cell>
          <cell r="AK101" t="str">
            <v>SEK</v>
          </cell>
          <cell r="AL101" t="str">
            <v>SEK</v>
          </cell>
          <cell r="AM101">
            <v>0</v>
          </cell>
          <cell r="AN101">
            <v>2</v>
          </cell>
        </row>
        <row r="102">
          <cell r="A102">
            <v>39616</v>
          </cell>
          <cell r="B102">
            <v>39616</v>
          </cell>
          <cell r="C102" t="str">
            <v>Past</v>
          </cell>
          <cell r="D102">
            <v>52.02</v>
          </cell>
          <cell r="E102" t="e">
            <v>#N/A</v>
          </cell>
          <cell r="F102" t="e">
            <v>#N/A</v>
          </cell>
          <cell r="G102" t="e">
            <v>#N/A</v>
          </cell>
          <cell r="H102" t="e">
            <v>#N/A</v>
          </cell>
          <cell r="I102" t="e">
            <v>#N/A</v>
          </cell>
          <cell r="J102" t="e">
            <v>#N/A</v>
          </cell>
          <cell r="K102" t="e">
            <v>#N/A</v>
          </cell>
          <cell r="L102" t="e">
            <v>#N/A</v>
          </cell>
          <cell r="M102" t="e">
            <v>#N/A</v>
          </cell>
          <cell r="N102" t="e">
            <v>#N/A</v>
          </cell>
          <cell r="O102" t="e">
            <v>#N/A</v>
          </cell>
          <cell r="P102">
            <v>52.02</v>
          </cell>
          <cell r="Q102">
            <v>2.6409549999999999</v>
          </cell>
          <cell r="R102" t="e">
            <v>#N/A</v>
          </cell>
          <cell r="AI102" t="str">
            <v>SGD Singapore Dollar</v>
          </cell>
          <cell r="AJ102" t="str">
            <v>S$</v>
          </cell>
          <cell r="AK102" t="str">
            <v>SGD</v>
          </cell>
          <cell r="AL102" t="str">
            <v>SGD</v>
          </cell>
          <cell r="AM102">
            <v>0</v>
          </cell>
          <cell r="AN102">
            <v>2</v>
          </cell>
        </row>
        <row r="103">
          <cell r="A103">
            <v>39617</v>
          </cell>
          <cell r="B103">
            <v>39617</v>
          </cell>
          <cell r="C103" t="str">
            <v>Past</v>
          </cell>
          <cell r="D103">
            <v>51.65</v>
          </cell>
          <cell r="E103" t="e">
            <v>#N/A</v>
          </cell>
          <cell r="F103" t="e">
            <v>#N/A</v>
          </cell>
          <cell r="G103" t="e">
            <v>#N/A</v>
          </cell>
          <cell r="H103" t="e">
            <v>#N/A</v>
          </cell>
          <cell r="I103" t="e">
            <v>#N/A</v>
          </cell>
          <cell r="J103" t="e">
            <v>#N/A</v>
          </cell>
          <cell r="K103" t="e">
            <v>#N/A</v>
          </cell>
          <cell r="L103" t="e">
            <v>#N/A</v>
          </cell>
          <cell r="M103" t="e">
            <v>#N/A</v>
          </cell>
          <cell r="N103" t="e">
            <v>#N/A</v>
          </cell>
          <cell r="O103" t="e">
            <v>#N/A</v>
          </cell>
          <cell r="P103">
            <v>51.65</v>
          </cell>
          <cell r="Q103">
            <v>2.086948</v>
          </cell>
          <cell r="R103" t="e">
            <v>#N/A</v>
          </cell>
          <cell r="AI103" t="str">
            <v>THB Thailand Baht</v>
          </cell>
          <cell r="AJ103" t="str">
            <v>Bt</v>
          </cell>
          <cell r="AK103" t="str">
            <v>THB</v>
          </cell>
          <cell r="AL103" t="str">
            <v>THB</v>
          </cell>
          <cell r="AM103">
            <v>0</v>
          </cell>
          <cell r="AN103">
            <v>2</v>
          </cell>
        </row>
        <row r="104">
          <cell r="A104">
            <v>39618</v>
          </cell>
          <cell r="B104">
            <v>39618</v>
          </cell>
          <cell r="C104" t="str">
            <v>Past</v>
          </cell>
          <cell r="D104">
            <v>51.6</v>
          </cell>
          <cell r="E104" t="e">
            <v>#N/A</v>
          </cell>
          <cell r="F104" t="e">
            <v>#N/A</v>
          </cell>
          <cell r="G104" t="e">
            <v>#N/A</v>
          </cell>
          <cell r="H104" t="e">
            <v>#N/A</v>
          </cell>
          <cell r="I104" t="e">
            <v>#N/A</v>
          </cell>
          <cell r="J104" t="e">
            <v>#N/A</v>
          </cell>
          <cell r="K104" t="e">
            <v>#N/A</v>
          </cell>
          <cell r="L104" t="e">
            <v>#N/A</v>
          </cell>
          <cell r="M104" t="e">
            <v>#N/A</v>
          </cell>
          <cell r="N104" t="e">
            <v>#N/A</v>
          </cell>
          <cell r="O104" t="e">
            <v>#N/A</v>
          </cell>
          <cell r="P104">
            <v>51.6</v>
          </cell>
          <cell r="Q104">
            <v>2.0014189999999998</v>
          </cell>
          <cell r="R104" t="e">
            <v>#N/A</v>
          </cell>
          <cell r="AI104" t="str">
            <v>TND Tunisian Dinar</v>
          </cell>
          <cell r="AJ104" t="str">
            <v>TND</v>
          </cell>
          <cell r="AK104" t="str">
            <v>TND</v>
          </cell>
          <cell r="AL104" t="str">
            <v>TND</v>
          </cell>
          <cell r="AM104">
            <v>0</v>
          </cell>
          <cell r="AN104">
            <v>2</v>
          </cell>
        </row>
        <row r="105">
          <cell r="A105">
            <v>39619</v>
          </cell>
          <cell r="B105">
            <v>39619</v>
          </cell>
          <cell r="C105" t="str">
            <v>Past</v>
          </cell>
          <cell r="D105">
            <v>50.3</v>
          </cell>
          <cell r="E105" t="e">
            <v>#N/A</v>
          </cell>
          <cell r="F105" t="e">
            <v>#N/A</v>
          </cell>
          <cell r="G105" t="e">
            <v>#N/A</v>
          </cell>
          <cell r="H105" t="e">
            <v>#N/A</v>
          </cell>
          <cell r="I105" t="e">
            <v>#N/A</v>
          </cell>
          <cell r="J105" t="e">
            <v>#N/A</v>
          </cell>
          <cell r="K105" t="e">
            <v>#N/A</v>
          </cell>
          <cell r="L105" t="e">
            <v>#N/A</v>
          </cell>
          <cell r="M105" t="e">
            <v>#N/A</v>
          </cell>
          <cell r="N105" t="e">
            <v>#N/A</v>
          </cell>
          <cell r="O105" t="e">
            <v>#N/A</v>
          </cell>
          <cell r="P105">
            <v>50.3</v>
          </cell>
          <cell r="Q105">
            <v>3.240291</v>
          </cell>
          <cell r="R105" t="e">
            <v>#N/A</v>
          </cell>
          <cell r="AI105" t="str">
            <v>TRY Turkish Lira</v>
          </cell>
          <cell r="AJ105" t="str">
            <v>TL</v>
          </cell>
          <cell r="AK105" t="str">
            <v>TRY</v>
          </cell>
          <cell r="AL105" t="str">
            <v>TRY</v>
          </cell>
          <cell r="AM105">
            <v>0</v>
          </cell>
          <cell r="AN105">
            <v>2</v>
          </cell>
        </row>
        <row r="106">
          <cell r="A106">
            <v>39622</v>
          </cell>
          <cell r="B106">
            <v>39622</v>
          </cell>
          <cell r="C106" t="str">
            <v>Past</v>
          </cell>
          <cell r="D106">
            <v>49.99</v>
          </cell>
          <cell r="E106" t="e">
            <v>#N/A</v>
          </cell>
          <cell r="F106" t="e">
            <v>#N/A</v>
          </cell>
          <cell r="G106" t="e">
            <v>#N/A</v>
          </cell>
          <cell r="H106" t="e">
            <v>#N/A</v>
          </cell>
          <cell r="I106" t="e">
            <v>#N/A</v>
          </cell>
          <cell r="J106" t="e">
            <v>#N/A</v>
          </cell>
          <cell r="K106" t="e">
            <v>#N/A</v>
          </cell>
          <cell r="L106" t="e">
            <v>#N/A</v>
          </cell>
          <cell r="M106" t="e">
            <v>#N/A</v>
          </cell>
          <cell r="N106" t="e">
            <v>#N/A</v>
          </cell>
          <cell r="O106" t="e">
            <v>#N/A</v>
          </cell>
          <cell r="P106">
            <v>49.99</v>
          </cell>
          <cell r="Q106">
            <v>1.574284</v>
          </cell>
          <cell r="R106" t="e">
            <v>#N/A</v>
          </cell>
          <cell r="AI106" t="str">
            <v>TWD New Taiwan Dollar</v>
          </cell>
          <cell r="AJ106" t="str">
            <v>NT$</v>
          </cell>
          <cell r="AK106" t="str">
            <v>TWD</v>
          </cell>
          <cell r="AL106" t="str">
            <v>TWD</v>
          </cell>
          <cell r="AM106">
            <v>0</v>
          </cell>
          <cell r="AN106">
            <v>2</v>
          </cell>
        </row>
        <row r="107">
          <cell r="A107">
            <v>39623</v>
          </cell>
          <cell r="B107">
            <v>39623</v>
          </cell>
          <cell r="C107" t="str">
            <v>Past</v>
          </cell>
          <cell r="D107">
            <v>49.36</v>
          </cell>
          <cell r="E107" t="e">
            <v>#N/A</v>
          </cell>
          <cell r="F107" t="e">
            <v>#N/A</v>
          </cell>
          <cell r="G107" t="e">
            <v>#N/A</v>
          </cell>
          <cell r="H107" t="e">
            <v>#N/A</v>
          </cell>
          <cell r="I107" t="e">
            <v>#N/A</v>
          </cell>
          <cell r="J107" t="e">
            <v>#N/A</v>
          </cell>
          <cell r="K107" t="e">
            <v>#N/A</v>
          </cell>
          <cell r="L107" t="e">
            <v>#N/A</v>
          </cell>
          <cell r="M107" t="e">
            <v>#N/A</v>
          </cell>
          <cell r="N107" t="e">
            <v>#N/A</v>
          </cell>
          <cell r="O107" t="e">
            <v>#N/A</v>
          </cell>
          <cell r="P107">
            <v>49.36</v>
          </cell>
          <cell r="Q107">
            <v>2.4846179999999998</v>
          </cell>
          <cell r="R107" t="e">
            <v>#N/A</v>
          </cell>
          <cell r="AI107" t="str">
            <v>UAH Ukrainian Hryvnia</v>
          </cell>
          <cell r="AJ107" t="str">
            <v>UAH</v>
          </cell>
          <cell r="AK107" t="str">
            <v>UAH</v>
          </cell>
          <cell r="AL107" t="str">
            <v>UAH</v>
          </cell>
          <cell r="AM107">
            <v>0</v>
          </cell>
          <cell r="AN107">
            <v>2</v>
          </cell>
        </row>
        <row r="108">
          <cell r="A108">
            <v>39624</v>
          </cell>
          <cell r="B108">
            <v>39624</v>
          </cell>
          <cell r="C108" t="str">
            <v>Past</v>
          </cell>
          <cell r="D108">
            <v>48.02</v>
          </cell>
          <cell r="E108" t="e">
            <v>#N/A</v>
          </cell>
          <cell r="F108" t="e">
            <v>#N/A</v>
          </cell>
          <cell r="G108" t="e">
            <v>#N/A</v>
          </cell>
          <cell r="H108" t="e">
            <v>#N/A</v>
          </cell>
          <cell r="I108" t="e">
            <v>#N/A</v>
          </cell>
          <cell r="J108" t="e">
            <v>#N/A</v>
          </cell>
          <cell r="K108" t="e">
            <v>#N/A</v>
          </cell>
          <cell r="L108" t="e">
            <v>#N/A</v>
          </cell>
          <cell r="M108" t="e">
            <v>#N/A</v>
          </cell>
          <cell r="N108" t="e">
            <v>#N/A</v>
          </cell>
          <cell r="O108" t="e">
            <v>#N/A</v>
          </cell>
          <cell r="P108">
            <v>48.02</v>
          </cell>
          <cell r="Q108">
            <v>4.6275040000000001</v>
          </cell>
          <cell r="R108" t="e">
            <v>#N/A</v>
          </cell>
          <cell r="AI108" t="str">
            <v>USD American Dollar</v>
          </cell>
          <cell r="AJ108" t="str">
            <v>$</v>
          </cell>
          <cell r="AK108" t="str">
            <v>USD</v>
          </cell>
          <cell r="AL108" t="str">
            <v>USD</v>
          </cell>
          <cell r="AM108">
            <v>0</v>
          </cell>
          <cell r="AN108">
            <v>2</v>
          </cell>
        </row>
        <row r="109">
          <cell r="A109">
            <v>39625</v>
          </cell>
          <cell r="B109">
            <v>39625</v>
          </cell>
          <cell r="C109" t="str">
            <v>Past</v>
          </cell>
          <cell r="D109">
            <v>47.84</v>
          </cell>
          <cell r="E109" t="e">
            <v>#N/A</v>
          </cell>
          <cell r="F109" t="e">
            <v>#N/A</v>
          </cell>
          <cell r="G109" t="e">
            <v>#N/A</v>
          </cell>
          <cell r="H109" t="e">
            <v>#N/A</v>
          </cell>
          <cell r="I109" t="e">
            <v>#N/A</v>
          </cell>
          <cell r="J109" t="e">
            <v>#N/A</v>
          </cell>
          <cell r="K109" t="e">
            <v>#N/A</v>
          </cell>
          <cell r="L109" t="e">
            <v>#N/A</v>
          </cell>
          <cell r="M109" t="e">
            <v>#N/A</v>
          </cell>
          <cell r="N109" t="e">
            <v>#N/A</v>
          </cell>
          <cell r="O109" t="e">
            <v>#N/A</v>
          </cell>
          <cell r="P109">
            <v>47.84</v>
          </cell>
          <cell r="Q109">
            <v>2.9123200000000002</v>
          </cell>
          <cell r="R109" t="e">
            <v>#N/A</v>
          </cell>
          <cell r="AI109" t="str">
            <v>VEB Venezuelan Bolivar</v>
          </cell>
          <cell r="AJ109" t="str">
            <v>VEB</v>
          </cell>
          <cell r="AK109" t="str">
            <v>VEB</v>
          </cell>
          <cell r="AL109" t="str">
            <v>VEB</v>
          </cell>
          <cell r="AM109">
            <v>0</v>
          </cell>
          <cell r="AN109">
            <v>2</v>
          </cell>
        </row>
        <row r="110">
          <cell r="A110">
            <v>39626</v>
          </cell>
          <cell r="B110">
            <v>39626</v>
          </cell>
          <cell r="C110" t="str">
            <v>Past</v>
          </cell>
          <cell r="D110">
            <v>47.81</v>
          </cell>
          <cell r="E110" t="e">
            <v>#N/A</v>
          </cell>
          <cell r="F110" t="e">
            <v>#N/A</v>
          </cell>
          <cell r="G110" t="e">
            <v>#N/A</v>
          </cell>
          <cell r="H110" t="e">
            <v>#N/A</v>
          </cell>
          <cell r="I110" t="e">
            <v>#N/A</v>
          </cell>
          <cell r="J110" t="e">
            <v>#N/A</v>
          </cell>
          <cell r="K110" t="e">
            <v>#N/A</v>
          </cell>
          <cell r="L110" t="e">
            <v>#N/A</v>
          </cell>
          <cell r="M110" t="e">
            <v>#N/A</v>
          </cell>
          <cell r="N110" t="e">
            <v>#N/A</v>
          </cell>
          <cell r="O110" t="e">
            <v>#N/A</v>
          </cell>
          <cell r="P110">
            <v>47.81</v>
          </cell>
          <cell r="Q110">
            <v>2.4799000000000002</v>
          </cell>
          <cell r="R110" t="e">
            <v>#N/A</v>
          </cell>
          <cell r="AI110" t="str">
            <v>ZAc South African Cent</v>
          </cell>
          <cell r="AJ110" t="str">
            <v>ZAc</v>
          </cell>
          <cell r="AK110" t="str">
            <v>ZAc</v>
          </cell>
          <cell r="AL110" t="str">
            <v>ZAc</v>
          </cell>
          <cell r="AM110">
            <v>0</v>
          </cell>
          <cell r="AN110">
            <v>0</v>
          </cell>
        </row>
        <row r="111">
          <cell r="A111">
            <v>39629</v>
          </cell>
          <cell r="B111">
            <v>39629</v>
          </cell>
          <cell r="C111" t="str">
            <v>Past</v>
          </cell>
          <cell r="D111">
            <v>47.96</v>
          </cell>
          <cell r="E111" t="e">
            <v>#N/A</v>
          </cell>
          <cell r="F111" t="e">
            <v>#N/A</v>
          </cell>
          <cell r="G111" t="e">
            <v>#N/A</v>
          </cell>
          <cell r="H111" t="e">
            <v>#N/A</v>
          </cell>
          <cell r="I111" t="e">
            <v>#N/A</v>
          </cell>
          <cell r="J111" t="e">
            <v>#N/A</v>
          </cell>
          <cell r="K111" t="e">
            <v>#N/A</v>
          </cell>
          <cell r="L111" t="e">
            <v>#N/A</v>
          </cell>
          <cell r="M111" t="e">
            <v>#N/A</v>
          </cell>
          <cell r="N111" t="e">
            <v>#N/A</v>
          </cell>
          <cell r="O111" t="e">
            <v>#N/A</v>
          </cell>
          <cell r="P111">
            <v>47.96</v>
          </cell>
          <cell r="Q111">
            <v>3.0451069999999998</v>
          </cell>
          <cell r="R111" t="e">
            <v>#N/A</v>
          </cell>
          <cell r="AI111" t="str">
            <v>ZAR South African rand</v>
          </cell>
          <cell r="AJ111" t="str">
            <v>ZAR</v>
          </cell>
          <cell r="AK111" t="str">
            <v>ZAR</v>
          </cell>
          <cell r="AL111" t="str">
            <v>ZAR</v>
          </cell>
          <cell r="AM111">
            <v>0</v>
          </cell>
          <cell r="AN111">
            <v>2</v>
          </cell>
        </row>
        <row r="112">
          <cell r="A112">
            <v>39630</v>
          </cell>
          <cell r="B112">
            <v>39630</v>
          </cell>
          <cell r="C112" t="str">
            <v>Past</v>
          </cell>
          <cell r="D112">
            <v>49.5</v>
          </cell>
          <cell r="E112" t="e">
            <v>#N/A</v>
          </cell>
          <cell r="F112" t="e">
            <v>#N/A</v>
          </cell>
          <cell r="G112" t="e">
            <v>#N/A</v>
          </cell>
          <cell r="H112" t="e">
            <v>#N/A</v>
          </cell>
          <cell r="I112" t="e">
            <v>#N/A</v>
          </cell>
          <cell r="J112" t="e">
            <v>#N/A</v>
          </cell>
          <cell r="K112" t="e">
            <v>#N/A</v>
          </cell>
          <cell r="L112" t="e">
            <v>#N/A</v>
          </cell>
          <cell r="M112" t="e">
            <v>#N/A</v>
          </cell>
          <cell r="N112" t="e">
            <v>#N/A</v>
          </cell>
          <cell r="O112" t="e">
            <v>#N/A</v>
          </cell>
          <cell r="P112">
            <v>49.5</v>
          </cell>
          <cell r="Q112">
            <v>3.9493739999999997</v>
          </cell>
          <cell r="R112" t="e">
            <v>#N/A</v>
          </cell>
          <cell r="AI112" t="str">
            <v xml:space="preserve">ZMK Zambian Kwacha </v>
          </cell>
          <cell r="AJ112" t="str">
            <v>ZMK</v>
          </cell>
          <cell r="AK112" t="str">
            <v>ZMK</v>
          </cell>
          <cell r="AL112" t="str">
            <v>ZMK</v>
          </cell>
          <cell r="AM112">
            <v>0</v>
          </cell>
          <cell r="AN112">
            <v>2</v>
          </cell>
        </row>
        <row r="113">
          <cell r="A113">
            <v>39631</v>
          </cell>
          <cell r="B113">
            <v>39631</v>
          </cell>
          <cell r="C113" t="str">
            <v>Past</v>
          </cell>
          <cell r="D113">
            <v>47.85</v>
          </cell>
          <cell r="E113" t="e">
            <v>#N/A</v>
          </cell>
          <cell r="F113" t="e">
            <v>#N/A</v>
          </cell>
          <cell r="G113" t="e">
            <v>#N/A</v>
          </cell>
          <cell r="H113" t="e">
            <v>#N/A</v>
          </cell>
          <cell r="I113" t="e">
            <v>#N/A</v>
          </cell>
          <cell r="J113" t="e">
            <v>#N/A</v>
          </cell>
          <cell r="K113" t="e">
            <v>#N/A</v>
          </cell>
          <cell r="L113" t="e">
            <v>#N/A</v>
          </cell>
          <cell r="M113" t="e">
            <v>#N/A</v>
          </cell>
          <cell r="N113" t="e">
            <v>#N/A</v>
          </cell>
          <cell r="O113" t="e">
            <v>#N/A</v>
          </cell>
          <cell r="P113">
            <v>47.85</v>
          </cell>
          <cell r="Q113">
            <v>2.5491539999999997</v>
          </cell>
          <cell r="R113" t="e">
            <v>#N/A</v>
          </cell>
          <cell r="AI113" t="str">
            <v>ZAR South African rand</v>
          </cell>
          <cell r="AJ113" t="str">
            <v>ZAR</v>
          </cell>
          <cell r="AK113" t="str">
            <v>ZAR</v>
          </cell>
          <cell r="AL113" t="str">
            <v>ZAR</v>
          </cell>
          <cell r="AM113">
            <v>0</v>
          </cell>
          <cell r="AN113">
            <v>2</v>
          </cell>
        </row>
        <row r="114">
          <cell r="A114">
            <v>39632</v>
          </cell>
          <cell r="B114">
            <v>39632</v>
          </cell>
          <cell r="C114" t="str">
            <v>Past</v>
          </cell>
          <cell r="D114">
            <v>48.64</v>
          </cell>
          <cell r="E114" t="e">
            <v>#N/A</v>
          </cell>
          <cell r="F114" t="e">
            <v>#N/A</v>
          </cell>
          <cell r="G114" t="e">
            <v>#N/A</v>
          </cell>
          <cell r="H114" t="e">
            <v>#N/A</v>
          </cell>
          <cell r="I114" t="e">
            <v>#N/A</v>
          </cell>
          <cell r="J114" t="e">
            <v>#N/A</v>
          </cell>
          <cell r="K114" t="e">
            <v>#N/A</v>
          </cell>
          <cell r="L114" t="e">
            <v>#N/A</v>
          </cell>
          <cell r="M114" t="e">
            <v>#N/A</v>
          </cell>
          <cell r="N114" t="e">
            <v>#N/A</v>
          </cell>
          <cell r="O114" t="e">
            <v>#N/A</v>
          </cell>
          <cell r="P114">
            <v>48.64</v>
          </cell>
          <cell r="Q114">
            <v>0.98191299999999992</v>
          </cell>
          <cell r="R114" t="e">
            <v>#N/A</v>
          </cell>
          <cell r="AI114" t="str">
            <v xml:space="preserve">ZMK Zambian Kwacha </v>
          </cell>
          <cell r="AJ114" t="str">
            <v>ZMK</v>
          </cell>
          <cell r="AK114" t="str">
            <v>ZMK</v>
          </cell>
          <cell r="AL114" t="str">
            <v>ZMK</v>
          </cell>
          <cell r="AM114">
            <v>0</v>
          </cell>
          <cell r="AN114">
            <v>2</v>
          </cell>
        </row>
        <row r="115">
          <cell r="A115">
            <v>39636</v>
          </cell>
          <cell r="B115">
            <v>39636</v>
          </cell>
          <cell r="C115" t="str">
            <v>Past</v>
          </cell>
          <cell r="D115">
            <v>48.16</v>
          </cell>
          <cell r="E115" t="e">
            <v>#N/A</v>
          </cell>
          <cell r="F115" t="e">
            <v>#N/A</v>
          </cell>
          <cell r="G115" t="e">
            <v>#N/A</v>
          </cell>
          <cell r="H115" t="e">
            <v>#N/A</v>
          </cell>
          <cell r="I115" t="e">
            <v>#N/A</v>
          </cell>
          <cell r="J115" t="e">
            <v>#N/A</v>
          </cell>
          <cell r="K115" t="e">
            <v>#N/A</v>
          </cell>
          <cell r="L115" t="e">
            <v>#N/A</v>
          </cell>
          <cell r="M115" t="e">
            <v>#N/A</v>
          </cell>
          <cell r="N115" t="e">
            <v>#N/A</v>
          </cell>
          <cell r="O115" t="e">
            <v>#N/A</v>
          </cell>
          <cell r="P115">
            <v>48.16</v>
          </cell>
          <cell r="Q115">
            <v>2.0897869999999998</v>
          </cell>
          <cell r="R115" t="e">
            <v>#N/A</v>
          </cell>
        </row>
        <row r="116">
          <cell r="A116">
            <v>39637</v>
          </cell>
          <cell r="B116">
            <v>39637</v>
          </cell>
          <cell r="C116" t="str">
            <v>Past</v>
          </cell>
          <cell r="D116">
            <v>51.27</v>
          </cell>
          <cell r="E116" t="e">
            <v>#N/A</v>
          </cell>
          <cell r="F116" t="e">
            <v>#N/A</v>
          </cell>
          <cell r="G116" t="e">
            <v>#N/A</v>
          </cell>
          <cell r="H116" t="e">
            <v>#N/A</v>
          </cell>
          <cell r="I116" t="e">
            <v>#N/A</v>
          </cell>
          <cell r="J116" t="e">
            <v>#N/A</v>
          </cell>
          <cell r="K116" t="e">
            <v>#N/A</v>
          </cell>
          <cell r="L116" t="e">
            <v>#N/A</v>
          </cell>
          <cell r="M116" t="e">
            <v>#N/A</v>
          </cell>
          <cell r="N116" t="e">
            <v>#N/A</v>
          </cell>
          <cell r="O116" t="e">
            <v>#N/A</v>
          </cell>
          <cell r="P116">
            <v>51.27</v>
          </cell>
          <cell r="Q116">
            <v>3.429897</v>
          </cell>
          <cell r="R116" t="e">
            <v>#N/A</v>
          </cell>
        </row>
        <row r="117">
          <cell r="A117">
            <v>39638</v>
          </cell>
          <cell r="B117">
            <v>39638</v>
          </cell>
          <cell r="C117" t="str">
            <v>Past</v>
          </cell>
          <cell r="D117">
            <v>51</v>
          </cell>
          <cell r="E117" t="e">
            <v>#N/A</v>
          </cell>
          <cell r="F117" t="e">
            <v>#N/A</v>
          </cell>
          <cell r="G117" t="e">
            <v>#N/A</v>
          </cell>
          <cell r="H117" t="e">
            <v>#N/A</v>
          </cell>
          <cell r="I117" t="e">
            <v>#N/A</v>
          </cell>
          <cell r="J117" t="e">
            <v>#N/A</v>
          </cell>
          <cell r="K117" t="e">
            <v>#N/A</v>
          </cell>
          <cell r="L117" t="e">
            <v>#N/A</v>
          </cell>
          <cell r="M117" t="e">
            <v>#N/A</v>
          </cell>
          <cell r="N117" t="e">
            <v>#N/A</v>
          </cell>
          <cell r="O117" t="e">
            <v>#N/A</v>
          </cell>
          <cell r="P117">
            <v>51</v>
          </cell>
          <cell r="Q117">
            <v>2.7236000000000002</v>
          </cell>
          <cell r="R117" t="e">
            <v>#N/A</v>
          </cell>
        </row>
        <row r="118">
          <cell r="A118">
            <v>39639</v>
          </cell>
          <cell r="B118">
            <v>39639</v>
          </cell>
          <cell r="C118" t="str">
            <v>Past</v>
          </cell>
          <cell r="D118">
            <v>51.46</v>
          </cell>
          <cell r="E118" t="e">
            <v>#N/A</v>
          </cell>
          <cell r="F118" t="e">
            <v>#N/A</v>
          </cell>
          <cell r="G118" t="e">
            <v>#N/A</v>
          </cell>
          <cell r="H118" t="e">
            <v>#N/A</v>
          </cell>
          <cell r="I118" t="e">
            <v>#N/A</v>
          </cell>
          <cell r="J118" t="e">
            <v>#N/A</v>
          </cell>
          <cell r="K118" t="e">
            <v>#N/A</v>
          </cell>
          <cell r="L118" t="e">
            <v>#N/A</v>
          </cell>
          <cell r="M118" t="e">
            <v>#N/A</v>
          </cell>
          <cell r="N118" t="e">
            <v>#N/A</v>
          </cell>
          <cell r="O118" t="e">
            <v>#N/A</v>
          </cell>
          <cell r="P118">
            <v>51.46</v>
          </cell>
          <cell r="Q118">
            <v>2.698531</v>
          </cell>
          <cell r="R118" t="e">
            <v>#N/A</v>
          </cell>
        </row>
        <row r="119">
          <cell r="A119">
            <v>39640</v>
          </cell>
          <cell r="B119">
            <v>39640</v>
          </cell>
          <cell r="C119" t="str">
            <v>Past</v>
          </cell>
          <cell r="D119">
            <v>47.16</v>
          </cell>
          <cell r="E119" t="e">
            <v>#N/A</v>
          </cell>
          <cell r="F119" t="e">
            <v>#N/A</v>
          </cell>
          <cell r="G119" t="e">
            <v>#N/A</v>
          </cell>
          <cell r="H119" t="e">
            <v>#N/A</v>
          </cell>
          <cell r="I119" t="e">
            <v>#N/A</v>
          </cell>
          <cell r="J119" t="e">
            <v>#N/A</v>
          </cell>
          <cell r="K119" t="e">
            <v>#N/A</v>
          </cell>
          <cell r="L119" t="e">
            <v>#N/A</v>
          </cell>
          <cell r="M119" t="e">
            <v>#N/A</v>
          </cell>
          <cell r="N119" t="e">
            <v>#N/A</v>
          </cell>
          <cell r="O119" t="e">
            <v>#N/A</v>
          </cell>
          <cell r="P119">
            <v>47.16</v>
          </cell>
          <cell r="Q119">
            <v>5.2577379999999998</v>
          </cell>
          <cell r="R119" t="e">
            <v>#N/A</v>
          </cell>
        </row>
        <row r="120">
          <cell r="A120">
            <v>39643</v>
          </cell>
          <cell r="B120">
            <v>39643</v>
          </cell>
          <cell r="C120" t="str">
            <v>Past</v>
          </cell>
          <cell r="D120">
            <v>47.23</v>
          </cell>
          <cell r="E120" t="e">
            <v>#N/A</v>
          </cell>
          <cell r="F120" t="e">
            <v>#N/A</v>
          </cell>
          <cell r="G120" t="e">
            <v>#N/A</v>
          </cell>
          <cell r="H120" t="e">
            <v>#N/A</v>
          </cell>
          <cell r="I120" t="e">
            <v>#N/A</v>
          </cell>
          <cell r="J120" t="e">
            <v>#N/A</v>
          </cell>
          <cell r="K120" t="e">
            <v>#N/A</v>
          </cell>
          <cell r="L120" t="e">
            <v>#N/A</v>
          </cell>
          <cell r="M120" t="e">
            <v>#N/A</v>
          </cell>
          <cell r="N120" t="e">
            <v>#N/A</v>
          </cell>
          <cell r="O120" t="e">
            <v>#N/A</v>
          </cell>
          <cell r="P120">
            <v>47.23</v>
          </cell>
          <cell r="Q120">
            <v>3.9552329999999998</v>
          </cell>
          <cell r="R120" t="e">
            <v>#N/A</v>
          </cell>
        </row>
        <row r="121">
          <cell r="A121">
            <v>39644</v>
          </cell>
          <cell r="B121">
            <v>39644</v>
          </cell>
          <cell r="C121" t="str">
            <v>Past</v>
          </cell>
          <cell r="D121">
            <v>45.47</v>
          </cell>
          <cell r="E121" t="e">
            <v>#N/A</v>
          </cell>
          <cell r="F121" t="e">
            <v>#N/A</v>
          </cell>
          <cell r="G121" t="e">
            <v>#N/A</v>
          </cell>
          <cell r="H121" t="e">
            <v>#N/A</v>
          </cell>
          <cell r="I121" t="e">
            <v>#N/A</v>
          </cell>
          <cell r="J121" t="e">
            <v>#N/A</v>
          </cell>
          <cell r="K121" t="e">
            <v>#N/A</v>
          </cell>
          <cell r="L121" t="e">
            <v>#N/A</v>
          </cell>
          <cell r="M121" t="e">
            <v>#N/A</v>
          </cell>
          <cell r="N121" t="e">
            <v>#N/A</v>
          </cell>
          <cell r="O121" t="e">
            <v>#N/A</v>
          </cell>
          <cell r="P121">
            <v>45.47</v>
          </cell>
          <cell r="Q121">
            <v>5.0841729999999998</v>
          </cell>
          <cell r="R121" t="e">
            <v>#N/A</v>
          </cell>
        </row>
        <row r="122">
          <cell r="A122">
            <v>39645</v>
          </cell>
          <cell r="B122">
            <v>39645</v>
          </cell>
          <cell r="C122" t="str">
            <v>Past</v>
          </cell>
          <cell r="D122">
            <v>47.27</v>
          </cell>
          <cell r="E122" t="e">
            <v>#N/A</v>
          </cell>
          <cell r="F122" t="e">
            <v>#N/A</v>
          </cell>
          <cell r="G122" t="e">
            <v>#N/A</v>
          </cell>
          <cell r="H122" t="e">
            <v>#N/A</v>
          </cell>
          <cell r="I122" t="e">
            <v>#N/A</v>
          </cell>
          <cell r="J122" t="e">
            <v>#N/A</v>
          </cell>
          <cell r="K122" t="e">
            <v>#N/A</v>
          </cell>
          <cell r="L122" t="e">
            <v>#N/A</v>
          </cell>
          <cell r="M122" t="e">
            <v>#N/A</v>
          </cell>
          <cell r="N122" t="e">
            <v>#N/A</v>
          </cell>
          <cell r="O122" t="e">
            <v>#N/A</v>
          </cell>
          <cell r="P122">
            <v>47.27</v>
          </cell>
          <cell r="Q122">
            <v>3.9761059999999997</v>
          </cell>
          <cell r="R122" t="e">
            <v>#N/A</v>
          </cell>
        </row>
        <row r="123">
          <cell r="A123">
            <v>39646</v>
          </cell>
          <cell r="B123">
            <v>39646</v>
          </cell>
          <cell r="C123" t="str">
            <v>Past</v>
          </cell>
          <cell r="D123">
            <v>46.64</v>
          </cell>
          <cell r="E123" t="e">
            <v>#N/A</v>
          </cell>
          <cell r="F123" t="e">
            <v>#N/A</v>
          </cell>
          <cell r="G123" t="e">
            <v>#N/A</v>
          </cell>
          <cell r="H123" t="e">
            <v>#N/A</v>
          </cell>
          <cell r="I123" t="e">
            <v>#N/A</v>
          </cell>
          <cell r="J123" t="e">
            <v>#N/A</v>
          </cell>
          <cell r="K123" t="e">
            <v>#N/A</v>
          </cell>
          <cell r="L123" t="e">
            <v>#N/A</v>
          </cell>
          <cell r="M123" t="e">
            <v>#N/A</v>
          </cell>
          <cell r="N123" t="e">
            <v>#N/A</v>
          </cell>
          <cell r="O123" t="e">
            <v>#N/A</v>
          </cell>
          <cell r="P123">
            <v>46.64</v>
          </cell>
          <cell r="Q123">
            <v>2.7639489999999998</v>
          </cell>
          <cell r="R123" t="e">
            <v>#N/A</v>
          </cell>
        </row>
        <row r="124">
          <cell r="A124">
            <v>39647</v>
          </cell>
          <cell r="B124">
            <v>39647</v>
          </cell>
          <cell r="C124" t="str">
            <v>Past</v>
          </cell>
          <cell r="D124">
            <v>46.79</v>
          </cell>
          <cell r="E124" t="e">
            <v>#N/A</v>
          </cell>
          <cell r="F124" t="e">
            <v>#N/A</v>
          </cell>
          <cell r="G124" t="e">
            <v>#N/A</v>
          </cell>
          <cell r="H124" t="e">
            <v>#N/A</v>
          </cell>
          <cell r="I124" t="e">
            <v>#N/A</v>
          </cell>
          <cell r="J124" t="e">
            <v>#N/A</v>
          </cell>
          <cell r="K124" t="e">
            <v>#N/A</v>
          </cell>
          <cell r="L124" t="e">
            <v>#N/A</v>
          </cell>
          <cell r="M124" t="e">
            <v>#N/A</v>
          </cell>
          <cell r="N124" t="e">
            <v>#N/A</v>
          </cell>
          <cell r="O124" t="e">
            <v>#N/A</v>
          </cell>
          <cell r="P124">
            <v>46.79</v>
          </cell>
          <cell r="Q124">
            <v>2.0581389999999997</v>
          </cell>
          <cell r="R124" t="e">
            <v>#N/A</v>
          </cell>
        </row>
        <row r="125">
          <cell r="A125">
            <v>39650</v>
          </cell>
          <cell r="B125">
            <v>39650</v>
          </cell>
          <cell r="C125" t="str">
            <v>Past</v>
          </cell>
          <cell r="D125">
            <v>46.45</v>
          </cell>
          <cell r="E125" t="e">
            <v>#N/A</v>
          </cell>
          <cell r="F125" t="e">
            <v>#N/A</v>
          </cell>
          <cell r="G125" t="e">
            <v>#N/A</v>
          </cell>
          <cell r="H125" t="e">
            <v>#N/A</v>
          </cell>
          <cell r="I125" t="e">
            <v>#N/A</v>
          </cell>
          <cell r="J125" t="e">
            <v>#N/A</v>
          </cell>
          <cell r="K125" t="e">
            <v>#N/A</v>
          </cell>
          <cell r="L125" t="e">
            <v>#N/A</v>
          </cell>
          <cell r="M125" t="e">
            <v>#N/A</v>
          </cell>
          <cell r="N125" t="e">
            <v>#N/A</v>
          </cell>
          <cell r="O125" t="e">
            <v>#N/A</v>
          </cell>
          <cell r="P125">
            <v>46.45</v>
          </cell>
          <cell r="Q125">
            <v>2.311048</v>
          </cell>
          <cell r="R125" t="e">
            <v>#N/A</v>
          </cell>
        </row>
        <row r="126">
          <cell r="A126">
            <v>39651</v>
          </cell>
          <cell r="B126">
            <v>39651</v>
          </cell>
          <cell r="C126" t="str">
            <v>Past</v>
          </cell>
          <cell r="D126">
            <v>48.23</v>
          </cell>
          <cell r="E126" t="e">
            <v>#N/A</v>
          </cell>
          <cell r="F126" t="e">
            <v>#N/A</v>
          </cell>
          <cell r="G126" t="e">
            <v>#N/A</v>
          </cell>
          <cell r="H126" t="e">
            <v>#N/A</v>
          </cell>
          <cell r="I126" t="e">
            <v>#N/A</v>
          </cell>
          <cell r="J126" t="e">
            <v>#N/A</v>
          </cell>
          <cell r="K126" t="e">
            <v>#N/A</v>
          </cell>
          <cell r="L126" t="e">
            <v>#N/A</v>
          </cell>
          <cell r="M126" t="e">
            <v>#N/A</v>
          </cell>
          <cell r="N126" t="e">
            <v>#N/A</v>
          </cell>
          <cell r="O126" t="e">
            <v>#N/A</v>
          </cell>
          <cell r="P126">
            <v>48.23</v>
          </cell>
          <cell r="Q126">
            <v>2.0023939999999998</v>
          </cell>
          <cell r="R126" t="e">
            <v>#N/A</v>
          </cell>
        </row>
        <row r="127">
          <cell r="A127">
            <v>39652</v>
          </cell>
          <cell r="B127">
            <v>39652</v>
          </cell>
          <cell r="C127" t="str">
            <v>Past</v>
          </cell>
          <cell r="D127">
            <v>49.17</v>
          </cell>
          <cell r="E127" t="e">
            <v>#N/A</v>
          </cell>
          <cell r="F127" t="e">
            <v>#N/A</v>
          </cell>
          <cell r="G127" t="e">
            <v>#N/A</v>
          </cell>
          <cell r="H127" t="e">
            <v>#N/A</v>
          </cell>
          <cell r="I127" t="e">
            <v>#N/A</v>
          </cell>
          <cell r="J127" t="e">
            <v>#N/A</v>
          </cell>
          <cell r="K127" t="e">
            <v>#N/A</v>
          </cell>
          <cell r="L127" t="e">
            <v>#N/A</v>
          </cell>
          <cell r="M127" t="e">
            <v>#N/A</v>
          </cell>
          <cell r="N127" t="e">
            <v>#N/A</v>
          </cell>
          <cell r="O127" t="e">
            <v>#N/A</v>
          </cell>
          <cell r="P127">
            <v>49.17</v>
          </cell>
          <cell r="Q127">
            <v>2.2585109999999999</v>
          </cell>
          <cell r="R127" t="e">
            <v>#N/A</v>
          </cell>
        </row>
        <row r="128">
          <cell r="A128">
            <v>39653</v>
          </cell>
          <cell r="B128">
            <v>39653</v>
          </cell>
          <cell r="C128" t="str">
            <v>Past</v>
          </cell>
          <cell r="D128">
            <v>47.71</v>
          </cell>
          <cell r="E128" t="e">
            <v>#N/A</v>
          </cell>
          <cell r="F128" t="e">
            <v>#N/A</v>
          </cell>
          <cell r="G128" t="e">
            <v>#N/A</v>
          </cell>
          <cell r="H128" t="e">
            <v>#N/A</v>
          </cell>
          <cell r="I128" t="e">
            <v>#N/A</v>
          </cell>
          <cell r="J128" t="e">
            <v>#N/A</v>
          </cell>
          <cell r="K128" t="e">
            <v>#N/A</v>
          </cell>
          <cell r="L128" t="e">
            <v>#N/A</v>
          </cell>
          <cell r="M128" t="e">
            <v>#N/A</v>
          </cell>
          <cell r="N128" t="e">
            <v>#N/A</v>
          </cell>
          <cell r="O128" t="e">
            <v>#N/A</v>
          </cell>
          <cell r="P128">
            <v>47.71</v>
          </cell>
          <cell r="Q128">
            <v>1.3194789999999998</v>
          </cell>
          <cell r="R128" t="e">
            <v>#N/A</v>
          </cell>
        </row>
        <row r="129">
          <cell r="A129">
            <v>39654</v>
          </cell>
          <cell r="B129">
            <v>39654</v>
          </cell>
          <cell r="C129" t="str">
            <v>Past</v>
          </cell>
          <cell r="D129">
            <v>48.25</v>
          </cell>
          <cell r="E129" t="e">
            <v>#N/A</v>
          </cell>
          <cell r="F129" t="e">
            <v>#N/A</v>
          </cell>
          <cell r="G129" t="e">
            <v>#N/A</v>
          </cell>
          <cell r="H129" t="e">
            <v>#N/A</v>
          </cell>
          <cell r="I129" t="e">
            <v>#N/A</v>
          </cell>
          <cell r="J129" t="e">
            <v>#N/A</v>
          </cell>
          <cell r="K129" t="e">
            <v>#N/A</v>
          </cell>
          <cell r="L129" t="e">
            <v>#N/A</v>
          </cell>
          <cell r="M129" t="e">
            <v>#N/A</v>
          </cell>
          <cell r="N129" t="e">
            <v>#N/A</v>
          </cell>
          <cell r="O129" t="e">
            <v>#N/A</v>
          </cell>
          <cell r="P129">
            <v>48.25</v>
          </cell>
          <cell r="Q129">
            <v>0.98369200000000001</v>
          </cell>
          <cell r="R129" t="e">
            <v>#N/A</v>
          </cell>
        </row>
        <row r="130">
          <cell r="A130">
            <v>39657</v>
          </cell>
          <cell r="B130">
            <v>39657</v>
          </cell>
          <cell r="C130" t="str">
            <v>Past</v>
          </cell>
          <cell r="D130">
            <v>47.44</v>
          </cell>
          <cell r="E130" t="e">
            <v>#N/A</v>
          </cell>
          <cell r="F130" t="e">
            <v>#N/A</v>
          </cell>
          <cell r="G130" t="e">
            <v>#N/A</v>
          </cell>
          <cell r="H130" t="e">
            <v>#N/A</v>
          </cell>
          <cell r="I130" t="e">
            <v>#N/A</v>
          </cell>
          <cell r="J130" t="e">
            <v>#N/A</v>
          </cell>
          <cell r="K130" t="e">
            <v>#N/A</v>
          </cell>
          <cell r="L130" t="e">
            <v>#N/A</v>
          </cell>
          <cell r="M130" t="e">
            <v>#N/A</v>
          </cell>
          <cell r="N130" t="e">
            <v>#N/A</v>
          </cell>
          <cell r="O130" t="e">
            <v>#N/A</v>
          </cell>
          <cell r="P130">
            <v>47.44</v>
          </cell>
          <cell r="Q130">
            <v>0.94626399999999999</v>
          </cell>
          <cell r="R130" t="e">
            <v>#N/A</v>
          </cell>
        </row>
        <row r="131">
          <cell r="A131">
            <v>39658</v>
          </cell>
          <cell r="B131">
            <v>39658</v>
          </cell>
          <cell r="C131" t="str">
            <v>Past</v>
          </cell>
          <cell r="D131">
            <v>48.64</v>
          </cell>
          <cell r="E131" t="e">
            <v>#N/A</v>
          </cell>
          <cell r="F131" t="e">
            <v>#N/A</v>
          </cell>
          <cell r="G131" t="e">
            <v>#N/A</v>
          </cell>
          <cell r="H131" t="e">
            <v>#N/A</v>
          </cell>
          <cell r="I131" t="e">
            <v>#N/A</v>
          </cell>
          <cell r="J131" t="e">
            <v>#N/A</v>
          </cell>
          <cell r="K131" t="e">
            <v>#N/A</v>
          </cell>
          <cell r="L131" t="e">
            <v>#N/A</v>
          </cell>
          <cell r="M131" t="e">
            <v>#N/A</v>
          </cell>
          <cell r="N131" t="e">
            <v>#N/A</v>
          </cell>
          <cell r="O131" t="e">
            <v>#N/A</v>
          </cell>
          <cell r="P131">
            <v>48.64</v>
          </cell>
          <cell r="Q131">
            <v>0.927037</v>
          </cell>
          <cell r="R131" t="e">
            <v>#N/A</v>
          </cell>
        </row>
        <row r="132">
          <cell r="A132">
            <v>39659</v>
          </cell>
          <cell r="B132">
            <v>39659</v>
          </cell>
          <cell r="C132" t="str">
            <v>Past</v>
          </cell>
          <cell r="D132">
            <v>49.2</v>
          </cell>
          <cell r="E132" t="e">
            <v>#N/A</v>
          </cell>
          <cell r="F132" t="e">
            <v>#N/A</v>
          </cell>
          <cell r="G132" t="e">
            <v>#N/A</v>
          </cell>
          <cell r="H132" t="e">
            <v>#N/A</v>
          </cell>
          <cell r="I132" t="e">
            <v>#N/A</v>
          </cell>
          <cell r="J132" t="e">
            <v>#N/A</v>
          </cell>
          <cell r="K132" t="e">
            <v>#N/A</v>
          </cell>
          <cell r="L132" t="e">
            <v>#N/A</v>
          </cell>
          <cell r="M132" t="e">
            <v>#N/A</v>
          </cell>
          <cell r="N132" t="e">
            <v>#N/A</v>
          </cell>
          <cell r="O132" t="e">
            <v>#N/A</v>
          </cell>
          <cell r="P132">
            <v>49.2</v>
          </cell>
          <cell r="Q132">
            <v>1.4878049999999998</v>
          </cell>
          <cell r="R132" t="e">
            <v>#N/A</v>
          </cell>
        </row>
        <row r="133">
          <cell r="A133">
            <v>39660</v>
          </cell>
          <cell r="B133">
            <v>39660</v>
          </cell>
          <cell r="C133" t="str">
            <v>Past</v>
          </cell>
          <cell r="D133">
            <v>49.69</v>
          </cell>
          <cell r="E133" t="e">
            <v>#N/A</v>
          </cell>
          <cell r="F133" t="e">
            <v>#N/A</v>
          </cell>
          <cell r="G133" t="e">
            <v>#N/A</v>
          </cell>
          <cell r="H133" t="e">
            <v>#N/A</v>
          </cell>
          <cell r="I133" t="e">
            <v>#N/A</v>
          </cell>
          <cell r="J133" t="e">
            <v>#N/A</v>
          </cell>
          <cell r="K133" t="e">
            <v>#N/A</v>
          </cell>
          <cell r="L133" t="e">
            <v>#N/A</v>
          </cell>
          <cell r="M133" t="e">
            <v>#N/A</v>
          </cell>
          <cell r="N133" t="e">
            <v>#N/A</v>
          </cell>
          <cell r="O133" t="e">
            <v>#N/A</v>
          </cell>
          <cell r="P133">
            <v>49.69</v>
          </cell>
          <cell r="Q133">
            <v>2.684456</v>
          </cell>
          <cell r="R133" t="e">
            <v>#N/A</v>
          </cell>
        </row>
        <row r="134">
          <cell r="A134">
            <v>39661</v>
          </cell>
          <cell r="B134">
            <v>39661</v>
          </cell>
          <cell r="C134" t="str">
            <v>Past</v>
          </cell>
          <cell r="D134">
            <v>49.74</v>
          </cell>
          <cell r="E134" t="e">
            <v>#N/A</v>
          </cell>
          <cell r="F134" t="e">
            <v>#N/A</v>
          </cell>
          <cell r="G134" t="e">
            <v>#N/A</v>
          </cell>
          <cell r="H134" t="e">
            <v>#N/A</v>
          </cell>
          <cell r="I134" t="e">
            <v>#N/A</v>
          </cell>
          <cell r="J134" t="e">
            <v>#N/A</v>
          </cell>
          <cell r="K134" t="e">
            <v>#N/A</v>
          </cell>
          <cell r="L134" t="e">
            <v>#N/A</v>
          </cell>
          <cell r="M134" t="e">
            <v>#N/A</v>
          </cell>
          <cell r="N134" t="e">
            <v>#N/A</v>
          </cell>
          <cell r="O134" t="e">
            <v>#N/A</v>
          </cell>
          <cell r="P134">
            <v>49.74</v>
          </cell>
          <cell r="Q134">
            <v>1.6727589999999999</v>
          </cell>
          <cell r="R134" t="e">
            <v>#N/A</v>
          </cell>
        </row>
        <row r="135">
          <cell r="A135">
            <v>39664</v>
          </cell>
          <cell r="B135">
            <v>39664</v>
          </cell>
          <cell r="C135" t="str">
            <v>Past</v>
          </cell>
          <cell r="D135">
            <v>49.73</v>
          </cell>
          <cell r="E135" t="e">
            <v>#N/A</v>
          </cell>
          <cell r="F135" t="e">
            <v>#N/A</v>
          </cell>
          <cell r="G135" t="e">
            <v>#N/A</v>
          </cell>
          <cell r="H135" t="e">
            <v>#N/A</v>
          </cell>
          <cell r="I135" t="e">
            <v>#N/A</v>
          </cell>
          <cell r="J135" t="e">
            <v>#N/A</v>
          </cell>
          <cell r="K135" t="e">
            <v>#N/A</v>
          </cell>
          <cell r="L135" t="e">
            <v>#N/A</v>
          </cell>
          <cell r="M135" t="e">
            <v>#N/A</v>
          </cell>
          <cell r="N135" t="e">
            <v>#N/A</v>
          </cell>
          <cell r="O135" t="e">
            <v>#N/A</v>
          </cell>
          <cell r="P135">
            <v>49.73</v>
          </cell>
          <cell r="Q135">
            <v>1.086246</v>
          </cell>
          <cell r="R135" t="e">
            <v>#N/A</v>
          </cell>
        </row>
        <row r="136">
          <cell r="A136">
            <v>39665</v>
          </cell>
          <cell r="B136">
            <v>39665</v>
          </cell>
          <cell r="C136" t="str">
            <v>Past</v>
          </cell>
          <cell r="D136">
            <v>51.17</v>
          </cell>
          <cell r="E136" t="e">
            <v>#N/A</v>
          </cell>
          <cell r="F136" t="e">
            <v>#N/A</v>
          </cell>
          <cell r="G136" t="e">
            <v>#N/A</v>
          </cell>
          <cell r="H136" t="e">
            <v>#N/A</v>
          </cell>
          <cell r="I136" t="e">
            <v>#N/A</v>
          </cell>
          <cell r="J136" t="e">
            <v>#N/A</v>
          </cell>
          <cell r="K136" t="e">
            <v>#N/A</v>
          </cell>
          <cell r="L136" t="e">
            <v>#N/A</v>
          </cell>
          <cell r="M136" t="e">
            <v>#N/A</v>
          </cell>
          <cell r="N136" t="e">
            <v>#N/A</v>
          </cell>
          <cell r="O136" t="e">
            <v>#N/A</v>
          </cell>
          <cell r="P136">
            <v>51.17</v>
          </cell>
          <cell r="Q136">
            <v>1.2260529999999998</v>
          </cell>
          <cell r="R136" t="e">
            <v>#N/A</v>
          </cell>
        </row>
        <row r="137">
          <cell r="A137">
            <v>39666</v>
          </cell>
          <cell r="B137">
            <v>39666</v>
          </cell>
          <cell r="C137" t="str">
            <v>Past</v>
          </cell>
          <cell r="D137">
            <v>51.25</v>
          </cell>
          <cell r="E137" t="e">
            <v>#N/A</v>
          </cell>
          <cell r="F137" t="e">
            <v>#N/A</v>
          </cell>
          <cell r="G137" t="e">
            <v>#N/A</v>
          </cell>
          <cell r="H137" t="e">
            <v>#N/A</v>
          </cell>
          <cell r="I137" t="e">
            <v>#N/A</v>
          </cell>
          <cell r="J137" t="e">
            <v>#N/A</v>
          </cell>
          <cell r="K137" t="e">
            <v>#N/A</v>
          </cell>
          <cell r="L137" t="e">
            <v>#N/A</v>
          </cell>
          <cell r="M137" t="e">
            <v>#N/A</v>
          </cell>
          <cell r="N137" t="e">
            <v>#N/A</v>
          </cell>
          <cell r="O137" t="e">
            <v>#N/A</v>
          </cell>
          <cell r="P137">
            <v>51.25</v>
          </cell>
          <cell r="Q137">
            <v>0.80292399999999997</v>
          </cell>
          <cell r="R137" t="e">
            <v>#N/A</v>
          </cell>
        </row>
        <row r="138">
          <cell r="A138">
            <v>39667</v>
          </cell>
          <cell r="B138">
            <v>39667</v>
          </cell>
          <cell r="C138" t="str">
            <v>Past</v>
          </cell>
          <cell r="D138">
            <v>50</v>
          </cell>
          <cell r="E138" t="e">
            <v>#N/A</v>
          </cell>
          <cell r="F138" t="e">
            <v>#N/A</v>
          </cell>
          <cell r="G138" t="e">
            <v>#N/A</v>
          </cell>
          <cell r="H138" t="e">
            <v>#N/A</v>
          </cell>
          <cell r="I138" t="e">
            <v>#N/A</v>
          </cell>
          <cell r="J138" t="e">
            <v>#N/A</v>
          </cell>
          <cell r="K138" t="e">
            <v>#N/A</v>
          </cell>
          <cell r="L138" t="e">
            <v>#N/A</v>
          </cell>
          <cell r="M138" t="e">
            <v>#N/A</v>
          </cell>
          <cell r="N138" t="e">
            <v>#N/A</v>
          </cell>
          <cell r="O138" t="e">
            <v>#N/A</v>
          </cell>
          <cell r="P138">
            <v>50</v>
          </cell>
          <cell r="Q138">
            <v>1.1969349999999999</v>
          </cell>
          <cell r="R138" t="e">
            <v>#N/A</v>
          </cell>
        </row>
        <row r="139">
          <cell r="A139">
            <v>39668</v>
          </cell>
          <cell r="B139">
            <v>39668</v>
          </cell>
          <cell r="C139" t="str">
            <v>Past</v>
          </cell>
          <cell r="D139">
            <v>52.7</v>
          </cell>
          <cell r="E139" t="e">
            <v>#N/A</v>
          </cell>
          <cell r="F139" t="e">
            <v>#N/A</v>
          </cell>
          <cell r="G139" t="e">
            <v>#N/A</v>
          </cell>
          <cell r="H139" t="e">
            <v>#N/A</v>
          </cell>
          <cell r="I139" t="e">
            <v>#N/A</v>
          </cell>
          <cell r="J139" t="e">
            <v>#N/A</v>
          </cell>
          <cell r="K139" t="e">
            <v>#N/A</v>
          </cell>
          <cell r="L139" t="e">
            <v>#N/A</v>
          </cell>
          <cell r="M139" t="e">
            <v>#N/A</v>
          </cell>
          <cell r="N139" t="e">
            <v>#N/A</v>
          </cell>
          <cell r="O139" t="e">
            <v>#N/A</v>
          </cell>
          <cell r="P139">
            <v>52.7</v>
          </cell>
          <cell r="Q139">
            <v>1.334784</v>
          </cell>
          <cell r="R139" t="e">
            <v>#N/A</v>
          </cell>
        </row>
        <row r="140">
          <cell r="A140">
            <v>39671</v>
          </cell>
          <cell r="B140">
            <v>39671</v>
          </cell>
          <cell r="C140" t="str">
            <v>Past</v>
          </cell>
          <cell r="D140">
            <v>53.2</v>
          </cell>
          <cell r="E140" t="e">
            <v>#N/A</v>
          </cell>
          <cell r="F140" t="e">
            <v>#N/A</v>
          </cell>
          <cell r="G140" t="e">
            <v>#N/A</v>
          </cell>
          <cell r="H140" t="e">
            <v>#N/A</v>
          </cell>
          <cell r="I140" t="e">
            <v>#N/A</v>
          </cell>
          <cell r="J140" t="e">
            <v>#N/A</v>
          </cell>
          <cell r="K140" t="e">
            <v>#N/A</v>
          </cell>
          <cell r="L140" t="e">
            <v>#N/A</v>
          </cell>
          <cell r="M140" t="e">
            <v>#N/A</v>
          </cell>
          <cell r="N140" t="e">
            <v>#N/A</v>
          </cell>
          <cell r="O140" t="e">
            <v>#N/A</v>
          </cell>
          <cell r="P140">
            <v>53.2</v>
          </cell>
          <cell r="Q140">
            <v>1.3110219999999999</v>
          </cell>
          <cell r="R140" t="e">
            <v>#N/A</v>
          </cell>
        </row>
        <row r="141">
          <cell r="A141">
            <v>39672</v>
          </cell>
          <cell r="B141">
            <v>39672</v>
          </cell>
          <cell r="C141" t="str">
            <v>Past</v>
          </cell>
          <cell r="D141">
            <v>53.21</v>
          </cell>
          <cell r="E141" t="e">
            <v>#N/A</v>
          </cell>
          <cell r="F141" t="e">
            <v>#N/A</v>
          </cell>
          <cell r="G141" t="e">
            <v>#N/A</v>
          </cell>
          <cell r="H141" t="e">
            <v>#N/A</v>
          </cell>
          <cell r="I141" t="e">
            <v>#N/A</v>
          </cell>
          <cell r="J141" t="e">
            <v>#N/A</v>
          </cell>
          <cell r="K141" t="e">
            <v>#N/A</v>
          </cell>
          <cell r="L141" t="e">
            <v>#N/A</v>
          </cell>
          <cell r="M141" t="e">
            <v>#N/A</v>
          </cell>
          <cell r="N141" t="e">
            <v>#N/A</v>
          </cell>
          <cell r="O141" t="e">
            <v>#N/A</v>
          </cell>
          <cell r="P141">
            <v>53.21</v>
          </cell>
          <cell r="Q141">
            <v>0.76755499999999999</v>
          </cell>
          <cell r="R141" t="e">
            <v>#N/A</v>
          </cell>
        </row>
        <row r="142">
          <cell r="A142">
            <v>39673</v>
          </cell>
          <cell r="B142">
            <v>39673</v>
          </cell>
          <cell r="C142" t="str">
            <v>Past</v>
          </cell>
          <cell r="D142">
            <v>52.84</v>
          </cell>
          <cell r="E142" t="e">
            <v>#N/A</v>
          </cell>
          <cell r="F142" t="e">
            <v>#N/A</v>
          </cell>
          <cell r="G142" t="e">
            <v>#N/A</v>
          </cell>
          <cell r="H142" t="e">
            <v>#N/A</v>
          </cell>
          <cell r="I142" t="e">
            <v>#N/A</v>
          </cell>
          <cell r="J142" t="e">
            <v>#N/A</v>
          </cell>
          <cell r="K142" t="e">
            <v>#N/A</v>
          </cell>
          <cell r="L142" t="e">
            <v>#N/A</v>
          </cell>
          <cell r="M142" t="e">
            <v>#N/A</v>
          </cell>
          <cell r="N142" t="e">
            <v>#N/A</v>
          </cell>
          <cell r="O142" t="e">
            <v>#N/A</v>
          </cell>
          <cell r="P142">
            <v>52.84</v>
          </cell>
          <cell r="Q142">
            <v>0.92146499999999998</v>
          </cell>
          <cell r="R142" t="e">
            <v>#N/A</v>
          </cell>
        </row>
        <row r="143">
          <cell r="A143">
            <v>39674</v>
          </cell>
          <cell r="B143">
            <v>39674</v>
          </cell>
          <cell r="C143" t="str">
            <v>Past</v>
          </cell>
          <cell r="D143">
            <v>53.17</v>
          </cell>
          <cell r="E143" t="e">
            <v>#N/A</v>
          </cell>
          <cell r="F143" t="e">
            <v>#N/A</v>
          </cell>
          <cell r="G143" t="e">
            <v>#N/A</v>
          </cell>
          <cell r="H143" t="e">
            <v>#N/A</v>
          </cell>
          <cell r="I143" t="e">
            <v>#N/A</v>
          </cell>
          <cell r="J143" t="e">
            <v>#N/A</v>
          </cell>
          <cell r="K143" t="e">
            <v>#N/A</v>
          </cell>
          <cell r="L143" t="e">
            <v>#N/A</v>
          </cell>
          <cell r="M143" t="e">
            <v>#N/A</v>
          </cell>
          <cell r="N143" t="e">
            <v>#N/A</v>
          </cell>
          <cell r="O143" t="e">
            <v>#N/A</v>
          </cell>
          <cell r="P143">
            <v>53.17</v>
          </cell>
          <cell r="Q143">
            <v>0.62597399999999992</v>
          </cell>
          <cell r="R143" t="e">
            <v>#N/A</v>
          </cell>
        </row>
        <row r="144">
          <cell r="A144">
            <v>39675</v>
          </cell>
          <cell r="B144">
            <v>39675</v>
          </cell>
          <cell r="C144" t="str">
            <v>Past</v>
          </cell>
          <cell r="D144">
            <v>53.68</v>
          </cell>
          <cell r="E144" t="e">
            <v>#N/A</v>
          </cell>
          <cell r="F144" t="e">
            <v>#N/A</v>
          </cell>
          <cell r="G144" t="e">
            <v>#N/A</v>
          </cell>
          <cell r="H144" t="e">
            <v>#N/A</v>
          </cell>
          <cell r="I144" t="e">
            <v>#N/A</v>
          </cell>
          <cell r="J144" t="e">
            <v>#N/A</v>
          </cell>
          <cell r="K144" t="e">
            <v>#N/A</v>
          </cell>
          <cell r="L144" t="e">
            <v>#N/A</v>
          </cell>
          <cell r="M144" t="e">
            <v>#N/A</v>
          </cell>
          <cell r="N144" t="e">
            <v>#N/A</v>
          </cell>
          <cell r="O144" t="e">
            <v>#N/A</v>
          </cell>
          <cell r="P144">
            <v>53.68</v>
          </cell>
          <cell r="Q144">
            <v>0.78139499999999995</v>
          </cell>
          <cell r="R144" t="e">
            <v>#N/A</v>
          </cell>
        </row>
        <row r="145">
          <cell r="A145">
            <v>39678</v>
          </cell>
          <cell r="B145">
            <v>39678</v>
          </cell>
          <cell r="C145" t="str">
            <v>Past</v>
          </cell>
          <cell r="D145">
            <v>53.21</v>
          </cell>
          <cell r="E145" t="e">
            <v>#N/A</v>
          </cell>
          <cell r="F145" t="e">
            <v>#N/A</v>
          </cell>
          <cell r="G145" t="e">
            <v>#N/A</v>
          </cell>
          <cell r="H145" t="e">
            <v>#N/A</v>
          </cell>
          <cell r="I145" t="e">
            <v>#N/A</v>
          </cell>
          <cell r="J145" t="e">
            <v>#N/A</v>
          </cell>
          <cell r="K145" t="e">
            <v>#N/A</v>
          </cell>
          <cell r="L145" t="e">
            <v>#N/A</v>
          </cell>
          <cell r="M145" t="e">
            <v>#N/A</v>
          </cell>
          <cell r="N145" t="e">
            <v>#N/A</v>
          </cell>
          <cell r="O145" t="e">
            <v>#N/A</v>
          </cell>
          <cell r="P145">
            <v>53.21</v>
          </cell>
          <cell r="Q145">
            <v>1.0726069999999999</v>
          </cell>
          <cell r="R145" t="e">
            <v>#N/A</v>
          </cell>
        </row>
        <row r="146">
          <cell r="A146">
            <v>39679</v>
          </cell>
          <cell r="B146">
            <v>39679</v>
          </cell>
          <cell r="C146" t="str">
            <v>Past</v>
          </cell>
          <cell r="D146">
            <v>52</v>
          </cell>
          <cell r="E146" t="e">
            <v>#N/A</v>
          </cell>
          <cell r="F146" t="e">
            <v>#N/A</v>
          </cell>
          <cell r="G146" t="e">
            <v>#N/A</v>
          </cell>
          <cell r="H146" t="e">
            <v>#N/A</v>
          </cell>
          <cell r="I146" t="e">
            <v>#N/A</v>
          </cell>
          <cell r="J146" t="e">
            <v>#N/A</v>
          </cell>
          <cell r="K146" t="e">
            <v>#N/A</v>
          </cell>
          <cell r="L146" t="e">
            <v>#N/A</v>
          </cell>
          <cell r="M146" t="e">
            <v>#N/A</v>
          </cell>
          <cell r="N146" t="e">
            <v>#N/A</v>
          </cell>
          <cell r="O146" t="e">
            <v>#N/A</v>
          </cell>
          <cell r="P146">
            <v>52</v>
          </cell>
          <cell r="Q146">
            <v>1.4836469999999999</v>
          </cell>
          <cell r="R146" t="e">
            <v>#N/A</v>
          </cell>
        </row>
        <row r="147">
          <cell r="A147">
            <v>39680</v>
          </cell>
          <cell r="B147">
            <v>39680</v>
          </cell>
          <cell r="C147" t="str">
            <v>Past</v>
          </cell>
          <cell r="D147">
            <v>51.35</v>
          </cell>
          <cell r="E147" t="e">
            <v>#N/A</v>
          </cell>
          <cell r="F147" t="e">
            <v>#N/A</v>
          </cell>
          <cell r="G147" t="e">
            <v>#N/A</v>
          </cell>
          <cell r="H147" t="e">
            <v>#N/A</v>
          </cell>
          <cell r="I147" t="e">
            <v>#N/A</v>
          </cell>
          <cell r="J147" t="e">
            <v>#N/A</v>
          </cell>
          <cell r="K147" t="e">
            <v>#N/A</v>
          </cell>
          <cell r="L147" t="e">
            <v>#N/A</v>
          </cell>
          <cell r="M147" t="e">
            <v>#N/A</v>
          </cell>
          <cell r="N147" t="e">
            <v>#N/A</v>
          </cell>
          <cell r="O147" t="e">
            <v>#N/A</v>
          </cell>
          <cell r="P147">
            <v>51.35</v>
          </cell>
          <cell r="Q147">
            <v>2.1084510000000001</v>
          </cell>
          <cell r="R147" t="e">
            <v>#N/A</v>
          </cell>
        </row>
        <row r="148">
          <cell r="A148">
            <v>39681</v>
          </cell>
          <cell r="B148">
            <v>39681</v>
          </cell>
          <cell r="C148" t="str">
            <v>Past</v>
          </cell>
          <cell r="D148">
            <v>50.77</v>
          </cell>
          <cell r="E148" t="e">
            <v>#N/A</v>
          </cell>
          <cell r="F148" t="e">
            <v>#N/A</v>
          </cell>
          <cell r="G148" t="e">
            <v>#N/A</v>
          </cell>
          <cell r="H148" t="e">
            <v>#N/A</v>
          </cell>
          <cell r="I148" t="e">
            <v>#N/A</v>
          </cell>
          <cell r="J148" t="e">
            <v>#N/A</v>
          </cell>
          <cell r="K148" t="e">
            <v>#N/A</v>
          </cell>
          <cell r="L148" t="e">
            <v>#N/A</v>
          </cell>
          <cell r="M148" t="e">
            <v>#N/A</v>
          </cell>
          <cell r="N148" t="e">
            <v>#N/A</v>
          </cell>
          <cell r="O148" t="e">
            <v>#N/A</v>
          </cell>
          <cell r="P148">
            <v>50.77</v>
          </cell>
          <cell r="Q148">
            <v>1.1655229999999999</v>
          </cell>
          <cell r="R148" t="e">
            <v>#N/A</v>
          </cell>
        </row>
        <row r="149">
          <cell r="A149">
            <v>39682</v>
          </cell>
          <cell r="B149">
            <v>39682</v>
          </cell>
          <cell r="C149" t="str">
            <v>Past</v>
          </cell>
          <cell r="D149">
            <v>52.28</v>
          </cell>
          <cell r="E149" t="e">
            <v>#N/A</v>
          </cell>
          <cell r="F149" t="e">
            <v>#N/A</v>
          </cell>
          <cell r="G149" t="e">
            <v>#N/A</v>
          </cell>
          <cell r="H149" t="e">
            <v>#N/A</v>
          </cell>
          <cell r="I149" t="e">
            <v>#N/A</v>
          </cell>
          <cell r="J149" t="e">
            <v>#N/A</v>
          </cell>
          <cell r="K149" t="e">
            <v>#N/A</v>
          </cell>
          <cell r="L149" t="e">
            <v>#N/A</v>
          </cell>
          <cell r="M149" t="e">
            <v>#N/A</v>
          </cell>
          <cell r="N149" t="e">
            <v>#N/A</v>
          </cell>
          <cell r="O149" t="e">
            <v>#N/A</v>
          </cell>
          <cell r="P149">
            <v>52.28</v>
          </cell>
          <cell r="Q149">
            <v>0.84543199999999996</v>
          </cell>
          <cell r="R149" t="e">
            <v>#N/A</v>
          </cell>
        </row>
        <row r="150">
          <cell r="A150">
            <v>39685</v>
          </cell>
          <cell r="B150">
            <v>39685</v>
          </cell>
          <cell r="C150" t="str">
            <v>Past</v>
          </cell>
          <cell r="D150">
            <v>51.25</v>
          </cell>
          <cell r="E150" t="e">
            <v>#N/A</v>
          </cell>
          <cell r="F150" t="e">
            <v>#N/A</v>
          </cell>
          <cell r="G150" t="e">
            <v>#N/A</v>
          </cell>
          <cell r="H150" t="e">
            <v>#N/A</v>
          </cell>
          <cell r="I150" t="e">
            <v>#N/A</v>
          </cell>
          <cell r="J150" t="e">
            <v>#N/A</v>
          </cell>
          <cell r="K150" t="e">
            <v>#N/A</v>
          </cell>
          <cell r="L150" t="e">
            <v>#N/A</v>
          </cell>
          <cell r="M150" t="e">
            <v>#N/A</v>
          </cell>
          <cell r="N150" t="e">
            <v>#N/A</v>
          </cell>
          <cell r="O150" t="e">
            <v>#N/A</v>
          </cell>
          <cell r="P150">
            <v>51.25</v>
          </cell>
          <cell r="Q150">
            <v>1.240548</v>
          </cell>
          <cell r="R150" t="e">
            <v>#N/A</v>
          </cell>
        </row>
        <row r="151">
          <cell r="A151">
            <v>39686</v>
          </cell>
          <cell r="B151">
            <v>39686</v>
          </cell>
          <cell r="C151" t="str">
            <v>Past</v>
          </cell>
          <cell r="D151">
            <v>51.81</v>
          </cell>
          <cell r="E151" t="e">
            <v>#N/A</v>
          </cell>
          <cell r="F151" t="e">
            <v>#N/A</v>
          </cell>
          <cell r="G151" t="e">
            <v>#N/A</v>
          </cell>
          <cell r="H151" t="e">
            <v>#N/A</v>
          </cell>
          <cell r="I151" t="e">
            <v>#N/A</v>
          </cell>
          <cell r="J151" t="e">
            <v>#N/A</v>
          </cell>
          <cell r="K151" t="e">
            <v>#N/A</v>
          </cell>
          <cell r="L151" t="e">
            <v>#N/A</v>
          </cell>
          <cell r="M151" t="e">
            <v>#N/A</v>
          </cell>
          <cell r="N151" t="e">
            <v>#N/A</v>
          </cell>
          <cell r="O151" t="e">
            <v>#N/A</v>
          </cell>
          <cell r="P151">
            <v>51.81</v>
          </cell>
          <cell r="Q151">
            <v>1.1626159999999999</v>
          </cell>
          <cell r="R151" t="e">
            <v>#N/A</v>
          </cell>
        </row>
        <row r="152">
          <cell r="A152">
            <v>39687</v>
          </cell>
          <cell r="B152">
            <v>39687</v>
          </cell>
          <cell r="C152" t="str">
            <v>Past</v>
          </cell>
          <cell r="D152">
            <v>51.97</v>
          </cell>
          <cell r="E152" t="e">
            <v>#N/A</v>
          </cell>
          <cell r="F152" t="e">
            <v>#N/A</v>
          </cell>
          <cell r="G152" t="e">
            <v>#N/A</v>
          </cell>
          <cell r="H152" t="e">
            <v>#N/A</v>
          </cell>
          <cell r="I152" t="e">
            <v>#N/A</v>
          </cell>
          <cell r="J152" t="e">
            <v>#N/A</v>
          </cell>
          <cell r="K152" t="e">
            <v>#N/A</v>
          </cell>
          <cell r="L152" t="e">
            <v>#N/A</v>
          </cell>
          <cell r="M152" t="e">
            <v>#N/A</v>
          </cell>
          <cell r="N152" t="e">
            <v>#N/A</v>
          </cell>
          <cell r="O152" t="e">
            <v>#N/A</v>
          </cell>
          <cell r="P152">
            <v>51.97</v>
          </cell>
          <cell r="Q152">
            <v>1.336713</v>
          </cell>
          <cell r="R152" t="e">
            <v>#N/A</v>
          </cell>
        </row>
        <row r="153">
          <cell r="A153">
            <v>39688</v>
          </cell>
          <cell r="B153">
            <v>39688</v>
          </cell>
          <cell r="C153" t="str">
            <v>Past</v>
          </cell>
          <cell r="D153">
            <v>53.22</v>
          </cell>
          <cell r="E153" t="e">
            <v>#N/A</v>
          </cell>
          <cell r="F153" t="e">
            <v>#N/A</v>
          </cell>
          <cell r="G153" t="e">
            <v>#N/A</v>
          </cell>
          <cell r="H153" t="e">
            <v>#N/A</v>
          </cell>
          <cell r="I153" t="e">
            <v>#N/A</v>
          </cell>
          <cell r="J153" t="e">
            <v>#N/A</v>
          </cell>
          <cell r="K153" t="e">
            <v>#N/A</v>
          </cell>
          <cell r="L153" t="e">
            <v>#N/A</v>
          </cell>
          <cell r="M153" t="e">
            <v>#N/A</v>
          </cell>
          <cell r="N153" t="e">
            <v>#N/A</v>
          </cell>
          <cell r="O153" t="e">
            <v>#N/A</v>
          </cell>
          <cell r="P153">
            <v>53.22</v>
          </cell>
          <cell r="Q153">
            <v>0.81744600000000001</v>
          </cell>
          <cell r="R153" t="e">
            <v>#N/A</v>
          </cell>
        </row>
        <row r="154">
          <cell r="A154">
            <v>39689</v>
          </cell>
          <cell r="B154">
            <v>39689</v>
          </cell>
          <cell r="C154" t="str">
            <v>Past</v>
          </cell>
          <cell r="D154">
            <v>52.59</v>
          </cell>
          <cell r="E154" t="e">
            <v>#N/A</v>
          </cell>
          <cell r="F154" t="e">
            <v>#N/A</v>
          </cell>
          <cell r="G154" t="e">
            <v>#N/A</v>
          </cell>
          <cell r="H154" t="e">
            <v>#N/A</v>
          </cell>
          <cell r="I154" t="e">
            <v>#N/A</v>
          </cell>
          <cell r="J154" t="e">
            <v>#N/A</v>
          </cell>
          <cell r="K154" t="e">
            <v>#N/A</v>
          </cell>
          <cell r="L154" t="e">
            <v>#N/A</v>
          </cell>
          <cell r="M154" t="e">
            <v>#N/A</v>
          </cell>
          <cell r="N154" t="e">
            <v>#N/A</v>
          </cell>
          <cell r="O154" t="e">
            <v>#N/A</v>
          </cell>
          <cell r="P154">
            <v>52.59</v>
          </cell>
          <cell r="Q154">
            <v>0.62557000000000007</v>
          </cell>
          <cell r="R154" t="e">
            <v>#N/A</v>
          </cell>
        </row>
        <row r="155">
          <cell r="A155">
            <v>39693</v>
          </cell>
          <cell r="B155">
            <v>39693</v>
          </cell>
          <cell r="C155" t="str">
            <v>Past</v>
          </cell>
          <cell r="D155">
            <v>52.94</v>
          </cell>
          <cell r="E155" t="e">
            <v>#N/A</v>
          </cell>
          <cell r="F155" t="e">
            <v>#N/A</v>
          </cell>
          <cell r="G155" t="e">
            <v>#N/A</v>
          </cell>
          <cell r="H155" t="e">
            <v>#N/A</v>
          </cell>
          <cell r="I155" t="e">
            <v>#N/A</v>
          </cell>
          <cell r="J155" t="e">
            <v>#N/A</v>
          </cell>
          <cell r="K155" t="e">
            <v>#N/A</v>
          </cell>
          <cell r="L155" t="e">
            <v>#N/A</v>
          </cell>
          <cell r="M155" t="e">
            <v>#N/A</v>
          </cell>
          <cell r="N155" t="e">
            <v>#N/A</v>
          </cell>
          <cell r="O155" t="e">
            <v>#N/A</v>
          </cell>
          <cell r="P155">
            <v>52.94</v>
          </cell>
          <cell r="Q155">
            <v>0.746313</v>
          </cell>
          <cell r="R155" t="e">
            <v>#N/A</v>
          </cell>
        </row>
        <row r="156">
          <cell r="A156">
            <v>39694</v>
          </cell>
          <cell r="B156">
            <v>39694</v>
          </cell>
          <cell r="C156" t="str">
            <v>Past</v>
          </cell>
          <cell r="D156">
            <v>52.88</v>
          </cell>
          <cell r="E156" t="e">
            <v>#N/A</v>
          </cell>
          <cell r="F156" t="e">
            <v>#N/A</v>
          </cell>
          <cell r="G156" t="e">
            <v>#N/A</v>
          </cell>
          <cell r="H156" t="e">
            <v>#N/A</v>
          </cell>
          <cell r="I156" t="e">
            <v>#N/A</v>
          </cell>
          <cell r="J156" t="e">
            <v>#N/A</v>
          </cell>
          <cell r="K156" t="e">
            <v>#N/A</v>
          </cell>
          <cell r="L156" t="e">
            <v>#N/A</v>
          </cell>
          <cell r="M156" t="e">
            <v>#N/A</v>
          </cell>
          <cell r="N156" t="e">
            <v>#N/A</v>
          </cell>
          <cell r="O156" t="e">
            <v>#N/A</v>
          </cell>
          <cell r="P156">
            <v>52.88</v>
          </cell>
          <cell r="Q156">
            <v>0.64024499999999995</v>
          </cell>
          <cell r="R156" t="e">
            <v>#N/A</v>
          </cell>
        </row>
        <row r="157">
          <cell r="A157">
            <v>39695</v>
          </cell>
          <cell r="B157">
            <v>39695</v>
          </cell>
          <cell r="C157" t="str">
            <v>Past</v>
          </cell>
          <cell r="D157">
            <v>51.73</v>
          </cell>
          <cell r="E157" t="e">
            <v>#N/A</v>
          </cell>
          <cell r="F157" t="e">
            <v>#N/A</v>
          </cell>
          <cell r="G157" t="e">
            <v>#N/A</v>
          </cell>
          <cell r="H157" t="e">
            <v>#N/A</v>
          </cell>
          <cell r="I157" t="e">
            <v>#N/A</v>
          </cell>
          <cell r="J157" t="e">
            <v>#N/A</v>
          </cell>
          <cell r="K157" t="e">
            <v>#N/A</v>
          </cell>
          <cell r="L157" t="e">
            <v>#N/A</v>
          </cell>
          <cell r="M157" t="e">
            <v>#N/A</v>
          </cell>
          <cell r="N157" t="e">
            <v>#N/A</v>
          </cell>
          <cell r="O157" t="e">
            <v>#N/A</v>
          </cell>
          <cell r="P157">
            <v>51.73</v>
          </cell>
          <cell r="Q157">
            <v>1.5427729999999999</v>
          </cell>
          <cell r="R157" t="e">
            <v>#N/A</v>
          </cell>
        </row>
        <row r="158">
          <cell r="A158">
            <v>39696</v>
          </cell>
          <cell r="B158">
            <v>39696</v>
          </cell>
          <cell r="C158" t="str">
            <v>Past</v>
          </cell>
          <cell r="D158">
            <v>51.75</v>
          </cell>
          <cell r="E158" t="e">
            <v>#N/A</v>
          </cell>
          <cell r="F158" t="e">
            <v>#N/A</v>
          </cell>
          <cell r="G158" t="e">
            <v>#N/A</v>
          </cell>
          <cell r="H158" t="e">
            <v>#N/A</v>
          </cell>
          <cell r="I158" t="e">
            <v>#N/A</v>
          </cell>
          <cell r="J158" t="e">
            <v>#N/A</v>
          </cell>
          <cell r="K158" t="e">
            <v>#N/A</v>
          </cell>
          <cell r="L158" t="e">
            <v>#N/A</v>
          </cell>
          <cell r="M158" t="e">
            <v>#N/A</v>
          </cell>
          <cell r="N158" t="e">
            <v>#N/A</v>
          </cell>
          <cell r="O158" t="e">
            <v>#N/A</v>
          </cell>
          <cell r="P158">
            <v>51.75</v>
          </cell>
          <cell r="Q158">
            <v>0.92921399999999998</v>
          </cell>
          <cell r="R158" t="e">
            <v>#N/A</v>
          </cell>
        </row>
        <row r="159">
          <cell r="A159">
            <v>39699</v>
          </cell>
          <cell r="B159">
            <v>39699</v>
          </cell>
          <cell r="C159" t="str">
            <v>Past</v>
          </cell>
          <cell r="D159">
            <v>52.24</v>
          </cell>
          <cell r="E159" t="e">
            <v>#N/A</v>
          </cell>
          <cell r="F159" t="e">
            <v>#N/A</v>
          </cell>
          <cell r="G159" t="e">
            <v>#N/A</v>
          </cell>
          <cell r="H159" t="e">
            <v>#N/A</v>
          </cell>
          <cell r="I159" t="e">
            <v>#N/A</v>
          </cell>
          <cell r="J159" t="e">
            <v>#N/A</v>
          </cell>
          <cell r="K159" t="e">
            <v>#N/A</v>
          </cell>
          <cell r="L159" t="e">
            <v>#N/A</v>
          </cell>
          <cell r="M159" t="e">
            <v>#N/A</v>
          </cell>
          <cell r="N159" t="e">
            <v>#N/A</v>
          </cell>
          <cell r="O159" t="e">
            <v>#N/A</v>
          </cell>
          <cell r="P159">
            <v>52.24</v>
          </cell>
          <cell r="Q159">
            <v>1.8556509999999999</v>
          </cell>
          <cell r="R159" t="e">
            <v>#N/A</v>
          </cell>
        </row>
        <row r="160">
          <cell r="A160">
            <v>39700</v>
          </cell>
          <cell r="B160">
            <v>39700</v>
          </cell>
          <cell r="C160" t="str">
            <v>Past</v>
          </cell>
          <cell r="D160">
            <v>51.56</v>
          </cell>
          <cell r="E160" t="e">
            <v>#N/A</v>
          </cell>
          <cell r="F160" t="e">
            <v>#N/A</v>
          </cell>
          <cell r="G160" t="e">
            <v>#N/A</v>
          </cell>
          <cell r="H160" t="e">
            <v>#N/A</v>
          </cell>
          <cell r="I160" t="e">
            <v>#N/A</v>
          </cell>
          <cell r="J160" t="e">
            <v>#N/A</v>
          </cell>
          <cell r="K160" t="e">
            <v>#N/A</v>
          </cell>
          <cell r="L160" t="e">
            <v>#N/A</v>
          </cell>
          <cell r="M160" t="e">
            <v>#N/A</v>
          </cell>
          <cell r="N160" t="e">
            <v>#N/A</v>
          </cell>
          <cell r="O160" t="e">
            <v>#N/A</v>
          </cell>
          <cell r="P160">
            <v>51.56</v>
          </cell>
          <cell r="Q160">
            <v>1.6794939999999998</v>
          </cell>
          <cell r="R160" t="e">
            <v>#N/A</v>
          </cell>
        </row>
        <row r="161">
          <cell r="A161">
            <v>39701</v>
          </cell>
          <cell r="B161">
            <v>39701</v>
          </cell>
          <cell r="C161" t="str">
            <v>Past</v>
          </cell>
          <cell r="D161">
            <v>49.7</v>
          </cell>
          <cell r="E161" t="e">
            <v>#N/A</v>
          </cell>
          <cell r="F161" t="e">
            <v>#N/A</v>
          </cell>
          <cell r="G161" t="e">
            <v>#N/A</v>
          </cell>
          <cell r="H161" t="e">
            <v>#N/A</v>
          </cell>
          <cell r="I161" t="e">
            <v>#N/A</v>
          </cell>
          <cell r="J161" t="e">
            <v>#N/A</v>
          </cell>
          <cell r="K161" t="e">
            <v>#N/A</v>
          </cell>
          <cell r="L161" t="e">
            <v>#N/A</v>
          </cell>
          <cell r="M161" t="e">
            <v>#N/A</v>
          </cell>
          <cell r="N161" t="e">
            <v>#N/A</v>
          </cell>
          <cell r="O161" t="e">
            <v>#N/A</v>
          </cell>
          <cell r="P161">
            <v>49.7</v>
          </cell>
          <cell r="Q161">
            <v>2.219163</v>
          </cell>
          <cell r="R161" t="e">
            <v>#N/A</v>
          </cell>
        </row>
        <row r="162">
          <cell r="A162">
            <v>39702</v>
          </cell>
          <cell r="B162">
            <v>39702</v>
          </cell>
          <cell r="C162" t="str">
            <v>Past</v>
          </cell>
          <cell r="D162">
            <v>51.85</v>
          </cell>
          <cell r="E162" t="e">
            <v>#N/A</v>
          </cell>
          <cell r="F162" t="e">
            <v>#N/A</v>
          </cell>
          <cell r="G162" t="e">
            <v>#N/A</v>
          </cell>
          <cell r="H162" t="e">
            <v>#N/A</v>
          </cell>
          <cell r="I162" t="e">
            <v>#N/A</v>
          </cell>
          <cell r="J162" t="e">
            <v>#N/A</v>
          </cell>
          <cell r="K162" t="e">
            <v>#N/A</v>
          </cell>
          <cell r="L162" t="e">
            <v>#N/A</v>
          </cell>
          <cell r="M162" t="e">
            <v>#N/A</v>
          </cell>
          <cell r="N162" t="e">
            <v>#N/A</v>
          </cell>
          <cell r="O162" t="e">
            <v>#N/A</v>
          </cell>
          <cell r="P162">
            <v>51.85</v>
          </cell>
          <cell r="Q162">
            <v>1.993026</v>
          </cell>
          <cell r="R162" t="e">
            <v>#N/A</v>
          </cell>
        </row>
        <row r="163">
          <cell r="A163">
            <v>39703</v>
          </cell>
          <cell r="B163">
            <v>39703</v>
          </cell>
          <cell r="C163" t="str">
            <v>Past</v>
          </cell>
          <cell r="D163">
            <v>53.02</v>
          </cell>
          <cell r="E163" t="e">
            <v>#N/A</v>
          </cell>
          <cell r="F163" t="e">
            <v>#N/A</v>
          </cell>
          <cell r="G163" t="e">
            <v>#N/A</v>
          </cell>
          <cell r="H163" t="e">
            <v>#N/A</v>
          </cell>
          <cell r="I163" t="e">
            <v>#N/A</v>
          </cell>
          <cell r="J163" t="e">
            <v>#N/A</v>
          </cell>
          <cell r="K163" t="e">
            <v>#N/A</v>
          </cell>
          <cell r="L163" t="e">
            <v>#N/A</v>
          </cell>
          <cell r="M163" t="e">
            <v>#N/A</v>
          </cell>
          <cell r="N163" t="e">
            <v>#N/A</v>
          </cell>
          <cell r="O163" t="e">
            <v>#N/A</v>
          </cell>
          <cell r="P163">
            <v>53.02</v>
          </cell>
          <cell r="Q163">
            <v>1.5557289999999999</v>
          </cell>
          <cell r="R163" t="e">
            <v>#N/A</v>
          </cell>
        </row>
        <row r="164">
          <cell r="A164">
            <v>39706</v>
          </cell>
          <cell r="B164">
            <v>39706</v>
          </cell>
          <cell r="C164" t="str">
            <v>Past</v>
          </cell>
          <cell r="D164">
            <v>51.88</v>
          </cell>
          <cell r="E164" t="e">
            <v>#N/A</v>
          </cell>
          <cell r="F164" t="e">
            <v>#N/A</v>
          </cell>
          <cell r="G164" t="e">
            <v>#N/A</v>
          </cell>
          <cell r="H164" t="e">
            <v>#N/A</v>
          </cell>
          <cell r="I164" t="e">
            <v>#N/A</v>
          </cell>
          <cell r="J164" t="e">
            <v>#N/A</v>
          </cell>
          <cell r="K164" t="e">
            <v>#N/A</v>
          </cell>
          <cell r="L164" t="e">
            <v>#N/A</v>
          </cell>
          <cell r="M164" t="e">
            <v>#N/A</v>
          </cell>
          <cell r="N164" t="e">
            <v>#N/A</v>
          </cell>
          <cell r="O164" t="e">
            <v>#N/A</v>
          </cell>
          <cell r="P164">
            <v>51.88</v>
          </cell>
          <cell r="Q164">
            <v>1.45784</v>
          </cell>
          <cell r="R164" t="e">
            <v>#N/A</v>
          </cell>
        </row>
        <row r="165">
          <cell r="A165">
            <v>39707</v>
          </cell>
          <cell r="B165">
            <v>39707</v>
          </cell>
          <cell r="C165" t="str">
            <v>Past</v>
          </cell>
          <cell r="D165">
            <v>51.16</v>
          </cell>
          <cell r="E165" t="e">
            <v>#N/A</v>
          </cell>
          <cell r="F165" t="e">
            <v>#N/A</v>
          </cell>
          <cell r="G165" t="e">
            <v>#N/A</v>
          </cell>
          <cell r="H165" t="e">
            <v>#N/A</v>
          </cell>
          <cell r="I165" t="e">
            <v>#N/A</v>
          </cell>
          <cell r="J165" t="e">
            <v>#N/A</v>
          </cell>
          <cell r="K165" t="e">
            <v>#N/A</v>
          </cell>
          <cell r="L165" t="e">
            <v>#N/A</v>
          </cell>
          <cell r="M165" t="e">
            <v>#N/A</v>
          </cell>
          <cell r="N165" t="e">
            <v>#N/A</v>
          </cell>
          <cell r="O165" t="e">
            <v>#N/A</v>
          </cell>
          <cell r="P165">
            <v>51.16</v>
          </cell>
          <cell r="Q165">
            <v>2.3069700000000002</v>
          </cell>
          <cell r="R165" t="e">
            <v>#N/A</v>
          </cell>
        </row>
        <row r="166">
          <cell r="A166">
            <v>39708</v>
          </cell>
          <cell r="B166">
            <v>39708</v>
          </cell>
          <cell r="C166" t="str">
            <v>Past</v>
          </cell>
          <cell r="D166">
            <v>48.4</v>
          </cell>
          <cell r="E166" t="e">
            <v>#N/A</v>
          </cell>
          <cell r="F166" t="e">
            <v>#N/A</v>
          </cell>
          <cell r="G166" t="e">
            <v>#N/A</v>
          </cell>
          <cell r="H166" t="e">
            <v>#N/A</v>
          </cell>
          <cell r="I166" t="e">
            <v>#N/A</v>
          </cell>
          <cell r="J166" t="e">
            <v>#N/A</v>
          </cell>
          <cell r="K166" t="e">
            <v>#N/A</v>
          </cell>
          <cell r="L166" t="e">
            <v>#N/A</v>
          </cell>
          <cell r="M166" t="e">
            <v>#N/A</v>
          </cell>
          <cell r="N166" t="e">
            <v>#N/A</v>
          </cell>
          <cell r="O166" t="e">
            <v>#N/A</v>
          </cell>
          <cell r="P166">
            <v>48.4</v>
          </cell>
          <cell r="Q166">
            <v>2.4181319999999999</v>
          </cell>
          <cell r="R166" t="e">
            <v>#N/A</v>
          </cell>
        </row>
        <row r="167">
          <cell r="A167">
            <v>39709</v>
          </cell>
          <cell r="B167">
            <v>39709</v>
          </cell>
          <cell r="C167" t="str">
            <v>Past</v>
          </cell>
          <cell r="D167">
            <v>49.14</v>
          </cell>
          <cell r="E167" t="e">
            <v>#N/A</v>
          </cell>
          <cell r="F167" t="e">
            <v>#N/A</v>
          </cell>
          <cell r="G167" t="e">
            <v>#N/A</v>
          </cell>
          <cell r="H167" t="e">
            <v>#N/A</v>
          </cell>
          <cell r="I167" t="e">
            <v>#N/A</v>
          </cell>
          <cell r="J167" t="e">
            <v>#N/A</v>
          </cell>
          <cell r="K167" t="e">
            <v>#N/A</v>
          </cell>
          <cell r="L167" t="e">
            <v>#N/A</v>
          </cell>
          <cell r="M167" t="e">
            <v>#N/A</v>
          </cell>
          <cell r="N167" t="e">
            <v>#N/A</v>
          </cell>
          <cell r="O167" t="e">
            <v>#N/A</v>
          </cell>
          <cell r="P167">
            <v>49.14</v>
          </cell>
          <cell r="Q167">
            <v>2.2509950000000001</v>
          </cell>
          <cell r="R167" t="e">
            <v>#N/A</v>
          </cell>
        </row>
        <row r="168">
          <cell r="A168">
            <v>39710</v>
          </cell>
          <cell r="B168">
            <v>39710</v>
          </cell>
          <cell r="C168" t="str">
            <v>Past</v>
          </cell>
          <cell r="D168">
            <v>50.1</v>
          </cell>
          <cell r="E168" t="e">
            <v>#N/A</v>
          </cell>
          <cell r="F168" t="e">
            <v>#N/A</v>
          </cell>
          <cell r="G168" t="e">
            <v>#N/A</v>
          </cell>
          <cell r="H168" t="e">
            <v>#N/A</v>
          </cell>
          <cell r="I168" t="e">
            <v>#N/A</v>
          </cell>
          <cell r="J168" t="e">
            <v>#N/A</v>
          </cell>
          <cell r="K168" t="e">
            <v>#N/A</v>
          </cell>
          <cell r="L168" t="e">
            <v>#N/A</v>
          </cell>
          <cell r="M168" t="e">
            <v>#N/A</v>
          </cell>
          <cell r="N168" t="e">
            <v>#N/A</v>
          </cell>
          <cell r="O168" t="e">
            <v>#N/A</v>
          </cell>
          <cell r="P168">
            <v>50.1</v>
          </cell>
          <cell r="Q168">
            <v>1.7598429999999998</v>
          </cell>
          <cell r="R168" t="e">
            <v>#N/A</v>
          </cell>
        </row>
        <row r="169">
          <cell r="A169">
            <v>39713</v>
          </cell>
          <cell r="B169">
            <v>39713</v>
          </cell>
          <cell r="C169" t="str">
            <v>Past</v>
          </cell>
          <cell r="D169">
            <v>48.59</v>
          </cell>
          <cell r="E169" t="e">
            <v>#N/A</v>
          </cell>
          <cell r="F169" t="e">
            <v>#N/A</v>
          </cell>
          <cell r="G169" t="e">
            <v>#N/A</v>
          </cell>
          <cell r="H169" t="e">
            <v>#N/A</v>
          </cell>
          <cell r="I169" t="e">
            <v>#N/A</v>
          </cell>
          <cell r="J169" t="e">
            <v>#N/A</v>
          </cell>
          <cell r="K169" t="e">
            <v>#N/A</v>
          </cell>
          <cell r="L169" t="e">
            <v>#N/A</v>
          </cell>
          <cell r="M169" t="e">
            <v>#N/A</v>
          </cell>
          <cell r="N169" t="e">
            <v>#N/A</v>
          </cell>
          <cell r="O169" t="e">
            <v>#N/A</v>
          </cell>
          <cell r="P169">
            <v>48.59</v>
          </cell>
          <cell r="Q169">
            <v>0.980792</v>
          </cell>
          <cell r="R169" t="e">
            <v>#N/A</v>
          </cell>
        </row>
        <row r="170">
          <cell r="A170">
            <v>39714</v>
          </cell>
          <cell r="B170">
            <v>39714</v>
          </cell>
          <cell r="C170" t="str">
            <v>Past</v>
          </cell>
          <cell r="D170">
            <v>47.49</v>
          </cell>
          <cell r="E170" t="e">
            <v>#N/A</v>
          </cell>
          <cell r="F170" t="e">
            <v>#N/A</v>
          </cell>
          <cell r="G170" t="e">
            <v>#N/A</v>
          </cell>
          <cell r="H170" t="e">
            <v>#N/A</v>
          </cell>
          <cell r="I170" t="e">
            <v>#N/A</v>
          </cell>
          <cell r="J170" t="e">
            <v>#N/A</v>
          </cell>
          <cell r="K170" t="e">
            <v>#N/A</v>
          </cell>
          <cell r="L170" t="e">
            <v>#N/A</v>
          </cell>
          <cell r="M170" t="e">
            <v>#N/A</v>
          </cell>
          <cell r="N170" t="e">
            <v>#N/A</v>
          </cell>
          <cell r="O170" t="e">
            <v>#N/A</v>
          </cell>
          <cell r="P170">
            <v>47.49</v>
          </cell>
          <cell r="Q170">
            <v>0.62404499999999996</v>
          </cell>
          <cell r="R170" t="e">
            <v>#N/A</v>
          </cell>
        </row>
        <row r="171">
          <cell r="A171">
            <v>39715</v>
          </cell>
          <cell r="B171">
            <v>39715</v>
          </cell>
          <cell r="C171" t="str">
            <v>Past</v>
          </cell>
          <cell r="D171">
            <v>46.67</v>
          </cell>
          <cell r="E171" t="e">
            <v>#N/A</v>
          </cell>
          <cell r="F171" t="e">
            <v>#N/A</v>
          </cell>
          <cell r="G171" t="e">
            <v>#N/A</v>
          </cell>
          <cell r="H171" t="e">
            <v>#N/A</v>
          </cell>
          <cell r="I171" t="e">
            <v>#N/A</v>
          </cell>
          <cell r="J171" t="e">
            <v>#N/A</v>
          </cell>
          <cell r="K171" t="e">
            <v>#N/A</v>
          </cell>
          <cell r="L171" t="e">
            <v>#N/A</v>
          </cell>
          <cell r="M171" t="e">
            <v>#N/A</v>
          </cell>
          <cell r="N171" t="e">
            <v>#N/A</v>
          </cell>
          <cell r="O171" t="e">
            <v>#N/A</v>
          </cell>
          <cell r="P171">
            <v>46.67</v>
          </cell>
          <cell r="Q171">
            <v>1.2227000000000001</v>
          </cell>
          <cell r="R171" t="e">
            <v>#N/A</v>
          </cell>
        </row>
        <row r="172">
          <cell r="A172">
            <v>39716</v>
          </cell>
          <cell r="B172">
            <v>39716</v>
          </cell>
          <cell r="C172" t="str">
            <v>Past</v>
          </cell>
          <cell r="D172">
            <v>46.96</v>
          </cell>
          <cell r="E172" t="e">
            <v>#N/A</v>
          </cell>
          <cell r="F172" t="e">
            <v>#N/A</v>
          </cell>
          <cell r="G172" t="e">
            <v>#N/A</v>
          </cell>
          <cell r="H172" t="e">
            <v>#N/A</v>
          </cell>
          <cell r="I172" t="e">
            <v>#N/A</v>
          </cell>
          <cell r="J172" t="e">
            <v>#N/A</v>
          </cell>
          <cell r="K172" t="e">
            <v>#N/A</v>
          </cell>
          <cell r="L172" t="e">
            <v>#N/A</v>
          </cell>
          <cell r="M172" t="e">
            <v>#N/A</v>
          </cell>
          <cell r="N172" t="e">
            <v>#N/A</v>
          </cell>
          <cell r="O172" t="e">
            <v>#N/A</v>
          </cell>
          <cell r="P172">
            <v>46.96</v>
          </cell>
          <cell r="Q172">
            <v>1.0320590000000001</v>
          </cell>
          <cell r="R172" t="e">
            <v>#N/A</v>
          </cell>
        </row>
        <row r="173">
          <cell r="A173">
            <v>39717</v>
          </cell>
          <cell r="B173">
            <v>39717</v>
          </cell>
          <cell r="C173" t="str">
            <v>Past</v>
          </cell>
          <cell r="D173">
            <v>47.65</v>
          </cell>
          <cell r="E173" t="e">
            <v>#N/A</v>
          </cell>
          <cell r="F173" t="e">
            <v>#N/A</v>
          </cell>
          <cell r="G173" t="e">
            <v>#N/A</v>
          </cell>
          <cell r="H173" t="e">
            <v>#N/A</v>
          </cell>
          <cell r="I173" t="e">
            <v>#N/A</v>
          </cell>
          <cell r="J173" t="e">
            <v>#N/A</v>
          </cell>
          <cell r="K173" t="e">
            <v>#N/A</v>
          </cell>
          <cell r="L173" t="e">
            <v>#N/A</v>
          </cell>
          <cell r="M173" t="e">
            <v>#N/A</v>
          </cell>
          <cell r="N173" t="e">
            <v>#N/A</v>
          </cell>
          <cell r="O173" t="e">
            <v>#N/A</v>
          </cell>
          <cell r="P173">
            <v>47.65</v>
          </cell>
          <cell r="Q173">
            <v>1.1378000000000001</v>
          </cell>
          <cell r="R173" t="e">
            <v>#N/A</v>
          </cell>
        </row>
        <row r="174">
          <cell r="A174">
            <v>39720</v>
          </cell>
          <cell r="B174">
            <v>39720</v>
          </cell>
          <cell r="C174" t="str">
            <v>Past</v>
          </cell>
          <cell r="D174">
            <v>46.55</v>
          </cell>
          <cell r="E174" t="e">
            <v>#N/A</v>
          </cell>
          <cell r="F174" t="e">
            <v>#N/A</v>
          </cell>
          <cell r="G174" t="e">
            <v>#N/A</v>
          </cell>
          <cell r="H174" t="e">
            <v>#N/A</v>
          </cell>
          <cell r="I174" t="e">
            <v>#N/A</v>
          </cell>
          <cell r="J174" t="e">
            <v>#N/A</v>
          </cell>
          <cell r="K174" t="e">
            <v>#N/A</v>
          </cell>
          <cell r="L174" t="e">
            <v>#N/A</v>
          </cell>
          <cell r="M174" t="e">
            <v>#N/A</v>
          </cell>
          <cell r="N174" t="e">
            <v>#N/A</v>
          </cell>
          <cell r="O174" t="e">
            <v>#N/A</v>
          </cell>
          <cell r="P174">
            <v>46.55</v>
          </cell>
          <cell r="Q174">
            <v>2.34409</v>
          </cell>
          <cell r="R174" t="e">
            <v>#N/A</v>
          </cell>
        </row>
        <row r="175">
          <cell r="A175">
            <v>39721</v>
          </cell>
          <cell r="B175">
            <v>39721</v>
          </cell>
          <cell r="C175" t="str">
            <v>Past</v>
          </cell>
          <cell r="D175">
            <v>48.09</v>
          </cell>
          <cell r="E175" t="e">
            <v>#N/A</v>
          </cell>
          <cell r="F175" t="e">
            <v>#N/A</v>
          </cell>
          <cell r="G175" t="e">
            <v>#N/A</v>
          </cell>
          <cell r="H175" t="e">
            <v>#N/A</v>
          </cell>
          <cell r="I175" t="e">
            <v>#N/A</v>
          </cell>
          <cell r="J175" t="e">
            <v>#N/A</v>
          </cell>
          <cell r="K175" t="e">
            <v>#N/A</v>
          </cell>
          <cell r="L175" t="e">
            <v>#N/A</v>
          </cell>
          <cell r="M175" t="e">
            <v>#N/A</v>
          </cell>
          <cell r="N175" t="e">
            <v>#N/A</v>
          </cell>
          <cell r="O175" t="e">
            <v>#N/A</v>
          </cell>
          <cell r="P175">
            <v>48.09</v>
          </cell>
          <cell r="Q175">
            <v>1.6793589999999998</v>
          </cell>
          <cell r="R175" t="e">
            <v>#N/A</v>
          </cell>
        </row>
        <row r="176">
          <cell r="A176">
            <v>39722</v>
          </cell>
          <cell r="B176">
            <v>39722</v>
          </cell>
          <cell r="C176" t="str">
            <v>Past</v>
          </cell>
          <cell r="D176">
            <v>47.38</v>
          </cell>
          <cell r="E176" t="e">
            <v>#N/A</v>
          </cell>
          <cell r="F176" t="e">
            <v>#N/A</v>
          </cell>
          <cell r="G176" t="e">
            <v>#N/A</v>
          </cell>
          <cell r="H176" t="e">
            <v>#N/A</v>
          </cell>
          <cell r="I176" t="e">
            <v>#N/A</v>
          </cell>
          <cell r="J176" t="e">
            <v>#N/A</v>
          </cell>
          <cell r="K176" t="e">
            <v>#N/A</v>
          </cell>
          <cell r="L176" t="e">
            <v>#N/A</v>
          </cell>
          <cell r="M176" t="e">
            <v>#N/A</v>
          </cell>
          <cell r="N176" t="e">
            <v>#N/A</v>
          </cell>
          <cell r="O176" t="e">
            <v>#N/A</v>
          </cell>
          <cell r="P176">
            <v>47.38</v>
          </cell>
          <cell r="Q176">
            <v>1.4053179999999998</v>
          </cell>
          <cell r="R176" t="e">
            <v>#N/A</v>
          </cell>
        </row>
        <row r="177">
          <cell r="A177">
            <v>39723</v>
          </cell>
          <cell r="B177">
            <v>39723</v>
          </cell>
          <cell r="C177" t="str">
            <v>Past</v>
          </cell>
          <cell r="D177">
            <v>44.69</v>
          </cell>
          <cell r="E177" t="e">
            <v>#N/A</v>
          </cell>
          <cell r="F177" t="e">
            <v>#N/A</v>
          </cell>
          <cell r="G177" t="e">
            <v>#N/A</v>
          </cell>
          <cell r="H177" t="e">
            <v>#N/A</v>
          </cell>
          <cell r="I177" t="e">
            <v>#N/A</v>
          </cell>
          <cell r="J177" t="e">
            <v>#N/A</v>
          </cell>
          <cell r="K177" t="e">
            <v>#N/A</v>
          </cell>
          <cell r="L177" t="e">
            <v>#N/A</v>
          </cell>
          <cell r="M177" t="e">
            <v>#N/A</v>
          </cell>
          <cell r="N177" t="e">
            <v>#N/A</v>
          </cell>
          <cell r="O177" t="e">
            <v>#N/A</v>
          </cell>
          <cell r="P177">
            <v>44.69</v>
          </cell>
          <cell r="Q177">
            <v>1.511835</v>
          </cell>
          <cell r="R177" t="e">
            <v>#N/A</v>
          </cell>
        </row>
        <row r="178">
          <cell r="A178">
            <v>39724</v>
          </cell>
          <cell r="B178">
            <v>39724</v>
          </cell>
          <cell r="C178" t="str">
            <v>Past</v>
          </cell>
          <cell r="D178">
            <v>43.46</v>
          </cell>
          <cell r="E178" t="e">
            <v>#N/A</v>
          </cell>
          <cell r="F178" t="e">
            <v>#N/A</v>
          </cell>
          <cell r="G178" t="e">
            <v>#N/A</v>
          </cell>
          <cell r="H178" t="e">
            <v>#N/A</v>
          </cell>
          <cell r="I178" t="e">
            <v>#N/A</v>
          </cell>
          <cell r="J178" t="e">
            <v>#N/A</v>
          </cell>
          <cell r="K178" t="e">
            <v>#N/A</v>
          </cell>
          <cell r="L178" t="e">
            <v>#N/A</v>
          </cell>
          <cell r="M178" t="e">
            <v>#N/A</v>
          </cell>
          <cell r="N178" t="e">
            <v>#N/A</v>
          </cell>
          <cell r="O178" t="e">
            <v>#N/A</v>
          </cell>
          <cell r="P178">
            <v>43.46</v>
          </cell>
          <cell r="Q178">
            <v>1.5277289999999999</v>
          </cell>
          <cell r="R178" t="e">
            <v>#N/A</v>
          </cell>
        </row>
        <row r="179">
          <cell r="A179">
            <v>39727</v>
          </cell>
          <cell r="B179">
            <v>39727</v>
          </cell>
          <cell r="C179" t="str">
            <v>Past</v>
          </cell>
          <cell r="D179">
            <v>42</v>
          </cell>
          <cell r="E179" t="e">
            <v>#N/A</v>
          </cell>
          <cell r="F179" t="e">
            <v>#N/A</v>
          </cell>
          <cell r="G179" t="e">
            <v>#N/A</v>
          </cell>
          <cell r="H179" t="e">
            <v>#N/A</v>
          </cell>
          <cell r="I179" t="e">
            <v>#N/A</v>
          </cell>
          <cell r="J179" t="e">
            <v>#N/A</v>
          </cell>
          <cell r="K179" t="e">
            <v>#N/A</v>
          </cell>
          <cell r="L179" t="e">
            <v>#N/A</v>
          </cell>
          <cell r="M179" t="e">
            <v>#N/A</v>
          </cell>
          <cell r="N179" t="e">
            <v>#N/A</v>
          </cell>
          <cell r="O179" t="e">
            <v>#N/A</v>
          </cell>
          <cell r="P179">
            <v>42</v>
          </cell>
          <cell r="Q179">
            <v>1.765822</v>
          </cell>
          <cell r="R179" t="e">
            <v>#N/A</v>
          </cell>
        </row>
        <row r="180">
          <cell r="A180">
            <v>39728</v>
          </cell>
          <cell r="B180">
            <v>39728</v>
          </cell>
          <cell r="C180" t="str">
            <v>Past</v>
          </cell>
          <cell r="D180">
            <v>41</v>
          </cell>
          <cell r="E180" t="e">
            <v>#N/A</v>
          </cell>
          <cell r="F180" t="e">
            <v>#N/A</v>
          </cell>
          <cell r="G180" t="e">
            <v>#N/A</v>
          </cell>
          <cell r="H180" t="e">
            <v>#N/A</v>
          </cell>
          <cell r="I180" t="e">
            <v>#N/A</v>
          </cell>
          <cell r="J180" t="e">
            <v>#N/A</v>
          </cell>
          <cell r="K180" t="e">
            <v>#N/A</v>
          </cell>
          <cell r="L180" t="e">
            <v>#N/A</v>
          </cell>
          <cell r="M180" t="e">
            <v>#N/A</v>
          </cell>
          <cell r="N180" t="e">
            <v>#N/A</v>
          </cell>
          <cell r="O180" t="e">
            <v>#N/A</v>
          </cell>
          <cell r="P180">
            <v>41</v>
          </cell>
          <cell r="Q180">
            <v>1.6303779999999999</v>
          </cell>
          <cell r="R180" t="e">
            <v>#N/A</v>
          </cell>
        </row>
        <row r="181">
          <cell r="A181">
            <v>39729</v>
          </cell>
          <cell r="B181">
            <v>39729</v>
          </cell>
          <cell r="C181" t="str">
            <v>Past</v>
          </cell>
          <cell r="D181">
            <v>40.380000000000003</v>
          </cell>
          <cell r="E181" t="e">
            <v>#N/A</v>
          </cell>
          <cell r="F181" t="e">
            <v>#N/A</v>
          </cell>
          <cell r="G181" t="e">
            <v>#N/A</v>
          </cell>
          <cell r="H181" t="e">
            <v>#N/A</v>
          </cell>
          <cell r="I181" t="e">
            <v>#N/A</v>
          </cell>
          <cell r="J181" t="e">
            <v>#N/A</v>
          </cell>
          <cell r="K181" t="e">
            <v>#N/A</v>
          </cell>
          <cell r="L181" t="e">
            <v>#N/A</v>
          </cell>
          <cell r="M181" t="e">
            <v>#N/A</v>
          </cell>
          <cell r="N181" t="e">
            <v>#N/A</v>
          </cell>
          <cell r="O181" t="e">
            <v>#N/A</v>
          </cell>
          <cell r="P181">
            <v>40.380000000000003</v>
          </cell>
          <cell r="Q181">
            <v>1.881213</v>
          </cell>
          <cell r="R181" t="e">
            <v>#N/A</v>
          </cell>
        </row>
        <row r="182">
          <cell r="A182">
            <v>39730</v>
          </cell>
          <cell r="B182">
            <v>39730</v>
          </cell>
          <cell r="C182" t="str">
            <v>Past</v>
          </cell>
          <cell r="D182">
            <v>37.65</v>
          </cell>
          <cell r="E182" t="e">
            <v>#N/A</v>
          </cell>
          <cell r="F182" t="e">
            <v>#N/A</v>
          </cell>
          <cell r="G182" t="e">
            <v>#N/A</v>
          </cell>
          <cell r="H182" t="e">
            <v>#N/A</v>
          </cell>
          <cell r="I182" t="e">
            <v>#N/A</v>
          </cell>
          <cell r="J182" t="e">
            <v>#N/A</v>
          </cell>
          <cell r="K182" t="e">
            <v>#N/A</v>
          </cell>
          <cell r="L182" t="e">
            <v>#N/A</v>
          </cell>
          <cell r="M182" t="e">
            <v>#N/A</v>
          </cell>
          <cell r="N182" t="e">
            <v>#N/A</v>
          </cell>
          <cell r="O182" t="e">
            <v>#N/A</v>
          </cell>
          <cell r="P182">
            <v>37.65</v>
          </cell>
          <cell r="Q182">
            <v>1.7524679999999999</v>
          </cell>
          <cell r="R182" t="e">
            <v>#N/A</v>
          </cell>
        </row>
        <row r="183">
          <cell r="A183">
            <v>39731</v>
          </cell>
          <cell r="B183">
            <v>39731</v>
          </cell>
          <cell r="C183" t="str">
            <v>Past</v>
          </cell>
          <cell r="D183">
            <v>36.229999999999997</v>
          </cell>
          <cell r="E183" t="e">
            <v>#N/A</v>
          </cell>
          <cell r="F183" t="e">
            <v>#N/A</v>
          </cell>
          <cell r="G183" t="e">
            <v>#N/A</v>
          </cell>
          <cell r="H183" t="e">
            <v>#N/A</v>
          </cell>
          <cell r="I183" t="e">
            <v>#N/A</v>
          </cell>
          <cell r="J183" t="e">
            <v>#N/A</v>
          </cell>
          <cell r="K183" t="e">
            <v>#N/A</v>
          </cell>
          <cell r="L183" t="e">
            <v>#N/A</v>
          </cell>
          <cell r="M183" t="e">
            <v>#N/A</v>
          </cell>
          <cell r="N183" t="e">
            <v>#N/A</v>
          </cell>
          <cell r="O183" t="e">
            <v>#N/A</v>
          </cell>
          <cell r="P183">
            <v>36.229999999999997</v>
          </cell>
          <cell r="Q183">
            <v>2.4158139999999997</v>
          </cell>
          <cell r="R183" t="e">
            <v>#N/A</v>
          </cell>
        </row>
        <row r="184">
          <cell r="A184">
            <v>39734</v>
          </cell>
          <cell r="B184">
            <v>39734</v>
          </cell>
          <cell r="C184" t="str">
            <v>Past</v>
          </cell>
          <cell r="D184">
            <v>39.33</v>
          </cell>
          <cell r="E184" t="e">
            <v>#N/A</v>
          </cell>
          <cell r="F184" t="e">
            <v>#N/A</v>
          </cell>
          <cell r="G184" t="e">
            <v>#N/A</v>
          </cell>
          <cell r="H184" t="e">
            <v>#N/A</v>
          </cell>
          <cell r="I184" t="e">
            <v>#N/A</v>
          </cell>
          <cell r="J184" t="e">
            <v>#N/A</v>
          </cell>
          <cell r="K184" t="e">
            <v>#N/A</v>
          </cell>
          <cell r="L184" t="e">
            <v>#N/A</v>
          </cell>
          <cell r="M184" t="e">
            <v>#N/A</v>
          </cell>
          <cell r="N184" t="e">
            <v>#N/A</v>
          </cell>
          <cell r="O184" t="e">
            <v>#N/A</v>
          </cell>
          <cell r="P184">
            <v>39.33</v>
          </cell>
          <cell r="Q184">
            <v>2.5123959999999999</v>
          </cell>
          <cell r="R184" t="e">
            <v>#N/A</v>
          </cell>
        </row>
        <row r="185">
          <cell r="A185">
            <v>39735</v>
          </cell>
          <cell r="B185">
            <v>39735</v>
          </cell>
          <cell r="C185" t="str">
            <v>Past</v>
          </cell>
          <cell r="D185">
            <v>38.54</v>
          </cell>
          <cell r="E185" t="e">
            <v>#N/A</v>
          </cell>
          <cell r="F185" t="e">
            <v>#N/A</v>
          </cell>
          <cell r="G185" t="e">
            <v>#N/A</v>
          </cell>
          <cell r="H185" t="e">
            <v>#N/A</v>
          </cell>
          <cell r="I185" t="e">
            <v>#N/A</v>
          </cell>
          <cell r="J185" t="e">
            <v>#N/A</v>
          </cell>
          <cell r="K185" t="e">
            <v>#N/A</v>
          </cell>
          <cell r="L185" t="e">
            <v>#N/A</v>
          </cell>
          <cell r="M185" t="e">
            <v>#N/A</v>
          </cell>
          <cell r="N185" t="e">
            <v>#N/A</v>
          </cell>
          <cell r="O185" t="e">
            <v>#N/A</v>
          </cell>
          <cell r="P185">
            <v>38.54</v>
          </cell>
          <cell r="Q185">
            <v>1.695813</v>
          </cell>
          <cell r="R185" t="e">
            <v>#N/A</v>
          </cell>
        </row>
        <row r="186">
          <cell r="A186">
            <v>39736</v>
          </cell>
          <cell r="B186">
            <v>39736</v>
          </cell>
          <cell r="C186" t="str">
            <v>Past</v>
          </cell>
          <cell r="D186">
            <v>35.130000000000003</v>
          </cell>
          <cell r="E186" t="e">
            <v>#N/A</v>
          </cell>
          <cell r="F186" t="e">
            <v>#N/A</v>
          </cell>
          <cell r="G186" t="e">
            <v>#N/A</v>
          </cell>
          <cell r="H186" t="e">
            <v>#N/A</v>
          </cell>
          <cell r="I186" t="e">
            <v>#N/A</v>
          </cell>
          <cell r="J186" t="e">
            <v>#N/A</v>
          </cell>
          <cell r="K186" t="e">
            <v>#N/A</v>
          </cell>
          <cell r="L186" t="e">
            <v>#N/A</v>
          </cell>
          <cell r="M186" t="e">
            <v>#N/A</v>
          </cell>
          <cell r="N186" t="e">
            <v>#N/A</v>
          </cell>
          <cell r="O186" t="e">
            <v>#N/A</v>
          </cell>
          <cell r="P186">
            <v>35.130000000000003</v>
          </cell>
          <cell r="Q186">
            <v>1.4248689999999999</v>
          </cell>
          <cell r="R186" t="e">
            <v>#N/A</v>
          </cell>
        </row>
        <row r="187">
          <cell r="A187">
            <v>39737</v>
          </cell>
          <cell r="B187">
            <v>39737</v>
          </cell>
          <cell r="C187" t="str">
            <v>Past</v>
          </cell>
          <cell r="D187">
            <v>37.380000000000003</v>
          </cell>
          <cell r="E187" t="e">
            <v>#N/A</v>
          </cell>
          <cell r="F187" t="e">
            <v>#N/A</v>
          </cell>
          <cell r="G187" t="e">
            <v>#N/A</v>
          </cell>
          <cell r="H187" t="e">
            <v>#N/A</v>
          </cell>
          <cell r="I187" t="e">
            <v>#N/A</v>
          </cell>
          <cell r="J187" t="e">
            <v>#N/A</v>
          </cell>
          <cell r="K187" t="e">
            <v>#N/A</v>
          </cell>
          <cell r="L187" t="e">
            <v>#N/A</v>
          </cell>
          <cell r="M187" t="e">
            <v>#N/A</v>
          </cell>
          <cell r="N187" t="e">
            <v>#N/A</v>
          </cell>
          <cell r="O187" t="e">
            <v>#N/A</v>
          </cell>
          <cell r="P187">
            <v>37.380000000000003</v>
          </cell>
          <cell r="Q187">
            <v>2.2855159999999999</v>
          </cell>
          <cell r="R187" t="e">
            <v>#N/A</v>
          </cell>
        </row>
        <row r="188">
          <cell r="A188">
            <v>39738</v>
          </cell>
          <cell r="B188">
            <v>39738</v>
          </cell>
          <cell r="C188" t="str">
            <v>Past</v>
          </cell>
          <cell r="D188">
            <v>35.53</v>
          </cell>
          <cell r="E188" t="e">
            <v>#N/A</v>
          </cell>
          <cell r="F188" t="e">
            <v>#N/A</v>
          </cell>
          <cell r="G188" t="e">
            <v>#N/A</v>
          </cell>
          <cell r="H188" t="e">
            <v>#N/A</v>
          </cell>
          <cell r="I188" t="e">
            <v>#N/A</v>
          </cell>
          <cell r="J188" t="e">
            <v>#N/A</v>
          </cell>
          <cell r="K188" t="e">
            <v>#N/A</v>
          </cell>
          <cell r="L188" t="e">
            <v>#N/A</v>
          </cell>
          <cell r="M188" t="e">
            <v>#N/A</v>
          </cell>
          <cell r="N188" t="e">
            <v>#N/A</v>
          </cell>
          <cell r="O188" t="e">
            <v>#N/A</v>
          </cell>
          <cell r="P188">
            <v>35.53</v>
          </cell>
          <cell r="Q188">
            <v>1.8588439999999999</v>
          </cell>
          <cell r="R188" t="e">
            <v>#N/A</v>
          </cell>
        </row>
        <row r="189">
          <cell r="A189">
            <v>39741</v>
          </cell>
          <cell r="B189">
            <v>39741</v>
          </cell>
          <cell r="C189" t="str">
            <v>Past</v>
          </cell>
          <cell r="D189">
            <v>37.19</v>
          </cell>
          <cell r="E189" t="e">
            <v>#N/A</v>
          </cell>
          <cell r="F189" t="e">
            <v>#N/A</v>
          </cell>
          <cell r="G189" t="e">
            <v>#N/A</v>
          </cell>
          <cell r="H189" t="e">
            <v>#N/A</v>
          </cell>
          <cell r="I189" t="e">
            <v>#N/A</v>
          </cell>
          <cell r="J189" t="e">
            <v>#N/A</v>
          </cell>
          <cell r="K189" t="e">
            <v>#N/A</v>
          </cell>
          <cell r="L189" t="e">
            <v>#N/A</v>
          </cell>
          <cell r="M189" t="e">
            <v>#N/A</v>
          </cell>
          <cell r="N189" t="e">
            <v>#N/A</v>
          </cell>
          <cell r="O189" t="e">
            <v>#N/A</v>
          </cell>
          <cell r="P189">
            <v>37.19</v>
          </cell>
          <cell r="Q189">
            <v>1.213749</v>
          </cell>
          <cell r="R189" t="e">
            <v>#N/A</v>
          </cell>
        </row>
        <row r="190">
          <cell r="A190">
            <v>39742</v>
          </cell>
          <cell r="B190">
            <v>39742</v>
          </cell>
          <cell r="C190" t="str">
            <v>Past</v>
          </cell>
          <cell r="D190">
            <v>35.68</v>
          </cell>
          <cell r="E190" t="e">
            <v>#N/A</v>
          </cell>
          <cell r="F190" t="e">
            <v>#N/A</v>
          </cell>
          <cell r="G190" t="e">
            <v>#N/A</v>
          </cell>
          <cell r="H190" t="e">
            <v>#N/A</v>
          </cell>
          <cell r="I190" t="e">
            <v>#N/A</v>
          </cell>
          <cell r="J190" t="e">
            <v>#N/A</v>
          </cell>
          <cell r="K190" t="e">
            <v>#N/A</v>
          </cell>
          <cell r="L190" t="e">
            <v>#N/A</v>
          </cell>
          <cell r="M190" t="e">
            <v>#N/A</v>
          </cell>
          <cell r="N190" t="e">
            <v>#N/A</v>
          </cell>
          <cell r="O190" t="e">
            <v>#N/A</v>
          </cell>
          <cell r="P190">
            <v>35.68</v>
          </cell>
          <cell r="Q190">
            <v>1.675327</v>
          </cell>
          <cell r="R190" t="e">
            <v>#N/A</v>
          </cell>
        </row>
        <row r="191">
          <cell r="A191">
            <v>39743</v>
          </cell>
          <cell r="B191">
            <v>39743</v>
          </cell>
          <cell r="C191" t="str">
            <v>Past</v>
          </cell>
          <cell r="D191">
            <v>34.159999999999997</v>
          </cell>
          <cell r="E191" t="e">
            <v>#N/A</v>
          </cell>
          <cell r="F191" t="e">
            <v>#N/A</v>
          </cell>
          <cell r="G191" t="e">
            <v>#N/A</v>
          </cell>
          <cell r="H191" t="e">
            <v>#N/A</v>
          </cell>
          <cell r="I191" t="e">
            <v>#N/A</v>
          </cell>
          <cell r="J191" t="e">
            <v>#N/A</v>
          </cell>
          <cell r="K191" t="e">
            <v>#N/A</v>
          </cell>
          <cell r="L191" t="e">
            <v>#N/A</v>
          </cell>
          <cell r="M191" t="e">
            <v>#N/A</v>
          </cell>
          <cell r="N191" t="e">
            <v>#N/A</v>
          </cell>
          <cell r="O191" t="e">
            <v>#N/A</v>
          </cell>
          <cell r="P191">
            <v>34.159999999999997</v>
          </cell>
          <cell r="Q191">
            <v>1.662995</v>
          </cell>
          <cell r="R191" t="e">
            <v>#N/A</v>
          </cell>
        </row>
        <row r="192">
          <cell r="A192">
            <v>39744</v>
          </cell>
          <cell r="B192">
            <v>39744</v>
          </cell>
          <cell r="C192" t="str">
            <v>Past</v>
          </cell>
          <cell r="D192">
            <v>34.53</v>
          </cell>
          <cell r="E192" t="e">
            <v>#N/A</v>
          </cell>
          <cell r="F192" t="e">
            <v>#N/A</v>
          </cell>
          <cell r="G192" t="e">
            <v>#N/A</v>
          </cell>
          <cell r="H192" t="e">
            <v>#N/A</v>
          </cell>
          <cell r="I192" t="e">
            <v>#N/A</v>
          </cell>
          <cell r="J192" t="e">
            <v>#N/A</v>
          </cell>
          <cell r="K192" t="e">
            <v>#N/A</v>
          </cell>
          <cell r="L192" t="e">
            <v>#N/A</v>
          </cell>
          <cell r="M192" t="e">
            <v>#N/A</v>
          </cell>
          <cell r="N192" t="e">
            <v>#N/A</v>
          </cell>
          <cell r="O192" t="e">
            <v>#N/A</v>
          </cell>
          <cell r="P192">
            <v>34.53</v>
          </cell>
          <cell r="Q192">
            <v>2.4999100000000003</v>
          </cell>
          <cell r="R192" t="e">
            <v>#N/A</v>
          </cell>
        </row>
        <row r="193">
          <cell r="A193">
            <v>39745</v>
          </cell>
          <cell r="B193">
            <v>39745</v>
          </cell>
          <cell r="C193" t="str">
            <v>Past</v>
          </cell>
          <cell r="D193">
            <v>33.54</v>
          </cell>
          <cell r="E193" t="e">
            <v>#N/A</v>
          </cell>
          <cell r="F193" t="e">
            <v>#N/A</v>
          </cell>
          <cell r="G193" t="e">
            <v>#N/A</v>
          </cell>
          <cell r="H193" t="e">
            <v>#N/A</v>
          </cell>
          <cell r="I193" t="e">
            <v>#N/A</v>
          </cell>
          <cell r="J193" t="e">
            <v>#N/A</v>
          </cell>
          <cell r="K193" t="e">
            <v>#N/A</v>
          </cell>
          <cell r="L193" t="e">
            <v>#N/A</v>
          </cell>
          <cell r="M193" t="e">
            <v>#N/A</v>
          </cell>
          <cell r="N193" t="e">
            <v>#N/A</v>
          </cell>
          <cell r="O193" t="e">
            <v>#N/A</v>
          </cell>
          <cell r="P193">
            <v>33.54</v>
          </cell>
          <cell r="Q193">
            <v>1.7542069999999998</v>
          </cell>
          <cell r="R193" t="e">
            <v>#N/A</v>
          </cell>
        </row>
        <row r="194">
          <cell r="A194">
            <v>39748</v>
          </cell>
          <cell r="B194">
            <v>39748</v>
          </cell>
          <cell r="C194" t="str">
            <v>Past</v>
          </cell>
          <cell r="D194">
            <v>31.59</v>
          </cell>
          <cell r="E194" t="e">
            <v>#N/A</v>
          </cell>
          <cell r="F194" t="e">
            <v>#N/A</v>
          </cell>
          <cell r="G194" t="e">
            <v>#N/A</v>
          </cell>
          <cell r="H194" t="e">
            <v>#N/A</v>
          </cell>
          <cell r="I194" t="e">
            <v>#N/A</v>
          </cell>
          <cell r="J194" t="e">
            <v>#N/A</v>
          </cell>
          <cell r="K194" t="e">
            <v>#N/A</v>
          </cell>
          <cell r="L194" t="e">
            <v>#N/A</v>
          </cell>
          <cell r="M194" t="e">
            <v>#N/A</v>
          </cell>
          <cell r="N194" t="e">
            <v>#N/A</v>
          </cell>
          <cell r="O194" t="e">
            <v>#N/A</v>
          </cell>
          <cell r="P194">
            <v>31.59</v>
          </cell>
          <cell r="Q194">
            <v>1.6595419999999999</v>
          </cell>
          <cell r="R194" t="e">
            <v>#N/A</v>
          </cell>
        </row>
        <row r="195">
          <cell r="A195">
            <v>39749</v>
          </cell>
          <cell r="B195">
            <v>39749</v>
          </cell>
          <cell r="C195" t="str">
            <v>Past</v>
          </cell>
          <cell r="D195">
            <v>35.54</v>
          </cell>
          <cell r="E195" t="e">
            <v>#N/A</v>
          </cell>
          <cell r="F195" t="e">
            <v>#N/A</v>
          </cell>
          <cell r="G195" t="e">
            <v>#N/A</v>
          </cell>
          <cell r="H195" t="e">
            <v>#N/A</v>
          </cell>
          <cell r="I195" t="e">
            <v>#N/A</v>
          </cell>
          <cell r="J195" t="e">
            <v>#N/A</v>
          </cell>
          <cell r="K195" t="e">
            <v>#N/A</v>
          </cell>
          <cell r="L195" t="e">
            <v>#N/A</v>
          </cell>
          <cell r="M195" t="e">
            <v>#N/A</v>
          </cell>
          <cell r="N195" t="e">
            <v>#N/A</v>
          </cell>
          <cell r="O195" t="e">
            <v>#N/A</v>
          </cell>
          <cell r="P195">
            <v>35.54</v>
          </cell>
          <cell r="Q195">
            <v>1.9081379999999999</v>
          </cell>
          <cell r="R195" t="e">
            <v>#N/A</v>
          </cell>
        </row>
        <row r="196">
          <cell r="A196">
            <v>39750</v>
          </cell>
          <cell r="B196">
            <v>39750</v>
          </cell>
          <cell r="C196" t="str">
            <v>Past</v>
          </cell>
          <cell r="D196">
            <v>35.42</v>
          </cell>
          <cell r="E196" t="e">
            <v>#N/A</v>
          </cell>
          <cell r="F196" t="e">
            <v>#N/A</v>
          </cell>
          <cell r="G196" t="e">
            <v>#N/A</v>
          </cell>
          <cell r="H196" t="e">
            <v>#N/A</v>
          </cell>
          <cell r="I196" t="e">
            <v>#N/A</v>
          </cell>
          <cell r="J196" t="e">
            <v>#N/A</v>
          </cell>
          <cell r="K196" t="e">
            <v>#N/A</v>
          </cell>
          <cell r="L196" t="e">
            <v>#N/A</v>
          </cell>
          <cell r="M196" t="e">
            <v>#N/A</v>
          </cell>
          <cell r="N196" t="e">
            <v>#N/A</v>
          </cell>
          <cell r="O196" t="e">
            <v>#N/A</v>
          </cell>
          <cell r="P196">
            <v>35.42</v>
          </cell>
          <cell r="Q196">
            <v>1.819475</v>
          </cell>
          <cell r="R196" t="e">
            <v>#N/A</v>
          </cell>
        </row>
        <row r="197">
          <cell r="A197">
            <v>39751</v>
          </cell>
          <cell r="B197">
            <v>39751</v>
          </cell>
          <cell r="C197" t="str">
            <v>Past</v>
          </cell>
          <cell r="D197">
            <v>36.07</v>
          </cell>
          <cell r="E197" t="e">
            <v>#N/A</v>
          </cell>
          <cell r="F197" t="e">
            <v>#N/A</v>
          </cell>
          <cell r="G197" t="e">
            <v>#N/A</v>
          </cell>
          <cell r="H197" t="e">
            <v>#N/A</v>
          </cell>
          <cell r="I197" t="e">
            <v>#N/A</v>
          </cell>
          <cell r="J197" t="e">
            <v>#N/A</v>
          </cell>
          <cell r="K197" t="e">
            <v>#N/A</v>
          </cell>
          <cell r="L197" t="e">
            <v>#N/A</v>
          </cell>
          <cell r="M197" t="e">
            <v>#N/A</v>
          </cell>
          <cell r="N197" t="e">
            <v>#N/A</v>
          </cell>
          <cell r="O197" t="e">
            <v>#N/A</v>
          </cell>
          <cell r="P197">
            <v>36.07</v>
          </cell>
          <cell r="Q197">
            <v>1.863904</v>
          </cell>
          <cell r="R197" t="e">
            <v>#N/A</v>
          </cell>
        </row>
        <row r="198">
          <cell r="A198">
            <v>39752</v>
          </cell>
          <cell r="B198">
            <v>39752</v>
          </cell>
          <cell r="C198" t="str">
            <v>Past</v>
          </cell>
          <cell r="D198">
            <v>37.130000000000003</v>
          </cell>
          <cell r="E198" t="e">
            <v>#N/A</v>
          </cell>
          <cell r="F198" t="e">
            <v>#N/A</v>
          </cell>
          <cell r="G198" t="e">
            <v>#N/A</v>
          </cell>
          <cell r="H198" t="e">
            <v>#N/A</v>
          </cell>
          <cell r="I198" t="e">
            <v>#N/A</v>
          </cell>
          <cell r="J198" t="e">
            <v>#N/A</v>
          </cell>
          <cell r="K198" t="e">
            <v>#N/A</v>
          </cell>
          <cell r="L198" t="e">
            <v>#N/A</v>
          </cell>
          <cell r="M198" t="e">
            <v>#N/A</v>
          </cell>
          <cell r="N198" t="e">
            <v>#N/A</v>
          </cell>
          <cell r="O198" t="e">
            <v>#N/A</v>
          </cell>
          <cell r="P198">
            <v>37.130000000000003</v>
          </cell>
          <cell r="Q198">
            <v>1.4296949999999999</v>
          </cell>
          <cell r="R198" t="e">
            <v>#N/A</v>
          </cell>
        </row>
        <row r="199">
          <cell r="A199">
            <v>39755</v>
          </cell>
          <cell r="B199">
            <v>39755</v>
          </cell>
          <cell r="C199" t="str">
            <v>Past</v>
          </cell>
          <cell r="D199">
            <v>37.83</v>
          </cell>
          <cell r="E199" t="e">
            <v>#N/A</v>
          </cell>
          <cell r="F199" t="e">
            <v>#N/A</v>
          </cell>
          <cell r="G199" t="e">
            <v>#N/A</v>
          </cell>
          <cell r="H199" t="e">
            <v>#N/A</v>
          </cell>
          <cell r="I199" t="e">
            <v>#N/A</v>
          </cell>
          <cell r="J199" t="e">
            <v>#N/A</v>
          </cell>
          <cell r="K199" t="e">
            <v>#N/A</v>
          </cell>
          <cell r="L199" t="e">
            <v>#N/A</v>
          </cell>
          <cell r="M199" t="e">
            <v>#N/A</v>
          </cell>
          <cell r="N199" t="e">
            <v>#N/A</v>
          </cell>
          <cell r="O199" t="e">
            <v>#N/A</v>
          </cell>
          <cell r="P199">
            <v>37.83</v>
          </cell>
          <cell r="Q199">
            <v>1.6037669999999999</v>
          </cell>
          <cell r="R199" t="e">
            <v>#N/A</v>
          </cell>
        </row>
        <row r="200">
          <cell r="A200">
            <v>39756</v>
          </cell>
          <cell r="B200">
            <v>39756</v>
          </cell>
          <cell r="C200" t="str">
            <v>Past</v>
          </cell>
          <cell r="D200">
            <v>38.729999999999997</v>
          </cell>
          <cell r="E200" t="e">
            <v>#N/A</v>
          </cell>
          <cell r="F200" t="e">
            <v>#N/A</v>
          </cell>
          <cell r="G200" t="e">
            <v>#N/A</v>
          </cell>
          <cell r="H200" t="e">
            <v>#N/A</v>
          </cell>
          <cell r="I200" t="e">
            <v>#N/A</v>
          </cell>
          <cell r="J200" t="e">
            <v>#N/A</v>
          </cell>
          <cell r="K200" t="e">
            <v>#N/A</v>
          </cell>
          <cell r="L200" t="e">
            <v>#N/A</v>
          </cell>
          <cell r="M200" t="e">
            <v>#N/A</v>
          </cell>
          <cell r="N200" t="e">
            <v>#N/A</v>
          </cell>
          <cell r="O200" t="e">
            <v>#N/A</v>
          </cell>
          <cell r="P200">
            <v>38.729999999999997</v>
          </cell>
          <cell r="Q200">
            <v>1.6916800000000001</v>
          </cell>
          <cell r="R200" t="e">
            <v>#N/A</v>
          </cell>
        </row>
        <row r="201">
          <cell r="A201">
            <v>39757</v>
          </cell>
          <cell r="B201">
            <v>39757</v>
          </cell>
          <cell r="C201" t="str">
            <v>Past</v>
          </cell>
          <cell r="D201">
            <v>36.36</v>
          </cell>
          <cell r="E201" t="e">
            <v>#N/A</v>
          </cell>
          <cell r="F201" t="e">
            <v>#N/A</v>
          </cell>
          <cell r="G201" t="e">
            <v>#N/A</v>
          </cell>
          <cell r="H201" t="e">
            <v>#N/A</v>
          </cell>
          <cell r="I201" t="e">
            <v>#N/A</v>
          </cell>
          <cell r="J201" t="e">
            <v>#N/A</v>
          </cell>
          <cell r="K201" t="e">
            <v>#N/A</v>
          </cell>
          <cell r="L201" t="e">
            <v>#N/A</v>
          </cell>
          <cell r="M201" t="e">
            <v>#N/A</v>
          </cell>
          <cell r="N201" t="e">
            <v>#N/A</v>
          </cell>
          <cell r="O201" t="e">
            <v>#N/A</v>
          </cell>
          <cell r="P201">
            <v>36.36</v>
          </cell>
          <cell r="Q201">
            <v>1.1687969999999999</v>
          </cell>
          <cell r="R201" t="e">
            <v>#N/A</v>
          </cell>
        </row>
        <row r="202">
          <cell r="A202">
            <v>39758</v>
          </cell>
          <cell r="B202">
            <v>39758</v>
          </cell>
          <cell r="C202" t="str">
            <v>Past</v>
          </cell>
          <cell r="D202">
            <v>33.92</v>
          </cell>
          <cell r="E202" t="e">
            <v>#N/A</v>
          </cell>
          <cell r="F202" t="e">
            <v>#N/A</v>
          </cell>
          <cell r="G202" t="e">
            <v>#N/A</v>
          </cell>
          <cell r="H202" t="e">
            <v>#N/A</v>
          </cell>
          <cell r="I202" t="e">
            <v>#N/A</v>
          </cell>
          <cell r="J202" t="e">
            <v>#N/A</v>
          </cell>
          <cell r="K202" t="e">
            <v>#N/A</v>
          </cell>
          <cell r="L202" t="e">
            <v>#N/A</v>
          </cell>
          <cell r="M202" t="e">
            <v>#N/A</v>
          </cell>
          <cell r="N202" t="e">
            <v>#N/A</v>
          </cell>
          <cell r="O202" t="e">
            <v>#N/A</v>
          </cell>
          <cell r="P202">
            <v>33.92</v>
          </cell>
          <cell r="Q202">
            <v>1.369513</v>
          </cell>
          <cell r="R202" t="e">
            <v>#N/A</v>
          </cell>
        </row>
        <row r="203">
          <cell r="A203">
            <v>39759</v>
          </cell>
          <cell r="B203">
            <v>39759</v>
          </cell>
          <cell r="C203" t="str">
            <v>Past</v>
          </cell>
          <cell r="D203">
            <v>35.090000000000003</v>
          </cell>
          <cell r="E203" t="e">
            <v>#N/A</v>
          </cell>
          <cell r="F203" t="e">
            <v>#N/A</v>
          </cell>
          <cell r="G203" t="e">
            <v>#N/A</v>
          </cell>
          <cell r="H203" t="e">
            <v>#N/A</v>
          </cell>
          <cell r="I203" t="e">
            <v>#N/A</v>
          </cell>
          <cell r="J203" t="e">
            <v>#N/A</v>
          </cell>
          <cell r="K203" t="e">
            <v>#N/A</v>
          </cell>
          <cell r="L203" t="e">
            <v>#N/A</v>
          </cell>
          <cell r="M203" t="e">
            <v>#N/A</v>
          </cell>
          <cell r="N203" t="e">
            <v>#N/A</v>
          </cell>
          <cell r="O203" t="e">
            <v>#N/A</v>
          </cell>
          <cell r="P203">
            <v>35.090000000000003</v>
          </cell>
          <cell r="Q203">
            <v>0.88411099999999998</v>
          </cell>
          <cell r="R203" t="e">
            <v>#N/A</v>
          </cell>
        </row>
        <row r="204">
          <cell r="A204">
            <v>39762</v>
          </cell>
          <cell r="B204">
            <v>39762</v>
          </cell>
          <cell r="C204" t="str">
            <v>Past</v>
          </cell>
          <cell r="D204">
            <v>34.71</v>
          </cell>
          <cell r="E204" t="e">
            <v>#N/A</v>
          </cell>
          <cell r="F204" t="e">
            <v>#N/A</v>
          </cell>
          <cell r="G204" t="e">
            <v>#N/A</v>
          </cell>
          <cell r="H204" t="e">
            <v>#N/A</v>
          </cell>
          <cell r="I204" t="e">
            <v>#N/A</v>
          </cell>
          <cell r="J204" t="e">
            <v>#N/A</v>
          </cell>
          <cell r="K204" t="e">
            <v>#N/A</v>
          </cell>
          <cell r="L204" t="e">
            <v>#N/A</v>
          </cell>
          <cell r="M204" t="e">
            <v>#N/A</v>
          </cell>
          <cell r="N204" t="e">
            <v>#N/A</v>
          </cell>
          <cell r="O204" t="e">
            <v>#N/A</v>
          </cell>
          <cell r="P204">
            <v>34.71</v>
          </cell>
          <cell r="Q204">
            <v>0.85900899999999991</v>
          </cell>
          <cell r="R204" t="e">
            <v>#N/A</v>
          </cell>
        </row>
        <row r="205">
          <cell r="A205">
            <v>39763</v>
          </cell>
          <cell r="B205">
            <v>39763</v>
          </cell>
          <cell r="C205" t="str">
            <v>Past</v>
          </cell>
          <cell r="D205">
            <v>33.549999999999997</v>
          </cell>
          <cell r="E205" t="e">
            <v>#N/A</v>
          </cell>
          <cell r="F205" t="e">
            <v>#N/A</v>
          </cell>
          <cell r="G205" t="e">
            <v>#N/A</v>
          </cell>
          <cell r="H205" t="e">
            <v>#N/A</v>
          </cell>
          <cell r="I205" t="e">
            <v>#N/A</v>
          </cell>
          <cell r="J205" t="e">
            <v>#N/A</v>
          </cell>
          <cell r="K205" t="e">
            <v>#N/A</v>
          </cell>
          <cell r="L205" t="e">
            <v>#N/A</v>
          </cell>
          <cell r="M205" t="e">
            <v>#N/A</v>
          </cell>
          <cell r="N205" t="e">
            <v>#N/A</v>
          </cell>
          <cell r="O205" t="e">
            <v>#N/A</v>
          </cell>
          <cell r="P205">
            <v>33.549999999999997</v>
          </cell>
          <cell r="Q205">
            <v>0.76389099999999999</v>
          </cell>
          <cell r="R205" t="e">
            <v>#N/A</v>
          </cell>
        </row>
        <row r="206">
          <cell r="A206">
            <v>39764</v>
          </cell>
          <cell r="B206">
            <v>39764</v>
          </cell>
          <cell r="C206" t="str">
            <v>Past</v>
          </cell>
          <cell r="D206">
            <v>32.090000000000003</v>
          </cell>
          <cell r="E206" t="e">
            <v>#N/A</v>
          </cell>
          <cell r="F206" t="e">
            <v>#N/A</v>
          </cell>
          <cell r="G206" t="e">
            <v>#N/A</v>
          </cell>
          <cell r="H206" t="e">
            <v>#N/A</v>
          </cell>
          <cell r="I206" t="e">
            <v>#N/A</v>
          </cell>
          <cell r="J206" t="e">
            <v>#N/A</v>
          </cell>
          <cell r="K206" t="e">
            <v>#N/A</v>
          </cell>
          <cell r="L206" t="e">
            <v>#N/A</v>
          </cell>
          <cell r="M206" t="e">
            <v>#N/A</v>
          </cell>
          <cell r="N206" t="e">
            <v>#N/A</v>
          </cell>
          <cell r="O206" t="e">
            <v>#N/A</v>
          </cell>
          <cell r="P206">
            <v>32.090000000000003</v>
          </cell>
          <cell r="Q206">
            <v>1.303518</v>
          </cell>
          <cell r="R206" t="e">
            <v>#N/A</v>
          </cell>
        </row>
        <row r="207">
          <cell r="A207">
            <v>39765</v>
          </cell>
          <cell r="B207">
            <v>39765</v>
          </cell>
          <cell r="C207" t="str">
            <v>Past</v>
          </cell>
          <cell r="D207">
            <v>34.17</v>
          </cell>
          <cell r="E207" t="e">
            <v>#N/A</v>
          </cell>
          <cell r="F207" t="e">
            <v>#N/A</v>
          </cell>
          <cell r="G207" t="e">
            <v>#N/A</v>
          </cell>
          <cell r="H207" t="e">
            <v>#N/A</v>
          </cell>
          <cell r="I207" t="e">
            <v>#N/A</v>
          </cell>
          <cell r="J207" t="e">
            <v>#N/A</v>
          </cell>
          <cell r="K207" t="e">
            <v>#N/A</v>
          </cell>
          <cell r="L207" t="e">
            <v>#N/A</v>
          </cell>
          <cell r="M207" t="e">
            <v>#N/A</v>
          </cell>
          <cell r="N207" t="e">
            <v>#N/A</v>
          </cell>
          <cell r="O207" t="e">
            <v>#N/A</v>
          </cell>
          <cell r="P207">
            <v>34.17</v>
          </cell>
          <cell r="Q207">
            <v>1.3944500000000002</v>
          </cell>
          <cell r="R207" t="e">
            <v>#N/A</v>
          </cell>
        </row>
        <row r="208">
          <cell r="A208">
            <v>39766</v>
          </cell>
          <cell r="B208">
            <v>39766</v>
          </cell>
          <cell r="C208" t="str">
            <v>Past</v>
          </cell>
          <cell r="D208">
            <v>33.07</v>
          </cell>
          <cell r="E208" t="e">
            <v>#N/A</v>
          </cell>
          <cell r="F208" t="e">
            <v>#N/A</v>
          </cell>
          <cell r="G208" t="e">
            <v>#N/A</v>
          </cell>
          <cell r="H208" t="e">
            <v>#N/A</v>
          </cell>
          <cell r="I208" t="e">
            <v>#N/A</v>
          </cell>
          <cell r="J208" t="e">
            <v>#N/A</v>
          </cell>
          <cell r="K208" t="e">
            <v>#N/A</v>
          </cell>
          <cell r="L208" t="e">
            <v>#N/A</v>
          </cell>
          <cell r="M208" t="e">
            <v>#N/A</v>
          </cell>
          <cell r="N208" t="e">
            <v>#N/A</v>
          </cell>
          <cell r="O208" t="e">
            <v>#N/A</v>
          </cell>
          <cell r="P208">
            <v>33.07</v>
          </cell>
          <cell r="Q208">
            <v>1.0746549999999999</v>
          </cell>
          <cell r="R208" t="e">
            <v>#N/A</v>
          </cell>
        </row>
        <row r="209">
          <cell r="A209">
            <v>39769</v>
          </cell>
          <cell r="B209">
            <v>39769</v>
          </cell>
          <cell r="C209" t="str">
            <v>Past</v>
          </cell>
          <cell r="D209">
            <v>31.52</v>
          </cell>
          <cell r="E209" t="e">
            <v>#N/A</v>
          </cell>
          <cell r="F209" t="e">
            <v>#N/A</v>
          </cell>
          <cell r="G209" t="e">
            <v>#N/A</v>
          </cell>
          <cell r="H209" t="e">
            <v>#N/A</v>
          </cell>
          <cell r="I209" t="e">
            <v>#N/A</v>
          </cell>
          <cell r="J209" t="e">
            <v>#N/A</v>
          </cell>
          <cell r="K209" t="e">
            <v>#N/A</v>
          </cell>
          <cell r="L209" t="e">
            <v>#N/A</v>
          </cell>
          <cell r="M209" t="e">
            <v>#N/A</v>
          </cell>
          <cell r="N209" t="e">
            <v>#N/A</v>
          </cell>
          <cell r="O209" t="e">
            <v>#N/A</v>
          </cell>
          <cell r="P209">
            <v>31.52</v>
          </cell>
          <cell r="Q209">
            <v>1.4629829999999999</v>
          </cell>
          <cell r="R209" t="e">
            <v>#N/A</v>
          </cell>
        </row>
        <row r="210">
          <cell r="A210">
            <v>39770</v>
          </cell>
          <cell r="B210">
            <v>39770</v>
          </cell>
          <cell r="C210" t="str">
            <v>Past</v>
          </cell>
          <cell r="D210">
            <v>31.31</v>
          </cell>
          <cell r="E210" t="e">
            <v>#N/A</v>
          </cell>
          <cell r="F210" t="e">
            <v>#N/A</v>
          </cell>
          <cell r="G210" t="e">
            <v>#N/A</v>
          </cell>
          <cell r="H210" t="e">
            <v>#N/A</v>
          </cell>
          <cell r="I210" t="e">
            <v>#N/A</v>
          </cell>
          <cell r="J210" t="e">
            <v>#N/A</v>
          </cell>
          <cell r="K210" t="e">
            <v>#N/A</v>
          </cell>
          <cell r="L210" t="e">
            <v>#N/A</v>
          </cell>
          <cell r="M210" t="e">
            <v>#N/A</v>
          </cell>
          <cell r="N210" t="e">
            <v>#N/A</v>
          </cell>
          <cell r="O210" t="e">
            <v>#N/A</v>
          </cell>
          <cell r="P210">
            <v>31.31</v>
          </cell>
          <cell r="Q210">
            <v>1.3405800000000001</v>
          </cell>
          <cell r="R210" t="e">
            <v>#N/A</v>
          </cell>
        </row>
        <row r="211">
          <cell r="A211">
            <v>39771</v>
          </cell>
          <cell r="B211">
            <v>39771</v>
          </cell>
          <cell r="C211" t="str">
            <v>Past</v>
          </cell>
          <cell r="D211">
            <v>29.32</v>
          </cell>
          <cell r="E211" t="e">
            <v>#N/A</v>
          </cell>
          <cell r="F211" t="e">
            <v>#N/A</v>
          </cell>
          <cell r="G211" t="e">
            <v>#N/A</v>
          </cell>
          <cell r="H211" t="e">
            <v>#N/A</v>
          </cell>
          <cell r="I211" t="e">
            <v>#N/A</v>
          </cell>
          <cell r="J211" t="e">
            <v>#N/A</v>
          </cell>
          <cell r="K211" t="e">
            <v>#N/A</v>
          </cell>
          <cell r="L211" t="e">
            <v>#N/A</v>
          </cell>
          <cell r="M211" t="e">
            <v>#N/A</v>
          </cell>
          <cell r="N211" t="e">
            <v>#N/A</v>
          </cell>
          <cell r="O211" t="e">
            <v>#N/A</v>
          </cell>
          <cell r="P211">
            <v>29.32</v>
          </cell>
          <cell r="Q211">
            <v>1.274114</v>
          </cell>
          <cell r="R211" t="e">
            <v>#N/A</v>
          </cell>
        </row>
        <row r="212">
          <cell r="A212">
            <v>39772</v>
          </cell>
          <cell r="B212">
            <v>39772</v>
          </cell>
          <cell r="C212" t="str">
            <v>Past</v>
          </cell>
          <cell r="D212">
            <v>28.32</v>
          </cell>
          <cell r="E212" t="e">
            <v>#N/A</v>
          </cell>
          <cell r="F212" t="e">
            <v>#N/A</v>
          </cell>
          <cell r="G212" t="e">
            <v>#N/A</v>
          </cell>
          <cell r="H212" t="e">
            <v>#N/A</v>
          </cell>
          <cell r="I212" t="e">
            <v>#N/A</v>
          </cell>
          <cell r="J212" t="e">
            <v>#N/A</v>
          </cell>
          <cell r="K212" t="e">
            <v>#N/A</v>
          </cell>
          <cell r="L212" t="e">
            <v>#N/A</v>
          </cell>
          <cell r="M212" t="e">
            <v>#N/A</v>
          </cell>
          <cell r="N212" t="e">
            <v>#N/A</v>
          </cell>
          <cell r="O212" t="e">
            <v>#N/A</v>
          </cell>
          <cell r="P212">
            <v>28.32</v>
          </cell>
          <cell r="Q212">
            <v>1.9435449999999999</v>
          </cell>
          <cell r="R212" t="e">
            <v>#N/A</v>
          </cell>
        </row>
        <row r="213">
          <cell r="A213">
            <v>39773</v>
          </cell>
          <cell r="B213">
            <v>39773</v>
          </cell>
          <cell r="C213" t="str">
            <v>Past</v>
          </cell>
          <cell r="D213">
            <v>30.39</v>
          </cell>
          <cell r="E213" t="e">
            <v>#N/A</v>
          </cell>
          <cell r="F213" t="e">
            <v>#N/A</v>
          </cell>
          <cell r="G213" t="e">
            <v>#N/A</v>
          </cell>
          <cell r="H213" t="e">
            <v>#N/A</v>
          </cell>
          <cell r="I213" t="e">
            <v>#N/A</v>
          </cell>
          <cell r="J213" t="e">
            <v>#N/A</v>
          </cell>
          <cell r="K213" t="e">
            <v>#N/A</v>
          </cell>
          <cell r="L213" t="e">
            <v>#N/A</v>
          </cell>
          <cell r="M213" t="e">
            <v>#N/A</v>
          </cell>
          <cell r="N213" t="e">
            <v>#N/A</v>
          </cell>
          <cell r="O213" t="e">
            <v>#N/A</v>
          </cell>
          <cell r="P213">
            <v>30.39</v>
          </cell>
          <cell r="Q213">
            <v>1.4824329999999999</v>
          </cell>
          <cell r="R213" t="e">
            <v>#N/A</v>
          </cell>
        </row>
        <row r="214">
          <cell r="A214">
            <v>39776</v>
          </cell>
          <cell r="B214">
            <v>39776</v>
          </cell>
          <cell r="C214" t="str">
            <v>Past</v>
          </cell>
          <cell r="D214">
            <v>31.84</v>
          </cell>
          <cell r="E214" t="e">
            <v>#N/A</v>
          </cell>
          <cell r="F214" t="e">
            <v>#N/A</v>
          </cell>
          <cell r="G214" t="e">
            <v>#N/A</v>
          </cell>
          <cell r="H214" t="e">
            <v>#N/A</v>
          </cell>
          <cell r="I214" t="e">
            <v>#N/A</v>
          </cell>
          <cell r="J214" t="e">
            <v>#N/A</v>
          </cell>
          <cell r="K214" t="e">
            <v>#N/A</v>
          </cell>
          <cell r="L214" t="e">
            <v>#N/A</v>
          </cell>
          <cell r="M214" t="e">
            <v>#N/A</v>
          </cell>
          <cell r="N214" t="e">
            <v>#N/A</v>
          </cell>
          <cell r="O214" t="e">
            <v>#N/A</v>
          </cell>
          <cell r="P214">
            <v>31.84</v>
          </cell>
          <cell r="Q214">
            <v>1.4808139999999999</v>
          </cell>
          <cell r="R214" t="e">
            <v>#N/A</v>
          </cell>
        </row>
        <row r="215">
          <cell r="A215">
            <v>39777</v>
          </cell>
          <cell r="B215">
            <v>39777</v>
          </cell>
          <cell r="C215" t="str">
            <v>Past</v>
          </cell>
          <cell r="D215">
            <v>31.97</v>
          </cell>
          <cell r="E215" t="e">
            <v>#N/A</v>
          </cell>
          <cell r="F215" t="e">
            <v>#N/A</v>
          </cell>
          <cell r="G215" t="e">
            <v>#N/A</v>
          </cell>
          <cell r="H215" t="e">
            <v>#N/A</v>
          </cell>
          <cell r="I215" t="e">
            <v>#N/A</v>
          </cell>
          <cell r="J215" t="e">
            <v>#N/A</v>
          </cell>
          <cell r="K215" t="e">
            <v>#N/A</v>
          </cell>
          <cell r="L215" t="e">
            <v>#N/A</v>
          </cell>
          <cell r="M215" t="e">
            <v>#N/A</v>
          </cell>
          <cell r="N215" t="e">
            <v>#N/A</v>
          </cell>
          <cell r="O215" t="e">
            <v>#N/A</v>
          </cell>
          <cell r="P215">
            <v>31.97</v>
          </cell>
          <cell r="Q215">
            <v>1.2708930000000001</v>
          </cell>
          <cell r="R215" t="e">
            <v>#N/A</v>
          </cell>
        </row>
        <row r="216">
          <cell r="A216">
            <v>39778</v>
          </cell>
          <cell r="B216">
            <v>39778</v>
          </cell>
          <cell r="C216" t="str">
            <v>Past</v>
          </cell>
          <cell r="D216">
            <v>33.14</v>
          </cell>
          <cell r="E216" t="e">
            <v>#N/A</v>
          </cell>
          <cell r="F216" t="e">
            <v>#N/A</v>
          </cell>
          <cell r="G216" t="e">
            <v>#N/A</v>
          </cell>
          <cell r="H216" t="e">
            <v>#N/A</v>
          </cell>
          <cell r="I216" t="e">
            <v>#N/A</v>
          </cell>
          <cell r="J216" t="e">
            <v>#N/A</v>
          </cell>
          <cell r="K216" t="e">
            <v>#N/A</v>
          </cell>
          <cell r="L216" t="e">
            <v>#N/A</v>
          </cell>
          <cell r="M216" t="e">
            <v>#N/A</v>
          </cell>
          <cell r="N216" t="e">
            <v>#N/A</v>
          </cell>
          <cell r="O216" t="e">
            <v>#N/A</v>
          </cell>
          <cell r="P216">
            <v>33.14</v>
          </cell>
          <cell r="Q216">
            <v>1.2845769999999999</v>
          </cell>
          <cell r="R216" t="e">
            <v>#N/A</v>
          </cell>
        </row>
        <row r="217">
          <cell r="A217">
            <v>39780</v>
          </cell>
          <cell r="B217">
            <v>39780</v>
          </cell>
          <cell r="C217" t="str">
            <v>Past</v>
          </cell>
          <cell r="D217">
            <v>34.08</v>
          </cell>
          <cell r="E217" t="e">
            <v>#N/A</v>
          </cell>
          <cell r="F217" t="e">
            <v>#N/A</v>
          </cell>
          <cell r="G217" t="e">
            <v>#N/A</v>
          </cell>
          <cell r="H217" t="e">
            <v>#N/A</v>
          </cell>
          <cell r="I217" t="e">
            <v>#N/A</v>
          </cell>
          <cell r="J217" t="e">
            <v>#N/A</v>
          </cell>
          <cell r="K217" t="e">
            <v>#N/A</v>
          </cell>
          <cell r="L217" t="e">
            <v>#N/A</v>
          </cell>
          <cell r="M217" t="e">
            <v>#N/A</v>
          </cell>
          <cell r="N217" t="e">
            <v>#N/A</v>
          </cell>
          <cell r="O217" t="e">
            <v>#N/A</v>
          </cell>
          <cell r="P217">
            <v>34.08</v>
          </cell>
          <cell r="Q217">
            <v>0.46989499999999995</v>
          </cell>
          <cell r="R217" t="e">
            <v>#N/A</v>
          </cell>
        </row>
        <row r="218">
          <cell r="A218">
            <v>39783</v>
          </cell>
          <cell r="B218">
            <v>39783</v>
          </cell>
          <cell r="C218" t="str">
            <v>Past</v>
          </cell>
          <cell r="D218">
            <v>31.63</v>
          </cell>
          <cell r="E218" t="e">
            <v>#N/A</v>
          </cell>
          <cell r="F218" t="e">
            <v>#N/A</v>
          </cell>
          <cell r="G218" t="e">
            <v>#N/A</v>
          </cell>
          <cell r="H218" t="e">
            <v>#N/A</v>
          </cell>
          <cell r="I218" t="e">
            <v>#N/A</v>
          </cell>
          <cell r="J218" t="e">
            <v>#N/A</v>
          </cell>
          <cell r="K218" t="e">
            <v>#N/A</v>
          </cell>
          <cell r="L218" t="e">
            <v>#N/A</v>
          </cell>
          <cell r="M218" t="e">
            <v>#N/A</v>
          </cell>
          <cell r="N218" t="e">
            <v>#N/A</v>
          </cell>
          <cell r="O218" t="e">
            <v>#N/A</v>
          </cell>
          <cell r="P218">
            <v>31.63</v>
          </cell>
          <cell r="Q218">
            <v>1.3593700000000002</v>
          </cell>
          <cell r="R218" t="e">
            <v>#N/A</v>
          </cell>
        </row>
        <row r="219">
          <cell r="A219">
            <v>39784</v>
          </cell>
          <cell r="B219">
            <v>39784</v>
          </cell>
          <cell r="C219" t="str">
            <v>Past</v>
          </cell>
          <cell r="D219">
            <v>32.75</v>
          </cell>
          <cell r="E219" t="e">
            <v>#N/A</v>
          </cell>
          <cell r="F219" t="e">
            <v>#N/A</v>
          </cell>
          <cell r="G219" t="e">
            <v>#N/A</v>
          </cell>
          <cell r="H219" t="e">
            <v>#N/A</v>
          </cell>
          <cell r="I219" t="e">
            <v>#N/A</v>
          </cell>
          <cell r="J219" t="e">
            <v>#N/A</v>
          </cell>
          <cell r="K219" t="e">
            <v>#N/A</v>
          </cell>
          <cell r="L219" t="e">
            <v>#N/A</v>
          </cell>
          <cell r="M219" t="e">
            <v>#N/A</v>
          </cell>
          <cell r="N219" t="e">
            <v>#N/A</v>
          </cell>
          <cell r="O219" t="e">
            <v>#N/A</v>
          </cell>
          <cell r="P219">
            <v>32.75</v>
          </cell>
          <cell r="Q219">
            <v>0.95006000000000013</v>
          </cell>
          <cell r="R219" t="e">
            <v>#N/A</v>
          </cell>
        </row>
        <row r="220">
          <cell r="A220">
            <v>39785</v>
          </cell>
          <cell r="B220">
            <v>39785</v>
          </cell>
          <cell r="C220" t="str">
            <v>Past</v>
          </cell>
          <cell r="D220">
            <v>33.380000000000003</v>
          </cell>
          <cell r="E220" t="e">
            <v>#N/A</v>
          </cell>
          <cell r="F220" t="e">
            <v>#N/A</v>
          </cell>
          <cell r="G220" t="e">
            <v>#N/A</v>
          </cell>
          <cell r="H220" t="e">
            <v>#N/A</v>
          </cell>
          <cell r="I220" t="e">
            <v>#N/A</v>
          </cell>
          <cell r="J220" t="e">
            <v>#N/A</v>
          </cell>
          <cell r="K220" t="e">
            <v>#N/A</v>
          </cell>
          <cell r="L220" t="e">
            <v>#N/A</v>
          </cell>
          <cell r="M220" t="e">
            <v>#N/A</v>
          </cell>
          <cell r="N220" t="e">
            <v>#N/A</v>
          </cell>
          <cell r="O220" t="e">
            <v>#N/A</v>
          </cell>
          <cell r="P220">
            <v>33.380000000000003</v>
          </cell>
          <cell r="Q220">
            <v>1.253403</v>
          </cell>
          <cell r="R220" t="e">
            <v>#N/A</v>
          </cell>
        </row>
        <row r="221">
          <cell r="A221">
            <v>39786</v>
          </cell>
          <cell r="B221">
            <v>39786</v>
          </cell>
          <cell r="C221" t="str">
            <v>Past</v>
          </cell>
          <cell r="D221">
            <v>32.08</v>
          </cell>
          <cell r="E221" t="e">
            <v>#N/A</v>
          </cell>
          <cell r="F221" t="e">
            <v>#N/A</v>
          </cell>
          <cell r="G221" t="e">
            <v>#N/A</v>
          </cell>
          <cell r="H221" t="e">
            <v>#N/A</v>
          </cell>
          <cell r="I221" t="e">
            <v>#N/A</v>
          </cell>
          <cell r="J221" t="e">
            <v>#N/A</v>
          </cell>
          <cell r="K221" t="e">
            <v>#N/A</v>
          </cell>
          <cell r="L221" t="e">
            <v>#N/A</v>
          </cell>
          <cell r="M221" t="e">
            <v>#N/A</v>
          </cell>
          <cell r="N221" t="e">
            <v>#N/A</v>
          </cell>
          <cell r="O221" t="e">
            <v>#N/A</v>
          </cell>
          <cell r="P221">
            <v>32.08</v>
          </cell>
          <cell r="Q221">
            <v>0.97640000000000005</v>
          </cell>
          <cell r="R221" t="e">
            <v>#N/A</v>
          </cell>
        </row>
        <row r="222">
          <cell r="A222">
            <v>39787</v>
          </cell>
          <cell r="B222">
            <v>39787</v>
          </cell>
          <cell r="C222" t="str">
            <v>Past</v>
          </cell>
          <cell r="D222">
            <v>33.1</v>
          </cell>
          <cell r="E222" t="e">
            <v>#N/A</v>
          </cell>
          <cell r="F222" t="e">
            <v>#N/A</v>
          </cell>
          <cell r="G222" t="e">
            <v>#N/A</v>
          </cell>
          <cell r="H222" t="e">
            <v>#N/A</v>
          </cell>
          <cell r="I222" t="e">
            <v>#N/A</v>
          </cell>
          <cell r="J222" t="e">
            <v>#N/A</v>
          </cell>
          <cell r="K222" t="e">
            <v>#N/A</v>
          </cell>
          <cell r="L222" t="e">
            <v>#N/A</v>
          </cell>
          <cell r="M222" t="e">
            <v>#N/A</v>
          </cell>
          <cell r="N222" t="e">
            <v>#N/A</v>
          </cell>
          <cell r="O222" t="e">
            <v>#N/A</v>
          </cell>
          <cell r="P222">
            <v>33.1</v>
          </cell>
          <cell r="Q222">
            <v>1.317288</v>
          </cell>
          <cell r="R222" t="e">
            <v>#N/A</v>
          </cell>
        </row>
        <row r="223">
          <cell r="A223">
            <v>39790</v>
          </cell>
          <cell r="B223">
            <v>39790</v>
          </cell>
          <cell r="C223" t="str">
            <v>Past</v>
          </cell>
          <cell r="D223">
            <v>34.880000000000003</v>
          </cell>
          <cell r="E223" t="e">
            <v>#N/A</v>
          </cell>
          <cell r="F223" t="e">
            <v>#N/A</v>
          </cell>
          <cell r="G223" t="e">
            <v>#N/A</v>
          </cell>
          <cell r="H223" t="e">
            <v>#N/A</v>
          </cell>
          <cell r="I223" t="e">
            <v>#N/A</v>
          </cell>
          <cell r="J223" t="e">
            <v>#N/A</v>
          </cell>
          <cell r="K223" t="e">
            <v>#N/A</v>
          </cell>
          <cell r="L223" t="e">
            <v>#N/A</v>
          </cell>
          <cell r="M223" t="e">
            <v>#N/A</v>
          </cell>
          <cell r="N223" t="e">
            <v>#N/A</v>
          </cell>
          <cell r="O223" t="e">
            <v>#N/A</v>
          </cell>
          <cell r="P223">
            <v>34.880000000000003</v>
          </cell>
          <cell r="Q223">
            <v>1.147405</v>
          </cell>
          <cell r="R223" t="e">
            <v>#N/A</v>
          </cell>
        </row>
        <row r="224">
          <cell r="A224">
            <v>39791</v>
          </cell>
          <cell r="B224">
            <v>39791</v>
          </cell>
          <cell r="C224" t="str">
            <v>Past</v>
          </cell>
          <cell r="D224">
            <v>34.68</v>
          </cell>
          <cell r="E224" t="e">
            <v>#N/A</v>
          </cell>
          <cell r="F224" t="e">
            <v>#N/A</v>
          </cell>
          <cell r="G224" t="e">
            <v>#N/A</v>
          </cell>
          <cell r="H224" t="e">
            <v>#N/A</v>
          </cell>
          <cell r="I224" t="e">
            <v>#N/A</v>
          </cell>
          <cell r="J224" t="e">
            <v>#N/A</v>
          </cell>
          <cell r="K224" t="e">
            <v>#N/A</v>
          </cell>
          <cell r="L224" t="e">
            <v>#N/A</v>
          </cell>
          <cell r="M224" t="e">
            <v>#N/A</v>
          </cell>
          <cell r="N224" t="e">
            <v>#N/A</v>
          </cell>
          <cell r="O224" t="e">
            <v>#N/A</v>
          </cell>
          <cell r="P224">
            <v>34.68</v>
          </cell>
          <cell r="Q224">
            <v>1.1801200000000001</v>
          </cell>
          <cell r="R224" t="e">
            <v>#N/A</v>
          </cell>
        </row>
        <row r="225">
          <cell r="A225">
            <v>39792</v>
          </cell>
          <cell r="B225">
            <v>39792</v>
          </cell>
          <cell r="C225" t="str">
            <v>Past</v>
          </cell>
          <cell r="D225">
            <v>34.93</v>
          </cell>
          <cell r="E225" t="e">
            <v>#N/A</v>
          </cell>
          <cell r="F225" t="e">
            <v>#N/A</v>
          </cell>
          <cell r="G225" t="e">
            <v>#N/A</v>
          </cell>
          <cell r="H225" t="e">
            <v>#N/A</v>
          </cell>
          <cell r="I225" t="e">
            <v>#N/A</v>
          </cell>
          <cell r="J225" t="e">
            <v>#N/A</v>
          </cell>
          <cell r="K225" t="e">
            <v>#N/A</v>
          </cell>
          <cell r="L225" t="e">
            <v>#N/A</v>
          </cell>
          <cell r="M225" t="e">
            <v>#N/A</v>
          </cell>
          <cell r="N225" t="e">
            <v>#N/A</v>
          </cell>
          <cell r="O225" t="e">
            <v>#N/A</v>
          </cell>
          <cell r="P225">
            <v>34.93</v>
          </cell>
          <cell r="Q225">
            <v>1.1749559999999999</v>
          </cell>
          <cell r="R225" t="e">
            <v>#N/A</v>
          </cell>
        </row>
        <row r="226">
          <cell r="A226">
            <v>39793</v>
          </cell>
          <cell r="B226">
            <v>39793</v>
          </cell>
          <cell r="C226" t="str">
            <v>Past</v>
          </cell>
          <cell r="D226">
            <v>34.72</v>
          </cell>
          <cell r="E226" t="e">
            <v>#N/A</v>
          </cell>
          <cell r="F226" t="e">
            <v>#N/A</v>
          </cell>
          <cell r="G226" t="e">
            <v>#N/A</v>
          </cell>
          <cell r="H226" t="e">
            <v>#N/A</v>
          </cell>
          <cell r="I226" t="e">
            <v>#N/A</v>
          </cell>
          <cell r="J226" t="e">
            <v>#N/A</v>
          </cell>
          <cell r="K226" t="e">
            <v>#N/A</v>
          </cell>
          <cell r="L226" t="e">
            <v>#N/A</v>
          </cell>
          <cell r="M226" t="e">
            <v>#N/A</v>
          </cell>
          <cell r="N226" t="e">
            <v>#N/A</v>
          </cell>
          <cell r="O226" t="e">
            <v>#N/A</v>
          </cell>
          <cell r="P226">
            <v>34.72</v>
          </cell>
          <cell r="Q226">
            <v>1.2353000000000001</v>
          </cell>
          <cell r="R226" t="e">
            <v>#N/A</v>
          </cell>
        </row>
        <row r="227">
          <cell r="A227">
            <v>39794</v>
          </cell>
          <cell r="B227">
            <v>39794</v>
          </cell>
          <cell r="C227" t="str">
            <v>Past</v>
          </cell>
          <cell r="D227">
            <v>35.29</v>
          </cell>
          <cell r="E227" t="e">
            <v>#N/A</v>
          </cell>
          <cell r="F227" t="e">
            <v>#N/A</v>
          </cell>
          <cell r="G227" t="e">
            <v>#N/A</v>
          </cell>
          <cell r="H227" t="e">
            <v>#N/A</v>
          </cell>
          <cell r="I227" t="e">
            <v>#N/A</v>
          </cell>
          <cell r="J227" t="e">
            <v>#N/A</v>
          </cell>
          <cell r="K227" t="e">
            <v>#N/A</v>
          </cell>
          <cell r="L227" t="e">
            <v>#N/A</v>
          </cell>
          <cell r="M227" t="e">
            <v>#N/A</v>
          </cell>
          <cell r="N227" t="e">
            <v>#N/A</v>
          </cell>
          <cell r="O227" t="e">
            <v>#N/A</v>
          </cell>
          <cell r="P227">
            <v>35.29</v>
          </cell>
          <cell r="Q227">
            <v>1.355864</v>
          </cell>
          <cell r="R227" t="e">
            <v>#N/A</v>
          </cell>
        </row>
        <row r="228">
          <cell r="A228">
            <v>39797</v>
          </cell>
          <cell r="B228">
            <v>39797</v>
          </cell>
          <cell r="C228" t="str">
            <v>Past</v>
          </cell>
          <cell r="D228">
            <v>35.049999999999997</v>
          </cell>
          <cell r="E228" t="e">
            <v>#N/A</v>
          </cell>
          <cell r="F228" t="e">
            <v>#N/A</v>
          </cell>
          <cell r="G228" t="e">
            <v>#N/A</v>
          </cell>
          <cell r="H228" t="e">
            <v>#N/A</v>
          </cell>
          <cell r="I228" t="e">
            <v>#N/A</v>
          </cell>
          <cell r="J228" t="e">
            <v>#N/A</v>
          </cell>
          <cell r="K228" t="e">
            <v>#N/A</v>
          </cell>
          <cell r="L228" t="e">
            <v>#N/A</v>
          </cell>
          <cell r="M228" t="e">
            <v>#N/A</v>
          </cell>
          <cell r="N228" t="e">
            <v>#N/A</v>
          </cell>
          <cell r="O228" t="e">
            <v>#N/A</v>
          </cell>
          <cell r="P228">
            <v>35.049999999999997</v>
          </cell>
          <cell r="Q228">
            <v>1.3373739999999998</v>
          </cell>
          <cell r="R228" t="e">
            <v>#N/A</v>
          </cell>
        </row>
        <row r="229">
          <cell r="A229">
            <v>39798</v>
          </cell>
          <cell r="B229">
            <v>39798</v>
          </cell>
          <cell r="C229" t="str">
            <v>Past</v>
          </cell>
          <cell r="D229">
            <v>37.82</v>
          </cell>
          <cell r="E229" t="e">
            <v>#N/A</v>
          </cell>
          <cell r="F229" t="e">
            <v>#N/A</v>
          </cell>
          <cell r="G229" t="e">
            <v>#N/A</v>
          </cell>
          <cell r="H229" t="e">
            <v>#N/A</v>
          </cell>
          <cell r="I229" t="e">
            <v>#N/A</v>
          </cell>
          <cell r="J229" t="e">
            <v>#N/A</v>
          </cell>
          <cell r="K229" t="e">
            <v>#N/A</v>
          </cell>
          <cell r="L229" t="e">
            <v>#N/A</v>
          </cell>
          <cell r="M229" t="e">
            <v>#N/A</v>
          </cell>
          <cell r="N229" t="e">
            <v>#N/A</v>
          </cell>
          <cell r="O229" t="e">
            <v>#N/A</v>
          </cell>
          <cell r="P229">
            <v>37.82</v>
          </cell>
          <cell r="Q229">
            <v>1.332317</v>
          </cell>
          <cell r="R229" t="e">
            <v>#N/A</v>
          </cell>
        </row>
        <row r="230">
          <cell r="A230">
            <v>39799</v>
          </cell>
          <cell r="B230">
            <v>39799</v>
          </cell>
          <cell r="C230" t="str">
            <v>Past</v>
          </cell>
          <cell r="D230">
            <v>37.57</v>
          </cell>
          <cell r="E230" t="e">
            <v>#N/A</v>
          </cell>
          <cell r="F230" t="e">
            <v>#N/A</v>
          </cell>
          <cell r="G230" t="e">
            <v>#N/A</v>
          </cell>
          <cell r="H230" t="e">
            <v>#N/A</v>
          </cell>
          <cell r="I230" t="e">
            <v>#N/A</v>
          </cell>
          <cell r="J230" t="e">
            <v>#N/A</v>
          </cell>
          <cell r="K230" t="e">
            <v>#N/A</v>
          </cell>
          <cell r="L230" t="e">
            <v>#N/A</v>
          </cell>
          <cell r="M230" t="e">
            <v>#N/A</v>
          </cell>
          <cell r="N230" t="e">
            <v>#N/A</v>
          </cell>
          <cell r="O230" t="e">
            <v>#N/A</v>
          </cell>
          <cell r="P230">
            <v>37.57</v>
          </cell>
          <cell r="Q230">
            <v>1.201721</v>
          </cell>
          <cell r="R230" t="e">
            <v>#N/A</v>
          </cell>
        </row>
        <row r="231">
          <cell r="A231">
            <v>39800</v>
          </cell>
          <cell r="B231">
            <v>39800</v>
          </cell>
          <cell r="C231" t="str">
            <v>Past</v>
          </cell>
          <cell r="D231">
            <v>36.96</v>
          </cell>
          <cell r="E231" t="e">
            <v>#N/A</v>
          </cell>
          <cell r="F231" t="e">
            <v>#N/A</v>
          </cell>
          <cell r="G231" t="e">
            <v>#N/A</v>
          </cell>
          <cell r="H231" t="e">
            <v>#N/A</v>
          </cell>
          <cell r="I231" t="e">
            <v>#N/A</v>
          </cell>
          <cell r="J231" t="e">
            <v>#N/A</v>
          </cell>
          <cell r="K231" t="e">
            <v>#N/A</v>
          </cell>
          <cell r="L231" t="e">
            <v>#N/A</v>
          </cell>
          <cell r="M231" t="e">
            <v>#N/A</v>
          </cell>
          <cell r="N231" t="e">
            <v>#N/A</v>
          </cell>
          <cell r="O231" t="e">
            <v>#N/A</v>
          </cell>
          <cell r="P231">
            <v>36.96</v>
          </cell>
          <cell r="Q231">
            <v>1.2798</v>
          </cell>
          <cell r="R231" t="e">
            <v>#N/A</v>
          </cell>
        </row>
        <row r="232">
          <cell r="A232">
            <v>39801</v>
          </cell>
          <cell r="B232">
            <v>39801</v>
          </cell>
          <cell r="C232" t="str">
            <v>Past</v>
          </cell>
          <cell r="D232">
            <v>37.69</v>
          </cell>
          <cell r="E232" t="e">
            <v>#N/A</v>
          </cell>
          <cell r="F232" t="e">
            <v>#N/A</v>
          </cell>
          <cell r="G232" t="e">
            <v>#N/A</v>
          </cell>
          <cell r="H232" t="e">
            <v>#N/A</v>
          </cell>
          <cell r="I232" t="e">
            <v>#N/A</v>
          </cell>
          <cell r="J232" t="e">
            <v>#N/A</v>
          </cell>
          <cell r="K232" t="e">
            <v>#N/A</v>
          </cell>
          <cell r="L232" t="e">
            <v>#N/A</v>
          </cell>
          <cell r="M232" t="e">
            <v>#N/A</v>
          </cell>
          <cell r="N232" t="e">
            <v>#N/A</v>
          </cell>
          <cell r="O232" t="e">
            <v>#N/A</v>
          </cell>
          <cell r="P232">
            <v>37.69</v>
          </cell>
          <cell r="Q232">
            <v>1.6420359999999998</v>
          </cell>
          <cell r="R232" t="e">
            <v>#N/A</v>
          </cell>
        </row>
        <row r="233">
          <cell r="A233">
            <v>39804</v>
          </cell>
          <cell r="B233">
            <v>39804</v>
          </cell>
          <cell r="C233" t="str">
            <v>Past</v>
          </cell>
          <cell r="D233">
            <v>36.96</v>
          </cell>
          <cell r="E233" t="e">
            <v>#N/A</v>
          </cell>
          <cell r="F233" t="e">
            <v>#N/A</v>
          </cell>
          <cell r="G233" t="e">
            <v>#N/A</v>
          </cell>
          <cell r="H233" t="e">
            <v>#N/A</v>
          </cell>
          <cell r="I233" t="e">
            <v>#N/A</v>
          </cell>
          <cell r="J233" t="e">
            <v>#N/A</v>
          </cell>
          <cell r="K233" t="e">
            <v>#N/A</v>
          </cell>
          <cell r="L233" t="e">
            <v>#N/A</v>
          </cell>
          <cell r="M233" t="e">
            <v>#N/A</v>
          </cell>
          <cell r="N233" t="e">
            <v>#N/A</v>
          </cell>
          <cell r="O233" t="e">
            <v>#N/A</v>
          </cell>
          <cell r="P233">
            <v>36.96</v>
          </cell>
          <cell r="Q233">
            <v>0.83622599999999991</v>
          </cell>
          <cell r="R233" t="e">
            <v>#N/A</v>
          </cell>
        </row>
        <row r="234">
          <cell r="A234">
            <v>39805</v>
          </cell>
          <cell r="B234">
            <v>39805</v>
          </cell>
          <cell r="C234" t="str">
            <v>Past</v>
          </cell>
          <cell r="D234">
            <v>36.24</v>
          </cell>
          <cell r="E234" t="e">
            <v>#N/A</v>
          </cell>
          <cell r="F234" t="e">
            <v>#N/A</v>
          </cell>
          <cell r="G234" t="e">
            <v>#N/A</v>
          </cell>
          <cell r="H234" t="e">
            <v>#N/A</v>
          </cell>
          <cell r="I234" t="e">
            <v>#N/A</v>
          </cell>
          <cell r="J234" t="e">
            <v>#N/A</v>
          </cell>
          <cell r="K234" t="e">
            <v>#N/A</v>
          </cell>
          <cell r="L234" t="e">
            <v>#N/A</v>
          </cell>
          <cell r="M234" t="e">
            <v>#N/A</v>
          </cell>
          <cell r="N234" t="e">
            <v>#N/A</v>
          </cell>
          <cell r="O234" t="e">
            <v>#N/A</v>
          </cell>
          <cell r="P234">
            <v>36.24</v>
          </cell>
          <cell r="Q234">
            <v>0.86388000000000009</v>
          </cell>
          <cell r="R234" t="e">
            <v>#N/A</v>
          </cell>
        </row>
        <row r="235">
          <cell r="A235">
            <v>39806</v>
          </cell>
          <cell r="B235">
            <v>39806</v>
          </cell>
          <cell r="C235" t="str">
            <v>Past</v>
          </cell>
          <cell r="D235">
            <v>36.06</v>
          </cell>
          <cell r="E235" t="e">
            <v>#N/A</v>
          </cell>
          <cell r="F235" t="e">
            <v>#N/A</v>
          </cell>
          <cell r="G235" t="e">
            <v>#N/A</v>
          </cell>
          <cell r="H235" t="e">
            <v>#N/A</v>
          </cell>
          <cell r="I235" t="e">
            <v>#N/A</v>
          </cell>
          <cell r="J235" t="e">
            <v>#N/A</v>
          </cell>
          <cell r="K235" t="e">
            <v>#N/A</v>
          </cell>
          <cell r="L235" t="e">
            <v>#N/A</v>
          </cell>
          <cell r="M235" t="e">
            <v>#N/A</v>
          </cell>
          <cell r="N235" t="e">
            <v>#N/A</v>
          </cell>
          <cell r="O235" t="e">
            <v>#N/A</v>
          </cell>
          <cell r="P235">
            <v>36.06</v>
          </cell>
          <cell r="Q235">
            <v>0.53962500000000002</v>
          </cell>
          <cell r="R235" t="e">
            <v>#N/A</v>
          </cell>
        </row>
        <row r="236">
          <cell r="A236">
            <v>39808</v>
          </cell>
          <cell r="B236">
            <v>39808</v>
          </cell>
          <cell r="C236" t="str">
            <v>Past</v>
          </cell>
          <cell r="D236">
            <v>36.74</v>
          </cell>
          <cell r="E236" t="e">
            <v>#N/A</v>
          </cell>
          <cell r="F236" t="e">
            <v>#N/A</v>
          </cell>
          <cell r="G236" t="e">
            <v>#N/A</v>
          </cell>
          <cell r="H236" t="e">
            <v>#N/A</v>
          </cell>
          <cell r="I236" t="e">
            <v>#N/A</v>
          </cell>
          <cell r="J236" t="e">
            <v>#N/A</v>
          </cell>
          <cell r="K236" t="e">
            <v>#N/A</v>
          </cell>
          <cell r="L236" t="e">
            <v>#N/A</v>
          </cell>
          <cell r="M236" t="e">
            <v>#N/A</v>
          </cell>
          <cell r="N236" t="e">
            <v>#N/A</v>
          </cell>
          <cell r="O236" t="e">
            <v>#N/A</v>
          </cell>
          <cell r="P236">
            <v>36.74</v>
          </cell>
          <cell r="Q236">
            <v>0.32439799999999996</v>
          </cell>
          <cell r="R236" t="e">
            <v>#N/A</v>
          </cell>
        </row>
        <row r="237">
          <cell r="A237">
            <v>39811</v>
          </cell>
          <cell r="B237">
            <v>39811</v>
          </cell>
          <cell r="C237" t="str">
            <v>Past</v>
          </cell>
          <cell r="D237">
            <v>36.729999999999997</v>
          </cell>
          <cell r="E237" t="e">
            <v>#N/A</v>
          </cell>
          <cell r="F237" t="e">
            <v>#N/A</v>
          </cell>
          <cell r="G237" t="e">
            <v>#N/A</v>
          </cell>
          <cell r="H237" t="e">
            <v>#N/A</v>
          </cell>
          <cell r="I237" t="e">
            <v>#N/A</v>
          </cell>
          <cell r="J237" t="e">
            <v>#N/A</v>
          </cell>
          <cell r="K237" t="e">
            <v>#N/A</v>
          </cell>
          <cell r="L237" t="e">
            <v>#N/A</v>
          </cell>
          <cell r="M237" t="e">
            <v>#N/A</v>
          </cell>
          <cell r="N237" t="e">
            <v>#N/A</v>
          </cell>
          <cell r="O237" t="e">
            <v>#N/A</v>
          </cell>
          <cell r="P237">
            <v>36.729999999999997</v>
          </cell>
          <cell r="Q237">
            <v>0.91232000000000002</v>
          </cell>
          <cell r="R237" t="e">
            <v>#N/A</v>
          </cell>
        </row>
        <row r="238">
          <cell r="A238">
            <v>39812</v>
          </cell>
          <cell r="B238">
            <v>39812</v>
          </cell>
          <cell r="C238" t="str">
            <v>Past</v>
          </cell>
          <cell r="D238">
            <v>38.049999999999997</v>
          </cell>
          <cell r="E238" t="e">
            <v>#N/A</v>
          </cell>
          <cell r="F238" t="e">
            <v>#N/A</v>
          </cell>
          <cell r="G238" t="e">
            <v>#N/A</v>
          </cell>
          <cell r="H238" t="e">
            <v>#N/A</v>
          </cell>
          <cell r="I238" t="e">
            <v>#N/A</v>
          </cell>
          <cell r="J238" t="e">
            <v>#N/A</v>
          </cell>
          <cell r="K238" t="e">
            <v>#N/A</v>
          </cell>
          <cell r="L238" t="e">
            <v>#N/A</v>
          </cell>
          <cell r="M238" t="e">
            <v>#N/A</v>
          </cell>
          <cell r="N238" t="e">
            <v>#N/A</v>
          </cell>
          <cell r="O238" t="e">
            <v>#N/A</v>
          </cell>
          <cell r="P238">
            <v>38.049999999999997</v>
          </cell>
          <cell r="Q238">
            <v>0.75536099999999995</v>
          </cell>
          <cell r="R238" t="e">
            <v>#N/A</v>
          </cell>
        </row>
        <row r="239">
          <cell r="A239">
            <v>39813</v>
          </cell>
          <cell r="B239">
            <v>39813</v>
          </cell>
          <cell r="C239" t="str">
            <v>Past</v>
          </cell>
          <cell r="D239">
            <v>39.090000000000003</v>
          </cell>
          <cell r="E239" t="e">
            <v>#N/A</v>
          </cell>
          <cell r="F239" t="e">
            <v>#N/A</v>
          </cell>
          <cell r="G239" t="e">
            <v>#N/A</v>
          </cell>
          <cell r="H239" t="e">
            <v>#N/A</v>
          </cell>
          <cell r="I239" t="e">
            <v>#N/A</v>
          </cell>
          <cell r="J239" t="e">
            <v>#N/A</v>
          </cell>
          <cell r="K239" t="e">
            <v>#N/A</v>
          </cell>
          <cell r="L239" t="e">
            <v>#N/A</v>
          </cell>
          <cell r="M239" t="e">
            <v>#N/A</v>
          </cell>
          <cell r="N239" t="e">
            <v>#N/A</v>
          </cell>
          <cell r="O239" t="e">
            <v>#N/A</v>
          </cell>
          <cell r="P239">
            <v>39.090000000000003</v>
          </cell>
          <cell r="Q239">
            <v>0.75335699999999994</v>
          </cell>
          <cell r="R239" t="e">
            <v>#N/A</v>
          </cell>
        </row>
        <row r="240">
          <cell r="A240">
            <v>39815</v>
          </cell>
          <cell r="B240">
            <v>39815</v>
          </cell>
          <cell r="C240" t="str">
            <v>Past</v>
          </cell>
          <cell r="D240">
            <v>40.799999999999997</v>
          </cell>
          <cell r="E240" t="e">
            <v>#N/A</v>
          </cell>
          <cell r="F240" t="e">
            <v>#N/A</v>
          </cell>
          <cell r="G240" t="e">
            <v>#N/A</v>
          </cell>
          <cell r="H240" t="e">
            <v>#N/A</v>
          </cell>
          <cell r="I240" t="e">
            <v>#N/A</v>
          </cell>
          <cell r="J240" t="e">
            <v>#N/A</v>
          </cell>
          <cell r="K240" t="e">
            <v>#N/A</v>
          </cell>
          <cell r="L240" t="e">
            <v>#N/A</v>
          </cell>
          <cell r="M240" t="e">
            <v>#N/A</v>
          </cell>
          <cell r="N240" t="e">
            <v>#N/A</v>
          </cell>
          <cell r="O240" t="e">
            <v>#N/A</v>
          </cell>
          <cell r="P240">
            <v>40.799999999999997</v>
          </cell>
          <cell r="Q240">
            <v>0.66568799999999995</v>
          </cell>
          <cell r="R240" t="e">
            <v>#N/A</v>
          </cell>
        </row>
        <row r="241">
          <cell r="A241">
            <v>39818</v>
          </cell>
          <cell r="B241">
            <v>39818</v>
          </cell>
          <cell r="C241" t="str">
            <v>Past</v>
          </cell>
          <cell r="D241">
            <v>41.09</v>
          </cell>
          <cell r="E241" t="e">
            <v>#N/A</v>
          </cell>
          <cell r="F241" t="e">
            <v>#N/A</v>
          </cell>
          <cell r="G241" t="e">
            <v>#N/A</v>
          </cell>
          <cell r="H241" t="e">
            <v>#N/A</v>
          </cell>
          <cell r="I241" t="e">
            <v>#N/A</v>
          </cell>
          <cell r="J241" t="e">
            <v>#N/A</v>
          </cell>
          <cell r="K241" t="e">
            <v>#N/A</v>
          </cell>
          <cell r="L241" t="e">
            <v>#N/A</v>
          </cell>
          <cell r="M241" t="e">
            <v>#N/A</v>
          </cell>
          <cell r="N241" t="e">
            <v>#N/A</v>
          </cell>
          <cell r="O241" t="e">
            <v>#N/A</v>
          </cell>
          <cell r="P241">
            <v>41.09</v>
          </cell>
          <cell r="Q241">
            <v>0.81101199999999996</v>
          </cell>
          <cell r="R241" t="e">
            <v>#N/A</v>
          </cell>
        </row>
        <row r="242">
          <cell r="A242">
            <v>39819</v>
          </cell>
          <cell r="B242">
            <v>39819</v>
          </cell>
          <cell r="C242" t="str">
            <v>Past</v>
          </cell>
          <cell r="D242">
            <v>41.95</v>
          </cell>
          <cell r="E242" t="e">
            <v>#N/A</v>
          </cell>
          <cell r="F242" t="e">
            <v>#N/A</v>
          </cell>
          <cell r="G242" t="e">
            <v>#N/A</v>
          </cell>
          <cell r="H242" t="e">
            <v>#N/A</v>
          </cell>
          <cell r="I242" t="e">
            <v>#N/A</v>
          </cell>
          <cell r="J242" t="e">
            <v>#N/A</v>
          </cell>
          <cell r="K242" t="e">
            <v>#N/A</v>
          </cell>
          <cell r="L242" t="e">
            <v>#N/A</v>
          </cell>
          <cell r="M242" t="e">
            <v>#N/A</v>
          </cell>
          <cell r="N242" t="e">
            <v>#N/A</v>
          </cell>
          <cell r="O242" t="e">
            <v>#N/A</v>
          </cell>
          <cell r="P242">
            <v>41.95</v>
          </cell>
          <cell r="Q242">
            <v>1.853437</v>
          </cell>
          <cell r="R242" t="e">
            <v>#N/A</v>
          </cell>
        </row>
        <row r="243">
          <cell r="A243">
            <v>39820</v>
          </cell>
          <cell r="B243">
            <v>39820</v>
          </cell>
          <cell r="C243" t="str">
            <v>Past</v>
          </cell>
          <cell r="D243">
            <v>40.299999999999997</v>
          </cell>
          <cell r="E243" t="e">
            <v>#N/A</v>
          </cell>
          <cell r="F243" t="e">
            <v>#N/A</v>
          </cell>
          <cell r="G243" t="e">
            <v>#N/A</v>
          </cell>
          <cell r="H243" t="e">
            <v>#N/A</v>
          </cell>
          <cell r="I243" t="e">
            <v>#N/A</v>
          </cell>
          <cell r="J243" t="e">
            <v>#N/A</v>
          </cell>
          <cell r="K243" t="e">
            <v>#N/A</v>
          </cell>
          <cell r="L243" t="e">
            <v>#N/A</v>
          </cell>
          <cell r="M243" t="e">
            <v>#N/A</v>
          </cell>
          <cell r="N243" t="e">
            <v>#N/A</v>
          </cell>
          <cell r="O243" t="e">
            <v>#N/A</v>
          </cell>
          <cell r="P243">
            <v>40.299999999999997</v>
          </cell>
          <cell r="Q243">
            <v>1.354182</v>
          </cell>
          <cell r="R243" t="e">
            <v>#N/A</v>
          </cell>
        </row>
        <row r="244">
          <cell r="A244">
            <v>39821</v>
          </cell>
          <cell r="B244">
            <v>39821</v>
          </cell>
          <cell r="C244" t="str">
            <v>Past</v>
          </cell>
          <cell r="D244">
            <v>39.5</v>
          </cell>
          <cell r="E244" t="e">
            <v>#N/A</v>
          </cell>
          <cell r="F244" t="e">
            <v>#N/A</v>
          </cell>
          <cell r="G244" t="e">
            <v>#N/A</v>
          </cell>
          <cell r="H244" t="e">
            <v>#N/A</v>
          </cell>
          <cell r="I244" t="e">
            <v>#N/A</v>
          </cell>
          <cell r="J244" t="e">
            <v>#N/A</v>
          </cell>
          <cell r="K244" t="e">
            <v>#N/A</v>
          </cell>
          <cell r="L244" t="e">
            <v>#N/A</v>
          </cell>
          <cell r="M244" t="e">
            <v>#N/A</v>
          </cell>
          <cell r="N244" t="e">
            <v>#N/A</v>
          </cell>
          <cell r="O244" t="e">
            <v>#N/A</v>
          </cell>
          <cell r="P244">
            <v>39.5</v>
          </cell>
          <cell r="Q244">
            <v>2.0060720000000001</v>
          </cell>
          <cell r="R244" t="e">
            <v>#N/A</v>
          </cell>
        </row>
        <row r="245">
          <cell r="A245">
            <v>39822</v>
          </cell>
          <cell r="B245">
            <v>39822</v>
          </cell>
          <cell r="C245" t="str">
            <v>Past</v>
          </cell>
          <cell r="D245">
            <v>39.04</v>
          </cell>
          <cell r="E245" t="e">
            <v>#N/A</v>
          </cell>
          <cell r="F245" t="e">
            <v>#N/A</v>
          </cell>
          <cell r="G245" t="e">
            <v>#N/A</v>
          </cell>
          <cell r="H245" t="e">
            <v>#N/A</v>
          </cell>
          <cell r="I245" t="e">
            <v>#N/A</v>
          </cell>
          <cell r="J245" t="e">
            <v>#N/A</v>
          </cell>
          <cell r="K245" t="e">
            <v>#N/A</v>
          </cell>
          <cell r="L245" t="e">
            <v>#N/A</v>
          </cell>
          <cell r="M245" t="e">
            <v>#N/A</v>
          </cell>
          <cell r="N245" t="e">
            <v>#N/A</v>
          </cell>
          <cell r="O245" t="e">
            <v>#N/A</v>
          </cell>
          <cell r="P245">
            <v>39.04</v>
          </cell>
          <cell r="Q245">
            <v>2.2234569999999998</v>
          </cell>
          <cell r="R245" t="e">
            <v>#N/A</v>
          </cell>
        </row>
        <row r="246">
          <cell r="A246">
            <v>39825</v>
          </cell>
          <cell r="B246">
            <v>39825</v>
          </cell>
          <cell r="C246" t="str">
            <v>Past</v>
          </cell>
          <cell r="D246">
            <v>38.83</v>
          </cell>
          <cell r="E246" t="e">
            <v>#N/A</v>
          </cell>
          <cell r="F246" t="e">
            <v>#N/A</v>
          </cell>
          <cell r="G246" t="e">
            <v>#N/A</v>
          </cell>
          <cell r="H246" t="e">
            <v>#N/A</v>
          </cell>
          <cell r="I246" t="e">
            <v>#N/A</v>
          </cell>
          <cell r="J246" t="e">
            <v>#N/A</v>
          </cell>
          <cell r="K246" t="e">
            <v>#N/A</v>
          </cell>
          <cell r="L246" t="e">
            <v>#N/A</v>
          </cell>
          <cell r="M246" t="e">
            <v>#N/A</v>
          </cell>
          <cell r="N246" t="e">
            <v>#N/A</v>
          </cell>
          <cell r="O246" t="e">
            <v>#N/A</v>
          </cell>
          <cell r="P246">
            <v>38.83</v>
          </cell>
          <cell r="Q246">
            <v>0.98887899999999995</v>
          </cell>
          <cell r="R246" t="e">
            <v>#N/A</v>
          </cell>
        </row>
        <row r="247">
          <cell r="A247">
            <v>39826</v>
          </cell>
          <cell r="B247">
            <v>39826</v>
          </cell>
          <cell r="C247" t="str">
            <v>Past</v>
          </cell>
          <cell r="D247">
            <v>36.99</v>
          </cell>
          <cell r="E247" t="e">
            <v>#N/A</v>
          </cell>
          <cell r="F247" t="e">
            <v>#N/A</v>
          </cell>
          <cell r="G247" t="e">
            <v>#N/A</v>
          </cell>
          <cell r="H247" t="e">
            <v>#N/A</v>
          </cell>
          <cell r="I247" t="e">
            <v>#N/A</v>
          </cell>
          <cell r="J247" t="e">
            <v>#N/A</v>
          </cell>
          <cell r="K247" t="e">
            <v>#N/A</v>
          </cell>
          <cell r="L247" t="e">
            <v>#N/A</v>
          </cell>
          <cell r="M247" t="e">
            <v>#N/A</v>
          </cell>
          <cell r="N247" t="e">
            <v>#N/A</v>
          </cell>
          <cell r="O247" t="e">
            <v>#N/A</v>
          </cell>
          <cell r="P247">
            <v>36.99</v>
          </cell>
          <cell r="Q247">
            <v>1.9892259999999999</v>
          </cell>
          <cell r="R247" t="e">
            <v>#N/A</v>
          </cell>
        </row>
        <row r="248">
          <cell r="A248">
            <v>39827</v>
          </cell>
          <cell r="B248">
            <v>39827</v>
          </cell>
          <cell r="C248" t="str">
            <v>Past</v>
          </cell>
          <cell r="D248">
            <v>36.200000000000003</v>
          </cell>
          <cell r="E248" t="e">
            <v>#N/A</v>
          </cell>
          <cell r="F248" t="e">
            <v>#N/A</v>
          </cell>
          <cell r="G248" t="e">
            <v>#N/A</v>
          </cell>
          <cell r="H248" t="e">
            <v>#N/A</v>
          </cell>
          <cell r="I248" t="e">
            <v>#N/A</v>
          </cell>
          <cell r="J248" t="e">
            <v>#N/A</v>
          </cell>
          <cell r="K248" t="e">
            <v>#N/A</v>
          </cell>
          <cell r="L248" t="e">
            <v>#N/A</v>
          </cell>
          <cell r="M248" t="e">
            <v>#N/A</v>
          </cell>
          <cell r="N248" t="e">
            <v>#N/A</v>
          </cell>
          <cell r="O248" t="e">
            <v>#N/A</v>
          </cell>
          <cell r="P248">
            <v>36.200000000000003</v>
          </cell>
          <cell r="Q248">
            <v>1.216024</v>
          </cell>
          <cell r="R248" t="e">
            <v>#N/A</v>
          </cell>
        </row>
        <row r="249">
          <cell r="A249">
            <v>39828</v>
          </cell>
          <cell r="B249">
            <v>39828</v>
          </cell>
          <cell r="C249" t="str">
            <v>Past</v>
          </cell>
          <cell r="D249">
            <v>36.5</v>
          </cell>
          <cell r="E249" t="e">
            <v>#N/A</v>
          </cell>
          <cell r="F249" t="e">
            <v>#N/A</v>
          </cell>
          <cell r="G249" t="e">
            <v>#N/A</v>
          </cell>
          <cell r="H249" t="e">
            <v>#N/A</v>
          </cell>
          <cell r="I249" t="e">
            <v>#N/A</v>
          </cell>
          <cell r="J249" t="e">
            <v>#N/A</v>
          </cell>
          <cell r="K249" t="e">
            <v>#N/A</v>
          </cell>
          <cell r="L249" t="e">
            <v>#N/A</v>
          </cell>
          <cell r="M249" t="e">
            <v>#N/A</v>
          </cell>
          <cell r="N249" t="e">
            <v>#N/A</v>
          </cell>
          <cell r="O249" t="e">
            <v>#N/A</v>
          </cell>
          <cell r="P249">
            <v>36.5</v>
          </cell>
          <cell r="Q249">
            <v>1.0569109999999999</v>
          </cell>
          <cell r="R249" t="e">
            <v>#N/A</v>
          </cell>
        </row>
        <row r="250">
          <cell r="A250">
            <v>39829</v>
          </cell>
          <cell r="B250">
            <v>39829</v>
          </cell>
          <cell r="C250" t="str">
            <v>Past</v>
          </cell>
          <cell r="D250">
            <v>37.26</v>
          </cell>
          <cell r="E250" t="e">
            <v>#N/A</v>
          </cell>
          <cell r="F250" t="e">
            <v>#N/A</v>
          </cell>
          <cell r="G250" t="e">
            <v>#N/A</v>
          </cell>
          <cell r="H250" t="e">
            <v>#N/A</v>
          </cell>
          <cell r="I250" t="e">
            <v>#N/A</v>
          </cell>
          <cell r="J250" t="e">
            <v>#N/A</v>
          </cell>
          <cell r="K250" t="e">
            <v>#N/A</v>
          </cell>
          <cell r="L250" t="e">
            <v>#N/A</v>
          </cell>
          <cell r="M250" t="e">
            <v>#N/A</v>
          </cell>
          <cell r="N250" t="e">
            <v>#N/A</v>
          </cell>
          <cell r="O250" t="e">
            <v>#N/A</v>
          </cell>
          <cell r="P250">
            <v>37.26</v>
          </cell>
          <cell r="Q250">
            <v>1.5374949999999998</v>
          </cell>
          <cell r="R250" t="e">
            <v>#N/A</v>
          </cell>
        </row>
        <row r="251">
          <cell r="A251">
            <v>39833</v>
          </cell>
          <cell r="B251">
            <v>39833</v>
          </cell>
          <cell r="C251" t="str">
            <v>Past</v>
          </cell>
          <cell r="D251">
            <v>35.630000000000003</v>
          </cell>
          <cell r="E251" t="e">
            <v>#N/A</v>
          </cell>
          <cell r="F251" t="e">
            <v>#N/A</v>
          </cell>
          <cell r="G251" t="e">
            <v>#N/A</v>
          </cell>
          <cell r="H251" t="e">
            <v>#N/A</v>
          </cell>
          <cell r="I251" t="e">
            <v>#N/A</v>
          </cell>
          <cell r="J251" t="e">
            <v>#N/A</v>
          </cell>
          <cell r="K251" t="e">
            <v>#N/A</v>
          </cell>
          <cell r="L251" t="e">
            <v>#N/A</v>
          </cell>
          <cell r="M251" t="e">
            <v>#N/A</v>
          </cell>
          <cell r="N251" t="e">
            <v>#N/A</v>
          </cell>
          <cell r="O251" t="e">
            <v>#N/A</v>
          </cell>
          <cell r="P251">
            <v>35.630000000000003</v>
          </cell>
          <cell r="Q251">
            <v>1.29857</v>
          </cell>
          <cell r="R251" t="e">
            <v>#N/A</v>
          </cell>
        </row>
        <row r="252">
          <cell r="A252">
            <v>39834</v>
          </cell>
          <cell r="B252">
            <v>39834</v>
          </cell>
          <cell r="C252" t="str">
            <v>Past</v>
          </cell>
          <cell r="D252">
            <v>36.9</v>
          </cell>
          <cell r="E252" t="e">
            <v>#N/A</v>
          </cell>
          <cell r="F252" t="e">
            <v>#N/A</v>
          </cell>
          <cell r="G252" t="e">
            <v>#N/A</v>
          </cell>
          <cell r="H252" t="e">
            <v>#N/A</v>
          </cell>
          <cell r="I252" t="e">
            <v>#N/A</v>
          </cell>
          <cell r="J252" t="e">
            <v>#N/A</v>
          </cell>
          <cell r="K252" t="e">
            <v>#N/A</v>
          </cell>
          <cell r="L252" t="e">
            <v>#N/A</v>
          </cell>
          <cell r="M252" t="e">
            <v>#N/A</v>
          </cell>
          <cell r="N252" t="e">
            <v>#N/A</v>
          </cell>
          <cell r="O252" t="e">
            <v>#N/A</v>
          </cell>
          <cell r="P252">
            <v>36.9</v>
          </cell>
          <cell r="Q252">
            <v>1.132055</v>
          </cell>
          <cell r="R252" t="e">
            <v>#N/A</v>
          </cell>
        </row>
        <row r="253">
          <cell r="A253">
            <v>39835</v>
          </cell>
          <cell r="B253">
            <v>39835</v>
          </cell>
          <cell r="C253" t="str">
            <v>Past</v>
          </cell>
          <cell r="D253">
            <v>36.85</v>
          </cell>
          <cell r="E253" t="e">
            <v>#N/A</v>
          </cell>
          <cell r="F253" t="e">
            <v>#N/A</v>
          </cell>
          <cell r="G253" t="e">
            <v>#N/A</v>
          </cell>
          <cell r="H253" t="e">
            <v>#N/A</v>
          </cell>
          <cell r="I253" t="e">
            <v>#N/A</v>
          </cell>
          <cell r="J253" t="e">
            <v>#N/A</v>
          </cell>
          <cell r="K253" t="e">
            <v>#N/A</v>
          </cell>
          <cell r="L253" t="e">
            <v>#N/A</v>
          </cell>
          <cell r="M253" t="e">
            <v>#N/A</v>
          </cell>
          <cell r="N253" t="e">
            <v>#N/A</v>
          </cell>
          <cell r="O253" t="e">
            <v>#N/A</v>
          </cell>
          <cell r="P253">
            <v>36.85</v>
          </cell>
          <cell r="Q253">
            <v>0.86424699999999999</v>
          </cell>
          <cell r="R253" t="e">
            <v>#N/A</v>
          </cell>
        </row>
        <row r="254">
          <cell r="A254">
            <v>39836</v>
          </cell>
          <cell r="B254">
            <v>39836</v>
          </cell>
          <cell r="C254" t="str">
            <v>Past</v>
          </cell>
          <cell r="D254">
            <v>36.89</v>
          </cell>
          <cell r="E254" t="e">
            <v>#N/A</v>
          </cell>
          <cell r="F254" t="e">
            <v>#N/A</v>
          </cell>
          <cell r="G254" t="e">
            <v>#N/A</v>
          </cell>
          <cell r="H254" t="e">
            <v>#N/A</v>
          </cell>
          <cell r="I254" t="e">
            <v>#N/A</v>
          </cell>
          <cell r="J254" t="e">
            <v>#N/A</v>
          </cell>
          <cell r="K254" t="e">
            <v>#N/A</v>
          </cell>
          <cell r="L254" t="e">
            <v>#N/A</v>
          </cell>
          <cell r="M254" t="e">
            <v>#N/A</v>
          </cell>
          <cell r="N254" t="e">
            <v>#N/A</v>
          </cell>
          <cell r="O254" t="e">
            <v>#N/A</v>
          </cell>
          <cell r="P254">
            <v>36.89</v>
          </cell>
          <cell r="Q254">
            <v>1.010864</v>
          </cell>
          <cell r="R254" t="e">
            <v>#N/A</v>
          </cell>
        </row>
        <row r="255">
          <cell r="A255">
            <v>39839</v>
          </cell>
          <cell r="B255">
            <v>39839</v>
          </cell>
          <cell r="C255" t="str">
            <v>Past</v>
          </cell>
          <cell r="D255">
            <v>37.65</v>
          </cell>
          <cell r="E255" t="e">
            <v>#N/A</v>
          </cell>
          <cell r="F255" t="e">
            <v>#N/A</v>
          </cell>
          <cell r="G255" t="e">
            <v>#N/A</v>
          </cell>
          <cell r="H255" t="e">
            <v>#N/A</v>
          </cell>
          <cell r="I255" t="e">
            <v>#N/A</v>
          </cell>
          <cell r="J255" t="e">
            <v>#N/A</v>
          </cell>
          <cell r="K255" t="e">
            <v>#N/A</v>
          </cell>
          <cell r="L255" t="e">
            <v>#N/A</v>
          </cell>
          <cell r="M255" t="e">
            <v>#N/A</v>
          </cell>
          <cell r="N255" t="e">
            <v>#N/A</v>
          </cell>
          <cell r="O255" t="e">
            <v>#N/A</v>
          </cell>
          <cell r="P255">
            <v>37.65</v>
          </cell>
          <cell r="Q255">
            <v>1.089332</v>
          </cell>
          <cell r="R255" t="e">
            <v>#N/A</v>
          </cell>
        </row>
        <row r="256">
          <cell r="A256">
            <v>39840</v>
          </cell>
          <cell r="B256">
            <v>39840</v>
          </cell>
          <cell r="C256" t="str">
            <v>Past</v>
          </cell>
          <cell r="D256">
            <v>38.19</v>
          </cell>
          <cell r="E256" t="e">
            <v>#N/A</v>
          </cell>
          <cell r="F256" t="e">
            <v>#N/A</v>
          </cell>
          <cell r="G256" t="e">
            <v>#N/A</v>
          </cell>
          <cell r="H256" t="e">
            <v>#N/A</v>
          </cell>
          <cell r="I256" t="e">
            <v>#N/A</v>
          </cell>
          <cell r="J256" t="e">
            <v>#N/A</v>
          </cell>
          <cell r="K256" t="e">
            <v>#N/A</v>
          </cell>
          <cell r="L256" t="e">
            <v>#N/A</v>
          </cell>
          <cell r="M256" t="e">
            <v>#N/A</v>
          </cell>
          <cell r="N256" t="e">
            <v>#N/A</v>
          </cell>
          <cell r="O256" t="e">
            <v>#N/A</v>
          </cell>
          <cell r="P256">
            <v>38.19</v>
          </cell>
          <cell r="Q256">
            <v>1.320057</v>
          </cell>
          <cell r="R256" t="e">
            <v>#N/A</v>
          </cell>
        </row>
        <row r="257">
          <cell r="A257">
            <v>39841</v>
          </cell>
          <cell r="B257">
            <v>39841</v>
          </cell>
          <cell r="C257" t="str">
            <v>Past</v>
          </cell>
          <cell r="D257">
            <v>39.79</v>
          </cell>
          <cell r="E257" t="e">
            <v>#N/A</v>
          </cell>
          <cell r="F257" t="e">
            <v>#N/A</v>
          </cell>
          <cell r="G257" t="e">
            <v>#N/A</v>
          </cell>
          <cell r="H257" t="e">
            <v>#N/A</v>
          </cell>
          <cell r="I257" t="e">
            <v>#N/A</v>
          </cell>
          <cell r="J257" t="e">
            <v>#N/A</v>
          </cell>
          <cell r="K257" t="e">
            <v>#N/A</v>
          </cell>
          <cell r="L257" t="e">
            <v>#N/A</v>
          </cell>
          <cell r="M257" t="e">
            <v>#N/A</v>
          </cell>
          <cell r="N257" t="e">
            <v>#N/A</v>
          </cell>
          <cell r="O257" t="e">
            <v>#N/A</v>
          </cell>
          <cell r="P257">
            <v>39.79</v>
          </cell>
          <cell r="Q257">
            <v>1.7482139999999999</v>
          </cell>
          <cell r="R257" t="e">
            <v>#N/A</v>
          </cell>
        </row>
        <row r="258">
          <cell r="A258">
            <v>39842</v>
          </cell>
          <cell r="B258">
            <v>39842</v>
          </cell>
          <cell r="C258" t="str">
            <v>Past</v>
          </cell>
          <cell r="D258">
            <v>37.700000000000003</v>
          </cell>
          <cell r="E258" t="e">
            <v>#N/A</v>
          </cell>
          <cell r="F258" t="e">
            <v>#N/A</v>
          </cell>
          <cell r="G258" t="e">
            <v>#N/A</v>
          </cell>
          <cell r="H258" t="e">
            <v>#N/A</v>
          </cell>
          <cell r="I258" t="e">
            <v>#N/A</v>
          </cell>
          <cell r="J258" t="e">
            <v>#N/A</v>
          </cell>
          <cell r="K258" t="e">
            <v>#N/A</v>
          </cell>
          <cell r="L258" t="e">
            <v>#N/A</v>
          </cell>
          <cell r="M258" t="e">
            <v>#N/A</v>
          </cell>
          <cell r="N258" t="e">
            <v>#N/A</v>
          </cell>
          <cell r="O258" t="e">
            <v>#N/A</v>
          </cell>
          <cell r="P258">
            <v>37.700000000000003</v>
          </cell>
          <cell r="Q258">
            <v>1.058079</v>
          </cell>
          <cell r="R258" t="e">
            <v>#N/A</v>
          </cell>
        </row>
        <row r="259">
          <cell r="A259">
            <v>39843</v>
          </cell>
          <cell r="B259">
            <v>39843</v>
          </cell>
          <cell r="C259" t="str">
            <v>Past</v>
          </cell>
          <cell r="D259">
            <v>37.68</v>
          </cell>
          <cell r="E259" t="e">
            <v>#N/A</v>
          </cell>
          <cell r="F259" t="e">
            <v>#N/A</v>
          </cell>
          <cell r="G259" t="e">
            <v>#N/A</v>
          </cell>
          <cell r="H259" t="e">
            <v>#N/A</v>
          </cell>
          <cell r="I259" t="e">
            <v>#N/A</v>
          </cell>
          <cell r="J259" t="e">
            <v>#N/A</v>
          </cell>
          <cell r="K259" t="e">
            <v>#N/A</v>
          </cell>
          <cell r="L259" t="e">
            <v>#N/A</v>
          </cell>
          <cell r="M259" t="e">
            <v>#N/A</v>
          </cell>
          <cell r="N259" t="e">
            <v>#N/A</v>
          </cell>
          <cell r="O259" t="e">
            <v>#N/A</v>
          </cell>
          <cell r="P259">
            <v>37.68</v>
          </cell>
          <cell r="Q259">
            <v>1.8226500000000001</v>
          </cell>
          <cell r="R259" t="e">
            <v>#N/A</v>
          </cell>
        </row>
        <row r="260">
          <cell r="A260">
            <v>39846</v>
          </cell>
          <cell r="B260">
            <v>39846</v>
          </cell>
          <cell r="C260" t="str">
            <v>Past</v>
          </cell>
          <cell r="D260">
            <v>35.17</v>
          </cell>
          <cell r="E260" t="e">
            <v>#N/A</v>
          </cell>
          <cell r="F260" t="e">
            <v>#N/A</v>
          </cell>
          <cell r="G260" t="e">
            <v>#N/A</v>
          </cell>
          <cell r="H260" t="e">
            <v>#N/A</v>
          </cell>
          <cell r="I260" t="e">
            <v>#N/A</v>
          </cell>
          <cell r="J260" t="e">
            <v>#N/A</v>
          </cell>
          <cell r="K260" t="e">
            <v>#N/A</v>
          </cell>
          <cell r="L260" t="e">
            <v>#N/A</v>
          </cell>
          <cell r="M260" t="e">
            <v>#N/A</v>
          </cell>
          <cell r="N260" t="e">
            <v>#N/A</v>
          </cell>
          <cell r="O260" t="e">
            <v>#N/A</v>
          </cell>
          <cell r="P260">
            <v>35.17</v>
          </cell>
          <cell r="Q260">
            <v>3.0471219999999999</v>
          </cell>
          <cell r="R260" t="e">
            <v>#N/A</v>
          </cell>
        </row>
        <row r="261">
          <cell r="A261">
            <v>39847</v>
          </cell>
          <cell r="B261">
            <v>39847</v>
          </cell>
          <cell r="C261" t="str">
            <v>Past</v>
          </cell>
          <cell r="D261">
            <v>38.94</v>
          </cell>
          <cell r="E261" t="e">
            <v>#N/A</v>
          </cell>
          <cell r="F261" t="e">
            <v>#N/A</v>
          </cell>
          <cell r="G261" t="e">
            <v>#N/A</v>
          </cell>
          <cell r="H261" t="e">
            <v>#N/A</v>
          </cell>
          <cell r="I261" t="e">
            <v>#N/A</v>
          </cell>
          <cell r="J261" t="e">
            <v>#N/A</v>
          </cell>
          <cell r="K261" t="e">
            <v>#N/A</v>
          </cell>
          <cell r="L261" t="e">
            <v>#N/A</v>
          </cell>
          <cell r="M261" t="e">
            <v>#N/A</v>
          </cell>
          <cell r="N261" t="e">
            <v>#N/A</v>
          </cell>
          <cell r="O261" t="e">
            <v>#N/A</v>
          </cell>
          <cell r="P261">
            <v>38.94</v>
          </cell>
          <cell r="Q261">
            <v>3.9511779999999996</v>
          </cell>
          <cell r="R261" t="e">
            <v>#N/A</v>
          </cell>
        </row>
        <row r="262">
          <cell r="A262">
            <v>39848</v>
          </cell>
          <cell r="B262">
            <v>39848</v>
          </cell>
          <cell r="C262" t="str">
            <v>Past</v>
          </cell>
          <cell r="D262">
            <v>37.64</v>
          </cell>
          <cell r="E262" t="e">
            <v>#N/A</v>
          </cell>
          <cell r="F262" t="e">
            <v>#N/A</v>
          </cell>
          <cell r="G262" t="e">
            <v>#N/A</v>
          </cell>
          <cell r="H262" t="e">
            <v>#N/A</v>
          </cell>
          <cell r="I262" t="e">
            <v>#N/A</v>
          </cell>
          <cell r="J262" t="e">
            <v>#N/A</v>
          </cell>
          <cell r="K262" t="e">
            <v>#N/A</v>
          </cell>
          <cell r="L262" t="e">
            <v>#N/A</v>
          </cell>
          <cell r="M262" t="e">
            <v>#N/A</v>
          </cell>
          <cell r="N262" t="e">
            <v>#N/A</v>
          </cell>
          <cell r="O262" t="e">
            <v>#N/A</v>
          </cell>
          <cell r="P262">
            <v>37.64</v>
          </cell>
          <cell r="Q262">
            <v>2.8779859999999999</v>
          </cell>
          <cell r="R262" t="e">
            <v>#N/A</v>
          </cell>
        </row>
        <row r="263">
          <cell r="A263">
            <v>39849</v>
          </cell>
          <cell r="B263">
            <v>39849</v>
          </cell>
          <cell r="C263" t="str">
            <v>Past</v>
          </cell>
          <cell r="D263">
            <v>38.11</v>
          </cell>
          <cell r="E263" t="e">
            <v>#N/A</v>
          </cell>
          <cell r="F263" t="e">
            <v>#N/A</v>
          </cell>
          <cell r="G263" t="e">
            <v>#N/A</v>
          </cell>
          <cell r="H263" t="e">
            <v>#N/A</v>
          </cell>
          <cell r="I263" t="e">
            <v>#N/A</v>
          </cell>
          <cell r="J263" t="e">
            <v>#N/A</v>
          </cell>
          <cell r="K263" t="e">
            <v>#N/A</v>
          </cell>
          <cell r="L263" t="e">
            <v>#N/A</v>
          </cell>
          <cell r="M263" t="e">
            <v>#N/A</v>
          </cell>
          <cell r="N263" t="e">
            <v>#N/A</v>
          </cell>
          <cell r="O263" t="e">
            <v>#N/A</v>
          </cell>
          <cell r="P263">
            <v>38.11</v>
          </cell>
          <cell r="Q263">
            <v>2.970567</v>
          </cell>
          <cell r="R263" t="e">
            <v>#N/A</v>
          </cell>
        </row>
        <row r="264">
          <cell r="A264">
            <v>39850</v>
          </cell>
          <cell r="B264">
            <v>39850</v>
          </cell>
          <cell r="C264" t="str">
            <v>Past</v>
          </cell>
          <cell r="D264">
            <v>38.9</v>
          </cell>
          <cell r="E264" t="e">
            <v>#N/A</v>
          </cell>
          <cell r="F264" t="e">
            <v>#N/A</v>
          </cell>
          <cell r="G264" t="e">
            <v>#N/A</v>
          </cell>
          <cell r="H264" t="e">
            <v>#N/A</v>
          </cell>
          <cell r="I264" t="e">
            <v>#N/A</v>
          </cell>
          <cell r="J264" t="e">
            <v>#N/A</v>
          </cell>
          <cell r="K264" t="e">
            <v>#N/A</v>
          </cell>
          <cell r="L264" t="e">
            <v>#N/A</v>
          </cell>
          <cell r="M264" t="e">
            <v>#N/A</v>
          </cell>
          <cell r="N264" t="e">
            <v>#N/A</v>
          </cell>
          <cell r="O264" t="e">
            <v>#N/A</v>
          </cell>
          <cell r="P264">
            <v>38.9</v>
          </cell>
          <cell r="Q264">
            <v>1.719133</v>
          </cell>
          <cell r="R264" t="e">
            <v>#N/A</v>
          </cell>
        </row>
        <row r="265">
          <cell r="A265">
            <v>39853</v>
          </cell>
          <cell r="B265">
            <v>39853</v>
          </cell>
          <cell r="C265" t="str">
            <v>Past</v>
          </cell>
          <cell r="D265">
            <v>38.99</v>
          </cell>
          <cell r="E265" t="e">
            <v>#N/A</v>
          </cell>
          <cell r="F265" t="e">
            <v>#N/A</v>
          </cell>
          <cell r="G265" t="e">
            <v>#N/A</v>
          </cell>
          <cell r="H265" t="e">
            <v>#N/A</v>
          </cell>
          <cell r="I265" t="e">
            <v>#N/A</v>
          </cell>
          <cell r="J265" t="e">
            <v>#N/A</v>
          </cell>
          <cell r="K265" t="e">
            <v>#N/A</v>
          </cell>
          <cell r="L265" t="e">
            <v>#N/A</v>
          </cell>
          <cell r="M265" t="e">
            <v>#N/A</v>
          </cell>
          <cell r="N265" t="e">
            <v>#N/A</v>
          </cell>
          <cell r="O265" t="e">
            <v>#N/A</v>
          </cell>
          <cell r="P265">
            <v>38.99</v>
          </cell>
          <cell r="Q265">
            <v>1.5008379999999999</v>
          </cell>
          <cell r="R265" t="e">
            <v>#N/A</v>
          </cell>
        </row>
        <row r="266">
          <cell r="A266">
            <v>39854</v>
          </cell>
          <cell r="B266">
            <v>39854</v>
          </cell>
          <cell r="C266" t="str">
            <v>Past</v>
          </cell>
          <cell r="D266">
            <v>37.090000000000003</v>
          </cell>
          <cell r="E266" t="e">
            <v>#N/A</v>
          </cell>
          <cell r="F266" t="e">
            <v>#N/A</v>
          </cell>
          <cell r="G266" t="e">
            <v>#N/A</v>
          </cell>
          <cell r="H266" t="e">
            <v>#N/A</v>
          </cell>
          <cell r="I266" t="e">
            <v>#N/A</v>
          </cell>
          <cell r="J266" t="e">
            <v>#N/A</v>
          </cell>
          <cell r="K266" t="e">
            <v>#N/A</v>
          </cell>
          <cell r="L266" t="e">
            <v>#N/A</v>
          </cell>
          <cell r="M266" t="e">
            <v>#N/A</v>
          </cell>
          <cell r="N266" t="e">
            <v>#N/A</v>
          </cell>
          <cell r="O266" t="e">
            <v>#N/A</v>
          </cell>
          <cell r="P266">
            <v>37.090000000000003</v>
          </cell>
          <cell r="Q266">
            <v>1.4959879999999999</v>
          </cell>
          <cell r="R266" t="e">
            <v>#N/A</v>
          </cell>
        </row>
        <row r="267">
          <cell r="A267">
            <v>39855</v>
          </cell>
          <cell r="B267">
            <v>39855</v>
          </cell>
          <cell r="C267" t="str">
            <v>Past</v>
          </cell>
          <cell r="D267">
            <v>36.770000000000003</v>
          </cell>
          <cell r="E267" t="e">
            <v>#N/A</v>
          </cell>
          <cell r="F267" t="e">
            <v>#N/A</v>
          </cell>
          <cell r="G267" t="e">
            <v>#N/A</v>
          </cell>
          <cell r="H267" t="e">
            <v>#N/A</v>
          </cell>
          <cell r="I267" t="e">
            <v>#N/A</v>
          </cell>
          <cell r="J267" t="e">
            <v>#N/A</v>
          </cell>
          <cell r="K267" t="e">
            <v>#N/A</v>
          </cell>
          <cell r="L267" t="e">
            <v>#N/A</v>
          </cell>
          <cell r="M267" t="e">
            <v>#N/A</v>
          </cell>
          <cell r="N267" t="e">
            <v>#N/A</v>
          </cell>
          <cell r="O267" t="e">
            <v>#N/A</v>
          </cell>
          <cell r="P267">
            <v>36.770000000000003</v>
          </cell>
          <cell r="Q267">
            <v>1.2877729999999998</v>
          </cell>
          <cell r="R267" t="e">
            <v>#N/A</v>
          </cell>
        </row>
        <row r="268">
          <cell r="A268">
            <v>39856</v>
          </cell>
          <cell r="B268">
            <v>39856</v>
          </cell>
          <cell r="C268" t="str">
            <v>Past</v>
          </cell>
          <cell r="D268">
            <v>36.39</v>
          </cell>
          <cell r="E268" t="e">
            <v>#N/A</v>
          </cell>
          <cell r="F268" t="e">
            <v>#N/A</v>
          </cell>
          <cell r="G268" t="e">
            <v>#N/A</v>
          </cell>
          <cell r="H268" t="e">
            <v>#N/A</v>
          </cell>
          <cell r="I268" t="e">
            <v>#N/A</v>
          </cell>
          <cell r="J268" t="e">
            <v>#N/A</v>
          </cell>
          <cell r="K268" t="e">
            <v>#N/A</v>
          </cell>
          <cell r="L268" t="e">
            <v>#N/A</v>
          </cell>
          <cell r="M268" t="e">
            <v>#N/A</v>
          </cell>
          <cell r="N268" t="e">
            <v>#N/A</v>
          </cell>
          <cell r="O268" t="e">
            <v>#N/A</v>
          </cell>
          <cell r="P268">
            <v>36.39</v>
          </cell>
          <cell r="Q268">
            <v>1.3419000000000001</v>
          </cell>
          <cell r="R268" t="e">
            <v>#N/A</v>
          </cell>
        </row>
        <row r="269">
          <cell r="A269">
            <v>39857</v>
          </cell>
          <cell r="B269">
            <v>39857</v>
          </cell>
          <cell r="C269" t="str">
            <v>Past</v>
          </cell>
          <cell r="D269">
            <v>37.159999999999997</v>
          </cell>
          <cell r="E269" t="e">
            <v>#N/A</v>
          </cell>
          <cell r="F269" t="e">
            <v>#N/A</v>
          </cell>
          <cell r="G269" t="e">
            <v>#N/A</v>
          </cell>
          <cell r="H269" t="e">
            <v>#N/A</v>
          </cell>
          <cell r="I269" t="e">
            <v>#N/A</v>
          </cell>
          <cell r="J269" t="e">
            <v>#N/A</v>
          </cell>
          <cell r="K269" t="e">
            <v>#N/A</v>
          </cell>
          <cell r="L269" t="e">
            <v>#N/A</v>
          </cell>
          <cell r="M269" t="e">
            <v>#N/A</v>
          </cell>
          <cell r="N269" t="e">
            <v>#N/A</v>
          </cell>
          <cell r="O269" t="e">
            <v>#N/A</v>
          </cell>
          <cell r="P269">
            <v>37.159999999999997</v>
          </cell>
          <cell r="Q269">
            <v>1.2079569999999999</v>
          </cell>
          <cell r="R269" t="e">
            <v>#N/A</v>
          </cell>
        </row>
        <row r="270">
          <cell r="A270">
            <v>39861</v>
          </cell>
          <cell r="B270">
            <v>39861</v>
          </cell>
          <cell r="C270" t="str">
            <v>Past</v>
          </cell>
          <cell r="D270">
            <v>35.68</v>
          </cell>
          <cell r="E270" t="e">
            <v>#N/A</v>
          </cell>
          <cell r="F270" t="e">
            <v>#N/A</v>
          </cell>
          <cell r="G270" t="e">
            <v>#N/A</v>
          </cell>
          <cell r="H270" t="e">
            <v>#N/A</v>
          </cell>
          <cell r="I270" t="e">
            <v>#N/A</v>
          </cell>
          <cell r="J270" t="e">
            <v>#N/A</v>
          </cell>
          <cell r="K270" t="e">
            <v>#N/A</v>
          </cell>
          <cell r="L270" t="e">
            <v>#N/A</v>
          </cell>
          <cell r="M270" t="e">
            <v>#N/A</v>
          </cell>
          <cell r="N270" t="e">
            <v>#N/A</v>
          </cell>
          <cell r="O270" t="e">
            <v>#N/A</v>
          </cell>
          <cell r="P270">
            <v>35.68</v>
          </cell>
          <cell r="Q270">
            <v>1.8728529999999999</v>
          </cell>
          <cell r="R270" t="e">
            <v>#N/A</v>
          </cell>
        </row>
        <row r="271">
          <cell r="A271">
            <v>39862</v>
          </cell>
          <cell r="B271">
            <v>39862</v>
          </cell>
          <cell r="C271" t="str">
            <v>Past</v>
          </cell>
          <cell r="D271">
            <v>35.82</v>
          </cell>
          <cell r="E271" t="e">
            <v>#N/A</v>
          </cell>
          <cell r="F271" t="e">
            <v>#N/A</v>
          </cell>
          <cell r="G271" t="e">
            <v>#N/A</v>
          </cell>
          <cell r="H271" t="e">
            <v>#N/A</v>
          </cell>
          <cell r="I271" t="e">
            <v>#N/A</v>
          </cell>
          <cell r="J271" t="e">
            <v>#N/A</v>
          </cell>
          <cell r="K271" t="e">
            <v>#N/A</v>
          </cell>
          <cell r="L271" t="e">
            <v>#N/A</v>
          </cell>
          <cell r="M271" t="e">
            <v>#N/A</v>
          </cell>
          <cell r="N271" t="e">
            <v>#N/A</v>
          </cell>
          <cell r="O271" t="e">
            <v>#N/A</v>
          </cell>
          <cell r="P271">
            <v>35.82</v>
          </cell>
          <cell r="Q271">
            <v>1.7947139999999999</v>
          </cell>
          <cell r="R271" t="e">
            <v>#N/A</v>
          </cell>
        </row>
        <row r="272">
          <cell r="A272">
            <v>39863</v>
          </cell>
          <cell r="B272">
            <v>39863</v>
          </cell>
          <cell r="C272" t="str">
            <v>Past</v>
          </cell>
          <cell r="D272">
            <v>35.83</v>
          </cell>
          <cell r="E272" t="e">
            <v>#N/A</v>
          </cell>
          <cell r="F272" t="e">
            <v>#N/A</v>
          </cell>
          <cell r="G272" t="e">
            <v>#N/A</v>
          </cell>
          <cell r="H272" t="e">
            <v>#N/A</v>
          </cell>
          <cell r="I272" t="e">
            <v>#N/A</v>
          </cell>
          <cell r="J272" t="e">
            <v>#N/A</v>
          </cell>
          <cell r="K272" t="e">
            <v>#N/A</v>
          </cell>
          <cell r="L272" t="e">
            <v>#N/A</v>
          </cell>
          <cell r="M272" t="e">
            <v>#N/A</v>
          </cell>
          <cell r="N272" t="e">
            <v>#N/A</v>
          </cell>
          <cell r="O272" t="e">
            <v>#N/A</v>
          </cell>
          <cell r="P272">
            <v>35.83</v>
          </cell>
          <cell r="Q272">
            <v>1.442469</v>
          </cell>
          <cell r="R272" t="e">
            <v>#N/A</v>
          </cell>
        </row>
        <row r="273">
          <cell r="A273">
            <v>39864</v>
          </cell>
          <cell r="B273">
            <v>39864</v>
          </cell>
          <cell r="C273" t="str">
            <v>Past</v>
          </cell>
          <cell r="D273">
            <v>35.049999999999997</v>
          </cell>
          <cell r="E273" t="e">
            <v>#N/A</v>
          </cell>
          <cell r="F273" t="e">
            <v>#N/A</v>
          </cell>
          <cell r="G273" t="e">
            <v>#N/A</v>
          </cell>
          <cell r="H273" t="e">
            <v>#N/A</v>
          </cell>
          <cell r="I273" t="e">
            <v>#N/A</v>
          </cell>
          <cell r="J273" t="e">
            <v>#N/A</v>
          </cell>
          <cell r="K273" t="e">
            <v>#N/A</v>
          </cell>
          <cell r="L273" t="e">
            <v>#N/A</v>
          </cell>
          <cell r="M273" t="e">
            <v>#N/A</v>
          </cell>
          <cell r="N273" t="e">
            <v>#N/A</v>
          </cell>
          <cell r="O273" t="e">
            <v>#N/A</v>
          </cell>
          <cell r="P273">
            <v>35.049999999999997</v>
          </cell>
          <cell r="Q273">
            <v>2.6777120000000001</v>
          </cell>
          <cell r="R273" t="e">
            <v>#N/A</v>
          </cell>
        </row>
        <row r="274">
          <cell r="A274">
            <v>39867</v>
          </cell>
          <cell r="B274">
            <v>39867</v>
          </cell>
          <cell r="C274" t="str">
            <v>Past</v>
          </cell>
          <cell r="D274">
            <v>33.880000000000003</v>
          </cell>
          <cell r="E274" t="e">
            <v>#N/A</v>
          </cell>
          <cell r="F274" t="e">
            <v>#N/A</v>
          </cell>
          <cell r="G274" t="e">
            <v>#N/A</v>
          </cell>
          <cell r="H274" t="e">
            <v>#N/A</v>
          </cell>
          <cell r="I274" t="e">
            <v>#N/A</v>
          </cell>
          <cell r="J274" t="e">
            <v>#N/A</v>
          </cell>
          <cell r="K274" t="e">
            <v>#N/A</v>
          </cell>
          <cell r="L274" t="e">
            <v>#N/A</v>
          </cell>
          <cell r="M274" t="e">
            <v>#N/A</v>
          </cell>
          <cell r="N274" t="e">
            <v>#N/A</v>
          </cell>
          <cell r="O274" t="e">
            <v>#N/A</v>
          </cell>
          <cell r="P274">
            <v>33.880000000000003</v>
          </cell>
          <cell r="Q274">
            <v>2.025531</v>
          </cell>
          <cell r="R274" t="e">
            <v>#N/A</v>
          </cell>
        </row>
        <row r="275">
          <cell r="A275">
            <v>39868</v>
          </cell>
          <cell r="B275">
            <v>39868</v>
          </cell>
          <cell r="C275" t="str">
            <v>Past</v>
          </cell>
          <cell r="D275">
            <v>34.549999999999997</v>
          </cell>
          <cell r="E275" t="e">
            <v>#N/A</v>
          </cell>
          <cell r="F275" t="e">
            <v>#N/A</v>
          </cell>
          <cell r="G275" t="e">
            <v>#N/A</v>
          </cell>
          <cell r="H275" t="e">
            <v>#N/A</v>
          </cell>
          <cell r="I275" t="e">
            <v>#N/A</v>
          </cell>
          <cell r="J275" t="e">
            <v>#N/A</v>
          </cell>
          <cell r="K275" t="e">
            <v>#N/A</v>
          </cell>
          <cell r="L275" t="e">
            <v>#N/A</v>
          </cell>
          <cell r="M275" t="e">
            <v>#N/A</v>
          </cell>
          <cell r="N275" t="e">
            <v>#N/A</v>
          </cell>
          <cell r="O275" t="e">
            <v>#N/A</v>
          </cell>
          <cell r="P275">
            <v>34.549999999999997</v>
          </cell>
          <cell r="Q275">
            <v>1.599594</v>
          </cell>
          <cell r="R275" t="e">
            <v>#N/A</v>
          </cell>
        </row>
        <row r="276">
          <cell r="A276">
            <v>39869</v>
          </cell>
          <cell r="B276">
            <v>39869</v>
          </cell>
          <cell r="C276" t="str">
            <v>Past</v>
          </cell>
          <cell r="D276">
            <v>33.18</v>
          </cell>
          <cell r="E276" t="e">
            <v>#N/A</v>
          </cell>
          <cell r="F276" t="e">
            <v>#N/A</v>
          </cell>
          <cell r="G276" t="e">
            <v>#N/A</v>
          </cell>
          <cell r="H276" t="e">
            <v>#N/A</v>
          </cell>
          <cell r="I276" t="e">
            <v>#N/A</v>
          </cell>
          <cell r="J276" t="e">
            <v>#N/A</v>
          </cell>
          <cell r="K276" t="e">
            <v>#N/A</v>
          </cell>
          <cell r="L276" t="e">
            <v>#N/A</v>
          </cell>
          <cell r="M276" t="e">
            <v>#N/A</v>
          </cell>
          <cell r="N276" t="e">
            <v>#N/A</v>
          </cell>
          <cell r="O276" t="e">
            <v>#N/A</v>
          </cell>
          <cell r="P276">
            <v>33.18</v>
          </cell>
          <cell r="Q276">
            <v>1.4807700000000001</v>
          </cell>
          <cell r="R276" t="e">
            <v>#N/A</v>
          </cell>
        </row>
        <row r="277">
          <cell r="A277">
            <v>39870</v>
          </cell>
          <cell r="B277">
            <v>39870</v>
          </cell>
          <cell r="C277" t="str">
            <v>Past</v>
          </cell>
          <cell r="D277">
            <v>32.229999999999997</v>
          </cell>
          <cell r="E277" t="e">
            <v>#N/A</v>
          </cell>
          <cell r="F277" t="e">
            <v>#N/A</v>
          </cell>
          <cell r="G277" t="e">
            <v>#N/A</v>
          </cell>
          <cell r="H277" t="e">
            <v>#N/A</v>
          </cell>
          <cell r="I277" t="e">
            <v>#N/A</v>
          </cell>
          <cell r="J277" t="e">
            <v>#N/A</v>
          </cell>
          <cell r="K277" t="e">
            <v>#N/A</v>
          </cell>
          <cell r="L277" t="e">
            <v>#N/A</v>
          </cell>
          <cell r="M277" t="e">
            <v>#N/A</v>
          </cell>
          <cell r="N277" t="e">
            <v>#N/A</v>
          </cell>
          <cell r="O277" t="e">
            <v>#N/A</v>
          </cell>
          <cell r="P277">
            <v>32.229999999999997</v>
          </cell>
          <cell r="Q277">
            <v>1.687538</v>
          </cell>
          <cell r="R277" t="e">
            <v>#N/A</v>
          </cell>
        </row>
        <row r="278">
          <cell r="A278">
            <v>39871</v>
          </cell>
          <cell r="B278">
            <v>39871</v>
          </cell>
          <cell r="C278" t="str">
            <v>Past</v>
          </cell>
          <cell r="D278">
            <v>31.2</v>
          </cell>
          <cell r="E278" t="e">
            <v>#N/A</v>
          </cell>
          <cell r="F278" t="e">
            <v>#N/A</v>
          </cell>
          <cell r="G278" t="e">
            <v>#N/A</v>
          </cell>
          <cell r="H278" t="e">
            <v>#N/A</v>
          </cell>
          <cell r="I278" t="e">
            <v>#N/A</v>
          </cell>
          <cell r="J278" t="e">
            <v>#N/A</v>
          </cell>
          <cell r="K278" t="e">
            <v>#N/A</v>
          </cell>
          <cell r="L278" t="e">
            <v>#N/A</v>
          </cell>
          <cell r="M278" t="e">
            <v>#N/A</v>
          </cell>
          <cell r="N278" t="e">
            <v>#N/A</v>
          </cell>
          <cell r="O278" t="e">
            <v>#N/A</v>
          </cell>
          <cell r="P278">
            <v>31.2</v>
          </cell>
          <cell r="Q278">
            <v>1.685773</v>
          </cell>
          <cell r="R278" t="e">
            <v>#N/A</v>
          </cell>
        </row>
        <row r="279">
          <cell r="A279">
            <v>39874</v>
          </cell>
          <cell r="B279">
            <v>39874</v>
          </cell>
          <cell r="C279" t="str">
            <v>Past</v>
          </cell>
          <cell r="D279">
            <v>29.01</v>
          </cell>
          <cell r="E279" t="e">
            <v>#N/A</v>
          </cell>
          <cell r="F279" t="e">
            <v>#N/A</v>
          </cell>
          <cell r="G279" t="e">
            <v>#N/A</v>
          </cell>
          <cell r="H279" t="e">
            <v>#N/A</v>
          </cell>
          <cell r="I279" t="e">
            <v>#N/A</v>
          </cell>
          <cell r="J279" t="e">
            <v>#N/A</v>
          </cell>
          <cell r="K279" t="e">
            <v>#N/A</v>
          </cell>
          <cell r="L279" t="e">
            <v>#N/A</v>
          </cell>
          <cell r="M279" t="e">
            <v>#N/A</v>
          </cell>
          <cell r="N279" t="e">
            <v>#N/A</v>
          </cell>
          <cell r="O279" t="e">
            <v>#N/A</v>
          </cell>
          <cell r="P279">
            <v>29.01</v>
          </cell>
          <cell r="Q279">
            <v>2.231986</v>
          </cell>
          <cell r="R279" t="e">
            <v>#N/A</v>
          </cell>
        </row>
        <row r="280">
          <cell r="A280">
            <v>39875</v>
          </cell>
          <cell r="B280">
            <v>39875</v>
          </cell>
          <cell r="C280" t="str">
            <v>Past</v>
          </cell>
          <cell r="D280">
            <v>28.76</v>
          </cell>
          <cell r="E280" t="e">
            <v>#N/A</v>
          </cell>
          <cell r="F280" t="e">
            <v>#N/A</v>
          </cell>
          <cell r="G280" t="e">
            <v>#N/A</v>
          </cell>
          <cell r="H280" t="e">
            <v>#N/A</v>
          </cell>
          <cell r="I280" t="e">
            <v>#N/A</v>
          </cell>
          <cell r="J280" t="e">
            <v>#N/A</v>
          </cell>
          <cell r="K280" t="e">
            <v>#N/A</v>
          </cell>
          <cell r="L280" t="e">
            <v>#N/A</v>
          </cell>
          <cell r="M280" t="e">
            <v>#N/A</v>
          </cell>
          <cell r="N280" t="e">
            <v>#N/A</v>
          </cell>
          <cell r="O280" t="e">
            <v>#N/A</v>
          </cell>
          <cell r="P280">
            <v>28.76</v>
          </cell>
          <cell r="Q280">
            <v>2.2519549999999997</v>
          </cell>
          <cell r="R280" t="e">
            <v>#N/A</v>
          </cell>
        </row>
        <row r="281">
          <cell r="A281">
            <v>39876</v>
          </cell>
          <cell r="B281">
            <v>39876</v>
          </cell>
          <cell r="C281" t="str">
            <v>Past</v>
          </cell>
          <cell r="D281">
            <v>29.63</v>
          </cell>
          <cell r="E281" t="e">
            <v>#N/A</v>
          </cell>
          <cell r="F281" t="e">
            <v>#N/A</v>
          </cell>
          <cell r="G281" t="e">
            <v>#N/A</v>
          </cell>
          <cell r="H281" t="e">
            <v>#N/A</v>
          </cell>
          <cell r="I281" t="e">
            <v>#N/A</v>
          </cell>
          <cell r="J281" t="e">
            <v>#N/A</v>
          </cell>
          <cell r="K281" t="e">
            <v>#N/A</v>
          </cell>
          <cell r="L281" t="e">
            <v>#N/A</v>
          </cell>
          <cell r="M281" t="e">
            <v>#N/A</v>
          </cell>
          <cell r="N281" t="e">
            <v>#N/A</v>
          </cell>
          <cell r="O281" t="e">
            <v>#N/A</v>
          </cell>
          <cell r="P281">
            <v>29.63</v>
          </cell>
          <cell r="Q281">
            <v>1.6556869999999999</v>
          </cell>
          <cell r="R281" t="e">
            <v>#N/A</v>
          </cell>
        </row>
        <row r="282">
          <cell r="A282">
            <v>39877</v>
          </cell>
          <cell r="B282">
            <v>39877</v>
          </cell>
          <cell r="C282" t="str">
            <v>Past</v>
          </cell>
          <cell r="D282">
            <v>27.97</v>
          </cell>
          <cell r="E282" t="e">
            <v>#N/A</v>
          </cell>
          <cell r="F282" t="e">
            <v>#N/A</v>
          </cell>
          <cell r="G282" t="e">
            <v>#N/A</v>
          </cell>
          <cell r="H282" t="e">
            <v>#N/A</v>
          </cell>
          <cell r="I282" t="e">
            <v>#N/A</v>
          </cell>
          <cell r="J282" t="e">
            <v>#N/A</v>
          </cell>
          <cell r="K282" t="e">
            <v>#N/A</v>
          </cell>
          <cell r="L282" t="e">
            <v>#N/A</v>
          </cell>
          <cell r="M282" t="e">
            <v>#N/A</v>
          </cell>
          <cell r="N282" t="e">
            <v>#N/A</v>
          </cell>
          <cell r="O282" t="e">
            <v>#N/A</v>
          </cell>
          <cell r="P282">
            <v>27.97</v>
          </cell>
          <cell r="Q282">
            <v>1.9948900000000003</v>
          </cell>
          <cell r="R282" t="e">
            <v>#N/A</v>
          </cell>
        </row>
        <row r="283">
          <cell r="A283">
            <v>39878</v>
          </cell>
          <cell r="B283">
            <v>39878</v>
          </cell>
          <cell r="C283" t="str">
            <v>Past</v>
          </cell>
          <cell r="D283">
            <v>28.35</v>
          </cell>
          <cell r="E283" t="e">
            <v>#N/A</v>
          </cell>
          <cell r="F283" t="e">
            <v>#N/A</v>
          </cell>
          <cell r="G283" t="e">
            <v>#N/A</v>
          </cell>
          <cell r="H283" t="e">
            <v>#N/A</v>
          </cell>
          <cell r="I283" t="e">
            <v>#N/A</v>
          </cell>
          <cell r="J283" t="e">
            <v>#N/A</v>
          </cell>
          <cell r="K283" t="e">
            <v>#N/A</v>
          </cell>
          <cell r="L283" t="e">
            <v>#N/A</v>
          </cell>
          <cell r="M283" t="e">
            <v>#N/A</v>
          </cell>
          <cell r="N283" t="e">
            <v>#N/A</v>
          </cell>
          <cell r="O283" t="e">
            <v>#N/A</v>
          </cell>
          <cell r="P283">
            <v>28.35</v>
          </cell>
          <cell r="Q283">
            <v>2.2119</v>
          </cell>
          <cell r="R283" t="e">
            <v>#N/A</v>
          </cell>
        </row>
        <row r="284">
          <cell r="A284">
            <v>39881</v>
          </cell>
          <cell r="B284">
            <v>39881</v>
          </cell>
          <cell r="C284" t="str">
            <v>Past</v>
          </cell>
          <cell r="D284">
            <v>27.85</v>
          </cell>
          <cell r="E284" t="e">
            <v>#N/A</v>
          </cell>
          <cell r="F284" t="e">
            <v>#N/A</v>
          </cell>
          <cell r="G284" t="e">
            <v>#N/A</v>
          </cell>
          <cell r="H284" t="e">
            <v>#N/A</v>
          </cell>
          <cell r="I284" t="e">
            <v>#N/A</v>
          </cell>
          <cell r="J284" t="e">
            <v>#N/A</v>
          </cell>
          <cell r="K284" t="e">
            <v>#N/A</v>
          </cell>
          <cell r="L284" t="e">
            <v>#N/A</v>
          </cell>
          <cell r="M284" t="e">
            <v>#N/A</v>
          </cell>
          <cell r="N284" t="e">
            <v>#N/A</v>
          </cell>
          <cell r="O284" t="e">
            <v>#N/A</v>
          </cell>
          <cell r="P284">
            <v>27.85</v>
          </cell>
          <cell r="Q284">
            <v>1.2486159999999999</v>
          </cell>
          <cell r="R284" t="e">
            <v>#N/A</v>
          </cell>
        </row>
        <row r="285">
          <cell r="A285">
            <v>39882</v>
          </cell>
          <cell r="B285">
            <v>39882</v>
          </cell>
          <cell r="C285" t="str">
            <v>Past</v>
          </cell>
          <cell r="D285">
            <v>29.83</v>
          </cell>
          <cell r="E285" t="e">
            <v>#N/A</v>
          </cell>
          <cell r="F285" t="e">
            <v>#N/A</v>
          </cell>
          <cell r="G285" t="e">
            <v>#N/A</v>
          </cell>
          <cell r="H285" t="e">
            <v>#N/A</v>
          </cell>
          <cell r="I285" t="e">
            <v>#N/A</v>
          </cell>
          <cell r="J285" t="e">
            <v>#N/A</v>
          </cell>
          <cell r="K285" t="e">
            <v>#N/A</v>
          </cell>
          <cell r="L285" t="e">
            <v>#N/A</v>
          </cell>
          <cell r="M285" t="e">
            <v>#N/A</v>
          </cell>
          <cell r="N285" t="e">
            <v>#N/A</v>
          </cell>
          <cell r="O285" t="e">
            <v>#N/A</v>
          </cell>
          <cell r="P285">
            <v>29.83</v>
          </cell>
          <cell r="Q285">
            <v>2.1134109999999997</v>
          </cell>
          <cell r="R285" t="e">
            <v>#N/A</v>
          </cell>
        </row>
        <row r="286">
          <cell r="A286">
            <v>39883</v>
          </cell>
          <cell r="B286">
            <v>39883</v>
          </cell>
          <cell r="C286" t="str">
            <v>Past</v>
          </cell>
          <cell r="D286">
            <v>30.2</v>
          </cell>
          <cell r="E286" t="e">
            <v>#N/A</v>
          </cell>
          <cell r="F286" t="e">
            <v>#N/A</v>
          </cell>
          <cell r="G286" t="e">
            <v>#N/A</v>
          </cell>
          <cell r="H286" t="e">
            <v>#N/A</v>
          </cell>
          <cell r="I286" t="e">
            <v>#N/A</v>
          </cell>
          <cell r="J286" t="e">
            <v>#N/A</v>
          </cell>
          <cell r="K286" t="e">
            <v>#N/A</v>
          </cell>
          <cell r="L286" t="e">
            <v>#N/A</v>
          </cell>
          <cell r="M286" t="e">
            <v>#N/A</v>
          </cell>
          <cell r="N286" t="e">
            <v>#N/A</v>
          </cell>
          <cell r="O286" t="e">
            <v>#N/A</v>
          </cell>
          <cell r="P286">
            <v>30.2</v>
          </cell>
          <cell r="Q286">
            <v>1.464324</v>
          </cell>
          <cell r="R286" t="e">
            <v>#N/A</v>
          </cell>
        </row>
        <row r="287">
          <cell r="A287">
            <v>39884</v>
          </cell>
          <cell r="B287">
            <v>39884</v>
          </cell>
          <cell r="C287" t="str">
            <v>Past</v>
          </cell>
          <cell r="D287">
            <v>30.72</v>
          </cell>
          <cell r="E287" t="e">
            <v>#N/A</v>
          </cell>
          <cell r="F287" t="e">
            <v>#N/A</v>
          </cell>
          <cell r="G287" t="e">
            <v>#N/A</v>
          </cell>
          <cell r="H287" t="e">
            <v>#N/A</v>
          </cell>
          <cell r="I287" t="e">
            <v>#N/A</v>
          </cell>
          <cell r="J287" t="e">
            <v>#N/A</v>
          </cell>
          <cell r="K287" t="e">
            <v>#N/A</v>
          </cell>
          <cell r="L287" t="e">
            <v>#N/A</v>
          </cell>
          <cell r="M287" t="e">
            <v>#N/A</v>
          </cell>
          <cell r="N287" t="e">
            <v>#N/A</v>
          </cell>
          <cell r="O287" t="e">
            <v>#N/A</v>
          </cell>
          <cell r="P287">
            <v>30.72</v>
          </cell>
          <cell r="Q287">
            <v>1.5964179999999999</v>
          </cell>
          <cell r="R287" t="e">
            <v>#N/A</v>
          </cell>
        </row>
        <row r="288">
          <cell r="A288">
            <v>39885</v>
          </cell>
          <cell r="B288">
            <v>39885</v>
          </cell>
          <cell r="C288" t="str">
            <v>Past</v>
          </cell>
          <cell r="D288">
            <v>30.39</v>
          </cell>
          <cell r="E288" t="e">
            <v>#N/A</v>
          </cell>
          <cell r="F288" t="e">
            <v>#N/A</v>
          </cell>
          <cell r="G288" t="e">
            <v>#N/A</v>
          </cell>
          <cell r="H288" t="e">
            <v>#N/A</v>
          </cell>
          <cell r="I288" t="e">
            <v>#N/A</v>
          </cell>
          <cell r="J288" t="e">
            <v>#N/A</v>
          </cell>
          <cell r="K288" t="e">
            <v>#N/A</v>
          </cell>
          <cell r="L288" t="e">
            <v>#N/A</v>
          </cell>
          <cell r="M288" t="e">
            <v>#N/A</v>
          </cell>
          <cell r="N288" t="e">
            <v>#N/A</v>
          </cell>
          <cell r="O288" t="e">
            <v>#N/A</v>
          </cell>
          <cell r="P288">
            <v>30.39</v>
          </cell>
          <cell r="Q288">
            <v>1.23434</v>
          </cell>
          <cell r="R288" t="e">
            <v>#N/A</v>
          </cell>
        </row>
        <row r="289">
          <cell r="A289">
            <v>39888</v>
          </cell>
          <cell r="B289">
            <v>39888</v>
          </cell>
          <cell r="C289" t="str">
            <v>Past</v>
          </cell>
          <cell r="D289">
            <v>31.06</v>
          </cell>
          <cell r="E289" t="e">
            <v>#N/A</v>
          </cell>
          <cell r="F289" t="e">
            <v>#N/A</v>
          </cell>
          <cell r="G289" t="e">
            <v>#N/A</v>
          </cell>
          <cell r="H289" t="e">
            <v>#N/A</v>
          </cell>
          <cell r="I289" t="e">
            <v>#N/A</v>
          </cell>
          <cell r="J289" t="e">
            <v>#N/A</v>
          </cell>
          <cell r="K289" t="e">
            <v>#N/A</v>
          </cell>
          <cell r="L289" t="e">
            <v>#N/A</v>
          </cell>
          <cell r="M289" t="e">
            <v>#N/A</v>
          </cell>
          <cell r="N289" t="e">
            <v>#N/A</v>
          </cell>
          <cell r="O289" t="e">
            <v>#N/A</v>
          </cell>
          <cell r="P289">
            <v>31.06</v>
          </cell>
          <cell r="Q289">
            <v>2.469805</v>
          </cell>
          <cell r="R289" t="e">
            <v>#N/A</v>
          </cell>
        </row>
        <row r="290">
          <cell r="A290">
            <v>39889</v>
          </cell>
          <cell r="B290">
            <v>39889</v>
          </cell>
          <cell r="C290" t="str">
            <v>Past</v>
          </cell>
          <cell r="D290">
            <v>31.79</v>
          </cell>
          <cell r="E290" t="e">
            <v>#N/A</v>
          </cell>
          <cell r="F290" t="e">
            <v>#N/A</v>
          </cell>
          <cell r="G290" t="e">
            <v>#N/A</v>
          </cell>
          <cell r="H290" t="e">
            <v>#N/A</v>
          </cell>
          <cell r="I290" t="e">
            <v>#N/A</v>
          </cell>
          <cell r="J290" t="e">
            <v>#N/A</v>
          </cell>
          <cell r="K290" t="e">
            <v>#N/A</v>
          </cell>
          <cell r="L290" t="e">
            <v>#N/A</v>
          </cell>
          <cell r="M290" t="e">
            <v>#N/A</v>
          </cell>
          <cell r="N290" t="e">
            <v>#N/A</v>
          </cell>
          <cell r="O290" t="e">
            <v>#N/A</v>
          </cell>
          <cell r="P290">
            <v>31.79</v>
          </cell>
          <cell r="Q290">
            <v>1.6148359999999999</v>
          </cell>
          <cell r="R290" t="e">
            <v>#N/A</v>
          </cell>
        </row>
        <row r="291">
          <cell r="A291">
            <v>39890</v>
          </cell>
          <cell r="B291">
            <v>39890</v>
          </cell>
          <cell r="C291" t="str">
            <v>Past</v>
          </cell>
          <cell r="D291">
            <v>32.72</v>
          </cell>
          <cell r="E291" t="e">
            <v>#N/A</v>
          </cell>
          <cell r="F291" t="e">
            <v>#N/A</v>
          </cell>
          <cell r="G291" t="e">
            <v>#N/A</v>
          </cell>
          <cell r="H291" t="e">
            <v>#N/A</v>
          </cell>
          <cell r="I291" t="e">
            <v>#N/A</v>
          </cell>
          <cell r="J291" t="e">
            <v>#N/A</v>
          </cell>
          <cell r="K291" t="e">
            <v>#N/A</v>
          </cell>
          <cell r="L291" t="e">
            <v>#N/A</v>
          </cell>
          <cell r="M291" t="e">
            <v>#N/A</v>
          </cell>
          <cell r="N291" t="e">
            <v>#N/A</v>
          </cell>
          <cell r="O291" t="e">
            <v>#N/A</v>
          </cell>
          <cell r="P291">
            <v>32.72</v>
          </cell>
          <cell r="Q291">
            <v>1.9616849999999999</v>
          </cell>
          <cell r="R291" t="e">
            <v>#N/A</v>
          </cell>
        </row>
        <row r="292">
          <cell r="A292">
            <v>39891</v>
          </cell>
          <cell r="B292">
            <v>39891</v>
          </cell>
          <cell r="C292" t="str">
            <v>Past</v>
          </cell>
          <cell r="D292">
            <v>31.96</v>
          </cell>
          <cell r="E292" t="e">
            <v>#N/A</v>
          </cell>
          <cell r="F292" t="e">
            <v>#N/A</v>
          </cell>
          <cell r="G292" t="e">
            <v>#N/A</v>
          </cell>
          <cell r="H292" t="e">
            <v>#N/A</v>
          </cell>
          <cell r="I292" t="e">
            <v>#N/A</v>
          </cell>
          <cell r="J292" t="e">
            <v>#N/A</v>
          </cell>
          <cell r="K292" t="e">
            <v>#N/A</v>
          </cell>
          <cell r="L292" t="e">
            <v>#N/A</v>
          </cell>
          <cell r="M292" t="e">
            <v>#N/A</v>
          </cell>
          <cell r="N292" t="e">
            <v>#N/A</v>
          </cell>
          <cell r="O292" t="e">
            <v>#N/A</v>
          </cell>
          <cell r="P292">
            <v>31.96</v>
          </cell>
          <cell r="Q292">
            <v>1.6182200000000002</v>
          </cell>
          <cell r="R292" t="e">
            <v>#N/A</v>
          </cell>
        </row>
        <row r="293">
          <cell r="A293">
            <v>39892</v>
          </cell>
          <cell r="B293">
            <v>39892</v>
          </cell>
          <cell r="C293" t="str">
            <v>Past</v>
          </cell>
          <cell r="D293">
            <v>31.41</v>
          </cell>
          <cell r="E293" t="e">
            <v>#N/A</v>
          </cell>
          <cell r="F293" t="e">
            <v>#N/A</v>
          </cell>
          <cell r="G293" t="e">
            <v>#N/A</v>
          </cell>
          <cell r="H293" t="e">
            <v>#N/A</v>
          </cell>
          <cell r="I293" t="e">
            <v>#N/A</v>
          </cell>
          <cell r="J293" t="e">
            <v>#N/A</v>
          </cell>
          <cell r="K293" t="e">
            <v>#N/A</v>
          </cell>
          <cell r="L293" t="e">
            <v>#N/A</v>
          </cell>
          <cell r="M293" t="e">
            <v>#N/A</v>
          </cell>
          <cell r="N293" t="e">
            <v>#N/A</v>
          </cell>
          <cell r="O293" t="e">
            <v>#N/A</v>
          </cell>
          <cell r="P293">
            <v>31.41</v>
          </cell>
          <cell r="Q293">
            <v>2.0985969999999998</v>
          </cell>
          <cell r="R293" t="e">
            <v>#N/A</v>
          </cell>
        </row>
        <row r="294">
          <cell r="A294">
            <v>39895</v>
          </cell>
          <cell r="B294">
            <v>39895</v>
          </cell>
          <cell r="C294" t="str">
            <v>Past</v>
          </cell>
          <cell r="D294">
            <v>33.28</v>
          </cell>
          <cell r="E294" t="e">
            <v>#N/A</v>
          </cell>
          <cell r="F294" t="e">
            <v>#N/A</v>
          </cell>
          <cell r="G294" t="e">
            <v>#N/A</v>
          </cell>
          <cell r="H294" t="e">
            <v>#N/A</v>
          </cell>
          <cell r="I294" t="e">
            <v>#N/A</v>
          </cell>
          <cell r="J294" t="e">
            <v>#N/A</v>
          </cell>
          <cell r="K294" t="e">
            <v>#N/A</v>
          </cell>
          <cell r="L294" t="e">
            <v>#N/A</v>
          </cell>
          <cell r="M294" t="e">
            <v>#N/A</v>
          </cell>
          <cell r="N294" t="e">
            <v>#N/A</v>
          </cell>
          <cell r="O294" t="e">
            <v>#N/A</v>
          </cell>
          <cell r="P294">
            <v>33.28</v>
          </cell>
          <cell r="Q294">
            <v>1.4488939999999999</v>
          </cell>
          <cell r="R294" t="e">
            <v>#N/A</v>
          </cell>
        </row>
        <row r="295">
          <cell r="A295">
            <v>39896</v>
          </cell>
          <cell r="B295">
            <v>39896</v>
          </cell>
          <cell r="C295" t="str">
            <v>Past</v>
          </cell>
          <cell r="D295">
            <v>33.119999999999997</v>
          </cell>
          <cell r="E295" t="e">
            <v>#N/A</v>
          </cell>
          <cell r="F295" t="e">
            <v>#N/A</v>
          </cell>
          <cell r="G295" t="e">
            <v>#N/A</v>
          </cell>
          <cell r="H295" t="e">
            <v>#N/A</v>
          </cell>
          <cell r="I295" t="e">
            <v>#N/A</v>
          </cell>
          <cell r="J295" t="e">
            <v>#N/A</v>
          </cell>
          <cell r="K295" t="e">
            <v>#N/A</v>
          </cell>
          <cell r="L295" t="e">
            <v>#N/A</v>
          </cell>
          <cell r="M295" t="e">
            <v>#N/A</v>
          </cell>
          <cell r="N295" t="e">
            <v>#N/A</v>
          </cell>
          <cell r="O295" t="e">
            <v>#N/A</v>
          </cell>
          <cell r="P295">
            <v>33.119999999999997</v>
          </cell>
          <cell r="Q295">
            <v>1.1372449999999998</v>
          </cell>
          <cell r="R295" t="e">
            <v>#N/A</v>
          </cell>
        </row>
        <row r="296">
          <cell r="A296">
            <v>39897</v>
          </cell>
          <cell r="B296">
            <v>39897</v>
          </cell>
          <cell r="C296" t="str">
            <v>Past</v>
          </cell>
          <cell r="D296">
            <v>33.69</v>
          </cell>
          <cell r="E296" t="e">
            <v>#N/A</v>
          </cell>
          <cell r="F296" t="e">
            <v>#N/A</v>
          </cell>
          <cell r="G296" t="e">
            <v>#N/A</v>
          </cell>
          <cell r="H296" t="e">
            <v>#N/A</v>
          </cell>
          <cell r="I296" t="e">
            <v>#N/A</v>
          </cell>
          <cell r="J296" t="e">
            <v>#N/A</v>
          </cell>
          <cell r="K296" t="e">
            <v>#N/A</v>
          </cell>
          <cell r="L296" t="e">
            <v>#N/A</v>
          </cell>
          <cell r="M296" t="e">
            <v>#N/A</v>
          </cell>
          <cell r="N296" t="e">
            <v>#N/A</v>
          </cell>
          <cell r="O296" t="e">
            <v>#N/A</v>
          </cell>
          <cell r="P296">
            <v>33.69</v>
          </cell>
          <cell r="Q296">
            <v>1.103453</v>
          </cell>
          <cell r="R296" t="e">
            <v>#N/A</v>
          </cell>
        </row>
        <row r="297">
          <cell r="A297">
            <v>39898</v>
          </cell>
          <cell r="B297">
            <v>39898</v>
          </cell>
          <cell r="C297" t="str">
            <v>Past</v>
          </cell>
          <cell r="D297">
            <v>35.049999999999997</v>
          </cell>
          <cell r="E297" t="e">
            <v>#N/A</v>
          </cell>
          <cell r="F297" t="e">
            <v>#N/A</v>
          </cell>
          <cell r="G297" t="e">
            <v>#N/A</v>
          </cell>
          <cell r="H297" t="e">
            <v>#N/A</v>
          </cell>
          <cell r="I297" t="e">
            <v>#N/A</v>
          </cell>
          <cell r="J297" t="e">
            <v>#N/A</v>
          </cell>
          <cell r="K297" t="e">
            <v>#N/A</v>
          </cell>
          <cell r="L297" t="e">
            <v>#N/A</v>
          </cell>
          <cell r="M297" t="e">
            <v>#N/A</v>
          </cell>
          <cell r="N297" t="e">
            <v>#N/A</v>
          </cell>
          <cell r="O297" t="e">
            <v>#N/A</v>
          </cell>
          <cell r="P297">
            <v>35.049999999999997</v>
          </cell>
          <cell r="Q297">
            <v>1.1910049999999999</v>
          </cell>
          <cell r="R297" t="e">
            <v>#N/A</v>
          </cell>
        </row>
        <row r="298">
          <cell r="A298">
            <v>39899</v>
          </cell>
          <cell r="B298">
            <v>39899</v>
          </cell>
          <cell r="C298" t="str">
            <v>Past</v>
          </cell>
          <cell r="D298">
            <v>33.96</v>
          </cell>
          <cell r="E298" t="e">
            <v>#N/A</v>
          </cell>
          <cell r="F298" t="e">
            <v>#N/A</v>
          </cell>
          <cell r="G298" t="e">
            <v>#N/A</v>
          </cell>
          <cell r="H298" t="e">
            <v>#N/A</v>
          </cell>
          <cell r="I298" t="e">
            <v>#N/A</v>
          </cell>
          <cell r="J298" t="e">
            <v>#N/A</v>
          </cell>
          <cell r="K298" t="e">
            <v>#N/A</v>
          </cell>
          <cell r="L298" t="e">
            <v>#N/A</v>
          </cell>
          <cell r="M298" t="e">
            <v>#N/A</v>
          </cell>
          <cell r="N298" t="e">
            <v>#N/A</v>
          </cell>
          <cell r="O298" t="e">
            <v>#N/A</v>
          </cell>
          <cell r="P298">
            <v>33.96</v>
          </cell>
          <cell r="Q298">
            <v>1.0635029999999999</v>
          </cell>
          <cell r="R298" t="e">
            <v>#N/A</v>
          </cell>
        </row>
        <row r="299">
          <cell r="A299">
            <v>39902</v>
          </cell>
          <cell r="B299">
            <v>39902</v>
          </cell>
          <cell r="C299" t="str">
            <v>Past</v>
          </cell>
          <cell r="D299">
            <v>32.409999999999997</v>
          </cell>
          <cell r="E299" t="e">
            <v>#N/A</v>
          </cell>
          <cell r="F299" t="e">
            <v>#N/A</v>
          </cell>
          <cell r="G299" t="e">
            <v>#N/A</v>
          </cell>
          <cell r="H299" t="e">
            <v>#N/A</v>
          </cell>
          <cell r="I299" t="e">
            <v>#N/A</v>
          </cell>
          <cell r="J299" t="e">
            <v>#N/A</v>
          </cell>
          <cell r="K299" t="e">
            <v>#N/A</v>
          </cell>
          <cell r="L299" t="e">
            <v>#N/A</v>
          </cell>
          <cell r="M299" t="e">
            <v>#N/A</v>
          </cell>
          <cell r="N299" t="e">
            <v>#N/A</v>
          </cell>
          <cell r="O299" t="e">
            <v>#N/A</v>
          </cell>
          <cell r="P299">
            <v>32.409999999999997</v>
          </cell>
          <cell r="Q299">
            <v>1.3020419999999999</v>
          </cell>
          <cell r="R299" t="e">
            <v>#N/A</v>
          </cell>
        </row>
        <row r="300">
          <cell r="A300">
            <v>39903</v>
          </cell>
          <cell r="B300">
            <v>39903</v>
          </cell>
          <cell r="C300" t="str">
            <v>Past</v>
          </cell>
          <cell r="D300">
            <v>32.64</v>
          </cell>
          <cell r="E300" t="e">
            <v>#N/A</v>
          </cell>
          <cell r="F300" t="e">
            <v>#N/A</v>
          </cell>
          <cell r="G300" t="e">
            <v>#N/A</v>
          </cell>
          <cell r="H300" t="e">
            <v>#N/A</v>
          </cell>
          <cell r="I300" t="e">
            <v>#N/A</v>
          </cell>
          <cell r="J300" t="e">
            <v>#N/A</v>
          </cell>
          <cell r="K300" t="e">
            <v>#N/A</v>
          </cell>
          <cell r="L300" t="e">
            <v>#N/A</v>
          </cell>
          <cell r="M300" t="e">
            <v>#N/A</v>
          </cell>
          <cell r="N300" t="e">
            <v>#N/A</v>
          </cell>
          <cell r="O300" t="e">
            <v>#N/A</v>
          </cell>
          <cell r="P300">
            <v>32.64</v>
          </cell>
          <cell r="Q300">
            <v>1.0424640000000001</v>
          </cell>
          <cell r="R300" t="e">
            <v>#N/A</v>
          </cell>
        </row>
        <row r="301">
          <cell r="A301">
            <v>39904</v>
          </cell>
          <cell r="B301">
            <v>39904</v>
          </cell>
          <cell r="C301" t="str">
            <v>Past</v>
          </cell>
          <cell r="D301">
            <v>33.049999999999997</v>
          </cell>
          <cell r="E301" t="e">
            <v>#N/A</v>
          </cell>
          <cell r="F301" t="e">
            <v>#N/A</v>
          </cell>
          <cell r="G301" t="e">
            <v>#N/A</v>
          </cell>
          <cell r="H301" t="e">
            <v>#N/A</v>
          </cell>
          <cell r="I301" t="e">
            <v>#N/A</v>
          </cell>
          <cell r="J301" t="e">
            <v>#N/A</v>
          </cell>
          <cell r="K301" t="e">
            <v>#N/A</v>
          </cell>
          <cell r="L301" t="e">
            <v>#N/A</v>
          </cell>
          <cell r="M301" t="e">
            <v>#N/A</v>
          </cell>
          <cell r="N301" t="e">
            <v>#N/A</v>
          </cell>
          <cell r="O301" t="e">
            <v>#N/A</v>
          </cell>
          <cell r="P301">
            <v>33.049999999999997</v>
          </cell>
          <cell r="Q301">
            <v>0.68434799999999996</v>
          </cell>
          <cell r="R301" t="e">
            <v>#N/A</v>
          </cell>
        </row>
        <row r="302">
          <cell r="A302">
            <v>39905</v>
          </cell>
          <cell r="B302">
            <v>39905</v>
          </cell>
          <cell r="C302" t="str">
            <v>Past</v>
          </cell>
          <cell r="D302">
            <v>34.46</v>
          </cell>
          <cell r="E302" t="e">
            <v>#N/A</v>
          </cell>
          <cell r="F302" t="e">
            <v>#N/A</v>
          </cell>
          <cell r="G302" t="e">
            <v>#N/A</v>
          </cell>
          <cell r="H302" t="e">
            <v>#N/A</v>
          </cell>
          <cell r="I302" t="e">
            <v>#N/A</v>
          </cell>
          <cell r="J302" t="e">
            <v>#N/A</v>
          </cell>
          <cell r="K302" t="e">
            <v>#N/A</v>
          </cell>
          <cell r="L302" t="e">
            <v>#N/A</v>
          </cell>
          <cell r="M302" t="e">
            <v>#N/A</v>
          </cell>
          <cell r="N302" t="e">
            <v>#N/A</v>
          </cell>
          <cell r="O302" t="e">
            <v>#N/A</v>
          </cell>
          <cell r="P302">
            <v>34.46</v>
          </cell>
          <cell r="Q302">
            <v>1.1556789999999999</v>
          </cell>
          <cell r="R302" t="e">
            <v>#N/A</v>
          </cell>
        </row>
        <row r="303">
          <cell r="A303">
            <v>39906</v>
          </cell>
          <cell r="B303">
            <v>39906</v>
          </cell>
          <cell r="C303" t="str">
            <v>Past</v>
          </cell>
          <cell r="D303">
            <v>33.630000000000003</v>
          </cell>
          <cell r="E303" t="e">
            <v>#N/A</v>
          </cell>
          <cell r="F303" t="e">
            <v>#N/A</v>
          </cell>
          <cell r="G303" t="e">
            <v>#N/A</v>
          </cell>
          <cell r="H303" t="e">
            <v>#N/A</v>
          </cell>
          <cell r="I303" t="e">
            <v>#N/A</v>
          </cell>
          <cell r="J303" t="e">
            <v>#N/A</v>
          </cell>
          <cell r="K303" t="e">
            <v>#N/A</v>
          </cell>
          <cell r="L303" t="e">
            <v>#N/A</v>
          </cell>
          <cell r="M303" t="e">
            <v>#N/A</v>
          </cell>
          <cell r="N303" t="e">
            <v>#N/A</v>
          </cell>
          <cell r="O303" t="e">
            <v>#N/A</v>
          </cell>
          <cell r="P303">
            <v>33.630000000000003</v>
          </cell>
          <cell r="Q303">
            <v>1.321304</v>
          </cell>
          <cell r="R303" t="e">
            <v>#N/A</v>
          </cell>
        </row>
        <row r="304">
          <cell r="A304">
            <v>39909</v>
          </cell>
          <cell r="B304">
            <v>39909</v>
          </cell>
          <cell r="C304" t="str">
            <v>Past</v>
          </cell>
          <cell r="D304">
            <v>34.14</v>
          </cell>
          <cell r="E304" t="e">
            <v>#N/A</v>
          </cell>
          <cell r="F304" t="e">
            <v>#N/A</v>
          </cell>
          <cell r="G304" t="e">
            <v>#N/A</v>
          </cell>
          <cell r="H304" t="e">
            <v>#N/A</v>
          </cell>
          <cell r="I304" t="e">
            <v>#N/A</v>
          </cell>
          <cell r="J304" t="e">
            <v>#N/A</v>
          </cell>
          <cell r="K304" t="e">
            <v>#N/A</v>
          </cell>
          <cell r="L304" t="e">
            <v>#N/A</v>
          </cell>
          <cell r="M304" t="e">
            <v>#N/A</v>
          </cell>
          <cell r="N304" t="e">
            <v>#N/A</v>
          </cell>
          <cell r="O304" t="e">
            <v>#N/A</v>
          </cell>
          <cell r="P304">
            <v>34.14</v>
          </cell>
          <cell r="Q304">
            <v>1.3123769999999999</v>
          </cell>
          <cell r="R304" t="e">
            <v>#N/A</v>
          </cell>
        </row>
        <row r="305">
          <cell r="A305">
            <v>39910</v>
          </cell>
          <cell r="B305">
            <v>39910</v>
          </cell>
          <cell r="C305" t="str">
            <v>Past</v>
          </cell>
          <cell r="D305">
            <v>33.39</v>
          </cell>
          <cell r="E305" t="e">
            <v>#N/A</v>
          </cell>
          <cell r="F305" t="e">
            <v>#N/A</v>
          </cell>
          <cell r="G305" t="e">
            <v>#N/A</v>
          </cell>
          <cell r="H305" t="e">
            <v>#N/A</v>
          </cell>
          <cell r="I305" t="e">
            <v>#N/A</v>
          </cell>
          <cell r="J305" t="e">
            <v>#N/A</v>
          </cell>
          <cell r="K305" t="e">
            <v>#N/A</v>
          </cell>
          <cell r="L305" t="e">
            <v>#N/A</v>
          </cell>
          <cell r="M305" t="e">
            <v>#N/A</v>
          </cell>
          <cell r="N305" t="e">
            <v>#N/A</v>
          </cell>
          <cell r="O305" t="e">
            <v>#N/A</v>
          </cell>
          <cell r="P305">
            <v>33.39</v>
          </cell>
          <cell r="Q305">
            <v>1.3610609999999999</v>
          </cell>
          <cell r="R305" t="e">
            <v>#N/A</v>
          </cell>
        </row>
        <row r="306">
          <cell r="A306">
            <v>39911</v>
          </cell>
          <cell r="B306">
            <v>39911</v>
          </cell>
          <cell r="C306" t="str">
            <v>Past</v>
          </cell>
          <cell r="D306">
            <v>33.72</v>
          </cell>
          <cell r="E306" t="e">
            <v>#N/A</v>
          </cell>
          <cell r="F306" t="e">
            <v>#N/A</v>
          </cell>
          <cell r="G306" t="e">
            <v>#N/A</v>
          </cell>
          <cell r="H306" t="e">
            <v>#N/A</v>
          </cell>
          <cell r="I306" t="e">
            <v>#N/A</v>
          </cell>
          <cell r="J306" t="e">
            <v>#N/A</v>
          </cell>
          <cell r="K306" t="e">
            <v>#N/A</v>
          </cell>
          <cell r="L306" t="e">
            <v>#N/A</v>
          </cell>
          <cell r="M306" t="e">
            <v>#N/A</v>
          </cell>
          <cell r="N306" t="e">
            <v>#N/A</v>
          </cell>
          <cell r="O306" t="e">
            <v>#N/A</v>
          </cell>
          <cell r="P306">
            <v>33.72</v>
          </cell>
          <cell r="Q306">
            <v>0.8842000000000001</v>
          </cell>
          <cell r="R306" t="e">
            <v>#N/A</v>
          </cell>
        </row>
        <row r="307">
          <cell r="A307">
            <v>39912</v>
          </cell>
          <cell r="B307">
            <v>39912</v>
          </cell>
          <cell r="C307" t="str">
            <v>Past</v>
          </cell>
          <cell r="D307">
            <v>35.159999999999997</v>
          </cell>
          <cell r="E307" t="e">
            <v>#N/A</v>
          </cell>
          <cell r="F307" t="e">
            <v>#N/A</v>
          </cell>
          <cell r="G307" t="e">
            <v>#N/A</v>
          </cell>
          <cell r="H307" t="e">
            <v>#N/A</v>
          </cell>
          <cell r="I307" t="e">
            <v>#N/A</v>
          </cell>
          <cell r="J307" t="e">
            <v>#N/A</v>
          </cell>
          <cell r="K307" t="e">
            <v>#N/A</v>
          </cell>
          <cell r="L307" t="e">
            <v>#N/A</v>
          </cell>
          <cell r="M307" t="e">
            <v>#N/A</v>
          </cell>
          <cell r="N307" t="e">
            <v>#N/A</v>
          </cell>
          <cell r="O307" t="e">
            <v>#N/A</v>
          </cell>
          <cell r="P307">
            <v>35.159999999999997</v>
          </cell>
          <cell r="Q307">
            <v>1.1407659999999999</v>
          </cell>
          <cell r="R307" t="e">
            <v>#N/A</v>
          </cell>
        </row>
        <row r="308">
          <cell r="A308">
            <v>39916</v>
          </cell>
          <cell r="B308">
            <v>39916</v>
          </cell>
          <cell r="C308" t="str">
            <v>Past</v>
          </cell>
          <cell r="D308">
            <v>34.15</v>
          </cell>
          <cell r="E308" t="e">
            <v>#N/A</v>
          </cell>
          <cell r="F308" t="e">
            <v>#N/A</v>
          </cell>
          <cell r="G308" t="e">
            <v>#N/A</v>
          </cell>
          <cell r="H308" t="e">
            <v>#N/A</v>
          </cell>
          <cell r="I308" t="e">
            <v>#N/A</v>
          </cell>
          <cell r="J308" t="e">
            <v>#N/A</v>
          </cell>
          <cell r="K308" t="e">
            <v>#N/A</v>
          </cell>
          <cell r="L308" t="e">
            <v>#N/A</v>
          </cell>
          <cell r="M308" t="e">
            <v>#N/A</v>
          </cell>
          <cell r="N308" t="e">
            <v>#N/A</v>
          </cell>
          <cell r="O308" t="e">
            <v>#N/A</v>
          </cell>
          <cell r="P308">
            <v>34.15</v>
          </cell>
          <cell r="Q308">
            <v>1.8393459999999999</v>
          </cell>
          <cell r="R308" t="e">
            <v>#N/A</v>
          </cell>
        </row>
        <row r="309">
          <cell r="A309">
            <v>39917</v>
          </cell>
          <cell r="B309">
            <v>39917</v>
          </cell>
          <cell r="C309" t="str">
            <v>Past</v>
          </cell>
          <cell r="D309">
            <v>34</v>
          </cell>
          <cell r="E309" t="e">
            <v>#N/A</v>
          </cell>
          <cell r="F309" t="e">
            <v>#N/A</v>
          </cell>
          <cell r="G309" t="e">
            <v>#N/A</v>
          </cell>
          <cell r="H309" t="e">
            <v>#N/A</v>
          </cell>
          <cell r="I309" t="e">
            <v>#N/A</v>
          </cell>
          <cell r="J309" t="e">
            <v>#N/A</v>
          </cell>
          <cell r="K309" t="e">
            <v>#N/A</v>
          </cell>
          <cell r="L309" t="e">
            <v>#N/A</v>
          </cell>
          <cell r="M309" t="e">
            <v>#N/A</v>
          </cell>
          <cell r="N309" t="e">
            <v>#N/A</v>
          </cell>
          <cell r="O309" t="e">
            <v>#N/A</v>
          </cell>
          <cell r="P309">
            <v>34</v>
          </cell>
          <cell r="Q309">
            <v>1.405413</v>
          </cell>
          <cell r="R309" t="e">
            <v>#N/A</v>
          </cell>
        </row>
        <row r="310">
          <cell r="A310">
            <v>39918</v>
          </cell>
          <cell r="B310">
            <v>39918</v>
          </cell>
          <cell r="C310" t="str">
            <v>Past</v>
          </cell>
          <cell r="D310">
            <v>34.26</v>
          </cell>
          <cell r="E310" t="e">
            <v>#N/A</v>
          </cell>
          <cell r="F310" t="e">
            <v>#N/A</v>
          </cell>
          <cell r="G310" t="e">
            <v>#N/A</v>
          </cell>
          <cell r="H310" t="e">
            <v>#N/A</v>
          </cell>
          <cell r="I310" t="e">
            <v>#N/A</v>
          </cell>
          <cell r="J310" t="e">
            <v>#N/A</v>
          </cell>
          <cell r="K310" t="e">
            <v>#N/A</v>
          </cell>
          <cell r="L310" t="e">
            <v>#N/A</v>
          </cell>
          <cell r="M310" t="e">
            <v>#N/A</v>
          </cell>
          <cell r="N310" t="e">
            <v>#N/A</v>
          </cell>
          <cell r="O310" t="e">
            <v>#N/A</v>
          </cell>
          <cell r="P310">
            <v>34.26</v>
          </cell>
          <cell r="Q310">
            <v>1.5141179999999999</v>
          </cell>
          <cell r="R310" t="e">
            <v>#N/A</v>
          </cell>
        </row>
        <row r="311">
          <cell r="A311">
            <v>39919</v>
          </cell>
          <cell r="B311">
            <v>39919</v>
          </cell>
          <cell r="C311" t="str">
            <v>Past</v>
          </cell>
          <cell r="D311">
            <v>35.76</v>
          </cell>
          <cell r="E311" t="e">
            <v>#N/A</v>
          </cell>
          <cell r="F311" t="e">
            <v>#N/A</v>
          </cell>
          <cell r="G311" t="e">
            <v>#N/A</v>
          </cell>
          <cell r="H311" t="e">
            <v>#N/A</v>
          </cell>
          <cell r="I311" t="e">
            <v>#N/A</v>
          </cell>
          <cell r="J311" t="e">
            <v>#N/A</v>
          </cell>
          <cell r="K311" t="e">
            <v>#N/A</v>
          </cell>
          <cell r="L311" t="e">
            <v>#N/A</v>
          </cell>
          <cell r="M311" t="e">
            <v>#N/A</v>
          </cell>
          <cell r="N311" t="e">
            <v>#N/A</v>
          </cell>
          <cell r="O311" t="e">
            <v>#N/A</v>
          </cell>
          <cell r="P311">
            <v>35.76</v>
          </cell>
          <cell r="Q311">
            <v>1.5302479999999998</v>
          </cell>
          <cell r="R311" t="e">
            <v>#N/A</v>
          </cell>
        </row>
        <row r="312">
          <cell r="A312">
            <v>39920</v>
          </cell>
          <cell r="B312">
            <v>39920</v>
          </cell>
          <cell r="C312" t="str">
            <v>Past</v>
          </cell>
          <cell r="D312">
            <v>36.44</v>
          </cell>
          <cell r="E312" t="e">
            <v>#N/A</v>
          </cell>
          <cell r="F312" t="e">
            <v>#N/A</v>
          </cell>
          <cell r="G312" t="e">
            <v>#N/A</v>
          </cell>
          <cell r="H312" t="e">
            <v>#N/A</v>
          </cell>
          <cell r="I312" t="e">
            <v>#N/A</v>
          </cell>
          <cell r="J312" t="e">
            <v>#N/A</v>
          </cell>
          <cell r="K312" t="e">
            <v>#N/A</v>
          </cell>
          <cell r="L312" t="e">
            <v>#N/A</v>
          </cell>
          <cell r="M312" t="e">
            <v>#N/A</v>
          </cell>
          <cell r="N312" t="e">
            <v>#N/A</v>
          </cell>
          <cell r="O312" t="e">
            <v>#N/A</v>
          </cell>
          <cell r="P312">
            <v>36.44</v>
          </cell>
          <cell r="Q312">
            <v>2.4616400000000001</v>
          </cell>
          <cell r="R312" t="e">
            <v>#N/A</v>
          </cell>
        </row>
        <row r="313">
          <cell r="A313">
            <v>39923</v>
          </cell>
          <cell r="B313">
            <v>39923</v>
          </cell>
          <cell r="C313" t="str">
            <v>Past</v>
          </cell>
          <cell r="D313">
            <v>35.549999999999997</v>
          </cell>
          <cell r="E313" t="e">
            <v>#N/A</v>
          </cell>
          <cell r="F313" t="e">
            <v>#N/A</v>
          </cell>
          <cell r="G313" t="e">
            <v>#N/A</v>
          </cell>
          <cell r="H313" t="e">
            <v>#N/A</v>
          </cell>
          <cell r="I313" t="e">
            <v>#N/A</v>
          </cell>
          <cell r="J313" t="e">
            <v>#N/A</v>
          </cell>
          <cell r="K313" t="e">
            <v>#N/A</v>
          </cell>
          <cell r="L313" t="e">
            <v>#N/A</v>
          </cell>
          <cell r="M313" t="e">
            <v>#N/A</v>
          </cell>
          <cell r="N313" t="e">
            <v>#N/A</v>
          </cell>
          <cell r="O313" t="e">
            <v>#N/A</v>
          </cell>
          <cell r="P313">
            <v>35.549999999999997</v>
          </cell>
          <cell r="Q313">
            <v>1.6513719999999998</v>
          </cell>
          <cell r="R313" t="e">
            <v>#N/A</v>
          </cell>
        </row>
        <row r="314">
          <cell r="A314">
            <v>39924</v>
          </cell>
          <cell r="B314">
            <v>39924</v>
          </cell>
          <cell r="C314" t="str">
            <v>Past</v>
          </cell>
          <cell r="D314">
            <v>36.11</v>
          </cell>
          <cell r="E314" t="e">
            <v>#N/A</v>
          </cell>
          <cell r="F314" t="e">
            <v>#N/A</v>
          </cell>
          <cell r="G314" t="e">
            <v>#N/A</v>
          </cell>
          <cell r="H314" t="e">
            <v>#N/A</v>
          </cell>
          <cell r="I314" t="e">
            <v>#N/A</v>
          </cell>
          <cell r="J314" t="e">
            <v>#N/A</v>
          </cell>
          <cell r="K314" t="e">
            <v>#N/A</v>
          </cell>
          <cell r="L314" t="e">
            <v>#N/A</v>
          </cell>
          <cell r="M314" t="e">
            <v>#N/A</v>
          </cell>
          <cell r="N314" t="e">
            <v>#N/A</v>
          </cell>
          <cell r="O314" t="e">
            <v>#N/A</v>
          </cell>
          <cell r="P314">
            <v>36.11</v>
          </cell>
          <cell r="Q314">
            <v>1.690744</v>
          </cell>
          <cell r="R314" t="e">
            <v>#N/A</v>
          </cell>
        </row>
        <row r="315">
          <cell r="A315">
            <v>39925</v>
          </cell>
          <cell r="B315">
            <v>39925</v>
          </cell>
          <cell r="C315" t="str">
            <v>Past</v>
          </cell>
          <cell r="D315">
            <v>36.200000000000003</v>
          </cell>
          <cell r="E315" t="e">
            <v>#N/A</v>
          </cell>
          <cell r="F315" t="e">
            <v>#N/A</v>
          </cell>
          <cell r="G315" t="e">
            <v>#N/A</v>
          </cell>
          <cell r="H315" t="e">
            <v>#N/A</v>
          </cell>
          <cell r="I315" t="e">
            <v>#N/A</v>
          </cell>
          <cell r="J315" t="e">
            <v>#N/A</v>
          </cell>
          <cell r="K315" t="e">
            <v>#N/A</v>
          </cell>
          <cell r="L315" t="e">
            <v>#N/A</v>
          </cell>
          <cell r="M315" t="e">
            <v>#N/A</v>
          </cell>
          <cell r="N315" t="e">
            <v>#N/A</v>
          </cell>
          <cell r="O315" t="e">
            <v>#N/A</v>
          </cell>
          <cell r="P315">
            <v>36.200000000000003</v>
          </cell>
          <cell r="Q315">
            <v>2.058144</v>
          </cell>
          <cell r="R315" t="e">
            <v>#N/A</v>
          </cell>
        </row>
        <row r="316">
          <cell r="A316">
            <v>39926</v>
          </cell>
          <cell r="B316">
            <v>39926</v>
          </cell>
          <cell r="C316" t="str">
            <v>Past</v>
          </cell>
          <cell r="D316">
            <v>36.69</v>
          </cell>
          <cell r="E316" t="e">
            <v>#N/A</v>
          </cell>
          <cell r="F316" t="e">
            <v>#N/A</v>
          </cell>
          <cell r="G316" t="e">
            <v>#N/A</v>
          </cell>
          <cell r="H316" t="e">
            <v>#N/A</v>
          </cell>
          <cell r="I316" t="e">
            <v>#N/A</v>
          </cell>
          <cell r="J316" t="e">
            <v>#N/A</v>
          </cell>
          <cell r="K316" t="e">
            <v>#N/A</v>
          </cell>
          <cell r="L316" t="e">
            <v>#N/A</v>
          </cell>
          <cell r="M316" t="e">
            <v>#N/A</v>
          </cell>
          <cell r="N316" t="e">
            <v>#N/A</v>
          </cell>
          <cell r="O316" t="e">
            <v>#N/A</v>
          </cell>
          <cell r="P316">
            <v>36.69</v>
          </cell>
          <cell r="Q316">
            <v>2.1060140000000001</v>
          </cell>
          <cell r="R316" t="e">
            <v>#N/A</v>
          </cell>
        </row>
        <row r="317">
          <cell r="A317">
            <v>39927</v>
          </cell>
          <cell r="B317">
            <v>39927</v>
          </cell>
          <cell r="C317" t="str">
            <v>Past</v>
          </cell>
          <cell r="D317">
            <v>36.54</v>
          </cell>
          <cell r="E317" t="e">
            <v>#N/A</v>
          </cell>
          <cell r="F317" t="e">
            <v>#N/A</v>
          </cell>
          <cell r="G317" t="e">
            <v>#N/A</v>
          </cell>
          <cell r="H317" t="e">
            <v>#N/A</v>
          </cell>
          <cell r="I317" t="e">
            <v>#N/A</v>
          </cell>
          <cell r="J317" t="e">
            <v>#N/A</v>
          </cell>
          <cell r="K317" t="e">
            <v>#N/A</v>
          </cell>
          <cell r="L317" t="e">
            <v>#N/A</v>
          </cell>
          <cell r="M317" t="e">
            <v>#N/A</v>
          </cell>
          <cell r="N317" t="e">
            <v>#N/A</v>
          </cell>
          <cell r="O317" t="e">
            <v>#N/A</v>
          </cell>
          <cell r="P317">
            <v>36.54</v>
          </cell>
          <cell r="Q317">
            <v>2.521862</v>
          </cell>
          <cell r="R317" t="e">
            <v>#N/A</v>
          </cell>
        </row>
        <row r="318">
          <cell r="A318">
            <v>39930</v>
          </cell>
          <cell r="B318">
            <v>39930</v>
          </cell>
          <cell r="C318" t="str">
            <v>Past</v>
          </cell>
          <cell r="D318">
            <v>37.26</v>
          </cell>
          <cell r="E318" t="e">
            <v>#N/A</v>
          </cell>
          <cell r="F318" t="e">
            <v>#N/A</v>
          </cell>
          <cell r="G318" t="e">
            <v>#N/A</v>
          </cell>
          <cell r="H318" t="e">
            <v>#N/A</v>
          </cell>
          <cell r="I318" t="e">
            <v>#N/A</v>
          </cell>
          <cell r="J318" t="e">
            <v>#N/A</v>
          </cell>
          <cell r="K318" t="e">
            <v>#N/A</v>
          </cell>
          <cell r="L318" t="e">
            <v>#N/A</v>
          </cell>
          <cell r="M318" t="e">
            <v>#N/A</v>
          </cell>
          <cell r="N318" t="e">
            <v>#N/A</v>
          </cell>
          <cell r="O318" t="e">
            <v>#N/A</v>
          </cell>
          <cell r="P318">
            <v>37.26</v>
          </cell>
          <cell r="Q318">
            <v>1.7961969999999998</v>
          </cell>
          <cell r="R318" t="e">
            <v>#N/A</v>
          </cell>
        </row>
        <row r="319">
          <cell r="A319">
            <v>39931</v>
          </cell>
          <cell r="B319">
            <v>39931</v>
          </cell>
          <cell r="C319" t="str">
            <v>Past</v>
          </cell>
          <cell r="D319">
            <v>37.299999999999997</v>
          </cell>
          <cell r="E319" t="e">
            <v>#N/A</v>
          </cell>
          <cell r="F319" t="e">
            <v>#N/A</v>
          </cell>
          <cell r="G319" t="e">
            <v>#N/A</v>
          </cell>
          <cell r="H319" t="e">
            <v>#N/A</v>
          </cell>
          <cell r="I319" t="e">
            <v>#N/A</v>
          </cell>
          <cell r="J319" t="e">
            <v>#N/A</v>
          </cell>
          <cell r="K319" t="e">
            <v>#N/A</v>
          </cell>
          <cell r="L319" t="e">
            <v>#N/A</v>
          </cell>
          <cell r="M319" t="e">
            <v>#N/A</v>
          </cell>
          <cell r="N319" t="e">
            <v>#N/A</v>
          </cell>
          <cell r="O319" t="e">
            <v>#N/A</v>
          </cell>
          <cell r="P319">
            <v>37.299999999999997</v>
          </cell>
          <cell r="Q319">
            <v>2.2748569999999999</v>
          </cell>
          <cell r="R319" t="e">
            <v>#N/A</v>
          </cell>
        </row>
        <row r="320">
          <cell r="A320">
            <v>39932</v>
          </cell>
          <cell r="B320">
            <v>39932</v>
          </cell>
          <cell r="C320" t="str">
            <v>Past</v>
          </cell>
          <cell r="D320">
            <v>38.880000000000003</v>
          </cell>
          <cell r="E320" t="e">
            <v>#N/A</v>
          </cell>
          <cell r="F320" t="e">
            <v>#N/A</v>
          </cell>
          <cell r="G320" t="e">
            <v>#N/A</v>
          </cell>
          <cell r="H320" t="e">
            <v>#N/A</v>
          </cell>
          <cell r="I320" t="e">
            <v>#N/A</v>
          </cell>
          <cell r="J320" t="e">
            <v>#N/A</v>
          </cell>
          <cell r="K320" t="e">
            <v>#N/A</v>
          </cell>
          <cell r="L320" t="e">
            <v>#N/A</v>
          </cell>
          <cell r="M320" t="e">
            <v>#N/A</v>
          </cell>
          <cell r="N320" t="e">
            <v>#N/A</v>
          </cell>
          <cell r="O320" t="e">
            <v>#N/A</v>
          </cell>
          <cell r="P320">
            <v>38.880000000000003</v>
          </cell>
          <cell r="Q320">
            <v>1.2563600000000001</v>
          </cell>
          <cell r="R320" t="e">
            <v>#N/A</v>
          </cell>
        </row>
        <row r="321">
          <cell r="A321">
            <v>39933</v>
          </cell>
          <cell r="B321">
            <v>39933</v>
          </cell>
          <cell r="C321" t="str">
            <v>Past</v>
          </cell>
          <cell r="D321">
            <v>38.35</v>
          </cell>
          <cell r="E321" t="e">
            <v>#N/A</v>
          </cell>
          <cell r="F321" t="e">
            <v>#N/A</v>
          </cell>
          <cell r="G321" t="e">
            <v>#N/A</v>
          </cell>
          <cell r="H321" t="e">
            <v>#N/A</v>
          </cell>
          <cell r="I321" t="e">
            <v>#N/A</v>
          </cell>
          <cell r="J321" t="e">
            <v>#N/A</v>
          </cell>
          <cell r="K321" t="e">
            <v>#N/A</v>
          </cell>
          <cell r="L321" t="e">
            <v>#N/A</v>
          </cell>
          <cell r="M321" t="e">
            <v>#N/A</v>
          </cell>
          <cell r="N321" t="e">
            <v>#N/A</v>
          </cell>
          <cell r="O321" t="e">
            <v>#N/A</v>
          </cell>
          <cell r="P321">
            <v>38.35</v>
          </cell>
          <cell r="Q321">
            <v>1.4778179999999999</v>
          </cell>
          <cell r="R321" t="e">
            <v>#N/A</v>
          </cell>
        </row>
        <row r="322">
          <cell r="A322">
            <v>39934</v>
          </cell>
          <cell r="B322">
            <v>39934</v>
          </cell>
          <cell r="C322" t="str">
            <v>Past</v>
          </cell>
          <cell r="D322">
            <v>38.33</v>
          </cell>
          <cell r="E322" t="e">
            <v>#N/A</v>
          </cell>
          <cell r="F322" t="e">
            <v>#N/A</v>
          </cell>
          <cell r="G322" t="e">
            <v>#N/A</v>
          </cell>
          <cell r="H322" t="e">
            <v>#N/A</v>
          </cell>
          <cell r="I322" t="e">
            <v>#N/A</v>
          </cell>
          <cell r="J322" t="e">
            <v>#N/A</v>
          </cell>
          <cell r="K322" t="e">
            <v>#N/A</v>
          </cell>
          <cell r="L322" t="e">
            <v>#N/A</v>
          </cell>
          <cell r="M322" t="e">
            <v>#N/A</v>
          </cell>
          <cell r="N322" t="e">
            <v>#N/A</v>
          </cell>
          <cell r="O322" t="e">
            <v>#N/A</v>
          </cell>
          <cell r="P322">
            <v>38.33</v>
          </cell>
          <cell r="Q322">
            <v>1.0110779999999999</v>
          </cell>
          <cell r="R322" t="e">
            <v>#N/A</v>
          </cell>
        </row>
        <row r="323">
          <cell r="A323">
            <v>39937</v>
          </cell>
          <cell r="B323">
            <v>39937</v>
          </cell>
          <cell r="C323" t="str">
            <v>Past</v>
          </cell>
          <cell r="D323">
            <v>38.26</v>
          </cell>
          <cell r="E323" t="e">
            <v>#N/A</v>
          </cell>
          <cell r="F323" t="e">
            <v>#N/A</v>
          </cell>
          <cell r="G323" t="e">
            <v>#N/A</v>
          </cell>
          <cell r="H323" t="e">
            <v>#N/A</v>
          </cell>
          <cell r="I323" t="e">
            <v>#N/A</v>
          </cell>
          <cell r="J323" t="e">
            <v>#N/A</v>
          </cell>
          <cell r="K323" t="e">
            <v>#N/A</v>
          </cell>
          <cell r="L323" t="e">
            <v>#N/A</v>
          </cell>
          <cell r="M323" t="e">
            <v>#N/A</v>
          </cell>
          <cell r="N323" t="e">
            <v>#N/A</v>
          </cell>
          <cell r="O323" t="e">
            <v>#N/A</v>
          </cell>
          <cell r="P323">
            <v>38.26</v>
          </cell>
          <cell r="Q323">
            <v>1.5605389999999999</v>
          </cell>
          <cell r="R323" t="e">
            <v>#N/A</v>
          </cell>
        </row>
        <row r="324">
          <cell r="A324">
            <v>39938</v>
          </cell>
          <cell r="B324">
            <v>39938</v>
          </cell>
          <cell r="C324" t="str">
            <v>Past</v>
          </cell>
          <cell r="D324">
            <v>38.619999999999997</v>
          </cell>
          <cell r="E324" t="e">
            <v>#N/A</v>
          </cell>
          <cell r="F324" t="e">
            <v>#N/A</v>
          </cell>
          <cell r="G324" t="e">
            <v>#N/A</v>
          </cell>
          <cell r="H324" t="e">
            <v>#N/A</v>
          </cell>
          <cell r="I324" t="e">
            <v>#N/A</v>
          </cell>
          <cell r="J324" t="e">
            <v>#N/A</v>
          </cell>
          <cell r="K324" t="e">
            <v>#N/A</v>
          </cell>
          <cell r="L324" t="e">
            <v>#N/A</v>
          </cell>
          <cell r="M324" t="e">
            <v>#N/A</v>
          </cell>
          <cell r="N324" t="e">
            <v>#N/A</v>
          </cell>
          <cell r="O324" t="e">
            <v>#N/A</v>
          </cell>
          <cell r="P324">
            <v>38.619999999999997</v>
          </cell>
          <cell r="Q324">
            <v>1.1764219999999999</v>
          </cell>
          <cell r="R324" t="e">
            <v>#N/A</v>
          </cell>
        </row>
        <row r="325">
          <cell r="A325">
            <v>39939</v>
          </cell>
          <cell r="B325">
            <v>39939</v>
          </cell>
          <cell r="C325" t="str">
            <v>Past</v>
          </cell>
          <cell r="D325">
            <v>38.78</v>
          </cell>
          <cell r="E325" t="e">
            <v>#N/A</v>
          </cell>
          <cell r="F325" t="e">
            <v>#N/A</v>
          </cell>
          <cell r="G325" t="e">
            <v>#N/A</v>
          </cell>
          <cell r="H325" t="e">
            <v>#N/A</v>
          </cell>
          <cell r="I325" t="e">
            <v>#N/A</v>
          </cell>
          <cell r="J325" t="e">
            <v>#N/A</v>
          </cell>
          <cell r="K325" t="e">
            <v>#N/A</v>
          </cell>
          <cell r="L325" t="e">
            <v>#N/A</v>
          </cell>
          <cell r="M325" t="e">
            <v>#N/A</v>
          </cell>
          <cell r="N325" t="e">
            <v>#N/A</v>
          </cell>
          <cell r="O325" t="e">
            <v>#N/A</v>
          </cell>
          <cell r="P325">
            <v>38.78</v>
          </cell>
          <cell r="Q325">
            <v>1.124679</v>
          </cell>
          <cell r="R325" t="e">
            <v>#N/A</v>
          </cell>
        </row>
        <row r="326">
          <cell r="A326">
            <v>39940</v>
          </cell>
          <cell r="B326">
            <v>39940</v>
          </cell>
          <cell r="C326" t="str">
            <v>Past</v>
          </cell>
          <cell r="D326">
            <v>37.950000000000003</v>
          </cell>
          <cell r="E326" t="e">
            <v>#N/A</v>
          </cell>
          <cell r="F326" t="e">
            <v>#N/A</v>
          </cell>
          <cell r="G326" t="e">
            <v>#N/A</v>
          </cell>
          <cell r="H326" t="e">
            <v>#N/A</v>
          </cell>
          <cell r="I326" t="e">
            <v>#N/A</v>
          </cell>
          <cell r="J326" t="e">
            <v>#N/A</v>
          </cell>
          <cell r="K326" t="e">
            <v>#N/A</v>
          </cell>
          <cell r="L326" t="e">
            <v>#N/A</v>
          </cell>
          <cell r="M326" t="e">
            <v>#N/A</v>
          </cell>
          <cell r="N326" t="e">
            <v>#N/A</v>
          </cell>
          <cell r="O326" t="e">
            <v>#N/A</v>
          </cell>
          <cell r="P326">
            <v>37.950000000000003</v>
          </cell>
          <cell r="Q326">
            <v>1.402852</v>
          </cell>
          <cell r="R326" t="e">
            <v>#N/A</v>
          </cell>
        </row>
        <row r="327">
          <cell r="A327">
            <v>39941</v>
          </cell>
          <cell r="B327">
            <v>39941</v>
          </cell>
          <cell r="C327" t="str">
            <v>Past</v>
          </cell>
          <cell r="D327">
            <v>39.93</v>
          </cell>
          <cell r="E327" t="e">
            <v>#N/A</v>
          </cell>
          <cell r="F327" t="e">
            <v>#N/A</v>
          </cell>
          <cell r="G327" t="e">
            <v>#N/A</v>
          </cell>
          <cell r="H327" t="e">
            <v>#N/A</v>
          </cell>
          <cell r="I327" t="e">
            <v>#N/A</v>
          </cell>
          <cell r="J327" t="e">
            <v>#N/A</v>
          </cell>
          <cell r="K327" t="e">
            <v>#N/A</v>
          </cell>
          <cell r="L327" t="e">
            <v>#N/A</v>
          </cell>
          <cell r="M327" t="e">
            <v>#N/A</v>
          </cell>
          <cell r="N327" t="e">
            <v>#N/A</v>
          </cell>
          <cell r="O327" t="e">
            <v>#N/A</v>
          </cell>
          <cell r="P327">
            <v>39.93</v>
          </cell>
          <cell r="Q327">
            <v>1.6159059999999998</v>
          </cell>
          <cell r="R327" t="e">
            <v>#N/A</v>
          </cell>
        </row>
        <row r="328">
          <cell r="A328">
            <v>39944</v>
          </cell>
          <cell r="B328">
            <v>39944</v>
          </cell>
          <cell r="C328" t="str">
            <v>Past</v>
          </cell>
          <cell r="D328">
            <v>38.9</v>
          </cell>
          <cell r="E328" t="e">
            <v>#N/A</v>
          </cell>
          <cell r="F328" t="e">
            <v>#N/A</v>
          </cell>
          <cell r="G328" t="e">
            <v>#N/A</v>
          </cell>
          <cell r="H328" t="e">
            <v>#N/A</v>
          </cell>
          <cell r="I328" t="e">
            <v>#N/A</v>
          </cell>
          <cell r="J328" t="e">
            <v>#N/A</v>
          </cell>
          <cell r="K328" t="e">
            <v>#N/A</v>
          </cell>
          <cell r="L328" t="e">
            <v>#N/A</v>
          </cell>
          <cell r="M328" t="e">
            <v>#N/A</v>
          </cell>
          <cell r="N328" t="e">
            <v>#N/A</v>
          </cell>
          <cell r="O328" t="e">
            <v>#N/A</v>
          </cell>
          <cell r="P328">
            <v>38.9</v>
          </cell>
          <cell r="Q328">
            <v>0.92390399999999995</v>
          </cell>
          <cell r="R328" t="e">
            <v>#N/A</v>
          </cell>
        </row>
        <row r="329">
          <cell r="A329">
            <v>39945</v>
          </cell>
          <cell r="B329">
            <v>39945</v>
          </cell>
          <cell r="C329" t="str">
            <v>Past</v>
          </cell>
          <cell r="D329">
            <v>38.630000000000003</v>
          </cell>
          <cell r="E329" t="e">
            <v>#N/A</v>
          </cell>
          <cell r="F329" t="e">
            <v>#N/A</v>
          </cell>
          <cell r="G329" t="e">
            <v>#N/A</v>
          </cell>
          <cell r="H329" t="e">
            <v>#N/A</v>
          </cell>
          <cell r="I329" t="e">
            <v>#N/A</v>
          </cell>
          <cell r="J329" t="e">
            <v>#N/A</v>
          </cell>
          <cell r="K329" t="e">
            <v>#N/A</v>
          </cell>
          <cell r="L329" t="e">
            <v>#N/A</v>
          </cell>
          <cell r="M329" t="e">
            <v>#N/A</v>
          </cell>
          <cell r="N329" t="e">
            <v>#N/A</v>
          </cell>
          <cell r="O329" t="e">
            <v>#N/A</v>
          </cell>
          <cell r="P329">
            <v>38.630000000000003</v>
          </cell>
          <cell r="Q329">
            <v>0.8756600000000001</v>
          </cell>
          <cell r="R329" t="e">
            <v>#N/A</v>
          </cell>
        </row>
        <row r="330">
          <cell r="A330">
            <v>39946</v>
          </cell>
          <cell r="B330">
            <v>39946</v>
          </cell>
          <cell r="C330" t="str">
            <v>Past</v>
          </cell>
          <cell r="D330">
            <v>37.590000000000003</v>
          </cell>
          <cell r="E330" t="e">
            <v>#N/A</v>
          </cell>
          <cell r="F330" t="e">
            <v>#N/A</v>
          </cell>
          <cell r="G330" t="e">
            <v>#N/A</v>
          </cell>
          <cell r="H330" t="e">
            <v>#N/A</v>
          </cell>
          <cell r="I330" t="e">
            <v>#N/A</v>
          </cell>
          <cell r="J330" t="e">
            <v>#N/A</v>
          </cell>
          <cell r="K330" t="e">
            <v>#N/A</v>
          </cell>
          <cell r="L330" t="e">
            <v>#N/A</v>
          </cell>
          <cell r="M330" t="e">
            <v>#N/A</v>
          </cell>
          <cell r="N330" t="e">
            <v>#N/A</v>
          </cell>
          <cell r="O330" t="e">
            <v>#N/A</v>
          </cell>
          <cell r="P330">
            <v>37.590000000000003</v>
          </cell>
          <cell r="Q330">
            <v>0.73119000000000001</v>
          </cell>
          <cell r="R330" t="e">
            <v>#N/A</v>
          </cell>
        </row>
        <row r="331">
          <cell r="A331">
            <v>39947</v>
          </cell>
          <cell r="B331">
            <v>39947</v>
          </cell>
          <cell r="C331" t="str">
            <v>Past</v>
          </cell>
          <cell r="D331">
            <v>37.58</v>
          </cell>
          <cell r="E331" t="e">
            <v>#N/A</v>
          </cell>
          <cell r="F331" t="e">
            <v>#N/A</v>
          </cell>
          <cell r="G331" t="e">
            <v>#N/A</v>
          </cell>
          <cell r="H331" t="e">
            <v>#N/A</v>
          </cell>
          <cell r="I331" t="e">
            <v>#N/A</v>
          </cell>
          <cell r="J331" t="e">
            <v>#N/A</v>
          </cell>
          <cell r="K331" t="e">
            <v>#N/A</v>
          </cell>
          <cell r="L331" t="e">
            <v>#N/A</v>
          </cell>
          <cell r="M331" t="e">
            <v>#N/A</v>
          </cell>
          <cell r="N331" t="e">
            <v>#N/A</v>
          </cell>
          <cell r="O331" t="e">
            <v>#N/A</v>
          </cell>
          <cell r="P331">
            <v>37.58</v>
          </cell>
          <cell r="Q331">
            <v>1.111156</v>
          </cell>
          <cell r="R331" t="e">
            <v>#N/A</v>
          </cell>
        </row>
        <row r="332">
          <cell r="A332">
            <v>39948</v>
          </cell>
          <cell r="B332">
            <v>39948</v>
          </cell>
          <cell r="C332" t="str">
            <v>Past</v>
          </cell>
          <cell r="D332">
            <v>38.22</v>
          </cell>
          <cell r="E332" t="e">
            <v>#N/A</v>
          </cell>
          <cell r="F332" t="e">
            <v>#N/A</v>
          </cell>
          <cell r="G332" t="e">
            <v>#N/A</v>
          </cell>
          <cell r="H332" t="e">
            <v>#N/A</v>
          </cell>
          <cell r="I332" t="e">
            <v>#N/A</v>
          </cell>
          <cell r="J332" t="e">
            <v>#N/A</v>
          </cell>
          <cell r="K332" t="e">
            <v>#N/A</v>
          </cell>
          <cell r="L332" t="e">
            <v>#N/A</v>
          </cell>
          <cell r="M332" t="e">
            <v>#N/A</v>
          </cell>
          <cell r="N332" t="e">
            <v>#N/A</v>
          </cell>
          <cell r="O332" t="e">
            <v>#N/A</v>
          </cell>
          <cell r="P332">
            <v>38.22</v>
          </cell>
          <cell r="Q332">
            <v>1.6577000000000002</v>
          </cell>
          <cell r="R332" t="e">
            <v>#N/A</v>
          </cell>
        </row>
        <row r="333">
          <cell r="A333">
            <v>39951</v>
          </cell>
          <cell r="B333">
            <v>39951</v>
          </cell>
          <cell r="C333" t="str">
            <v>Past</v>
          </cell>
          <cell r="D333">
            <v>40.1</v>
          </cell>
          <cell r="E333" t="e">
            <v>#N/A</v>
          </cell>
          <cell r="F333" t="e">
            <v>#N/A</v>
          </cell>
          <cell r="G333" t="e">
            <v>#N/A</v>
          </cell>
          <cell r="H333" t="e">
            <v>#N/A</v>
          </cell>
          <cell r="I333" t="e">
            <v>#N/A</v>
          </cell>
          <cell r="J333" t="e">
            <v>#N/A</v>
          </cell>
          <cell r="K333" t="e">
            <v>#N/A</v>
          </cell>
          <cell r="L333" t="e">
            <v>#N/A</v>
          </cell>
          <cell r="M333" t="e">
            <v>#N/A</v>
          </cell>
          <cell r="N333" t="e">
            <v>#N/A</v>
          </cell>
          <cell r="O333" t="e">
            <v>#N/A</v>
          </cell>
          <cell r="P333">
            <v>40.1</v>
          </cell>
          <cell r="Q333">
            <v>1.5387000000000002</v>
          </cell>
          <cell r="R333" t="e">
            <v>#N/A</v>
          </cell>
        </row>
        <row r="334">
          <cell r="A334">
            <v>39952</v>
          </cell>
          <cell r="B334">
            <v>39952</v>
          </cell>
          <cell r="C334" t="str">
            <v>Past</v>
          </cell>
          <cell r="D334">
            <v>40.83</v>
          </cell>
          <cell r="E334" t="e">
            <v>#N/A</v>
          </cell>
          <cell r="F334" t="e">
            <v>#N/A</v>
          </cell>
          <cell r="G334" t="e">
            <v>#N/A</v>
          </cell>
          <cell r="H334" t="e">
            <v>#N/A</v>
          </cell>
          <cell r="I334" t="e">
            <v>#N/A</v>
          </cell>
          <cell r="J334" t="e">
            <v>#N/A</v>
          </cell>
          <cell r="K334" t="e">
            <v>#N/A</v>
          </cell>
          <cell r="L334" t="e">
            <v>#N/A</v>
          </cell>
          <cell r="M334" t="e">
            <v>#N/A</v>
          </cell>
          <cell r="N334" t="e">
            <v>#N/A</v>
          </cell>
          <cell r="O334" t="e">
            <v>#N/A</v>
          </cell>
          <cell r="P334">
            <v>40.83</v>
          </cell>
          <cell r="Q334">
            <v>1.719884</v>
          </cell>
          <cell r="R334" t="e">
            <v>#N/A</v>
          </cell>
        </row>
        <row r="335">
          <cell r="A335">
            <v>39953</v>
          </cell>
          <cell r="B335">
            <v>39953</v>
          </cell>
          <cell r="C335" t="str">
            <v>Past</v>
          </cell>
          <cell r="D335">
            <v>40.79</v>
          </cell>
          <cell r="E335" t="e">
            <v>#N/A</v>
          </cell>
          <cell r="F335" t="e">
            <v>#N/A</v>
          </cell>
          <cell r="G335" t="e">
            <v>#N/A</v>
          </cell>
          <cell r="H335" t="e">
            <v>#N/A</v>
          </cell>
          <cell r="I335" t="e">
            <v>#N/A</v>
          </cell>
          <cell r="J335" t="e">
            <v>#N/A</v>
          </cell>
          <cell r="K335" t="e">
            <v>#N/A</v>
          </cell>
          <cell r="L335" t="e">
            <v>#N/A</v>
          </cell>
          <cell r="M335" t="e">
            <v>#N/A</v>
          </cell>
          <cell r="N335" t="e">
            <v>#N/A</v>
          </cell>
          <cell r="O335" t="e">
            <v>#N/A</v>
          </cell>
          <cell r="P335">
            <v>40.79</v>
          </cell>
          <cell r="Q335">
            <v>1.304443</v>
          </cell>
          <cell r="R335" t="e">
            <v>#N/A</v>
          </cell>
        </row>
        <row r="336">
          <cell r="A336">
            <v>39954</v>
          </cell>
          <cell r="B336">
            <v>39954</v>
          </cell>
          <cell r="C336" t="str">
            <v>Past</v>
          </cell>
          <cell r="D336">
            <v>39.78</v>
          </cell>
          <cell r="E336" t="e">
            <v>#N/A</v>
          </cell>
          <cell r="F336" t="e">
            <v>#N/A</v>
          </cell>
          <cell r="G336" t="e">
            <v>#N/A</v>
          </cell>
          <cell r="H336" t="e">
            <v>#N/A</v>
          </cell>
          <cell r="I336" t="e">
            <v>#N/A</v>
          </cell>
          <cell r="J336" t="e">
            <v>#N/A</v>
          </cell>
          <cell r="K336" t="e">
            <v>#N/A</v>
          </cell>
          <cell r="L336" t="e">
            <v>#N/A</v>
          </cell>
          <cell r="M336" t="e">
            <v>#N/A</v>
          </cell>
          <cell r="N336" t="e">
            <v>#N/A</v>
          </cell>
          <cell r="O336" t="e">
            <v>#N/A</v>
          </cell>
          <cell r="P336">
            <v>39.78</v>
          </cell>
          <cell r="Q336">
            <v>0.92161000000000004</v>
          </cell>
          <cell r="R336" t="e">
            <v>#N/A</v>
          </cell>
        </row>
        <row r="337">
          <cell r="A337">
            <v>39955</v>
          </cell>
          <cell r="B337">
            <v>39955</v>
          </cell>
          <cell r="C337" t="str">
            <v>Past</v>
          </cell>
          <cell r="D337">
            <v>40.42</v>
          </cell>
          <cell r="E337" t="e">
            <v>#N/A</v>
          </cell>
          <cell r="F337" t="e">
            <v>#N/A</v>
          </cell>
          <cell r="G337" t="e">
            <v>#N/A</v>
          </cell>
          <cell r="H337" t="e">
            <v>#N/A</v>
          </cell>
          <cell r="I337" t="e">
            <v>#N/A</v>
          </cell>
          <cell r="J337" t="e">
            <v>#N/A</v>
          </cell>
          <cell r="K337" t="e">
            <v>#N/A</v>
          </cell>
          <cell r="L337" t="e">
            <v>#N/A</v>
          </cell>
          <cell r="M337" t="e">
            <v>#N/A</v>
          </cell>
          <cell r="N337" t="e">
            <v>#N/A</v>
          </cell>
          <cell r="O337" t="e">
            <v>#N/A</v>
          </cell>
          <cell r="P337">
            <v>40.42</v>
          </cell>
          <cell r="Q337">
            <v>1.098255</v>
          </cell>
          <cell r="R337" t="e">
            <v>#N/A</v>
          </cell>
        </row>
        <row r="338">
          <cell r="A338">
            <v>39959</v>
          </cell>
          <cell r="B338">
            <v>39959</v>
          </cell>
          <cell r="C338" t="str">
            <v>Past</v>
          </cell>
          <cell r="D338">
            <v>41.57</v>
          </cell>
          <cell r="E338" t="e">
            <v>#N/A</v>
          </cell>
          <cell r="F338" t="e">
            <v>#N/A</v>
          </cell>
          <cell r="G338" t="e">
            <v>#N/A</v>
          </cell>
          <cell r="H338" t="e">
            <v>#N/A</v>
          </cell>
          <cell r="I338" t="e">
            <v>#N/A</v>
          </cell>
          <cell r="J338" t="e">
            <v>#N/A</v>
          </cell>
          <cell r="K338" t="e">
            <v>#N/A</v>
          </cell>
          <cell r="L338" t="e">
            <v>#N/A</v>
          </cell>
          <cell r="M338" t="e">
            <v>#N/A</v>
          </cell>
          <cell r="N338" t="e">
            <v>#N/A</v>
          </cell>
          <cell r="O338" t="e">
            <v>#N/A</v>
          </cell>
          <cell r="P338">
            <v>41.57</v>
          </cell>
          <cell r="Q338">
            <v>0.89943799999999996</v>
          </cell>
          <cell r="R338" t="e">
            <v>#N/A</v>
          </cell>
        </row>
        <row r="339">
          <cell r="A339">
            <v>39960</v>
          </cell>
          <cell r="B339">
            <v>39960</v>
          </cell>
          <cell r="C339" t="str">
            <v>Past</v>
          </cell>
          <cell r="D339">
            <v>41.36</v>
          </cell>
          <cell r="E339" t="e">
            <v>#N/A</v>
          </cell>
          <cell r="F339" t="e">
            <v>#N/A</v>
          </cell>
          <cell r="G339" t="e">
            <v>#N/A</v>
          </cell>
          <cell r="H339" t="e">
            <v>#N/A</v>
          </cell>
          <cell r="I339" t="e">
            <v>#N/A</v>
          </cell>
          <cell r="J339" t="e">
            <v>#N/A</v>
          </cell>
          <cell r="K339" t="e">
            <v>#N/A</v>
          </cell>
          <cell r="L339" t="e">
            <v>#N/A</v>
          </cell>
          <cell r="M339" t="e">
            <v>#N/A</v>
          </cell>
          <cell r="N339" t="e">
            <v>#N/A</v>
          </cell>
          <cell r="O339" t="e">
            <v>#N/A</v>
          </cell>
          <cell r="P339">
            <v>41.36</v>
          </cell>
          <cell r="Q339">
            <v>1.173627</v>
          </cell>
          <cell r="R339" t="e">
            <v>#N/A</v>
          </cell>
        </row>
        <row r="340">
          <cell r="A340">
            <v>39961</v>
          </cell>
          <cell r="B340">
            <v>39961</v>
          </cell>
          <cell r="C340" t="str">
            <v>Past</v>
          </cell>
          <cell r="D340">
            <v>42.33</v>
          </cell>
          <cell r="E340" t="e">
            <v>#N/A</v>
          </cell>
          <cell r="F340" t="e">
            <v>#N/A</v>
          </cell>
          <cell r="G340" t="e">
            <v>#N/A</v>
          </cell>
          <cell r="H340" t="e">
            <v>#N/A</v>
          </cell>
          <cell r="I340" t="e">
            <v>#N/A</v>
          </cell>
          <cell r="J340" t="e">
            <v>#N/A</v>
          </cell>
          <cell r="K340" t="e">
            <v>#N/A</v>
          </cell>
          <cell r="L340" t="e">
            <v>#N/A</v>
          </cell>
          <cell r="M340" t="e">
            <v>#N/A</v>
          </cell>
          <cell r="N340" t="e">
            <v>#N/A</v>
          </cell>
          <cell r="O340" t="e">
            <v>#N/A</v>
          </cell>
          <cell r="P340">
            <v>42.33</v>
          </cell>
          <cell r="Q340">
            <v>1.292362</v>
          </cell>
          <cell r="R340" t="e">
            <v>#N/A</v>
          </cell>
        </row>
        <row r="341">
          <cell r="A341">
            <v>39962</v>
          </cell>
          <cell r="B341">
            <v>39962</v>
          </cell>
          <cell r="C341" t="str">
            <v>Past</v>
          </cell>
          <cell r="D341">
            <v>42.42</v>
          </cell>
          <cell r="E341" t="e">
            <v>#N/A</v>
          </cell>
          <cell r="F341" t="e">
            <v>#N/A</v>
          </cell>
          <cell r="G341" t="e">
            <v>#N/A</v>
          </cell>
          <cell r="H341" t="e">
            <v>#N/A</v>
          </cell>
          <cell r="I341" t="e">
            <v>#N/A</v>
          </cell>
          <cell r="J341" t="e">
            <v>#N/A</v>
          </cell>
          <cell r="K341" t="e">
            <v>#N/A</v>
          </cell>
          <cell r="L341" t="e">
            <v>#N/A</v>
          </cell>
          <cell r="M341" t="e">
            <v>#N/A</v>
          </cell>
          <cell r="N341" t="e">
            <v>#N/A</v>
          </cell>
          <cell r="O341" t="e">
            <v>#N/A</v>
          </cell>
          <cell r="P341">
            <v>42.42</v>
          </cell>
          <cell r="Q341">
            <v>1.1732819999999999</v>
          </cell>
          <cell r="R341" t="e">
            <v>#N/A</v>
          </cell>
        </row>
        <row r="342">
          <cell r="A342">
            <v>39965</v>
          </cell>
          <cell r="B342">
            <v>39965</v>
          </cell>
          <cell r="C342" t="str">
            <v>Past</v>
          </cell>
          <cell r="D342">
            <v>44.98</v>
          </cell>
          <cell r="E342" t="e">
            <v>#N/A</v>
          </cell>
          <cell r="F342" t="e">
            <v>#N/A</v>
          </cell>
          <cell r="G342" t="e">
            <v>#N/A</v>
          </cell>
          <cell r="H342" t="e">
            <v>#N/A</v>
          </cell>
          <cell r="I342" t="e">
            <v>#N/A</v>
          </cell>
          <cell r="J342" t="e">
            <v>#N/A</v>
          </cell>
          <cell r="K342" t="e">
            <v>#N/A</v>
          </cell>
          <cell r="L342" t="e">
            <v>#N/A</v>
          </cell>
          <cell r="M342" t="e">
            <v>#N/A</v>
          </cell>
          <cell r="N342" t="e">
            <v>#N/A</v>
          </cell>
          <cell r="O342" t="e">
            <v>#N/A</v>
          </cell>
          <cell r="P342">
            <v>44.98</v>
          </cell>
          <cell r="Q342">
            <v>1.5959100000000002</v>
          </cell>
          <cell r="R342" t="e">
            <v>#N/A</v>
          </cell>
        </row>
        <row r="343">
          <cell r="A343">
            <v>39966</v>
          </cell>
          <cell r="B343">
            <v>39966</v>
          </cell>
          <cell r="C343" t="str">
            <v>Past</v>
          </cell>
          <cell r="D343">
            <v>46.28</v>
          </cell>
          <cell r="E343" t="e">
            <v>#N/A</v>
          </cell>
          <cell r="F343" t="e">
            <v>#N/A</v>
          </cell>
          <cell r="G343" t="e">
            <v>#N/A</v>
          </cell>
          <cell r="H343" t="e">
            <v>#N/A</v>
          </cell>
          <cell r="I343" t="e">
            <v>#N/A</v>
          </cell>
          <cell r="J343" t="e">
            <v>#N/A</v>
          </cell>
          <cell r="K343" t="e">
            <v>#N/A</v>
          </cell>
          <cell r="L343" t="e">
            <v>#N/A</v>
          </cell>
          <cell r="M343" t="e">
            <v>#N/A</v>
          </cell>
          <cell r="N343" t="e">
            <v>#N/A</v>
          </cell>
          <cell r="O343" t="e">
            <v>#N/A</v>
          </cell>
          <cell r="P343">
            <v>46.28</v>
          </cell>
          <cell r="Q343">
            <v>1.9716179999999999</v>
          </cell>
          <cell r="R343" t="e">
            <v>#N/A</v>
          </cell>
        </row>
        <row r="344">
          <cell r="A344">
            <v>39967</v>
          </cell>
          <cell r="B344">
            <v>39967</v>
          </cell>
          <cell r="C344" t="str">
            <v>Past</v>
          </cell>
          <cell r="D344">
            <v>45.55</v>
          </cell>
          <cell r="E344" t="e">
            <v>#N/A</v>
          </cell>
          <cell r="F344" t="e">
            <v>#N/A</v>
          </cell>
          <cell r="G344" t="e">
            <v>#N/A</v>
          </cell>
          <cell r="H344" t="e">
            <v>#N/A</v>
          </cell>
          <cell r="I344" t="e">
            <v>#N/A</v>
          </cell>
          <cell r="J344" t="e">
            <v>#N/A</v>
          </cell>
          <cell r="K344" t="e">
            <v>#N/A</v>
          </cell>
          <cell r="L344" t="e">
            <v>#N/A</v>
          </cell>
          <cell r="M344" t="e">
            <v>#N/A</v>
          </cell>
          <cell r="N344" t="e">
            <v>#N/A</v>
          </cell>
          <cell r="O344" t="e">
            <v>#N/A</v>
          </cell>
          <cell r="P344">
            <v>45.55</v>
          </cell>
          <cell r="Q344">
            <v>1.652676</v>
          </cell>
          <cell r="R344" t="e">
            <v>#N/A</v>
          </cell>
        </row>
        <row r="345">
          <cell r="A345">
            <v>39968</v>
          </cell>
          <cell r="B345">
            <v>39968</v>
          </cell>
          <cell r="C345" t="str">
            <v>Past</v>
          </cell>
          <cell r="D345">
            <v>47.69</v>
          </cell>
          <cell r="E345" t="e">
            <v>#N/A</v>
          </cell>
          <cell r="F345" t="e">
            <v>#N/A</v>
          </cell>
          <cell r="G345" t="e">
            <v>#N/A</v>
          </cell>
          <cell r="H345" t="e">
            <v>#N/A</v>
          </cell>
          <cell r="I345" t="e">
            <v>#N/A</v>
          </cell>
          <cell r="J345" t="e">
            <v>#N/A</v>
          </cell>
          <cell r="K345" t="e">
            <v>#N/A</v>
          </cell>
          <cell r="L345" t="e">
            <v>#N/A</v>
          </cell>
          <cell r="M345" t="e">
            <v>#N/A</v>
          </cell>
          <cell r="N345" t="e">
            <v>#N/A</v>
          </cell>
          <cell r="O345" t="e">
            <v>#N/A</v>
          </cell>
          <cell r="P345">
            <v>47.69</v>
          </cell>
          <cell r="Q345">
            <v>2.692161</v>
          </cell>
          <cell r="R345" t="e">
            <v>#N/A</v>
          </cell>
        </row>
        <row r="346">
          <cell r="A346">
            <v>39969</v>
          </cell>
          <cell r="B346">
            <v>39969</v>
          </cell>
          <cell r="C346" t="str">
            <v>Past</v>
          </cell>
          <cell r="D346">
            <v>48.08</v>
          </cell>
          <cell r="E346" t="e">
            <v>#N/A</v>
          </cell>
          <cell r="F346" t="e">
            <v>#N/A</v>
          </cell>
          <cell r="G346" t="e">
            <v>#N/A</v>
          </cell>
          <cell r="H346" t="e">
            <v>#N/A</v>
          </cell>
          <cell r="I346" t="e">
            <v>#N/A</v>
          </cell>
          <cell r="J346" t="e">
            <v>#N/A</v>
          </cell>
          <cell r="K346" t="e">
            <v>#N/A</v>
          </cell>
          <cell r="L346" t="e">
            <v>#N/A</v>
          </cell>
          <cell r="M346" t="e">
            <v>#N/A</v>
          </cell>
          <cell r="N346" t="e">
            <v>#N/A</v>
          </cell>
          <cell r="O346" t="e">
            <v>#N/A</v>
          </cell>
          <cell r="P346">
            <v>48.08</v>
          </cell>
          <cell r="Q346">
            <v>1.7954300000000001</v>
          </cell>
          <cell r="R346" t="e">
            <v>#N/A</v>
          </cell>
        </row>
        <row r="347">
          <cell r="A347">
            <v>39972</v>
          </cell>
          <cell r="B347">
            <v>39972</v>
          </cell>
          <cell r="C347" t="str">
            <v>Past</v>
          </cell>
          <cell r="D347">
            <v>46.45</v>
          </cell>
          <cell r="E347" t="e">
            <v>#N/A</v>
          </cell>
          <cell r="F347" t="e">
            <v>#N/A</v>
          </cell>
          <cell r="G347" t="e">
            <v>#N/A</v>
          </cell>
          <cell r="H347" t="e">
            <v>#N/A</v>
          </cell>
          <cell r="I347" t="e">
            <v>#N/A</v>
          </cell>
          <cell r="J347" t="e">
            <v>#N/A</v>
          </cell>
          <cell r="K347" t="e">
            <v>#N/A</v>
          </cell>
          <cell r="L347" t="e">
            <v>#N/A</v>
          </cell>
          <cell r="M347" t="e">
            <v>#N/A</v>
          </cell>
          <cell r="N347" t="e">
            <v>#N/A</v>
          </cell>
          <cell r="O347" t="e">
            <v>#N/A</v>
          </cell>
          <cell r="P347">
            <v>46.45</v>
          </cell>
          <cell r="Q347">
            <v>2.6454109999999997</v>
          </cell>
          <cell r="R347" t="e">
            <v>#N/A</v>
          </cell>
        </row>
        <row r="348">
          <cell r="A348">
            <v>39973</v>
          </cell>
          <cell r="B348">
            <v>39973</v>
          </cell>
          <cell r="C348" t="str">
            <v>Past</v>
          </cell>
          <cell r="D348">
            <v>45.94</v>
          </cell>
          <cell r="E348" t="e">
            <v>#N/A</v>
          </cell>
          <cell r="F348" t="e">
            <v>#N/A</v>
          </cell>
          <cell r="G348" t="e">
            <v>#N/A</v>
          </cell>
          <cell r="H348" t="e">
            <v>#N/A</v>
          </cell>
          <cell r="I348" t="e">
            <v>#N/A</v>
          </cell>
          <cell r="J348" t="e">
            <v>#N/A</v>
          </cell>
          <cell r="K348" t="e">
            <v>#N/A</v>
          </cell>
          <cell r="L348" t="e">
            <v>#N/A</v>
          </cell>
          <cell r="M348" t="e">
            <v>#N/A</v>
          </cell>
          <cell r="N348" t="e">
            <v>#N/A</v>
          </cell>
          <cell r="O348" t="e">
            <v>#N/A</v>
          </cell>
          <cell r="P348">
            <v>45.94</v>
          </cell>
          <cell r="Q348">
            <v>1.8177559999999999</v>
          </cell>
          <cell r="R348" t="e">
            <v>#N/A</v>
          </cell>
        </row>
        <row r="349">
          <cell r="A349">
            <v>39974</v>
          </cell>
          <cell r="B349">
            <v>39974</v>
          </cell>
          <cell r="C349" t="str">
            <v>Past</v>
          </cell>
          <cell r="D349">
            <v>45.56</v>
          </cell>
          <cell r="E349" t="e">
            <v>#N/A</v>
          </cell>
          <cell r="F349" t="e">
            <v>#N/A</v>
          </cell>
          <cell r="G349" t="e">
            <v>#N/A</v>
          </cell>
          <cell r="H349" t="e">
            <v>#N/A</v>
          </cell>
          <cell r="I349" t="e">
            <v>#N/A</v>
          </cell>
          <cell r="J349" t="e">
            <v>#N/A</v>
          </cell>
          <cell r="K349" t="e">
            <v>#N/A</v>
          </cell>
          <cell r="L349" t="e">
            <v>#N/A</v>
          </cell>
          <cell r="M349" t="e">
            <v>#N/A</v>
          </cell>
          <cell r="N349" t="e">
            <v>#N/A</v>
          </cell>
          <cell r="O349" t="e">
            <v>#N/A</v>
          </cell>
          <cell r="P349">
            <v>45.56</v>
          </cell>
          <cell r="Q349">
            <v>1.5304300000000002</v>
          </cell>
          <cell r="R349" t="e">
            <v>#N/A</v>
          </cell>
        </row>
        <row r="350">
          <cell r="A350">
            <v>39975</v>
          </cell>
          <cell r="B350">
            <v>39975</v>
          </cell>
          <cell r="C350" t="str">
            <v>Past</v>
          </cell>
          <cell r="D350">
            <v>44.67</v>
          </cell>
          <cell r="E350" t="e">
            <v>#N/A</v>
          </cell>
          <cell r="F350" t="e">
            <v>#N/A</v>
          </cell>
          <cell r="G350" t="e">
            <v>#N/A</v>
          </cell>
          <cell r="H350" t="e">
            <v>#N/A</v>
          </cell>
          <cell r="I350" t="e">
            <v>#N/A</v>
          </cell>
          <cell r="J350" t="e">
            <v>#N/A</v>
          </cell>
          <cell r="K350" t="e">
            <v>#N/A</v>
          </cell>
          <cell r="L350" t="e">
            <v>#N/A</v>
          </cell>
          <cell r="M350" t="e">
            <v>#N/A</v>
          </cell>
          <cell r="N350" t="e">
            <v>#N/A</v>
          </cell>
          <cell r="O350" t="e">
            <v>#N/A</v>
          </cell>
          <cell r="P350">
            <v>44.67</v>
          </cell>
          <cell r="Q350">
            <v>1.7533529999999999</v>
          </cell>
          <cell r="R350" t="e">
            <v>#N/A</v>
          </cell>
        </row>
        <row r="351">
          <cell r="A351">
            <v>39976</v>
          </cell>
          <cell r="B351">
            <v>39976</v>
          </cell>
          <cell r="C351" t="str">
            <v>Past</v>
          </cell>
          <cell r="D351">
            <v>45.3</v>
          </cell>
          <cell r="E351" t="e">
            <v>#N/A</v>
          </cell>
          <cell r="F351" t="e">
            <v>#N/A</v>
          </cell>
          <cell r="G351" t="e">
            <v>#N/A</v>
          </cell>
          <cell r="H351" t="e">
            <v>#N/A</v>
          </cell>
          <cell r="I351" t="e">
            <v>#N/A</v>
          </cell>
          <cell r="J351" t="e">
            <v>#N/A</v>
          </cell>
          <cell r="K351" t="e">
            <v>#N/A</v>
          </cell>
          <cell r="L351" t="e">
            <v>#N/A</v>
          </cell>
          <cell r="M351" t="e">
            <v>#N/A</v>
          </cell>
          <cell r="N351" t="e">
            <v>#N/A</v>
          </cell>
          <cell r="O351" t="e">
            <v>#N/A</v>
          </cell>
          <cell r="P351">
            <v>45.3</v>
          </cell>
          <cell r="Q351">
            <v>1.3559779999999999</v>
          </cell>
          <cell r="R351" t="e">
            <v>#N/A</v>
          </cell>
        </row>
        <row r="352">
          <cell r="A352">
            <v>39979</v>
          </cell>
          <cell r="B352">
            <v>39979</v>
          </cell>
          <cell r="C352" t="str">
            <v>Past</v>
          </cell>
          <cell r="D352">
            <v>44.01</v>
          </cell>
          <cell r="E352" t="e">
            <v>#N/A</v>
          </cell>
          <cell r="F352" t="e">
            <v>#N/A</v>
          </cell>
          <cell r="G352" t="e">
            <v>#N/A</v>
          </cell>
          <cell r="H352" t="e">
            <v>#N/A</v>
          </cell>
          <cell r="I352" t="e">
            <v>#N/A</v>
          </cell>
          <cell r="J352" t="e">
            <v>#N/A</v>
          </cell>
          <cell r="K352" t="e">
            <v>#N/A</v>
          </cell>
          <cell r="L352" t="e">
            <v>#N/A</v>
          </cell>
          <cell r="M352" t="e">
            <v>#N/A</v>
          </cell>
          <cell r="N352" t="e">
            <v>#N/A</v>
          </cell>
          <cell r="O352" t="e">
            <v>#N/A</v>
          </cell>
          <cell r="P352">
            <v>44.01</v>
          </cell>
          <cell r="Q352">
            <v>1.2862959999999999</v>
          </cell>
          <cell r="R352" t="e">
            <v>#N/A</v>
          </cell>
        </row>
        <row r="353">
          <cell r="A353">
            <v>39980</v>
          </cell>
          <cell r="B353">
            <v>39980</v>
          </cell>
          <cell r="C353" t="str">
            <v>Past</v>
          </cell>
          <cell r="D353">
            <v>43.51</v>
          </cell>
          <cell r="E353" t="e">
            <v>#N/A</v>
          </cell>
          <cell r="F353" t="e">
            <v>#N/A</v>
          </cell>
          <cell r="G353" t="e">
            <v>#N/A</v>
          </cell>
          <cell r="H353" t="e">
            <v>#N/A</v>
          </cell>
          <cell r="I353" t="e">
            <v>#N/A</v>
          </cell>
          <cell r="J353" t="e">
            <v>#N/A</v>
          </cell>
          <cell r="K353" t="e">
            <v>#N/A</v>
          </cell>
          <cell r="L353" t="e">
            <v>#N/A</v>
          </cell>
          <cell r="M353" t="e">
            <v>#N/A</v>
          </cell>
          <cell r="N353" t="e">
            <v>#N/A</v>
          </cell>
          <cell r="O353" t="e">
            <v>#N/A</v>
          </cell>
          <cell r="P353">
            <v>43.51</v>
          </cell>
          <cell r="Q353">
            <v>1.0004150000000001</v>
          </cell>
          <cell r="R353" t="e">
            <v>#N/A</v>
          </cell>
        </row>
        <row r="354">
          <cell r="A354">
            <v>39981</v>
          </cell>
          <cell r="B354">
            <v>39981</v>
          </cell>
          <cell r="C354" t="str">
            <v>Past</v>
          </cell>
          <cell r="D354">
            <v>43.74</v>
          </cell>
          <cell r="E354" t="e">
            <v>#N/A</v>
          </cell>
          <cell r="F354" t="e">
            <v>#N/A</v>
          </cell>
          <cell r="G354" t="e">
            <v>#N/A</v>
          </cell>
          <cell r="H354" t="e">
            <v>#N/A</v>
          </cell>
          <cell r="I354" t="e">
            <v>#N/A</v>
          </cell>
          <cell r="J354" t="e">
            <v>#N/A</v>
          </cell>
          <cell r="K354" t="e">
            <v>#N/A</v>
          </cell>
          <cell r="L354" t="e">
            <v>#N/A</v>
          </cell>
          <cell r="M354" t="e">
            <v>#N/A</v>
          </cell>
          <cell r="N354" t="e">
            <v>#N/A</v>
          </cell>
          <cell r="O354" t="e">
            <v>#N/A</v>
          </cell>
          <cell r="P354">
            <v>43.74</v>
          </cell>
          <cell r="Q354">
            <v>0.87782299999999991</v>
          </cell>
          <cell r="R354" t="e">
            <v>#N/A</v>
          </cell>
        </row>
        <row r="355">
          <cell r="A355">
            <v>39982</v>
          </cell>
          <cell r="B355">
            <v>39982</v>
          </cell>
          <cell r="C355" t="str">
            <v>Past</v>
          </cell>
          <cell r="D355">
            <v>43.79</v>
          </cell>
          <cell r="E355" t="e">
            <v>#N/A</v>
          </cell>
          <cell r="F355" t="e">
            <v>#N/A</v>
          </cell>
          <cell r="G355" t="e">
            <v>#N/A</v>
          </cell>
          <cell r="H355" t="e">
            <v>#N/A</v>
          </cell>
          <cell r="I355" t="e">
            <v>#N/A</v>
          </cell>
          <cell r="J355" t="e">
            <v>#N/A</v>
          </cell>
          <cell r="K355" t="e">
            <v>#N/A</v>
          </cell>
          <cell r="L355" t="e">
            <v>#N/A</v>
          </cell>
          <cell r="M355" t="e">
            <v>#N/A</v>
          </cell>
          <cell r="N355" t="e">
            <v>#N/A</v>
          </cell>
          <cell r="O355" t="e">
            <v>#N/A</v>
          </cell>
          <cell r="P355">
            <v>43.79</v>
          </cell>
          <cell r="Q355">
            <v>1.0064279999999999</v>
          </cell>
          <cell r="R355" t="e">
            <v>#N/A</v>
          </cell>
        </row>
        <row r="356">
          <cell r="A356">
            <v>39983</v>
          </cell>
          <cell r="B356">
            <v>39983</v>
          </cell>
          <cell r="C356" t="str">
            <v>Past</v>
          </cell>
          <cell r="D356">
            <v>43.69</v>
          </cell>
          <cell r="E356" t="e">
            <v>#N/A</v>
          </cell>
          <cell r="F356" t="e">
            <v>#N/A</v>
          </cell>
          <cell r="G356" t="e">
            <v>#N/A</v>
          </cell>
          <cell r="H356" t="e">
            <v>#N/A</v>
          </cell>
          <cell r="I356" t="e">
            <v>#N/A</v>
          </cell>
          <cell r="J356" t="e">
            <v>#N/A</v>
          </cell>
          <cell r="K356" t="e">
            <v>#N/A</v>
          </cell>
          <cell r="L356" t="e">
            <v>#N/A</v>
          </cell>
          <cell r="M356" t="e">
            <v>#N/A</v>
          </cell>
          <cell r="N356" t="e">
            <v>#N/A</v>
          </cell>
          <cell r="O356" t="e">
            <v>#N/A</v>
          </cell>
          <cell r="P356">
            <v>43.69</v>
          </cell>
          <cell r="Q356">
            <v>1.3082579999999999</v>
          </cell>
          <cell r="R356" t="e">
            <v>#N/A</v>
          </cell>
        </row>
        <row r="357">
          <cell r="A357">
            <v>39986</v>
          </cell>
          <cell r="B357">
            <v>39986</v>
          </cell>
          <cell r="C357" t="str">
            <v>Past</v>
          </cell>
          <cell r="D357">
            <v>42.43</v>
          </cell>
          <cell r="E357" t="e">
            <v>#N/A</v>
          </cell>
          <cell r="F357" t="e">
            <v>#N/A</v>
          </cell>
          <cell r="G357" t="e">
            <v>#N/A</v>
          </cell>
          <cell r="H357" t="e">
            <v>#N/A</v>
          </cell>
          <cell r="I357" t="e">
            <v>#N/A</v>
          </cell>
          <cell r="J357" t="e">
            <v>#N/A</v>
          </cell>
          <cell r="K357" t="e">
            <v>#N/A</v>
          </cell>
          <cell r="L357" t="e">
            <v>#N/A</v>
          </cell>
          <cell r="M357" t="e">
            <v>#N/A</v>
          </cell>
          <cell r="N357" t="e">
            <v>#N/A</v>
          </cell>
          <cell r="O357" t="e">
            <v>#N/A</v>
          </cell>
          <cell r="P357">
            <v>42.43</v>
          </cell>
          <cell r="Q357">
            <v>1.622252</v>
          </cell>
          <cell r="R357" t="e">
            <v>#N/A</v>
          </cell>
        </row>
        <row r="358">
          <cell r="A358">
            <v>39987</v>
          </cell>
          <cell r="B358">
            <v>39987</v>
          </cell>
          <cell r="C358" t="str">
            <v>Past</v>
          </cell>
          <cell r="D358">
            <v>41.91</v>
          </cell>
          <cell r="E358" t="e">
            <v>#N/A</v>
          </cell>
          <cell r="F358" t="e">
            <v>#N/A</v>
          </cell>
          <cell r="G358" t="e">
            <v>#N/A</v>
          </cell>
          <cell r="H358" t="e">
            <v>#N/A</v>
          </cell>
          <cell r="I358" t="e">
            <v>#N/A</v>
          </cell>
          <cell r="J358" t="e">
            <v>#N/A</v>
          </cell>
          <cell r="K358" t="e">
            <v>#N/A</v>
          </cell>
          <cell r="L358" t="e">
            <v>#N/A</v>
          </cell>
          <cell r="M358" t="e">
            <v>#N/A</v>
          </cell>
          <cell r="N358" t="e">
            <v>#N/A</v>
          </cell>
          <cell r="O358" t="e">
            <v>#N/A</v>
          </cell>
          <cell r="P358">
            <v>41.91</v>
          </cell>
          <cell r="Q358">
            <v>1.3651789999999999</v>
          </cell>
          <cell r="R358" t="e">
            <v>#N/A</v>
          </cell>
        </row>
        <row r="359">
          <cell r="A359">
            <v>39988</v>
          </cell>
          <cell r="B359">
            <v>39988</v>
          </cell>
          <cell r="C359" t="str">
            <v>Past</v>
          </cell>
          <cell r="D359">
            <v>41.6</v>
          </cell>
          <cell r="E359" t="e">
            <v>#N/A</v>
          </cell>
          <cell r="F359" t="e">
            <v>#N/A</v>
          </cell>
          <cell r="G359" t="e">
            <v>#N/A</v>
          </cell>
          <cell r="H359" t="e">
            <v>#N/A</v>
          </cell>
          <cell r="I359" t="e">
            <v>#N/A</v>
          </cell>
          <cell r="J359" t="e">
            <v>#N/A</v>
          </cell>
          <cell r="K359" t="e">
            <v>#N/A</v>
          </cell>
          <cell r="L359" t="e">
            <v>#N/A</v>
          </cell>
          <cell r="M359" t="e">
            <v>#N/A</v>
          </cell>
          <cell r="N359" t="e">
            <v>#N/A</v>
          </cell>
          <cell r="O359" t="e">
            <v>#N/A</v>
          </cell>
          <cell r="P359">
            <v>41.6</v>
          </cell>
          <cell r="Q359">
            <v>1.0306999999999999</v>
          </cell>
          <cell r="R359" t="e">
            <v>#N/A</v>
          </cell>
        </row>
        <row r="360">
          <cell r="A360">
            <v>39989</v>
          </cell>
          <cell r="B360">
            <v>39989</v>
          </cell>
          <cell r="C360" t="str">
            <v>Past</v>
          </cell>
          <cell r="D360">
            <v>42.18</v>
          </cell>
          <cell r="E360" t="e">
            <v>#N/A</v>
          </cell>
          <cell r="F360" t="e">
            <v>#N/A</v>
          </cell>
          <cell r="G360" t="e">
            <v>#N/A</v>
          </cell>
          <cell r="H360" t="e">
            <v>#N/A</v>
          </cell>
          <cell r="I360" t="e">
            <v>#N/A</v>
          </cell>
          <cell r="J360" t="e">
            <v>#N/A</v>
          </cell>
          <cell r="K360" t="e">
            <v>#N/A</v>
          </cell>
          <cell r="L360" t="e">
            <v>#N/A</v>
          </cell>
          <cell r="M360" t="e">
            <v>#N/A</v>
          </cell>
          <cell r="N360" t="e">
            <v>#N/A</v>
          </cell>
          <cell r="O360" t="e">
            <v>#N/A</v>
          </cell>
          <cell r="P360">
            <v>42.18</v>
          </cell>
          <cell r="Q360">
            <v>1.2519279999999999</v>
          </cell>
          <cell r="R360" t="e">
            <v>#N/A</v>
          </cell>
        </row>
        <row r="361">
          <cell r="A361">
            <v>39990</v>
          </cell>
          <cell r="B361">
            <v>39990</v>
          </cell>
          <cell r="C361" t="str">
            <v>Past</v>
          </cell>
          <cell r="D361">
            <v>41.55</v>
          </cell>
          <cell r="E361" t="e">
            <v>#N/A</v>
          </cell>
          <cell r="F361" t="e">
            <v>#N/A</v>
          </cell>
          <cell r="G361" t="e">
            <v>#N/A</v>
          </cell>
          <cell r="H361" t="e">
            <v>#N/A</v>
          </cell>
          <cell r="I361" t="e">
            <v>#N/A</v>
          </cell>
          <cell r="J361" t="e">
            <v>#N/A</v>
          </cell>
          <cell r="K361" t="e">
            <v>#N/A</v>
          </cell>
          <cell r="L361" t="e">
            <v>#N/A</v>
          </cell>
          <cell r="M361" t="e">
            <v>#N/A</v>
          </cell>
          <cell r="N361" t="e">
            <v>#N/A</v>
          </cell>
          <cell r="O361" t="e">
            <v>#N/A</v>
          </cell>
          <cell r="P361">
            <v>41.55</v>
          </cell>
          <cell r="Q361">
            <v>0.99302599999999996</v>
          </cell>
          <cell r="R361" t="e">
            <v>#N/A</v>
          </cell>
        </row>
        <row r="362">
          <cell r="A362">
            <v>39993</v>
          </cell>
          <cell r="B362">
            <v>39993</v>
          </cell>
          <cell r="C362" t="str">
            <v>Past</v>
          </cell>
          <cell r="D362">
            <v>42.2</v>
          </cell>
          <cell r="E362" t="e">
            <v>#N/A</v>
          </cell>
          <cell r="F362" t="e">
            <v>#N/A</v>
          </cell>
          <cell r="G362" t="e">
            <v>#N/A</v>
          </cell>
          <cell r="H362" t="e">
            <v>#N/A</v>
          </cell>
          <cell r="I362" t="e">
            <v>#N/A</v>
          </cell>
          <cell r="J362" t="e">
            <v>#N/A</v>
          </cell>
          <cell r="K362" t="e">
            <v>#N/A</v>
          </cell>
          <cell r="L362" t="e">
            <v>#N/A</v>
          </cell>
          <cell r="M362" t="e">
            <v>#N/A</v>
          </cell>
          <cell r="N362" t="e">
            <v>#N/A</v>
          </cell>
          <cell r="O362" t="e">
            <v>#N/A</v>
          </cell>
          <cell r="P362">
            <v>42.2</v>
          </cell>
          <cell r="Q362">
            <v>0.83581899999999998</v>
          </cell>
          <cell r="R362" t="e">
            <v>#N/A</v>
          </cell>
        </row>
        <row r="363">
          <cell r="A363">
            <v>39994</v>
          </cell>
          <cell r="B363">
            <v>39994</v>
          </cell>
          <cell r="C363" t="str">
            <v>Past</v>
          </cell>
          <cell r="D363">
            <v>41.73</v>
          </cell>
          <cell r="E363" t="e">
            <v>#N/A</v>
          </cell>
          <cell r="F363" t="e">
            <v>#N/A</v>
          </cell>
          <cell r="G363" t="e">
            <v>#N/A</v>
          </cell>
          <cell r="H363" t="e">
            <v>#N/A</v>
          </cell>
          <cell r="I363" t="e">
            <v>#N/A</v>
          </cell>
          <cell r="J363" t="e">
            <v>#N/A</v>
          </cell>
          <cell r="K363" t="e">
            <v>#N/A</v>
          </cell>
          <cell r="L363" t="e">
            <v>#N/A</v>
          </cell>
          <cell r="M363" t="e">
            <v>#N/A</v>
          </cell>
          <cell r="N363" t="e">
            <v>#N/A</v>
          </cell>
          <cell r="O363" t="e">
            <v>#N/A</v>
          </cell>
          <cell r="P363">
            <v>41.73</v>
          </cell>
          <cell r="Q363">
            <v>0.82126599999999994</v>
          </cell>
          <cell r="R363" t="e">
            <v>#N/A</v>
          </cell>
        </row>
        <row r="364">
          <cell r="A364">
            <v>39995</v>
          </cell>
          <cell r="B364">
            <v>39995</v>
          </cell>
          <cell r="C364" t="str">
            <v>Past</v>
          </cell>
          <cell r="D364">
            <v>42.05</v>
          </cell>
          <cell r="E364" t="e">
            <v>#N/A</v>
          </cell>
          <cell r="F364" t="e">
            <v>#N/A</v>
          </cell>
          <cell r="G364" t="e">
            <v>#N/A</v>
          </cell>
          <cell r="H364" t="e">
            <v>#N/A</v>
          </cell>
          <cell r="I364" t="e">
            <v>#N/A</v>
          </cell>
          <cell r="J364" t="e">
            <v>#N/A</v>
          </cell>
          <cell r="K364" t="e">
            <v>#N/A</v>
          </cell>
          <cell r="L364" t="e">
            <v>#N/A</v>
          </cell>
          <cell r="M364" t="e">
            <v>#N/A</v>
          </cell>
          <cell r="N364" t="e">
            <v>#N/A</v>
          </cell>
          <cell r="O364" t="e">
            <v>#N/A</v>
          </cell>
          <cell r="P364">
            <v>42.05</v>
          </cell>
          <cell r="Q364">
            <v>0.84606599999999998</v>
          </cell>
          <cell r="R364" t="e">
            <v>#N/A</v>
          </cell>
        </row>
        <row r="365">
          <cell r="A365">
            <v>39996</v>
          </cell>
          <cell r="B365">
            <v>39996</v>
          </cell>
          <cell r="C365" t="str">
            <v>Past</v>
          </cell>
          <cell r="D365">
            <v>40.200000000000003</v>
          </cell>
          <cell r="E365" t="e">
            <v>#N/A</v>
          </cell>
          <cell r="F365" t="e">
            <v>#N/A</v>
          </cell>
          <cell r="G365" t="e">
            <v>#N/A</v>
          </cell>
          <cell r="H365" t="e">
            <v>#N/A</v>
          </cell>
          <cell r="I365" t="e">
            <v>#N/A</v>
          </cell>
          <cell r="J365" t="e">
            <v>#N/A</v>
          </cell>
          <cell r="K365" t="e">
            <v>#N/A</v>
          </cell>
          <cell r="L365" t="e">
            <v>#N/A</v>
          </cell>
          <cell r="M365" t="e">
            <v>#N/A</v>
          </cell>
          <cell r="N365" t="e">
            <v>#N/A</v>
          </cell>
          <cell r="O365" t="e">
            <v>#N/A</v>
          </cell>
          <cell r="P365">
            <v>40.200000000000003</v>
          </cell>
          <cell r="Q365">
            <v>1.123769</v>
          </cell>
          <cell r="R365" t="e">
            <v>#N/A</v>
          </cell>
        </row>
        <row r="366">
          <cell r="A366">
            <v>40000</v>
          </cell>
          <cell r="B366">
            <v>40000</v>
          </cell>
          <cell r="C366" t="str">
            <v>Past</v>
          </cell>
          <cell r="D366">
            <v>40.33</v>
          </cell>
          <cell r="E366" t="e">
            <v>#N/A</v>
          </cell>
          <cell r="F366" t="e">
            <v>#N/A</v>
          </cell>
          <cell r="G366" t="e">
            <v>#N/A</v>
          </cell>
          <cell r="H366" t="e">
            <v>#N/A</v>
          </cell>
          <cell r="I366" t="e">
            <v>#N/A</v>
          </cell>
          <cell r="J366" t="e">
            <v>#N/A</v>
          </cell>
          <cell r="K366" t="e">
            <v>#N/A</v>
          </cell>
          <cell r="L366" t="e">
            <v>#N/A</v>
          </cell>
          <cell r="M366" t="e">
            <v>#N/A</v>
          </cell>
          <cell r="N366" t="e">
            <v>#N/A</v>
          </cell>
          <cell r="O366" t="e">
            <v>#N/A</v>
          </cell>
          <cell r="P366">
            <v>40.33</v>
          </cell>
          <cell r="Q366">
            <v>0.94517299999999993</v>
          </cell>
          <cell r="R366" t="e">
            <v>#N/A</v>
          </cell>
        </row>
        <row r="367">
          <cell r="A367">
            <v>40001</v>
          </cell>
          <cell r="B367">
            <v>40001</v>
          </cell>
          <cell r="C367" t="str">
            <v>Past</v>
          </cell>
          <cell r="D367">
            <v>38.42</v>
          </cell>
          <cell r="E367" t="e">
            <v>#N/A</v>
          </cell>
          <cell r="F367" t="e">
            <v>#N/A</v>
          </cell>
          <cell r="G367" t="e">
            <v>#N/A</v>
          </cell>
          <cell r="H367" t="e">
            <v>#N/A</v>
          </cell>
          <cell r="I367" t="e">
            <v>#N/A</v>
          </cell>
          <cell r="J367" t="e">
            <v>#N/A</v>
          </cell>
          <cell r="K367" t="e">
            <v>#N/A</v>
          </cell>
          <cell r="L367" t="e">
            <v>#N/A</v>
          </cell>
          <cell r="M367" t="e">
            <v>#N/A</v>
          </cell>
          <cell r="N367" t="e">
            <v>#N/A</v>
          </cell>
          <cell r="O367" t="e">
            <v>#N/A</v>
          </cell>
          <cell r="P367">
            <v>38.42</v>
          </cell>
          <cell r="Q367">
            <v>2.7292100000000001</v>
          </cell>
          <cell r="R367" t="e">
            <v>#N/A</v>
          </cell>
        </row>
        <row r="368">
          <cell r="A368">
            <v>40002</v>
          </cell>
          <cell r="B368">
            <v>40002</v>
          </cell>
          <cell r="C368" t="str">
            <v>Past</v>
          </cell>
          <cell r="D368">
            <v>39.090000000000003</v>
          </cell>
          <cell r="E368" t="e">
            <v>#N/A</v>
          </cell>
          <cell r="F368" t="e">
            <v>#N/A</v>
          </cell>
          <cell r="G368" t="e">
            <v>#N/A</v>
          </cell>
          <cell r="H368" t="e">
            <v>#N/A</v>
          </cell>
          <cell r="I368" t="e">
            <v>#N/A</v>
          </cell>
          <cell r="J368" t="e">
            <v>#N/A</v>
          </cell>
          <cell r="K368" t="e">
            <v>#N/A</v>
          </cell>
          <cell r="L368" t="e">
            <v>#N/A</v>
          </cell>
          <cell r="M368" t="e">
            <v>#N/A</v>
          </cell>
          <cell r="N368" t="e">
            <v>#N/A</v>
          </cell>
          <cell r="O368" t="e">
            <v>#N/A</v>
          </cell>
          <cell r="P368">
            <v>39.090000000000003</v>
          </cell>
          <cell r="Q368">
            <v>1.366736</v>
          </cell>
          <cell r="R368" t="e">
            <v>#N/A</v>
          </cell>
        </row>
        <row r="369">
          <cell r="A369">
            <v>40003</v>
          </cell>
          <cell r="B369">
            <v>40003</v>
          </cell>
          <cell r="C369" t="str">
            <v>Past</v>
          </cell>
          <cell r="D369">
            <v>38.81</v>
          </cell>
          <cell r="E369" t="e">
            <v>#N/A</v>
          </cell>
          <cell r="F369" t="e">
            <v>#N/A</v>
          </cell>
          <cell r="G369" t="e">
            <v>#N/A</v>
          </cell>
          <cell r="H369" t="e">
            <v>#N/A</v>
          </cell>
          <cell r="I369" t="e">
            <v>#N/A</v>
          </cell>
          <cell r="J369" t="e">
            <v>#N/A</v>
          </cell>
          <cell r="K369" t="e">
            <v>#N/A</v>
          </cell>
          <cell r="L369" t="e">
            <v>#N/A</v>
          </cell>
          <cell r="M369" t="e">
            <v>#N/A</v>
          </cell>
          <cell r="N369" t="e">
            <v>#N/A</v>
          </cell>
          <cell r="O369" t="e">
            <v>#N/A</v>
          </cell>
          <cell r="P369">
            <v>38.81</v>
          </cell>
          <cell r="Q369">
            <v>0.72730699999999993</v>
          </cell>
          <cell r="R369" t="e">
            <v>#N/A</v>
          </cell>
        </row>
        <row r="370">
          <cell r="A370">
            <v>40004</v>
          </cell>
          <cell r="B370">
            <v>40004</v>
          </cell>
          <cell r="C370" t="str">
            <v>Past</v>
          </cell>
          <cell r="D370">
            <v>38.81</v>
          </cell>
          <cell r="E370" t="e">
            <v>#N/A</v>
          </cell>
          <cell r="F370" t="e">
            <v>#N/A</v>
          </cell>
          <cell r="G370" t="e">
            <v>#N/A</v>
          </cell>
          <cell r="H370" t="e">
            <v>#N/A</v>
          </cell>
          <cell r="I370" t="e">
            <v>#N/A</v>
          </cell>
          <cell r="J370" t="e">
            <v>#N/A</v>
          </cell>
          <cell r="K370" t="e">
            <v>#N/A</v>
          </cell>
          <cell r="L370" t="e">
            <v>#N/A</v>
          </cell>
          <cell r="M370" t="e">
            <v>#N/A</v>
          </cell>
          <cell r="N370" t="e">
            <v>#N/A</v>
          </cell>
          <cell r="O370" t="e">
            <v>#N/A</v>
          </cell>
          <cell r="P370">
            <v>38.81</v>
          </cell>
          <cell r="Q370">
            <v>0.78500199999999998</v>
          </cell>
          <cell r="R370" t="e">
            <v>#N/A</v>
          </cell>
        </row>
        <row r="371">
          <cell r="A371">
            <v>40007</v>
          </cell>
          <cell r="B371">
            <v>40007</v>
          </cell>
          <cell r="C371" t="str">
            <v>Past</v>
          </cell>
          <cell r="D371">
            <v>39.97</v>
          </cell>
          <cell r="E371" t="e">
            <v>#N/A</v>
          </cell>
          <cell r="F371" t="e">
            <v>#N/A</v>
          </cell>
          <cell r="G371" t="e">
            <v>#N/A</v>
          </cell>
          <cell r="H371" t="e">
            <v>#N/A</v>
          </cell>
          <cell r="I371" t="e">
            <v>#N/A</v>
          </cell>
          <cell r="J371" t="e">
            <v>#N/A</v>
          </cell>
          <cell r="K371" t="e">
            <v>#N/A</v>
          </cell>
          <cell r="L371" t="e">
            <v>#N/A</v>
          </cell>
          <cell r="M371" t="e">
            <v>#N/A</v>
          </cell>
          <cell r="N371" t="e">
            <v>#N/A</v>
          </cell>
          <cell r="O371" t="e">
            <v>#N/A</v>
          </cell>
          <cell r="P371">
            <v>39.97</v>
          </cell>
          <cell r="Q371">
            <v>0.86119299999999999</v>
          </cell>
          <cell r="R371" t="e">
            <v>#N/A</v>
          </cell>
        </row>
        <row r="372">
          <cell r="A372">
            <v>40008</v>
          </cell>
          <cell r="B372">
            <v>40008</v>
          </cell>
          <cell r="C372" t="str">
            <v>Past</v>
          </cell>
          <cell r="D372">
            <v>40.68</v>
          </cell>
          <cell r="E372" t="e">
            <v>#N/A</v>
          </cell>
          <cell r="F372" t="e">
            <v>#N/A</v>
          </cell>
          <cell r="G372" t="e">
            <v>#N/A</v>
          </cell>
          <cell r="H372" t="e">
            <v>#N/A</v>
          </cell>
          <cell r="I372" t="e">
            <v>#N/A</v>
          </cell>
          <cell r="J372" t="e">
            <v>#N/A</v>
          </cell>
          <cell r="K372" t="e">
            <v>#N/A</v>
          </cell>
          <cell r="L372" t="e">
            <v>#N/A</v>
          </cell>
          <cell r="M372" t="e">
            <v>#N/A</v>
          </cell>
          <cell r="N372" t="e">
            <v>#N/A</v>
          </cell>
          <cell r="O372" t="e">
            <v>#N/A</v>
          </cell>
          <cell r="P372">
            <v>40.68</v>
          </cell>
          <cell r="Q372">
            <v>1.0273759999999998</v>
          </cell>
          <cell r="R372" t="e">
            <v>#N/A</v>
          </cell>
        </row>
        <row r="373">
          <cell r="A373">
            <v>40009</v>
          </cell>
          <cell r="B373">
            <v>40009</v>
          </cell>
          <cell r="C373" t="str">
            <v>Past</v>
          </cell>
          <cell r="D373">
            <v>41.13</v>
          </cell>
          <cell r="E373" t="e">
            <v>#N/A</v>
          </cell>
          <cell r="F373" t="e">
            <v>#N/A</v>
          </cell>
          <cell r="G373" t="e">
            <v>#N/A</v>
          </cell>
          <cell r="H373" t="e">
            <v>#N/A</v>
          </cell>
          <cell r="I373" t="e">
            <v>#N/A</v>
          </cell>
          <cell r="J373" t="e">
            <v>#N/A</v>
          </cell>
          <cell r="K373" t="e">
            <v>#N/A</v>
          </cell>
          <cell r="L373" t="e">
            <v>#N/A</v>
          </cell>
          <cell r="M373" t="e">
            <v>#N/A</v>
          </cell>
          <cell r="N373" t="e">
            <v>#N/A</v>
          </cell>
          <cell r="O373" t="e">
            <v>#N/A</v>
          </cell>
          <cell r="P373">
            <v>41.13</v>
          </cell>
          <cell r="Q373">
            <v>1.0150400000000002</v>
          </cell>
          <cell r="R373" t="e">
            <v>#N/A</v>
          </cell>
        </row>
        <row r="374">
          <cell r="A374">
            <v>40010</v>
          </cell>
          <cell r="B374">
            <v>40010</v>
          </cell>
          <cell r="C374" t="str">
            <v>Past</v>
          </cell>
          <cell r="D374">
            <v>41.31</v>
          </cell>
          <cell r="E374" t="e">
            <v>#N/A</v>
          </cell>
          <cell r="F374" t="e">
            <v>#N/A</v>
          </cell>
          <cell r="G374" t="e">
            <v>#N/A</v>
          </cell>
          <cell r="H374" t="e">
            <v>#N/A</v>
          </cell>
          <cell r="I374" t="e">
            <v>#N/A</v>
          </cell>
          <cell r="J374" t="e">
            <v>#N/A</v>
          </cell>
          <cell r="K374" t="e">
            <v>#N/A</v>
          </cell>
          <cell r="L374" t="e">
            <v>#N/A</v>
          </cell>
          <cell r="M374" t="e">
            <v>#N/A</v>
          </cell>
          <cell r="N374" t="e">
            <v>#N/A</v>
          </cell>
          <cell r="O374" t="e">
            <v>#N/A</v>
          </cell>
          <cell r="P374">
            <v>41.31</v>
          </cell>
          <cell r="Q374">
            <v>1.206189</v>
          </cell>
          <cell r="R374" t="e">
            <v>#N/A</v>
          </cell>
        </row>
        <row r="375">
          <cell r="A375">
            <v>40011</v>
          </cell>
          <cell r="B375">
            <v>40011</v>
          </cell>
          <cell r="C375" t="str">
            <v>Past</v>
          </cell>
          <cell r="D375">
            <v>40.94</v>
          </cell>
          <cell r="E375" t="e">
            <v>#N/A</v>
          </cell>
          <cell r="F375" t="e">
            <v>#N/A</v>
          </cell>
          <cell r="G375" t="e">
            <v>#N/A</v>
          </cell>
          <cell r="H375" t="e">
            <v>#N/A</v>
          </cell>
          <cell r="I375" t="e">
            <v>#N/A</v>
          </cell>
          <cell r="J375" t="e">
            <v>#N/A</v>
          </cell>
          <cell r="K375" t="e">
            <v>#N/A</v>
          </cell>
          <cell r="L375" t="e">
            <v>#N/A</v>
          </cell>
          <cell r="M375" t="e">
            <v>#N/A</v>
          </cell>
          <cell r="N375" t="e">
            <v>#N/A</v>
          </cell>
          <cell r="O375" t="e">
            <v>#N/A</v>
          </cell>
          <cell r="P375">
            <v>40.94</v>
          </cell>
          <cell r="Q375">
            <v>1.6902139999999999</v>
          </cell>
          <cell r="R375" t="e">
            <v>#N/A</v>
          </cell>
        </row>
        <row r="376">
          <cell r="A376">
            <v>40014</v>
          </cell>
          <cell r="B376">
            <v>40014</v>
          </cell>
          <cell r="C376" t="str">
            <v>Past</v>
          </cell>
          <cell r="D376">
            <v>41.41</v>
          </cell>
          <cell r="E376" t="e">
            <v>#N/A</v>
          </cell>
          <cell r="F376" t="e">
            <v>#N/A</v>
          </cell>
          <cell r="G376" t="e">
            <v>#N/A</v>
          </cell>
          <cell r="H376" t="e">
            <v>#N/A</v>
          </cell>
          <cell r="I376" t="e">
            <v>#N/A</v>
          </cell>
          <cell r="J376" t="e">
            <v>#N/A</v>
          </cell>
          <cell r="K376" t="e">
            <v>#N/A</v>
          </cell>
          <cell r="L376" t="e">
            <v>#N/A</v>
          </cell>
          <cell r="M376" t="e">
            <v>#N/A</v>
          </cell>
          <cell r="N376" t="e">
            <v>#N/A</v>
          </cell>
          <cell r="O376" t="e">
            <v>#N/A</v>
          </cell>
          <cell r="P376">
            <v>41.41</v>
          </cell>
          <cell r="Q376">
            <v>1.037147</v>
          </cell>
          <cell r="R376" t="e">
            <v>#N/A</v>
          </cell>
        </row>
        <row r="377">
          <cell r="A377">
            <v>40015</v>
          </cell>
          <cell r="B377">
            <v>40015</v>
          </cell>
          <cell r="C377" t="str">
            <v>Past</v>
          </cell>
          <cell r="D377">
            <v>41.91</v>
          </cell>
          <cell r="E377" t="e">
            <v>#N/A</v>
          </cell>
          <cell r="F377" t="e">
            <v>#N/A</v>
          </cell>
          <cell r="G377" t="e">
            <v>#N/A</v>
          </cell>
          <cell r="H377" t="e">
            <v>#N/A</v>
          </cell>
          <cell r="I377" t="e">
            <v>#N/A</v>
          </cell>
          <cell r="J377" t="e">
            <v>#N/A</v>
          </cell>
          <cell r="K377" t="e">
            <v>#N/A</v>
          </cell>
          <cell r="L377" t="e">
            <v>#N/A</v>
          </cell>
          <cell r="M377" t="e">
            <v>#N/A</v>
          </cell>
          <cell r="N377" t="e">
            <v>#N/A</v>
          </cell>
          <cell r="O377" t="e">
            <v>#N/A</v>
          </cell>
          <cell r="P377">
            <v>41.91</v>
          </cell>
          <cell r="Q377">
            <v>0.808396</v>
          </cell>
          <cell r="R377" t="e">
            <v>#N/A</v>
          </cell>
        </row>
        <row r="378">
          <cell r="A378">
            <v>40016</v>
          </cell>
          <cell r="B378">
            <v>40016</v>
          </cell>
          <cell r="C378" t="str">
            <v>Past</v>
          </cell>
          <cell r="D378">
            <v>41.87</v>
          </cell>
          <cell r="E378" t="e">
            <v>#N/A</v>
          </cell>
          <cell r="F378" t="e">
            <v>#N/A</v>
          </cell>
          <cell r="G378" t="e">
            <v>#N/A</v>
          </cell>
          <cell r="H378" t="e">
            <v>#N/A</v>
          </cell>
          <cell r="I378" t="e">
            <v>#N/A</v>
          </cell>
          <cell r="J378" t="e">
            <v>#N/A</v>
          </cell>
          <cell r="K378" t="e">
            <v>#N/A</v>
          </cell>
          <cell r="L378" t="e">
            <v>#N/A</v>
          </cell>
          <cell r="M378" t="e">
            <v>#N/A</v>
          </cell>
          <cell r="N378" t="e">
            <v>#N/A</v>
          </cell>
          <cell r="O378" t="e">
            <v>#N/A</v>
          </cell>
          <cell r="P378">
            <v>41.87</v>
          </cell>
          <cell r="Q378">
            <v>0.72513000000000005</v>
          </cell>
          <cell r="R378" t="e">
            <v>#N/A</v>
          </cell>
        </row>
        <row r="379">
          <cell r="A379">
            <v>40017</v>
          </cell>
          <cell r="B379">
            <v>40017</v>
          </cell>
          <cell r="C379" t="str">
            <v>Past</v>
          </cell>
          <cell r="D379">
            <v>41.85</v>
          </cell>
          <cell r="E379" t="e">
            <v>#N/A</v>
          </cell>
          <cell r="F379" t="e">
            <v>#N/A</v>
          </cell>
          <cell r="G379" t="e">
            <v>#N/A</v>
          </cell>
          <cell r="H379" t="e">
            <v>#N/A</v>
          </cell>
          <cell r="I379" t="e">
            <v>#N/A</v>
          </cell>
          <cell r="J379" t="e">
            <v>#N/A</v>
          </cell>
          <cell r="K379" t="e">
            <v>#N/A</v>
          </cell>
          <cell r="L379" t="e">
            <v>#N/A</v>
          </cell>
          <cell r="M379" t="e">
            <v>#N/A</v>
          </cell>
          <cell r="N379" t="e">
            <v>#N/A</v>
          </cell>
          <cell r="O379" t="e">
            <v>#N/A</v>
          </cell>
          <cell r="P379">
            <v>41.85</v>
          </cell>
          <cell r="Q379">
            <v>1.383923</v>
          </cell>
          <cell r="R379" t="e">
            <v>#N/A</v>
          </cell>
        </row>
        <row r="380">
          <cell r="A380">
            <v>40018</v>
          </cell>
          <cell r="B380">
            <v>40018</v>
          </cell>
          <cell r="C380" t="str">
            <v>Past</v>
          </cell>
          <cell r="D380">
            <v>40.74</v>
          </cell>
          <cell r="E380" t="e">
            <v>#N/A</v>
          </cell>
          <cell r="F380" t="e">
            <v>#N/A</v>
          </cell>
          <cell r="G380" t="e">
            <v>#N/A</v>
          </cell>
          <cell r="H380" t="e">
            <v>#N/A</v>
          </cell>
          <cell r="I380" t="e">
            <v>#N/A</v>
          </cell>
          <cell r="J380" t="e">
            <v>#N/A</v>
          </cell>
          <cell r="K380" t="e">
            <v>#N/A</v>
          </cell>
          <cell r="L380" t="e">
            <v>#N/A</v>
          </cell>
          <cell r="M380" t="e">
            <v>#N/A</v>
          </cell>
          <cell r="N380" t="e">
            <v>#N/A</v>
          </cell>
          <cell r="O380" t="e">
            <v>#N/A</v>
          </cell>
          <cell r="P380">
            <v>40.74</v>
          </cell>
          <cell r="Q380">
            <v>2.0377860000000001</v>
          </cell>
          <cell r="R380" t="e">
            <v>#N/A</v>
          </cell>
        </row>
        <row r="381">
          <cell r="A381">
            <v>40021</v>
          </cell>
          <cell r="B381">
            <v>40021</v>
          </cell>
          <cell r="C381" t="str">
            <v>Past</v>
          </cell>
          <cell r="D381">
            <v>39.590000000000003</v>
          </cell>
          <cell r="E381" t="e">
            <v>#N/A</v>
          </cell>
          <cell r="F381" t="e">
            <v>#N/A</v>
          </cell>
          <cell r="G381" t="e">
            <v>#N/A</v>
          </cell>
          <cell r="H381" t="e">
            <v>#N/A</v>
          </cell>
          <cell r="I381" t="e">
            <v>#N/A</v>
          </cell>
          <cell r="J381" t="e">
            <v>#N/A</v>
          </cell>
          <cell r="K381" t="e">
            <v>#N/A</v>
          </cell>
          <cell r="L381" t="e">
            <v>#N/A</v>
          </cell>
          <cell r="M381" t="e">
            <v>#N/A</v>
          </cell>
          <cell r="N381" t="e">
            <v>#N/A</v>
          </cell>
          <cell r="O381" t="e">
            <v>#N/A</v>
          </cell>
          <cell r="P381">
            <v>39.590000000000003</v>
          </cell>
          <cell r="Q381">
            <v>3.343461</v>
          </cell>
          <cell r="R381" t="e">
            <v>#N/A</v>
          </cell>
        </row>
        <row r="382">
          <cell r="A382">
            <v>40022</v>
          </cell>
          <cell r="B382">
            <v>40022</v>
          </cell>
          <cell r="C382" t="str">
            <v>Past</v>
          </cell>
          <cell r="D382">
            <v>39.61</v>
          </cell>
          <cell r="E382" t="e">
            <v>#N/A</v>
          </cell>
          <cell r="F382" t="e">
            <v>#N/A</v>
          </cell>
          <cell r="G382" t="e">
            <v>#N/A</v>
          </cell>
          <cell r="H382" t="e">
            <v>#N/A</v>
          </cell>
          <cell r="I382" t="e">
            <v>#N/A</v>
          </cell>
          <cell r="J382" t="e">
            <v>#N/A</v>
          </cell>
          <cell r="K382" t="e">
            <v>#N/A</v>
          </cell>
          <cell r="L382" t="e">
            <v>#N/A</v>
          </cell>
          <cell r="M382" t="e">
            <v>#N/A</v>
          </cell>
          <cell r="N382" t="e">
            <v>#N/A</v>
          </cell>
          <cell r="O382" t="e">
            <v>#N/A</v>
          </cell>
          <cell r="P382">
            <v>39.61</v>
          </cell>
          <cell r="Q382">
            <v>2.416506</v>
          </cell>
          <cell r="R382" t="e">
            <v>#N/A</v>
          </cell>
        </row>
        <row r="383">
          <cell r="A383">
            <v>40023</v>
          </cell>
          <cell r="B383">
            <v>40023</v>
          </cell>
          <cell r="C383" t="str">
            <v>Past</v>
          </cell>
          <cell r="D383">
            <v>40.26</v>
          </cell>
          <cell r="E383" t="e">
            <v>#N/A</v>
          </cell>
          <cell r="F383" t="e">
            <v>#N/A</v>
          </cell>
          <cell r="G383" t="e">
            <v>#N/A</v>
          </cell>
          <cell r="H383" t="e">
            <v>#N/A</v>
          </cell>
          <cell r="I383" t="e">
            <v>#N/A</v>
          </cell>
          <cell r="J383" t="e">
            <v>#N/A</v>
          </cell>
          <cell r="K383" t="e">
            <v>#N/A</v>
          </cell>
          <cell r="L383" t="e">
            <v>#N/A</v>
          </cell>
          <cell r="M383" t="e">
            <v>#N/A</v>
          </cell>
          <cell r="N383" t="e">
            <v>#N/A</v>
          </cell>
          <cell r="O383" t="e">
            <v>#N/A</v>
          </cell>
          <cell r="P383">
            <v>40.26</v>
          </cell>
          <cell r="Q383">
            <v>2.0140000000000002</v>
          </cell>
          <cell r="R383" t="e">
            <v>#N/A</v>
          </cell>
        </row>
        <row r="384">
          <cell r="A384">
            <v>40024</v>
          </cell>
          <cell r="B384">
            <v>40024</v>
          </cell>
          <cell r="C384" t="str">
            <v>Past</v>
          </cell>
          <cell r="D384">
            <v>42.52</v>
          </cell>
          <cell r="E384" t="e">
            <v>#N/A</v>
          </cell>
          <cell r="F384" t="e">
            <v>#N/A</v>
          </cell>
          <cell r="G384" t="e">
            <v>#N/A</v>
          </cell>
          <cell r="H384" t="e">
            <v>#N/A</v>
          </cell>
          <cell r="I384" t="e">
            <v>#N/A</v>
          </cell>
          <cell r="J384" t="e">
            <v>#N/A</v>
          </cell>
          <cell r="K384" t="e">
            <v>#N/A</v>
          </cell>
          <cell r="L384" t="e">
            <v>#N/A</v>
          </cell>
          <cell r="M384" t="e">
            <v>#N/A</v>
          </cell>
          <cell r="N384" t="e">
            <v>#N/A</v>
          </cell>
          <cell r="O384" t="e">
            <v>#N/A</v>
          </cell>
          <cell r="P384">
            <v>42.52</v>
          </cell>
          <cell r="Q384">
            <v>2.125607</v>
          </cell>
          <cell r="R384" t="e">
            <v>#N/A</v>
          </cell>
        </row>
        <row r="385">
          <cell r="A385">
            <v>40025</v>
          </cell>
          <cell r="B385">
            <v>40025</v>
          </cell>
          <cell r="C385" t="str">
            <v>Past</v>
          </cell>
          <cell r="D385">
            <v>42.2</v>
          </cell>
          <cell r="E385" t="e">
            <v>#N/A</v>
          </cell>
          <cell r="F385" t="e">
            <v>#N/A</v>
          </cell>
          <cell r="G385" t="e">
            <v>#N/A</v>
          </cell>
          <cell r="H385" t="e">
            <v>#N/A</v>
          </cell>
          <cell r="I385" t="e">
            <v>#N/A</v>
          </cell>
          <cell r="J385" t="e">
            <v>#N/A</v>
          </cell>
          <cell r="K385" t="e">
            <v>#N/A</v>
          </cell>
          <cell r="L385" t="e">
            <v>#N/A</v>
          </cell>
          <cell r="M385" t="e">
            <v>#N/A</v>
          </cell>
          <cell r="N385" t="e">
            <v>#N/A</v>
          </cell>
          <cell r="O385" t="e">
            <v>#N/A</v>
          </cell>
          <cell r="P385">
            <v>42.2</v>
          </cell>
          <cell r="Q385">
            <v>1.4255369999999998</v>
          </cell>
          <cell r="R385" t="e">
            <v>#N/A</v>
          </cell>
        </row>
        <row r="386">
          <cell r="A386">
            <v>40028</v>
          </cell>
          <cell r="B386">
            <v>40028</v>
          </cell>
          <cell r="C386" t="str">
            <v>Past</v>
          </cell>
          <cell r="D386">
            <v>43.29</v>
          </cell>
          <cell r="E386" t="e">
            <v>#N/A</v>
          </cell>
          <cell r="F386" t="e">
            <v>#N/A</v>
          </cell>
          <cell r="G386" t="e">
            <v>#N/A</v>
          </cell>
          <cell r="H386" t="e">
            <v>#N/A</v>
          </cell>
          <cell r="I386" t="e">
            <v>#N/A</v>
          </cell>
          <cell r="J386" t="e">
            <v>#N/A</v>
          </cell>
          <cell r="K386" t="e">
            <v>#N/A</v>
          </cell>
          <cell r="L386" t="e">
            <v>#N/A</v>
          </cell>
          <cell r="M386" t="e">
            <v>#N/A</v>
          </cell>
          <cell r="N386" t="e">
            <v>#N/A</v>
          </cell>
          <cell r="O386" t="e">
            <v>#N/A</v>
          </cell>
          <cell r="P386">
            <v>43.29</v>
          </cell>
          <cell r="Q386">
            <v>1.339715</v>
          </cell>
          <cell r="R386" t="e">
            <v>#N/A</v>
          </cell>
        </row>
        <row r="387">
          <cell r="A387">
            <v>40029</v>
          </cell>
          <cell r="B387">
            <v>40029</v>
          </cell>
          <cell r="C387" t="str">
            <v>Past</v>
          </cell>
          <cell r="D387">
            <v>43.77</v>
          </cell>
          <cell r="E387" t="e">
            <v>#N/A</v>
          </cell>
          <cell r="F387" t="e">
            <v>#N/A</v>
          </cell>
          <cell r="G387" t="e">
            <v>#N/A</v>
          </cell>
          <cell r="H387" t="e">
            <v>#N/A</v>
          </cell>
          <cell r="I387" t="e">
            <v>#N/A</v>
          </cell>
          <cell r="J387" t="e">
            <v>#N/A</v>
          </cell>
          <cell r="K387" t="e">
            <v>#N/A</v>
          </cell>
          <cell r="L387" t="e">
            <v>#N/A</v>
          </cell>
          <cell r="M387" t="e">
            <v>#N/A</v>
          </cell>
          <cell r="N387" t="e">
            <v>#N/A</v>
          </cell>
          <cell r="O387" t="e">
            <v>#N/A</v>
          </cell>
          <cell r="P387">
            <v>43.77</v>
          </cell>
          <cell r="Q387">
            <v>1.4680709999999999</v>
          </cell>
          <cell r="R387" t="e">
            <v>#N/A</v>
          </cell>
        </row>
        <row r="388">
          <cell r="A388">
            <v>40030</v>
          </cell>
          <cell r="B388">
            <v>40030</v>
          </cell>
          <cell r="C388" t="str">
            <v>Past</v>
          </cell>
          <cell r="D388">
            <v>43.65</v>
          </cell>
          <cell r="E388" t="e">
            <v>#N/A</v>
          </cell>
          <cell r="F388" t="e">
            <v>#N/A</v>
          </cell>
          <cell r="G388" t="e">
            <v>#N/A</v>
          </cell>
          <cell r="H388" t="e">
            <v>#N/A</v>
          </cell>
          <cell r="I388" t="e">
            <v>#N/A</v>
          </cell>
          <cell r="J388" t="e">
            <v>#N/A</v>
          </cell>
          <cell r="K388" t="e">
            <v>#N/A</v>
          </cell>
          <cell r="L388" t="e">
            <v>#N/A</v>
          </cell>
          <cell r="M388" t="e">
            <v>#N/A</v>
          </cell>
          <cell r="N388" t="e">
            <v>#N/A</v>
          </cell>
          <cell r="O388" t="e">
            <v>#N/A</v>
          </cell>
          <cell r="P388">
            <v>43.65</v>
          </cell>
          <cell r="Q388">
            <v>0.83979300000000001</v>
          </cell>
          <cell r="R388" t="e">
            <v>#N/A</v>
          </cell>
        </row>
        <row r="389">
          <cell r="A389">
            <v>40031</v>
          </cell>
          <cell r="B389">
            <v>40031</v>
          </cell>
          <cell r="C389" t="str">
            <v>Past</v>
          </cell>
          <cell r="D389">
            <v>44.09</v>
          </cell>
          <cell r="E389" t="e">
            <v>#N/A</v>
          </cell>
          <cell r="F389" t="e">
            <v>#N/A</v>
          </cell>
          <cell r="G389" t="e">
            <v>#N/A</v>
          </cell>
          <cell r="H389" t="e">
            <v>#N/A</v>
          </cell>
          <cell r="I389" t="e">
            <v>#N/A</v>
          </cell>
          <cell r="J389" t="e">
            <v>#N/A</v>
          </cell>
          <cell r="K389" t="e">
            <v>#N/A</v>
          </cell>
          <cell r="L389" t="e">
            <v>#N/A</v>
          </cell>
          <cell r="M389" t="e">
            <v>#N/A</v>
          </cell>
          <cell r="N389" t="e">
            <v>#N/A</v>
          </cell>
          <cell r="O389" t="e">
            <v>#N/A</v>
          </cell>
          <cell r="P389">
            <v>44.09</v>
          </cell>
          <cell r="Q389">
            <v>1.4793509999999999</v>
          </cell>
          <cell r="R389" t="e">
            <v>#N/A</v>
          </cell>
        </row>
        <row r="390">
          <cell r="A390">
            <v>40032</v>
          </cell>
          <cell r="B390">
            <v>40032</v>
          </cell>
          <cell r="C390" t="str">
            <v>Past</v>
          </cell>
          <cell r="D390">
            <v>45.23</v>
          </cell>
          <cell r="E390" t="e">
            <v>#N/A</v>
          </cell>
          <cell r="F390" t="e">
            <v>#N/A</v>
          </cell>
          <cell r="G390" t="e">
            <v>#N/A</v>
          </cell>
          <cell r="H390" t="e">
            <v>#N/A</v>
          </cell>
          <cell r="I390" t="e">
            <v>#N/A</v>
          </cell>
          <cell r="J390" t="e">
            <v>#N/A</v>
          </cell>
          <cell r="K390" t="e">
            <v>#N/A</v>
          </cell>
          <cell r="L390" t="e">
            <v>#N/A</v>
          </cell>
          <cell r="M390" t="e">
            <v>#N/A</v>
          </cell>
          <cell r="N390" t="e">
            <v>#N/A</v>
          </cell>
          <cell r="O390" t="e">
            <v>#N/A</v>
          </cell>
          <cell r="P390">
            <v>45.23</v>
          </cell>
          <cell r="Q390">
            <v>0.87159599999999993</v>
          </cell>
          <cell r="R390" t="e">
            <v>#N/A</v>
          </cell>
        </row>
        <row r="391">
          <cell r="A391">
            <v>40035</v>
          </cell>
          <cell r="B391">
            <v>40035</v>
          </cell>
          <cell r="C391" t="str">
            <v>Past</v>
          </cell>
          <cell r="D391">
            <v>44.55</v>
          </cell>
          <cell r="E391" t="e">
            <v>#N/A</v>
          </cell>
          <cell r="F391" t="e">
            <v>#N/A</v>
          </cell>
          <cell r="G391" t="e">
            <v>#N/A</v>
          </cell>
          <cell r="H391" t="e">
            <v>#N/A</v>
          </cell>
          <cell r="I391" t="e">
            <v>#N/A</v>
          </cell>
          <cell r="J391" t="e">
            <v>#N/A</v>
          </cell>
          <cell r="K391" t="e">
            <v>#N/A</v>
          </cell>
          <cell r="L391" t="e">
            <v>#N/A</v>
          </cell>
          <cell r="M391" t="e">
            <v>#N/A</v>
          </cell>
          <cell r="N391" t="e">
            <v>#N/A</v>
          </cell>
          <cell r="O391" t="e">
            <v>#N/A</v>
          </cell>
          <cell r="P391">
            <v>44.55</v>
          </cell>
          <cell r="Q391">
            <v>0.62007000000000001</v>
          </cell>
          <cell r="R391" t="e">
            <v>#N/A</v>
          </cell>
        </row>
        <row r="392">
          <cell r="A392">
            <v>40036</v>
          </cell>
          <cell r="B392">
            <v>40036</v>
          </cell>
          <cell r="C392" t="str">
            <v>Past</v>
          </cell>
          <cell r="D392">
            <v>43.89</v>
          </cell>
          <cell r="E392" t="e">
            <v>#N/A</v>
          </cell>
          <cell r="F392" t="e">
            <v>#N/A</v>
          </cell>
          <cell r="G392" t="e">
            <v>#N/A</v>
          </cell>
          <cell r="H392" t="e">
            <v>#N/A</v>
          </cell>
          <cell r="I392" t="e">
            <v>#N/A</v>
          </cell>
          <cell r="J392" t="e">
            <v>#N/A</v>
          </cell>
          <cell r="K392" t="e">
            <v>#N/A</v>
          </cell>
          <cell r="L392" t="e">
            <v>#N/A</v>
          </cell>
          <cell r="M392" t="e">
            <v>#N/A</v>
          </cell>
          <cell r="N392" t="e">
            <v>#N/A</v>
          </cell>
          <cell r="O392" t="e">
            <v>#N/A</v>
          </cell>
          <cell r="P392">
            <v>43.89</v>
          </cell>
          <cell r="Q392">
            <v>0.93275199999999991</v>
          </cell>
          <cell r="R392" t="e">
            <v>#N/A</v>
          </cell>
        </row>
        <row r="393">
          <cell r="A393">
            <v>40037</v>
          </cell>
          <cell r="B393">
            <v>40037</v>
          </cell>
          <cell r="C393" t="str">
            <v>Past</v>
          </cell>
          <cell r="D393">
            <v>45.32</v>
          </cell>
          <cell r="E393" t="e">
            <v>#N/A</v>
          </cell>
          <cell r="F393" t="e">
            <v>#N/A</v>
          </cell>
          <cell r="G393" t="e">
            <v>#N/A</v>
          </cell>
          <cell r="H393" t="e">
            <v>#N/A</v>
          </cell>
          <cell r="I393" t="e">
            <v>#N/A</v>
          </cell>
          <cell r="J393" t="e">
            <v>#N/A</v>
          </cell>
          <cell r="K393" t="e">
            <v>#N/A</v>
          </cell>
          <cell r="L393" t="e">
            <v>#N/A</v>
          </cell>
          <cell r="M393" t="e">
            <v>#N/A</v>
          </cell>
          <cell r="N393" t="e">
            <v>#N/A</v>
          </cell>
          <cell r="O393" t="e">
            <v>#N/A</v>
          </cell>
          <cell r="P393">
            <v>45.32</v>
          </cell>
          <cell r="Q393">
            <v>0.89216699999999993</v>
          </cell>
          <cell r="R393" t="e">
            <v>#N/A</v>
          </cell>
        </row>
        <row r="394">
          <cell r="A394">
            <v>40038</v>
          </cell>
          <cell r="B394">
            <v>40038</v>
          </cell>
          <cell r="C394" t="str">
            <v>Past</v>
          </cell>
          <cell r="D394">
            <v>44.24</v>
          </cell>
          <cell r="E394" t="e">
            <v>#N/A</v>
          </cell>
          <cell r="F394" t="e">
            <v>#N/A</v>
          </cell>
          <cell r="G394" t="e">
            <v>#N/A</v>
          </cell>
          <cell r="H394" t="e">
            <v>#N/A</v>
          </cell>
          <cell r="I394" t="e">
            <v>#N/A</v>
          </cell>
          <cell r="J394" t="e">
            <v>#N/A</v>
          </cell>
          <cell r="K394" t="e">
            <v>#N/A</v>
          </cell>
          <cell r="L394" t="e">
            <v>#N/A</v>
          </cell>
          <cell r="M394" t="e">
            <v>#N/A</v>
          </cell>
          <cell r="N394" t="e">
            <v>#N/A</v>
          </cell>
          <cell r="O394" t="e">
            <v>#N/A</v>
          </cell>
          <cell r="P394">
            <v>44.24</v>
          </cell>
          <cell r="Q394">
            <v>1.1771879999999999</v>
          </cell>
          <cell r="R394" t="e">
            <v>#N/A</v>
          </cell>
        </row>
        <row r="395">
          <cell r="A395">
            <v>40039</v>
          </cell>
          <cell r="B395">
            <v>40039</v>
          </cell>
          <cell r="C395" t="str">
            <v>Past</v>
          </cell>
          <cell r="D395">
            <v>43.76</v>
          </cell>
          <cell r="E395" t="e">
            <v>#N/A</v>
          </cell>
          <cell r="F395" t="e">
            <v>#N/A</v>
          </cell>
          <cell r="G395" t="e">
            <v>#N/A</v>
          </cell>
          <cell r="H395" t="e">
            <v>#N/A</v>
          </cell>
          <cell r="I395" t="e">
            <v>#N/A</v>
          </cell>
          <cell r="J395" t="e">
            <v>#N/A</v>
          </cell>
          <cell r="K395" t="e">
            <v>#N/A</v>
          </cell>
          <cell r="L395" t="e">
            <v>#N/A</v>
          </cell>
          <cell r="M395" t="e">
            <v>#N/A</v>
          </cell>
          <cell r="N395" t="e">
            <v>#N/A</v>
          </cell>
          <cell r="O395" t="e">
            <v>#N/A</v>
          </cell>
          <cell r="P395">
            <v>43.76</v>
          </cell>
          <cell r="Q395">
            <v>1.6624969999999999</v>
          </cell>
          <cell r="R395" t="e">
            <v>#N/A</v>
          </cell>
        </row>
        <row r="396">
          <cell r="A396">
            <v>40042</v>
          </cell>
          <cell r="B396">
            <v>40042</v>
          </cell>
          <cell r="C396" t="str">
            <v>Past</v>
          </cell>
          <cell r="D396">
            <v>42.69</v>
          </cell>
          <cell r="E396" t="e">
            <v>#N/A</v>
          </cell>
          <cell r="F396" t="e">
            <v>#N/A</v>
          </cell>
          <cell r="G396" t="e">
            <v>#N/A</v>
          </cell>
          <cell r="H396" t="e">
            <v>#N/A</v>
          </cell>
          <cell r="I396" t="e">
            <v>#N/A</v>
          </cell>
          <cell r="J396" t="e">
            <v>#N/A</v>
          </cell>
          <cell r="K396" t="e">
            <v>#N/A</v>
          </cell>
          <cell r="L396" t="e">
            <v>#N/A</v>
          </cell>
          <cell r="M396" t="e">
            <v>#N/A</v>
          </cell>
          <cell r="N396" t="e">
            <v>#N/A</v>
          </cell>
          <cell r="O396" t="e">
            <v>#N/A</v>
          </cell>
          <cell r="P396">
            <v>42.69</v>
          </cell>
          <cell r="Q396">
            <v>0.94399000000000011</v>
          </cell>
          <cell r="R396" t="e">
            <v>#N/A</v>
          </cell>
        </row>
        <row r="397">
          <cell r="A397">
            <v>40043</v>
          </cell>
          <cell r="B397">
            <v>40043</v>
          </cell>
          <cell r="C397" t="str">
            <v>Past</v>
          </cell>
          <cell r="D397">
            <v>42.98</v>
          </cell>
          <cell r="E397" t="e">
            <v>#N/A</v>
          </cell>
          <cell r="F397" t="e">
            <v>#N/A</v>
          </cell>
          <cell r="G397" t="e">
            <v>#N/A</v>
          </cell>
          <cell r="H397" t="e">
            <v>#N/A</v>
          </cell>
          <cell r="I397" t="e">
            <v>#N/A</v>
          </cell>
          <cell r="J397" t="e">
            <v>#N/A</v>
          </cell>
          <cell r="K397" t="e">
            <v>#N/A</v>
          </cell>
          <cell r="L397" t="e">
            <v>#N/A</v>
          </cell>
          <cell r="M397" t="e">
            <v>#N/A</v>
          </cell>
          <cell r="N397" t="e">
            <v>#N/A</v>
          </cell>
          <cell r="O397" t="e">
            <v>#N/A</v>
          </cell>
          <cell r="P397">
            <v>42.98</v>
          </cell>
          <cell r="Q397">
            <v>0.75176799999999999</v>
          </cell>
          <cell r="R397" t="e">
            <v>#N/A</v>
          </cell>
        </row>
        <row r="398">
          <cell r="A398">
            <v>40044</v>
          </cell>
          <cell r="B398">
            <v>40044</v>
          </cell>
          <cell r="C398" t="str">
            <v>Past</v>
          </cell>
          <cell r="D398">
            <v>42.6</v>
          </cell>
          <cell r="E398" t="e">
            <v>#N/A</v>
          </cell>
          <cell r="F398" t="e">
            <v>#N/A</v>
          </cell>
          <cell r="G398" t="e">
            <v>#N/A</v>
          </cell>
          <cell r="H398" t="e">
            <v>#N/A</v>
          </cell>
          <cell r="I398" t="e">
            <v>#N/A</v>
          </cell>
          <cell r="J398" t="e">
            <v>#N/A</v>
          </cell>
          <cell r="K398" t="e">
            <v>#N/A</v>
          </cell>
          <cell r="L398" t="e">
            <v>#N/A</v>
          </cell>
          <cell r="M398" t="e">
            <v>#N/A</v>
          </cell>
          <cell r="N398" t="e">
            <v>#N/A</v>
          </cell>
          <cell r="O398" t="e">
            <v>#N/A</v>
          </cell>
          <cell r="P398">
            <v>42.6</v>
          </cell>
          <cell r="Q398">
            <v>1.1943000000000001</v>
          </cell>
          <cell r="R398" t="e">
            <v>#N/A</v>
          </cell>
        </row>
        <row r="399">
          <cell r="A399">
            <v>40045</v>
          </cell>
          <cell r="B399">
            <v>40045</v>
          </cell>
          <cell r="C399" t="str">
            <v>Past</v>
          </cell>
          <cell r="D399">
            <v>43.21</v>
          </cell>
          <cell r="E399" t="e">
            <v>#N/A</v>
          </cell>
          <cell r="F399" t="e">
            <v>#N/A</v>
          </cell>
          <cell r="G399" t="e">
            <v>#N/A</v>
          </cell>
          <cell r="H399" t="e">
            <v>#N/A</v>
          </cell>
          <cell r="I399" t="e">
            <v>#N/A</v>
          </cell>
          <cell r="J399" t="e">
            <v>#N/A</v>
          </cell>
          <cell r="K399" t="e">
            <v>#N/A</v>
          </cell>
          <cell r="L399" t="e">
            <v>#N/A</v>
          </cell>
          <cell r="M399" t="e">
            <v>#N/A</v>
          </cell>
          <cell r="N399" t="e">
            <v>#N/A</v>
          </cell>
          <cell r="O399" t="e">
            <v>#N/A</v>
          </cell>
          <cell r="P399">
            <v>43.21</v>
          </cell>
          <cell r="Q399">
            <v>1.0741369999999999</v>
          </cell>
          <cell r="R399" t="e">
            <v>#N/A</v>
          </cell>
        </row>
        <row r="400">
          <cell r="A400">
            <v>40046</v>
          </cell>
          <cell r="B400">
            <v>40046</v>
          </cell>
          <cell r="C400" t="str">
            <v>Past</v>
          </cell>
          <cell r="D400">
            <v>44.4</v>
          </cell>
          <cell r="E400" t="e">
            <v>#N/A</v>
          </cell>
          <cell r="F400" t="e">
            <v>#N/A</v>
          </cell>
          <cell r="G400" t="e">
            <v>#N/A</v>
          </cell>
          <cell r="H400" t="e">
            <v>#N/A</v>
          </cell>
          <cell r="I400" t="e">
            <v>#N/A</v>
          </cell>
          <cell r="J400" t="e">
            <v>#N/A</v>
          </cell>
          <cell r="K400" t="e">
            <v>#N/A</v>
          </cell>
          <cell r="L400" t="e">
            <v>#N/A</v>
          </cell>
          <cell r="M400" t="e">
            <v>#N/A</v>
          </cell>
          <cell r="N400" t="e">
            <v>#N/A</v>
          </cell>
          <cell r="O400" t="e">
            <v>#N/A</v>
          </cell>
          <cell r="P400">
            <v>44.4</v>
          </cell>
          <cell r="Q400">
            <v>0.76256099999999993</v>
          </cell>
          <cell r="R400" t="e">
            <v>#N/A</v>
          </cell>
        </row>
        <row r="401">
          <cell r="A401">
            <v>40049</v>
          </cell>
          <cell r="B401">
            <v>40049</v>
          </cell>
          <cell r="C401" t="str">
            <v>Past</v>
          </cell>
          <cell r="D401">
            <v>44.76</v>
          </cell>
          <cell r="E401" t="e">
            <v>#N/A</v>
          </cell>
          <cell r="F401" t="e">
            <v>#N/A</v>
          </cell>
          <cell r="G401" t="e">
            <v>#N/A</v>
          </cell>
          <cell r="H401" t="e">
            <v>#N/A</v>
          </cell>
          <cell r="I401" t="e">
            <v>#N/A</v>
          </cell>
          <cell r="J401" t="e">
            <v>#N/A</v>
          </cell>
          <cell r="K401" t="e">
            <v>#N/A</v>
          </cell>
          <cell r="L401" t="e">
            <v>#N/A</v>
          </cell>
          <cell r="M401" t="e">
            <v>#N/A</v>
          </cell>
          <cell r="N401" t="e">
            <v>#N/A</v>
          </cell>
          <cell r="O401" t="e">
            <v>#N/A</v>
          </cell>
          <cell r="P401">
            <v>44.76</v>
          </cell>
          <cell r="Q401">
            <v>1.1344159999999999</v>
          </cell>
          <cell r="R401" t="e">
            <v>#N/A</v>
          </cell>
        </row>
        <row r="402">
          <cell r="A402">
            <v>40050</v>
          </cell>
          <cell r="B402">
            <v>40050</v>
          </cell>
          <cell r="C402" t="str">
            <v>Past</v>
          </cell>
          <cell r="D402">
            <v>45.06</v>
          </cell>
          <cell r="E402" t="e">
            <v>#N/A</v>
          </cell>
          <cell r="F402" t="e">
            <v>#N/A</v>
          </cell>
          <cell r="G402" t="e">
            <v>#N/A</v>
          </cell>
          <cell r="H402" t="e">
            <v>#N/A</v>
          </cell>
          <cell r="I402" t="e">
            <v>#N/A</v>
          </cell>
          <cell r="J402" t="e">
            <v>#N/A</v>
          </cell>
          <cell r="K402" t="e">
            <v>#N/A</v>
          </cell>
          <cell r="L402" t="e">
            <v>#N/A</v>
          </cell>
          <cell r="M402" t="e">
            <v>#N/A</v>
          </cell>
          <cell r="N402" t="e">
            <v>#N/A</v>
          </cell>
          <cell r="O402" t="e">
            <v>#N/A</v>
          </cell>
          <cell r="P402">
            <v>45.06</v>
          </cell>
          <cell r="Q402">
            <v>1.2374669999999999</v>
          </cell>
          <cell r="R402" t="e">
            <v>#N/A</v>
          </cell>
        </row>
        <row r="403">
          <cell r="A403">
            <v>40051</v>
          </cell>
          <cell r="B403">
            <v>40051</v>
          </cell>
          <cell r="C403" t="str">
            <v>Past</v>
          </cell>
          <cell r="D403">
            <v>44.99</v>
          </cell>
          <cell r="E403" t="e">
            <v>#N/A</v>
          </cell>
          <cell r="F403" t="e">
            <v>#N/A</v>
          </cell>
          <cell r="G403" t="e">
            <v>#N/A</v>
          </cell>
          <cell r="H403" t="e">
            <v>#N/A</v>
          </cell>
          <cell r="I403" t="e">
            <v>#N/A</v>
          </cell>
          <cell r="J403" t="e">
            <v>#N/A</v>
          </cell>
          <cell r="K403" t="e">
            <v>#N/A</v>
          </cell>
          <cell r="L403" t="e">
            <v>#N/A</v>
          </cell>
          <cell r="M403" t="e">
            <v>#N/A</v>
          </cell>
          <cell r="N403" t="e">
            <v>#N/A</v>
          </cell>
          <cell r="O403" t="e">
            <v>#N/A</v>
          </cell>
          <cell r="P403">
            <v>44.99</v>
          </cell>
          <cell r="Q403">
            <v>0.85366599999999992</v>
          </cell>
          <cell r="R403" t="e">
            <v>#N/A</v>
          </cell>
        </row>
        <row r="404">
          <cell r="A404">
            <v>40052</v>
          </cell>
          <cell r="B404">
            <v>40052</v>
          </cell>
          <cell r="C404" t="str">
            <v>Past</v>
          </cell>
          <cell r="D404">
            <v>46.53</v>
          </cell>
          <cell r="E404" t="e">
            <v>#N/A</v>
          </cell>
          <cell r="F404" t="e">
            <v>#N/A</v>
          </cell>
          <cell r="G404" t="e">
            <v>#N/A</v>
          </cell>
          <cell r="H404" t="e">
            <v>#N/A</v>
          </cell>
          <cell r="I404" t="e">
            <v>#N/A</v>
          </cell>
          <cell r="J404" t="e">
            <v>#N/A</v>
          </cell>
          <cell r="K404" t="e">
            <v>#N/A</v>
          </cell>
          <cell r="L404" t="e">
            <v>#N/A</v>
          </cell>
          <cell r="M404" t="e">
            <v>#N/A</v>
          </cell>
          <cell r="N404" t="e">
            <v>#N/A</v>
          </cell>
          <cell r="O404" t="e">
            <v>#N/A</v>
          </cell>
          <cell r="P404">
            <v>46.53</v>
          </cell>
          <cell r="Q404">
            <v>1.4525800000000002</v>
          </cell>
          <cell r="R404" t="e">
            <v>#N/A</v>
          </cell>
        </row>
        <row r="405">
          <cell r="A405">
            <v>40053</v>
          </cell>
          <cell r="B405">
            <v>40053</v>
          </cell>
          <cell r="C405" t="str">
            <v>Past</v>
          </cell>
          <cell r="D405">
            <v>46.3</v>
          </cell>
          <cell r="E405" t="e">
            <v>#N/A</v>
          </cell>
          <cell r="F405" t="e">
            <v>#N/A</v>
          </cell>
          <cell r="G405" t="e">
            <v>#N/A</v>
          </cell>
          <cell r="H405" t="e">
            <v>#N/A</v>
          </cell>
          <cell r="I405" t="e">
            <v>#N/A</v>
          </cell>
          <cell r="J405" t="e">
            <v>#N/A</v>
          </cell>
          <cell r="K405" t="e">
            <v>#N/A</v>
          </cell>
          <cell r="L405" t="e">
            <v>#N/A</v>
          </cell>
          <cell r="M405" t="e">
            <v>#N/A</v>
          </cell>
          <cell r="N405" t="e">
            <v>#N/A</v>
          </cell>
          <cell r="O405" t="e">
            <v>#N/A</v>
          </cell>
          <cell r="P405">
            <v>46.3</v>
          </cell>
          <cell r="Q405">
            <v>0.83061200000000002</v>
          </cell>
          <cell r="R405" t="e">
            <v>#N/A</v>
          </cell>
        </row>
        <row r="406">
          <cell r="A406">
            <v>40056</v>
          </cell>
          <cell r="B406">
            <v>40056</v>
          </cell>
          <cell r="C406" t="str">
            <v>Past</v>
          </cell>
          <cell r="D406">
            <v>46.04</v>
          </cell>
          <cell r="E406" t="e">
            <v>#N/A</v>
          </cell>
          <cell r="F406" t="e">
            <v>#N/A</v>
          </cell>
          <cell r="G406" t="e">
            <v>#N/A</v>
          </cell>
          <cell r="H406" t="e">
            <v>#N/A</v>
          </cell>
          <cell r="I406" t="e">
            <v>#N/A</v>
          </cell>
          <cell r="J406" t="e">
            <v>#N/A</v>
          </cell>
          <cell r="K406" t="e">
            <v>#N/A</v>
          </cell>
          <cell r="L406" t="e">
            <v>#N/A</v>
          </cell>
          <cell r="M406" t="e">
            <v>#N/A</v>
          </cell>
          <cell r="N406" t="e">
            <v>#N/A</v>
          </cell>
          <cell r="O406" t="e">
            <v>#N/A</v>
          </cell>
          <cell r="P406">
            <v>46.04</v>
          </cell>
          <cell r="Q406">
            <v>0.78754399999999991</v>
          </cell>
          <cell r="R406" t="e">
            <v>#N/A</v>
          </cell>
        </row>
        <row r="407">
          <cell r="A407">
            <v>40057</v>
          </cell>
          <cell r="B407">
            <v>40057</v>
          </cell>
          <cell r="C407" t="str">
            <v>Past</v>
          </cell>
          <cell r="D407">
            <v>45.7</v>
          </cell>
          <cell r="E407" t="e">
            <v>#N/A</v>
          </cell>
          <cell r="F407" t="e">
            <v>#N/A</v>
          </cell>
          <cell r="G407" t="e">
            <v>#N/A</v>
          </cell>
          <cell r="H407" t="e">
            <v>#N/A</v>
          </cell>
          <cell r="I407" t="e">
            <v>#N/A</v>
          </cell>
          <cell r="J407" t="e">
            <v>#N/A</v>
          </cell>
          <cell r="K407" t="e">
            <v>#N/A</v>
          </cell>
          <cell r="L407" t="e">
            <v>#N/A</v>
          </cell>
          <cell r="M407" t="e">
            <v>#N/A</v>
          </cell>
          <cell r="N407" t="e">
            <v>#N/A</v>
          </cell>
          <cell r="O407" t="e">
            <v>#N/A</v>
          </cell>
          <cell r="P407">
            <v>45.7</v>
          </cell>
          <cell r="Q407">
            <v>1.3501859999999999</v>
          </cell>
          <cell r="R407" t="e">
            <v>#N/A</v>
          </cell>
        </row>
        <row r="408">
          <cell r="A408">
            <v>40058</v>
          </cell>
          <cell r="B408">
            <v>40058</v>
          </cell>
          <cell r="C408" t="str">
            <v>Past</v>
          </cell>
          <cell r="D408">
            <v>45.46</v>
          </cell>
          <cell r="E408" t="e">
            <v>#N/A</v>
          </cell>
          <cell r="F408" t="e">
            <v>#N/A</v>
          </cell>
          <cell r="G408" t="e">
            <v>#N/A</v>
          </cell>
          <cell r="H408" t="e">
            <v>#N/A</v>
          </cell>
          <cell r="I408" t="e">
            <v>#N/A</v>
          </cell>
          <cell r="J408" t="e">
            <v>#N/A</v>
          </cell>
          <cell r="K408" t="e">
            <v>#N/A</v>
          </cell>
          <cell r="L408" t="e">
            <v>#N/A</v>
          </cell>
          <cell r="M408" t="e">
            <v>#N/A</v>
          </cell>
          <cell r="N408" t="e">
            <v>#N/A</v>
          </cell>
          <cell r="O408" t="e">
            <v>#N/A</v>
          </cell>
          <cell r="P408">
            <v>45.46</v>
          </cell>
          <cell r="Q408">
            <v>1.899551</v>
          </cell>
          <cell r="R408" t="e">
            <v>#N/A</v>
          </cell>
        </row>
        <row r="409">
          <cell r="A409">
            <v>40059</v>
          </cell>
          <cell r="B409">
            <v>40059</v>
          </cell>
          <cell r="C409" t="str">
            <v>Past</v>
          </cell>
          <cell r="D409">
            <v>45.21</v>
          </cell>
          <cell r="E409" t="e">
            <v>#N/A</v>
          </cell>
          <cell r="F409" t="e">
            <v>#N/A</v>
          </cell>
          <cell r="G409" t="e">
            <v>#N/A</v>
          </cell>
          <cell r="H409" t="e">
            <v>#N/A</v>
          </cell>
          <cell r="I409" t="e">
            <v>#N/A</v>
          </cell>
          <cell r="J409" t="e">
            <v>#N/A</v>
          </cell>
          <cell r="K409" t="e">
            <v>#N/A</v>
          </cell>
          <cell r="L409" t="e">
            <v>#N/A</v>
          </cell>
          <cell r="M409" t="e">
            <v>#N/A</v>
          </cell>
          <cell r="N409" t="e">
            <v>#N/A</v>
          </cell>
          <cell r="O409" t="e">
            <v>#N/A</v>
          </cell>
          <cell r="P409">
            <v>45.21</v>
          </cell>
          <cell r="Q409">
            <v>1.3078259999999999</v>
          </cell>
          <cell r="R409" t="e">
            <v>#N/A</v>
          </cell>
        </row>
        <row r="410">
          <cell r="A410">
            <v>40060</v>
          </cell>
          <cell r="B410">
            <v>40060</v>
          </cell>
          <cell r="C410" t="str">
            <v>Past</v>
          </cell>
          <cell r="D410">
            <v>46.25</v>
          </cell>
          <cell r="E410" t="e">
            <v>#N/A</v>
          </cell>
          <cell r="F410" t="e">
            <v>#N/A</v>
          </cell>
          <cell r="G410" t="e">
            <v>#N/A</v>
          </cell>
          <cell r="H410" t="e">
            <v>#N/A</v>
          </cell>
          <cell r="I410" t="e">
            <v>#N/A</v>
          </cell>
          <cell r="J410" t="e">
            <v>#N/A</v>
          </cell>
          <cell r="K410" t="e">
            <v>#N/A</v>
          </cell>
          <cell r="L410" t="e">
            <v>#N/A</v>
          </cell>
          <cell r="M410" t="e">
            <v>#N/A</v>
          </cell>
          <cell r="N410" t="e">
            <v>#N/A</v>
          </cell>
          <cell r="O410" t="e">
            <v>#N/A</v>
          </cell>
          <cell r="P410">
            <v>46.25</v>
          </cell>
          <cell r="Q410">
            <v>1.049628</v>
          </cell>
          <cell r="R410" t="e">
            <v>#N/A</v>
          </cell>
        </row>
        <row r="411">
          <cell r="A411">
            <v>40064</v>
          </cell>
          <cell r="B411">
            <v>40064</v>
          </cell>
          <cell r="C411" t="str">
            <v>Past</v>
          </cell>
          <cell r="D411">
            <v>46.98</v>
          </cell>
          <cell r="E411" t="e">
            <v>#N/A</v>
          </cell>
          <cell r="F411" t="e">
            <v>#N/A</v>
          </cell>
          <cell r="G411" t="e">
            <v>#N/A</v>
          </cell>
          <cell r="H411" t="e">
            <v>#N/A</v>
          </cell>
          <cell r="I411" t="e">
            <v>#N/A</v>
          </cell>
          <cell r="J411" t="e">
            <v>#N/A</v>
          </cell>
          <cell r="K411" t="e">
            <v>#N/A</v>
          </cell>
          <cell r="L411" t="e">
            <v>#N/A</v>
          </cell>
          <cell r="M411" t="e">
            <v>#N/A</v>
          </cell>
          <cell r="N411" t="e">
            <v>#N/A</v>
          </cell>
          <cell r="O411" t="e">
            <v>#N/A</v>
          </cell>
          <cell r="P411">
            <v>46.98</v>
          </cell>
          <cell r="Q411">
            <v>1.187295</v>
          </cell>
          <cell r="R411" t="e">
            <v>#N/A</v>
          </cell>
        </row>
        <row r="412">
          <cell r="A412">
            <v>40065</v>
          </cell>
          <cell r="B412">
            <v>40065</v>
          </cell>
          <cell r="C412" t="str">
            <v>Past</v>
          </cell>
          <cell r="D412">
            <v>47.3</v>
          </cell>
          <cell r="E412" t="e">
            <v>#N/A</v>
          </cell>
          <cell r="F412" t="e">
            <v>#N/A</v>
          </cell>
          <cell r="G412" t="e">
            <v>#N/A</v>
          </cell>
          <cell r="H412" t="e">
            <v>#N/A</v>
          </cell>
          <cell r="I412" t="e">
            <v>#N/A</v>
          </cell>
          <cell r="J412" t="e">
            <v>#N/A</v>
          </cell>
          <cell r="K412" t="e">
            <v>#N/A</v>
          </cell>
          <cell r="L412" t="e">
            <v>#N/A</v>
          </cell>
          <cell r="M412" t="e">
            <v>#N/A</v>
          </cell>
          <cell r="N412" t="e">
            <v>#N/A</v>
          </cell>
          <cell r="O412" t="e">
            <v>#N/A</v>
          </cell>
          <cell r="P412">
            <v>47.3</v>
          </cell>
          <cell r="Q412">
            <v>0.80767199999999995</v>
          </cell>
          <cell r="R412" t="e">
            <v>#N/A</v>
          </cell>
        </row>
        <row r="413">
          <cell r="A413">
            <v>40066</v>
          </cell>
          <cell r="B413">
            <v>40066</v>
          </cell>
          <cell r="C413" t="str">
            <v>Past</v>
          </cell>
          <cell r="D413">
            <v>48</v>
          </cell>
          <cell r="E413" t="e">
            <v>#N/A</v>
          </cell>
          <cell r="F413" t="e">
            <v>#N/A</v>
          </cell>
          <cell r="G413" t="e">
            <v>#N/A</v>
          </cell>
          <cell r="H413" t="e">
            <v>#N/A</v>
          </cell>
          <cell r="I413" t="e">
            <v>#N/A</v>
          </cell>
          <cell r="J413" t="e">
            <v>#N/A</v>
          </cell>
          <cell r="K413" t="e">
            <v>#N/A</v>
          </cell>
          <cell r="L413" t="e">
            <v>#N/A</v>
          </cell>
          <cell r="M413" t="e">
            <v>#N/A</v>
          </cell>
          <cell r="N413" t="e">
            <v>#N/A</v>
          </cell>
          <cell r="O413" t="e">
            <v>#N/A</v>
          </cell>
          <cell r="P413">
            <v>48</v>
          </cell>
          <cell r="Q413">
            <v>1.0735440000000001</v>
          </cell>
          <cell r="R413" t="e">
            <v>#N/A</v>
          </cell>
        </row>
        <row r="414">
          <cell r="A414">
            <v>40067</v>
          </cell>
          <cell r="B414">
            <v>40067</v>
          </cell>
          <cell r="C414" t="str">
            <v>Past</v>
          </cell>
          <cell r="D414">
            <v>48.57</v>
          </cell>
          <cell r="E414" t="e">
            <v>#N/A</v>
          </cell>
          <cell r="F414" t="e">
            <v>#N/A</v>
          </cell>
          <cell r="G414" t="e">
            <v>#N/A</v>
          </cell>
          <cell r="H414" t="e">
            <v>#N/A</v>
          </cell>
          <cell r="I414" t="e">
            <v>#N/A</v>
          </cell>
          <cell r="J414" t="e">
            <v>#N/A</v>
          </cell>
          <cell r="K414" t="e">
            <v>#N/A</v>
          </cell>
          <cell r="L414" t="e">
            <v>#N/A</v>
          </cell>
          <cell r="M414" t="e">
            <v>#N/A</v>
          </cell>
          <cell r="N414" t="e">
            <v>#N/A</v>
          </cell>
          <cell r="O414" t="e">
            <v>#N/A</v>
          </cell>
          <cell r="P414">
            <v>48.57</v>
          </cell>
          <cell r="Q414">
            <v>1.183524</v>
          </cell>
          <cell r="R414" t="e">
            <v>#N/A</v>
          </cell>
        </row>
        <row r="415">
          <cell r="A415">
            <v>40070</v>
          </cell>
          <cell r="B415">
            <v>40070</v>
          </cell>
          <cell r="C415" t="str">
            <v>Past</v>
          </cell>
          <cell r="D415">
            <v>48.52</v>
          </cell>
          <cell r="E415" t="e">
            <v>#N/A</v>
          </cell>
          <cell r="F415" t="e">
            <v>#N/A</v>
          </cell>
          <cell r="G415" t="e">
            <v>#N/A</v>
          </cell>
          <cell r="H415" t="e">
            <v>#N/A</v>
          </cell>
          <cell r="I415" t="e">
            <v>#N/A</v>
          </cell>
          <cell r="J415" t="e">
            <v>#N/A</v>
          </cell>
          <cell r="K415" t="e">
            <v>#N/A</v>
          </cell>
          <cell r="L415" t="e">
            <v>#N/A</v>
          </cell>
          <cell r="M415" t="e">
            <v>#N/A</v>
          </cell>
          <cell r="N415" t="e">
            <v>#N/A</v>
          </cell>
          <cell r="O415" t="e">
            <v>#N/A</v>
          </cell>
          <cell r="P415">
            <v>48.52</v>
          </cell>
          <cell r="Q415">
            <v>1.076317</v>
          </cell>
          <cell r="R415" t="e">
            <v>#N/A</v>
          </cell>
        </row>
        <row r="416">
          <cell r="A416">
            <v>40071</v>
          </cell>
          <cell r="B416">
            <v>40071</v>
          </cell>
          <cell r="C416" t="str">
            <v>Past</v>
          </cell>
          <cell r="D416">
            <v>48.62</v>
          </cell>
          <cell r="E416" t="e">
            <v>#N/A</v>
          </cell>
          <cell r="F416" t="e">
            <v>#N/A</v>
          </cell>
          <cell r="G416" t="e">
            <v>#N/A</v>
          </cell>
          <cell r="H416" t="e">
            <v>#N/A</v>
          </cell>
          <cell r="I416" t="e">
            <v>#N/A</v>
          </cell>
          <cell r="J416" t="e">
            <v>#N/A</v>
          </cell>
          <cell r="K416" t="e">
            <v>#N/A</v>
          </cell>
          <cell r="L416" t="e">
            <v>#N/A</v>
          </cell>
          <cell r="M416" t="e">
            <v>#N/A</v>
          </cell>
          <cell r="N416" t="e">
            <v>#N/A</v>
          </cell>
          <cell r="O416" t="e">
            <v>#N/A</v>
          </cell>
          <cell r="P416">
            <v>48.62</v>
          </cell>
          <cell r="Q416">
            <v>1.2912509999999999</v>
          </cell>
          <cell r="R416" t="e">
            <v>#N/A</v>
          </cell>
        </row>
        <row r="417">
          <cell r="A417">
            <v>40072</v>
          </cell>
          <cell r="B417">
            <v>40072</v>
          </cell>
          <cell r="C417" t="str">
            <v>Past</v>
          </cell>
          <cell r="D417">
            <v>48.74</v>
          </cell>
          <cell r="E417" t="e">
            <v>#N/A</v>
          </cell>
          <cell r="F417" t="e">
            <v>#N/A</v>
          </cell>
          <cell r="G417" t="e">
            <v>#N/A</v>
          </cell>
          <cell r="H417" t="e">
            <v>#N/A</v>
          </cell>
          <cell r="I417" t="e">
            <v>#N/A</v>
          </cell>
          <cell r="J417" t="e">
            <v>#N/A</v>
          </cell>
          <cell r="K417" t="e">
            <v>#N/A</v>
          </cell>
          <cell r="L417" t="e">
            <v>#N/A</v>
          </cell>
          <cell r="M417" t="e">
            <v>#N/A</v>
          </cell>
          <cell r="N417" t="e">
            <v>#N/A</v>
          </cell>
          <cell r="O417" t="e">
            <v>#N/A</v>
          </cell>
          <cell r="P417">
            <v>48.74</v>
          </cell>
          <cell r="Q417">
            <v>1.2986169999999999</v>
          </cell>
          <cell r="R417" t="e">
            <v>#N/A</v>
          </cell>
        </row>
        <row r="418">
          <cell r="A418">
            <v>40073</v>
          </cell>
          <cell r="B418">
            <v>40073</v>
          </cell>
          <cell r="C418" t="str">
            <v>Past</v>
          </cell>
          <cell r="D418">
            <v>50.58</v>
          </cell>
          <cell r="E418" t="e">
            <v>#N/A</v>
          </cell>
          <cell r="F418" t="e">
            <v>#N/A</v>
          </cell>
          <cell r="G418" t="e">
            <v>#N/A</v>
          </cell>
          <cell r="H418" t="e">
            <v>#N/A</v>
          </cell>
          <cell r="I418" t="e">
            <v>#N/A</v>
          </cell>
          <cell r="J418" t="e">
            <v>#N/A</v>
          </cell>
          <cell r="K418" t="e">
            <v>#N/A</v>
          </cell>
          <cell r="L418" t="e">
            <v>#N/A</v>
          </cell>
          <cell r="M418" t="e">
            <v>#N/A</v>
          </cell>
          <cell r="N418" t="e">
            <v>#N/A</v>
          </cell>
          <cell r="O418" t="e">
            <v>#N/A</v>
          </cell>
          <cell r="P418">
            <v>50.58</v>
          </cell>
          <cell r="Q418">
            <v>2.638166</v>
          </cell>
          <cell r="R418" t="e">
            <v>#N/A</v>
          </cell>
        </row>
        <row r="419">
          <cell r="A419">
            <v>40074</v>
          </cell>
          <cell r="B419">
            <v>40074</v>
          </cell>
          <cell r="C419" t="str">
            <v>Past</v>
          </cell>
          <cell r="D419">
            <v>51.1</v>
          </cell>
          <cell r="E419" t="e">
            <v>#N/A</v>
          </cell>
          <cell r="F419" t="e">
            <v>#N/A</v>
          </cell>
          <cell r="G419" t="e">
            <v>#N/A</v>
          </cell>
          <cell r="H419" t="e">
            <v>#N/A</v>
          </cell>
          <cell r="I419" t="e">
            <v>#N/A</v>
          </cell>
          <cell r="J419" t="e">
            <v>#N/A</v>
          </cell>
          <cell r="K419" t="e">
            <v>#N/A</v>
          </cell>
          <cell r="L419" t="e">
            <v>#N/A</v>
          </cell>
          <cell r="M419" t="e">
            <v>#N/A</v>
          </cell>
          <cell r="N419" t="e">
            <v>#N/A</v>
          </cell>
          <cell r="O419" t="e">
            <v>#N/A</v>
          </cell>
          <cell r="P419">
            <v>51.1</v>
          </cell>
          <cell r="Q419">
            <v>1.7797829999999999</v>
          </cell>
          <cell r="R419" t="e">
            <v>#N/A</v>
          </cell>
        </row>
        <row r="420">
          <cell r="A420">
            <v>40077</v>
          </cell>
          <cell r="B420">
            <v>40077</v>
          </cell>
          <cell r="C420" t="str">
            <v>Past</v>
          </cell>
          <cell r="D420">
            <v>50.7</v>
          </cell>
          <cell r="E420" t="e">
            <v>#N/A</v>
          </cell>
          <cell r="F420" t="e">
            <v>#N/A</v>
          </cell>
          <cell r="G420" t="e">
            <v>#N/A</v>
          </cell>
          <cell r="H420" t="e">
            <v>#N/A</v>
          </cell>
          <cell r="I420" t="e">
            <v>#N/A</v>
          </cell>
          <cell r="J420" t="e">
            <v>#N/A</v>
          </cell>
          <cell r="K420" t="e">
            <v>#N/A</v>
          </cell>
          <cell r="L420" t="e">
            <v>#N/A</v>
          </cell>
          <cell r="M420" t="e">
            <v>#N/A</v>
          </cell>
          <cell r="N420" t="e">
            <v>#N/A</v>
          </cell>
          <cell r="O420" t="e">
            <v>#N/A</v>
          </cell>
          <cell r="P420">
            <v>50.7</v>
          </cell>
          <cell r="Q420">
            <v>0.85854699999999995</v>
          </cell>
          <cell r="R420" t="e">
            <v>#N/A</v>
          </cell>
        </row>
        <row r="421">
          <cell r="A421">
            <v>40078</v>
          </cell>
          <cell r="B421">
            <v>40078</v>
          </cell>
          <cell r="C421" t="str">
            <v>Past</v>
          </cell>
          <cell r="D421">
            <v>51.14</v>
          </cell>
          <cell r="E421" t="e">
            <v>#N/A</v>
          </cell>
          <cell r="F421" t="e">
            <v>#N/A</v>
          </cell>
          <cell r="G421" t="e">
            <v>#N/A</v>
          </cell>
          <cell r="H421" t="e">
            <v>#N/A</v>
          </cell>
          <cell r="I421" t="e">
            <v>#N/A</v>
          </cell>
          <cell r="J421" t="e">
            <v>#N/A</v>
          </cell>
          <cell r="K421" t="e">
            <v>#N/A</v>
          </cell>
          <cell r="L421" t="e">
            <v>#N/A</v>
          </cell>
          <cell r="M421" t="e">
            <v>#N/A</v>
          </cell>
          <cell r="N421" t="e">
            <v>#N/A</v>
          </cell>
          <cell r="O421" t="e">
            <v>#N/A</v>
          </cell>
          <cell r="P421">
            <v>51.14</v>
          </cell>
          <cell r="Q421">
            <v>0.74488599999999994</v>
          </cell>
          <cell r="R421" t="e">
            <v>#N/A</v>
          </cell>
        </row>
        <row r="422">
          <cell r="A422">
            <v>40079</v>
          </cell>
          <cell r="B422">
            <v>40079</v>
          </cell>
          <cell r="C422" t="str">
            <v>Past</v>
          </cell>
          <cell r="D422">
            <v>50.38</v>
          </cell>
          <cell r="E422" t="e">
            <v>#N/A</v>
          </cell>
          <cell r="F422" t="e">
            <v>#N/A</v>
          </cell>
          <cell r="G422" t="e">
            <v>#N/A</v>
          </cell>
          <cell r="H422" t="e">
            <v>#N/A</v>
          </cell>
          <cell r="I422" t="e">
            <v>#N/A</v>
          </cell>
          <cell r="J422" t="e">
            <v>#N/A</v>
          </cell>
          <cell r="K422" t="e">
            <v>#N/A</v>
          </cell>
          <cell r="L422" t="e">
            <v>#N/A</v>
          </cell>
          <cell r="M422" t="e">
            <v>#N/A</v>
          </cell>
          <cell r="N422" t="e">
            <v>#N/A</v>
          </cell>
          <cell r="O422" t="e">
            <v>#N/A</v>
          </cell>
          <cell r="P422">
            <v>50.38</v>
          </cell>
          <cell r="Q422">
            <v>0.68732499999999996</v>
          </cell>
          <cell r="R422" t="e">
            <v>#N/A</v>
          </cell>
        </row>
        <row r="423">
          <cell r="A423">
            <v>40080</v>
          </cell>
          <cell r="B423">
            <v>40080</v>
          </cell>
          <cell r="C423" t="str">
            <v>Past</v>
          </cell>
          <cell r="D423">
            <v>49.79</v>
          </cell>
          <cell r="E423" t="e">
            <v>#N/A</v>
          </cell>
          <cell r="F423" t="e">
            <v>#N/A</v>
          </cell>
          <cell r="G423" t="e">
            <v>#N/A</v>
          </cell>
          <cell r="H423" t="e">
            <v>#N/A</v>
          </cell>
          <cell r="I423" t="e">
            <v>#N/A</v>
          </cell>
          <cell r="J423" t="e">
            <v>#N/A</v>
          </cell>
          <cell r="K423" t="e">
            <v>#N/A</v>
          </cell>
          <cell r="L423" t="e">
            <v>#N/A</v>
          </cell>
          <cell r="M423" t="e">
            <v>#N/A</v>
          </cell>
          <cell r="N423" t="e">
            <v>#N/A</v>
          </cell>
          <cell r="O423" t="e">
            <v>#N/A</v>
          </cell>
          <cell r="P423">
            <v>49.79</v>
          </cell>
          <cell r="Q423">
            <v>0.85015000000000007</v>
          </cell>
          <cell r="R423" t="e">
            <v>#N/A</v>
          </cell>
        </row>
        <row r="424">
          <cell r="A424">
            <v>40081</v>
          </cell>
          <cell r="B424">
            <v>40081</v>
          </cell>
          <cell r="C424" t="str">
            <v>Past</v>
          </cell>
          <cell r="D424">
            <v>49.34</v>
          </cell>
          <cell r="E424" t="e">
            <v>#N/A</v>
          </cell>
          <cell r="F424" t="e">
            <v>#N/A</v>
          </cell>
          <cell r="G424" t="e">
            <v>#N/A</v>
          </cell>
          <cell r="H424" t="e">
            <v>#N/A</v>
          </cell>
          <cell r="I424" t="e">
            <v>#N/A</v>
          </cell>
          <cell r="J424" t="e">
            <v>#N/A</v>
          </cell>
          <cell r="K424" t="e">
            <v>#N/A</v>
          </cell>
          <cell r="L424" t="e">
            <v>#N/A</v>
          </cell>
          <cell r="M424" t="e">
            <v>#N/A</v>
          </cell>
          <cell r="N424" t="e">
            <v>#N/A</v>
          </cell>
          <cell r="O424" t="e">
            <v>#N/A</v>
          </cell>
          <cell r="P424">
            <v>49.34</v>
          </cell>
          <cell r="Q424">
            <v>1.657</v>
          </cell>
          <cell r="R424" t="e">
            <v>#N/A</v>
          </cell>
        </row>
        <row r="425">
          <cell r="A425">
            <v>40084</v>
          </cell>
          <cell r="B425">
            <v>40084</v>
          </cell>
          <cell r="C425" t="str">
            <v>Past</v>
          </cell>
          <cell r="D425">
            <v>50.46</v>
          </cell>
          <cell r="E425" t="e">
            <v>#N/A</v>
          </cell>
          <cell r="F425" t="e">
            <v>#N/A</v>
          </cell>
          <cell r="G425" t="e">
            <v>#N/A</v>
          </cell>
          <cell r="H425" t="e">
            <v>#N/A</v>
          </cell>
          <cell r="I425" t="e">
            <v>#N/A</v>
          </cell>
          <cell r="J425" t="e">
            <v>#N/A</v>
          </cell>
          <cell r="K425" t="e">
            <v>#N/A</v>
          </cell>
          <cell r="L425" t="e">
            <v>#N/A</v>
          </cell>
          <cell r="M425" t="e">
            <v>#N/A</v>
          </cell>
          <cell r="N425" t="e">
            <v>#N/A</v>
          </cell>
          <cell r="O425" t="e">
            <v>#N/A</v>
          </cell>
          <cell r="P425">
            <v>50.46</v>
          </cell>
          <cell r="Q425">
            <v>1.054549</v>
          </cell>
          <cell r="R425" t="e">
            <v>#N/A</v>
          </cell>
        </row>
        <row r="426">
          <cell r="A426">
            <v>40085</v>
          </cell>
          <cell r="B426">
            <v>40085</v>
          </cell>
          <cell r="C426" t="str">
            <v>Past</v>
          </cell>
          <cell r="D426">
            <v>50.63</v>
          </cell>
          <cell r="E426" t="e">
            <v>#N/A</v>
          </cell>
          <cell r="F426" t="e">
            <v>#N/A</v>
          </cell>
          <cell r="G426" t="e">
            <v>#N/A</v>
          </cell>
          <cell r="H426" t="e">
            <v>#N/A</v>
          </cell>
          <cell r="I426" t="e">
            <v>#N/A</v>
          </cell>
          <cell r="J426" t="e">
            <v>#N/A</v>
          </cell>
          <cell r="K426" t="e">
            <v>#N/A</v>
          </cell>
          <cell r="L426" t="e">
            <v>#N/A</v>
          </cell>
          <cell r="M426" t="e">
            <v>#N/A</v>
          </cell>
          <cell r="N426" t="e">
            <v>#N/A</v>
          </cell>
          <cell r="O426" t="e">
            <v>#N/A</v>
          </cell>
          <cell r="P426">
            <v>50.63</v>
          </cell>
          <cell r="Q426">
            <v>0.90181499999999992</v>
          </cell>
          <cell r="R426" t="e">
            <v>#N/A</v>
          </cell>
        </row>
        <row r="427">
          <cell r="A427">
            <v>40086</v>
          </cell>
          <cell r="B427">
            <v>40086</v>
          </cell>
          <cell r="C427" t="str">
            <v>Past</v>
          </cell>
          <cell r="D427">
            <v>50.8</v>
          </cell>
          <cell r="E427" t="e">
            <v>#N/A</v>
          </cell>
          <cell r="F427" t="e">
            <v>#N/A</v>
          </cell>
          <cell r="G427" t="e">
            <v>#N/A</v>
          </cell>
          <cell r="H427" t="e">
            <v>#N/A</v>
          </cell>
          <cell r="I427" t="e">
            <v>#N/A</v>
          </cell>
          <cell r="J427" t="e">
            <v>#N/A</v>
          </cell>
          <cell r="K427" t="e">
            <v>#N/A</v>
          </cell>
          <cell r="L427" t="e">
            <v>#N/A</v>
          </cell>
          <cell r="M427" t="e">
            <v>#N/A</v>
          </cell>
          <cell r="N427" t="e">
            <v>#N/A</v>
          </cell>
          <cell r="O427" t="e">
            <v>#N/A</v>
          </cell>
          <cell r="P427">
            <v>50.8</v>
          </cell>
          <cell r="Q427">
            <v>0.98253599999999996</v>
          </cell>
          <cell r="R427" t="e">
            <v>#N/A</v>
          </cell>
        </row>
        <row r="428">
          <cell r="A428">
            <v>40087</v>
          </cell>
          <cell r="B428">
            <v>40087</v>
          </cell>
          <cell r="C428" t="str">
            <v>Past</v>
          </cell>
          <cell r="D428">
            <v>49</v>
          </cell>
          <cell r="E428" t="e">
            <v>#N/A</v>
          </cell>
          <cell r="F428" t="e">
            <v>#N/A</v>
          </cell>
          <cell r="G428" t="e">
            <v>#N/A</v>
          </cell>
          <cell r="H428" t="e">
            <v>#N/A</v>
          </cell>
          <cell r="I428" t="e">
            <v>#N/A</v>
          </cell>
          <cell r="J428" t="e">
            <v>#N/A</v>
          </cell>
          <cell r="K428" t="e">
            <v>#N/A</v>
          </cell>
          <cell r="L428" t="e">
            <v>#N/A</v>
          </cell>
          <cell r="M428" t="e">
            <v>#N/A</v>
          </cell>
          <cell r="N428" t="e">
            <v>#N/A</v>
          </cell>
          <cell r="O428" t="e">
            <v>#N/A</v>
          </cell>
          <cell r="P428">
            <v>49</v>
          </cell>
          <cell r="Q428">
            <v>0.82640799999999992</v>
          </cell>
          <cell r="R428" t="e">
            <v>#N/A</v>
          </cell>
        </row>
        <row r="429">
          <cell r="A429">
            <v>40088</v>
          </cell>
          <cell r="B429">
            <v>40088</v>
          </cell>
          <cell r="C429" t="str">
            <v>Past</v>
          </cell>
          <cell r="D429">
            <v>48.15</v>
          </cell>
          <cell r="E429" t="e">
            <v>#N/A</v>
          </cell>
          <cell r="F429" t="e">
            <v>#N/A</v>
          </cell>
          <cell r="G429" t="e">
            <v>#N/A</v>
          </cell>
          <cell r="H429" t="e">
            <v>#N/A</v>
          </cell>
          <cell r="I429" t="e">
            <v>#N/A</v>
          </cell>
          <cell r="J429" t="e">
            <v>#N/A</v>
          </cell>
          <cell r="K429" t="e">
            <v>#N/A</v>
          </cell>
          <cell r="L429" t="e">
            <v>#N/A</v>
          </cell>
          <cell r="M429" t="e">
            <v>#N/A</v>
          </cell>
          <cell r="N429" t="e">
            <v>#N/A</v>
          </cell>
          <cell r="O429" t="e">
            <v>#N/A</v>
          </cell>
          <cell r="P429">
            <v>48.15</v>
          </cell>
          <cell r="Q429">
            <v>0.98199700000000001</v>
          </cell>
          <cell r="R429" t="e">
            <v>#N/A</v>
          </cell>
        </row>
        <row r="430">
          <cell r="A430">
            <v>40091</v>
          </cell>
          <cell r="B430">
            <v>40091</v>
          </cell>
          <cell r="C430" t="str">
            <v>Past</v>
          </cell>
          <cell r="D430">
            <v>48.81</v>
          </cell>
          <cell r="E430" t="e">
            <v>#N/A</v>
          </cell>
          <cell r="F430" t="e">
            <v>#N/A</v>
          </cell>
          <cell r="G430" t="e">
            <v>#N/A</v>
          </cell>
          <cell r="H430" t="e">
            <v>#N/A</v>
          </cell>
          <cell r="I430" t="e">
            <v>#N/A</v>
          </cell>
          <cell r="J430" t="e">
            <v>#N/A</v>
          </cell>
          <cell r="K430" t="e">
            <v>#N/A</v>
          </cell>
          <cell r="L430" t="e">
            <v>#N/A</v>
          </cell>
          <cell r="M430" t="e">
            <v>#N/A</v>
          </cell>
          <cell r="N430" t="e">
            <v>#N/A</v>
          </cell>
          <cell r="O430" t="e">
            <v>#N/A</v>
          </cell>
          <cell r="P430">
            <v>48.81</v>
          </cell>
          <cell r="Q430">
            <v>0.73605699999999996</v>
          </cell>
          <cell r="R430" t="e">
            <v>#N/A</v>
          </cell>
        </row>
        <row r="431">
          <cell r="A431">
            <v>40092</v>
          </cell>
          <cell r="B431">
            <v>40092</v>
          </cell>
          <cell r="C431" t="str">
            <v>Past</v>
          </cell>
          <cell r="D431">
            <v>49.99</v>
          </cell>
          <cell r="E431" t="e">
            <v>#N/A</v>
          </cell>
          <cell r="F431" t="e">
            <v>#N/A</v>
          </cell>
          <cell r="G431" t="e">
            <v>#N/A</v>
          </cell>
          <cell r="H431" t="e">
            <v>#N/A</v>
          </cell>
          <cell r="I431" t="e">
            <v>#N/A</v>
          </cell>
          <cell r="J431" t="e">
            <v>#N/A</v>
          </cell>
          <cell r="K431" t="e">
            <v>#N/A</v>
          </cell>
          <cell r="L431" t="e">
            <v>#N/A</v>
          </cell>
          <cell r="M431" t="e">
            <v>#N/A</v>
          </cell>
          <cell r="N431" t="e">
            <v>#N/A</v>
          </cell>
          <cell r="O431" t="e">
            <v>#N/A</v>
          </cell>
          <cell r="P431">
            <v>49.99</v>
          </cell>
          <cell r="Q431">
            <v>1.0131239999999999</v>
          </cell>
          <cell r="R431" t="e">
            <v>#N/A</v>
          </cell>
        </row>
        <row r="432">
          <cell r="A432">
            <v>40093</v>
          </cell>
          <cell r="B432">
            <v>40093</v>
          </cell>
          <cell r="C432" t="str">
            <v>Past</v>
          </cell>
          <cell r="D432">
            <v>49.9</v>
          </cell>
          <cell r="E432" t="e">
            <v>#N/A</v>
          </cell>
          <cell r="F432" t="e">
            <v>#N/A</v>
          </cell>
          <cell r="G432" t="e">
            <v>#N/A</v>
          </cell>
          <cell r="H432" t="e">
            <v>#N/A</v>
          </cell>
          <cell r="I432" t="e">
            <v>#N/A</v>
          </cell>
          <cell r="J432" t="e">
            <v>#N/A</v>
          </cell>
          <cell r="K432" t="e">
            <v>#N/A</v>
          </cell>
          <cell r="L432" t="e">
            <v>#N/A</v>
          </cell>
          <cell r="M432" t="e">
            <v>#N/A</v>
          </cell>
          <cell r="N432" t="e">
            <v>#N/A</v>
          </cell>
          <cell r="O432" t="e">
            <v>#N/A</v>
          </cell>
          <cell r="P432">
            <v>49.9</v>
          </cell>
          <cell r="Q432">
            <v>0.78963499999999998</v>
          </cell>
          <cell r="R432" t="e">
            <v>#N/A</v>
          </cell>
        </row>
        <row r="433">
          <cell r="A433">
            <v>40094</v>
          </cell>
          <cell r="B433">
            <v>40094</v>
          </cell>
          <cell r="C433" t="str">
            <v>Past</v>
          </cell>
          <cell r="D433">
            <v>50.5</v>
          </cell>
          <cell r="E433" t="e">
            <v>#N/A</v>
          </cell>
          <cell r="F433" t="e">
            <v>#N/A</v>
          </cell>
          <cell r="G433" t="e">
            <v>#N/A</v>
          </cell>
          <cell r="H433" t="e">
            <v>#N/A</v>
          </cell>
          <cell r="I433" t="e">
            <v>#N/A</v>
          </cell>
          <cell r="J433" t="e">
            <v>#N/A</v>
          </cell>
          <cell r="K433" t="e">
            <v>#N/A</v>
          </cell>
          <cell r="L433" t="e">
            <v>#N/A</v>
          </cell>
          <cell r="M433" t="e">
            <v>#N/A</v>
          </cell>
          <cell r="N433" t="e">
            <v>#N/A</v>
          </cell>
          <cell r="O433" t="e">
            <v>#N/A</v>
          </cell>
          <cell r="P433">
            <v>50.5</v>
          </cell>
          <cell r="Q433">
            <v>1.1762509999999999</v>
          </cell>
          <cell r="R433" t="e">
            <v>#N/A</v>
          </cell>
        </row>
        <row r="434">
          <cell r="A434">
            <v>40095</v>
          </cell>
          <cell r="B434">
            <v>40095</v>
          </cell>
          <cell r="C434" t="str">
            <v>Past</v>
          </cell>
          <cell r="D434">
            <v>50.99</v>
          </cell>
          <cell r="E434" t="e">
            <v>#N/A</v>
          </cell>
          <cell r="F434" t="e">
            <v>#N/A</v>
          </cell>
          <cell r="G434" t="e">
            <v>#N/A</v>
          </cell>
          <cell r="H434" t="e">
            <v>#N/A</v>
          </cell>
          <cell r="I434" t="e">
            <v>#N/A</v>
          </cell>
          <cell r="J434" t="e">
            <v>#N/A</v>
          </cell>
          <cell r="K434" t="e">
            <v>#N/A</v>
          </cell>
          <cell r="L434" t="e">
            <v>#N/A</v>
          </cell>
          <cell r="M434" t="e">
            <v>#N/A</v>
          </cell>
          <cell r="N434" t="e">
            <v>#N/A</v>
          </cell>
          <cell r="O434" t="e">
            <v>#N/A</v>
          </cell>
          <cell r="P434">
            <v>50.99</v>
          </cell>
          <cell r="Q434">
            <v>0.84274399999999994</v>
          </cell>
          <cell r="R434" t="e">
            <v>#N/A</v>
          </cell>
        </row>
        <row r="435">
          <cell r="A435">
            <v>40098</v>
          </cell>
          <cell r="B435">
            <v>40098</v>
          </cell>
          <cell r="C435" t="str">
            <v>Past</v>
          </cell>
          <cell r="D435">
            <v>51.22</v>
          </cell>
          <cell r="E435" t="e">
            <v>#N/A</v>
          </cell>
          <cell r="F435" t="e">
            <v>#N/A</v>
          </cell>
          <cell r="G435" t="e">
            <v>#N/A</v>
          </cell>
          <cell r="H435" t="e">
            <v>#N/A</v>
          </cell>
          <cell r="I435" t="e">
            <v>#N/A</v>
          </cell>
          <cell r="J435" t="e">
            <v>#N/A</v>
          </cell>
          <cell r="K435" t="e">
            <v>#N/A</v>
          </cell>
          <cell r="L435" t="e">
            <v>#N/A</v>
          </cell>
          <cell r="M435" t="e">
            <v>#N/A</v>
          </cell>
          <cell r="N435" t="e">
            <v>#N/A</v>
          </cell>
          <cell r="O435" t="e">
            <v>#N/A</v>
          </cell>
          <cell r="P435">
            <v>51.22</v>
          </cell>
          <cell r="Q435">
            <v>0.63445099999999999</v>
          </cell>
          <cell r="R435" t="e">
            <v>#N/A</v>
          </cell>
        </row>
        <row r="436">
          <cell r="A436">
            <v>40099</v>
          </cell>
          <cell r="B436">
            <v>40099</v>
          </cell>
          <cell r="C436" t="str">
            <v>Past</v>
          </cell>
          <cell r="D436">
            <v>51.26</v>
          </cell>
          <cell r="E436" t="e">
            <v>#N/A</v>
          </cell>
          <cell r="F436" t="e">
            <v>#N/A</v>
          </cell>
          <cell r="G436" t="e">
            <v>#N/A</v>
          </cell>
          <cell r="H436" t="e">
            <v>#N/A</v>
          </cell>
          <cell r="I436" t="e">
            <v>#N/A</v>
          </cell>
          <cell r="J436" t="e">
            <v>#N/A</v>
          </cell>
          <cell r="K436" t="e">
            <v>#N/A</v>
          </cell>
          <cell r="L436" t="e">
            <v>#N/A</v>
          </cell>
          <cell r="M436" t="e">
            <v>#N/A</v>
          </cell>
          <cell r="N436" t="e">
            <v>#N/A</v>
          </cell>
          <cell r="O436" t="e">
            <v>#N/A</v>
          </cell>
          <cell r="P436">
            <v>51.26</v>
          </cell>
          <cell r="Q436">
            <v>0.80652899999999994</v>
          </cell>
          <cell r="R436" t="e">
            <v>#N/A</v>
          </cell>
        </row>
        <row r="437">
          <cell r="A437">
            <v>40100</v>
          </cell>
          <cell r="B437">
            <v>40100</v>
          </cell>
          <cell r="C437" t="str">
            <v>Past</v>
          </cell>
          <cell r="D437">
            <v>52.28</v>
          </cell>
          <cell r="E437" t="e">
            <v>#N/A</v>
          </cell>
          <cell r="F437" t="e">
            <v>#N/A</v>
          </cell>
          <cell r="G437" t="e">
            <v>#N/A</v>
          </cell>
          <cell r="H437" t="e">
            <v>#N/A</v>
          </cell>
          <cell r="I437" t="e">
            <v>#N/A</v>
          </cell>
          <cell r="J437" t="e">
            <v>#N/A</v>
          </cell>
          <cell r="K437" t="e">
            <v>#N/A</v>
          </cell>
          <cell r="L437" t="e">
            <v>#N/A</v>
          </cell>
          <cell r="M437" t="e">
            <v>#N/A</v>
          </cell>
          <cell r="N437" t="e">
            <v>#N/A</v>
          </cell>
          <cell r="O437" t="e">
            <v>#N/A</v>
          </cell>
          <cell r="P437">
            <v>52.28</v>
          </cell>
          <cell r="Q437">
            <v>0.71342499999999998</v>
          </cell>
          <cell r="R437" t="e">
            <v>#N/A</v>
          </cell>
        </row>
        <row r="438">
          <cell r="A438">
            <v>40101</v>
          </cell>
          <cell r="B438">
            <v>40101</v>
          </cell>
          <cell r="C438" t="str">
            <v>Past</v>
          </cell>
          <cell r="D438">
            <v>52.05</v>
          </cell>
          <cell r="E438" t="e">
            <v>#N/A</v>
          </cell>
          <cell r="F438" t="e">
            <v>#N/A</v>
          </cell>
          <cell r="G438" t="e">
            <v>#N/A</v>
          </cell>
          <cell r="H438" t="e">
            <v>#N/A</v>
          </cell>
          <cell r="I438" t="e">
            <v>#N/A</v>
          </cell>
          <cell r="J438" t="e">
            <v>#N/A</v>
          </cell>
          <cell r="K438" t="e">
            <v>#N/A</v>
          </cell>
          <cell r="L438" t="e">
            <v>#N/A</v>
          </cell>
          <cell r="M438" t="e">
            <v>#N/A</v>
          </cell>
          <cell r="N438" t="e">
            <v>#N/A</v>
          </cell>
          <cell r="O438" t="e">
            <v>#N/A</v>
          </cell>
          <cell r="P438">
            <v>52.05</v>
          </cell>
          <cell r="Q438">
            <v>0.74092599999999997</v>
          </cell>
          <cell r="R438" t="e">
            <v>#N/A</v>
          </cell>
        </row>
        <row r="439">
          <cell r="A439">
            <v>40102</v>
          </cell>
          <cell r="B439">
            <v>40102</v>
          </cell>
          <cell r="C439" t="str">
            <v>Past</v>
          </cell>
          <cell r="D439">
            <v>52.22</v>
          </cell>
          <cell r="E439" t="e">
            <v>#N/A</v>
          </cell>
          <cell r="F439" t="e">
            <v>#N/A</v>
          </cell>
          <cell r="G439" t="e">
            <v>#N/A</v>
          </cell>
          <cell r="H439" t="e">
            <v>#N/A</v>
          </cell>
          <cell r="I439" t="e">
            <v>#N/A</v>
          </cell>
          <cell r="J439" t="e">
            <v>#N/A</v>
          </cell>
          <cell r="K439" t="e">
            <v>#N/A</v>
          </cell>
          <cell r="L439" t="e">
            <v>#N/A</v>
          </cell>
          <cell r="M439" t="e">
            <v>#N/A</v>
          </cell>
          <cell r="N439" t="e">
            <v>#N/A</v>
          </cell>
          <cell r="O439" t="e">
            <v>#N/A</v>
          </cell>
          <cell r="P439">
            <v>52.22</v>
          </cell>
          <cell r="Q439">
            <v>0.60876000000000008</v>
          </cell>
          <cell r="R439" t="e">
            <v>#N/A</v>
          </cell>
        </row>
        <row r="440">
          <cell r="A440">
            <v>40105</v>
          </cell>
          <cell r="B440">
            <v>40105</v>
          </cell>
          <cell r="C440" t="str">
            <v>Past</v>
          </cell>
          <cell r="D440">
            <v>52.87</v>
          </cell>
          <cell r="E440" t="e">
            <v>#N/A</v>
          </cell>
          <cell r="F440" t="e">
            <v>#N/A</v>
          </cell>
          <cell r="G440" t="e">
            <v>#N/A</v>
          </cell>
          <cell r="H440" t="e">
            <v>#N/A</v>
          </cell>
          <cell r="I440" t="e">
            <v>#N/A</v>
          </cell>
          <cell r="J440" t="e">
            <v>#N/A</v>
          </cell>
          <cell r="K440" t="e">
            <v>#N/A</v>
          </cell>
          <cell r="L440" t="e">
            <v>#N/A</v>
          </cell>
          <cell r="M440" t="e">
            <v>#N/A</v>
          </cell>
          <cell r="N440" t="e">
            <v>#N/A</v>
          </cell>
          <cell r="O440" t="e">
            <v>#N/A</v>
          </cell>
          <cell r="P440">
            <v>52.87</v>
          </cell>
          <cell r="Q440">
            <v>0.48363000000000006</v>
          </cell>
          <cell r="R440" t="e">
            <v>#N/A</v>
          </cell>
        </row>
        <row r="441">
          <cell r="A441">
            <v>40106</v>
          </cell>
          <cell r="B441">
            <v>40106</v>
          </cell>
          <cell r="C441" t="str">
            <v>Past</v>
          </cell>
          <cell r="D441">
            <v>51.52</v>
          </cell>
          <cell r="E441" t="e">
            <v>#N/A</v>
          </cell>
          <cell r="F441" t="e">
            <v>#N/A</v>
          </cell>
          <cell r="G441" t="e">
            <v>#N/A</v>
          </cell>
          <cell r="H441" t="e">
            <v>#N/A</v>
          </cell>
          <cell r="I441" t="e">
            <v>#N/A</v>
          </cell>
          <cell r="J441" t="e">
            <v>#N/A</v>
          </cell>
          <cell r="K441" t="e">
            <v>#N/A</v>
          </cell>
          <cell r="L441" t="e">
            <v>#N/A</v>
          </cell>
          <cell r="M441" t="e">
            <v>#N/A</v>
          </cell>
          <cell r="N441" t="e">
            <v>#N/A</v>
          </cell>
          <cell r="O441" t="e">
            <v>#N/A</v>
          </cell>
          <cell r="P441">
            <v>51.52</v>
          </cell>
          <cell r="Q441">
            <v>0.797709</v>
          </cell>
          <cell r="R441" t="e">
            <v>#N/A</v>
          </cell>
        </row>
        <row r="442">
          <cell r="A442">
            <v>40107</v>
          </cell>
          <cell r="B442">
            <v>40107</v>
          </cell>
          <cell r="C442" t="str">
            <v>Past</v>
          </cell>
          <cell r="D442">
            <v>51.33</v>
          </cell>
          <cell r="E442" t="e">
            <v>#N/A</v>
          </cell>
          <cell r="F442" t="e">
            <v>#N/A</v>
          </cell>
          <cell r="G442" t="e">
            <v>#N/A</v>
          </cell>
          <cell r="H442" t="e">
            <v>#N/A</v>
          </cell>
          <cell r="I442" t="e">
            <v>#N/A</v>
          </cell>
          <cell r="J442" t="e">
            <v>#N/A</v>
          </cell>
          <cell r="K442" t="e">
            <v>#N/A</v>
          </cell>
          <cell r="L442" t="e">
            <v>#N/A</v>
          </cell>
          <cell r="M442" t="e">
            <v>#N/A</v>
          </cell>
          <cell r="N442" t="e">
            <v>#N/A</v>
          </cell>
          <cell r="O442" t="e">
            <v>#N/A</v>
          </cell>
          <cell r="P442">
            <v>51.33</v>
          </cell>
          <cell r="Q442">
            <v>0.95174399999999992</v>
          </cell>
          <cell r="R442" t="e">
            <v>#N/A</v>
          </cell>
        </row>
        <row r="443">
          <cell r="A443">
            <v>40108</v>
          </cell>
          <cell r="B443">
            <v>40108</v>
          </cell>
          <cell r="C443" t="str">
            <v>Past</v>
          </cell>
          <cell r="D443">
            <v>52</v>
          </cell>
          <cell r="E443" t="e">
            <v>#N/A</v>
          </cell>
          <cell r="F443" t="e">
            <v>#N/A</v>
          </cell>
          <cell r="G443" t="e">
            <v>#N/A</v>
          </cell>
          <cell r="H443" t="e">
            <v>#N/A</v>
          </cell>
          <cell r="I443" t="e">
            <v>#N/A</v>
          </cell>
          <cell r="J443" t="e">
            <v>#N/A</v>
          </cell>
          <cell r="K443" t="e">
            <v>#N/A</v>
          </cell>
          <cell r="L443" t="e">
            <v>#N/A</v>
          </cell>
          <cell r="M443" t="e">
            <v>#N/A</v>
          </cell>
          <cell r="N443" t="e">
            <v>#N/A</v>
          </cell>
          <cell r="O443" t="e">
            <v>#N/A</v>
          </cell>
          <cell r="P443">
            <v>52</v>
          </cell>
          <cell r="Q443">
            <v>0.86326700000000001</v>
          </cell>
          <cell r="R443" t="e">
            <v>#N/A</v>
          </cell>
        </row>
        <row r="444">
          <cell r="A444">
            <v>40109</v>
          </cell>
          <cell r="B444">
            <v>40109</v>
          </cell>
          <cell r="C444" t="str">
            <v>Past</v>
          </cell>
          <cell r="D444">
            <v>51.54</v>
          </cell>
          <cell r="E444" t="e">
            <v>#N/A</v>
          </cell>
          <cell r="F444" t="e">
            <v>#N/A</v>
          </cell>
          <cell r="G444" t="e">
            <v>#N/A</v>
          </cell>
          <cell r="H444" t="e">
            <v>#N/A</v>
          </cell>
          <cell r="I444" t="e">
            <v>#N/A</v>
          </cell>
          <cell r="J444" t="e">
            <v>#N/A</v>
          </cell>
          <cell r="K444" t="e">
            <v>#N/A</v>
          </cell>
          <cell r="L444" t="e">
            <v>#N/A</v>
          </cell>
          <cell r="M444" t="e">
            <v>#N/A</v>
          </cell>
          <cell r="N444" t="e">
            <v>#N/A</v>
          </cell>
          <cell r="O444" t="e">
            <v>#N/A</v>
          </cell>
          <cell r="P444">
            <v>51.54</v>
          </cell>
          <cell r="Q444">
            <v>0.66813299999999998</v>
          </cell>
          <cell r="R444" t="e">
            <v>#N/A</v>
          </cell>
        </row>
        <row r="445">
          <cell r="A445">
            <v>40112</v>
          </cell>
          <cell r="B445">
            <v>40112</v>
          </cell>
          <cell r="C445" t="str">
            <v>Past</v>
          </cell>
          <cell r="D445">
            <v>51.06</v>
          </cell>
          <cell r="E445" t="e">
            <v>#N/A</v>
          </cell>
          <cell r="F445" t="e">
            <v>#N/A</v>
          </cell>
          <cell r="G445" t="e">
            <v>#N/A</v>
          </cell>
          <cell r="H445" t="e">
            <v>#N/A</v>
          </cell>
          <cell r="I445" t="e">
            <v>#N/A</v>
          </cell>
          <cell r="J445" t="e">
            <v>#N/A</v>
          </cell>
          <cell r="K445" t="e">
            <v>#N/A</v>
          </cell>
          <cell r="L445" t="e">
            <v>#N/A</v>
          </cell>
          <cell r="M445" t="e">
            <v>#N/A</v>
          </cell>
          <cell r="N445" t="e">
            <v>#N/A</v>
          </cell>
          <cell r="O445" t="e">
            <v>#N/A</v>
          </cell>
          <cell r="P445">
            <v>51.06</v>
          </cell>
          <cell r="Q445">
            <v>0.73483100000000001</v>
          </cell>
          <cell r="R445" t="e">
            <v>#N/A</v>
          </cell>
        </row>
        <row r="446">
          <cell r="A446">
            <v>40113</v>
          </cell>
          <cell r="B446">
            <v>40113</v>
          </cell>
          <cell r="C446" t="str">
            <v>Past</v>
          </cell>
          <cell r="D446">
            <v>50.94</v>
          </cell>
          <cell r="E446" t="e">
            <v>#N/A</v>
          </cell>
          <cell r="F446" t="e">
            <v>#N/A</v>
          </cell>
          <cell r="G446" t="e">
            <v>#N/A</v>
          </cell>
          <cell r="H446" t="e">
            <v>#N/A</v>
          </cell>
          <cell r="I446" t="e">
            <v>#N/A</v>
          </cell>
          <cell r="J446" t="e">
            <v>#N/A</v>
          </cell>
          <cell r="K446" t="e">
            <v>#N/A</v>
          </cell>
          <cell r="L446" t="e">
            <v>#N/A</v>
          </cell>
          <cell r="M446" t="e">
            <v>#N/A</v>
          </cell>
          <cell r="N446" t="e">
            <v>#N/A</v>
          </cell>
          <cell r="O446" t="e">
            <v>#N/A</v>
          </cell>
          <cell r="P446">
            <v>50.94</v>
          </cell>
          <cell r="Q446">
            <v>1.0331429999999999</v>
          </cell>
          <cell r="R446" t="e">
            <v>#N/A</v>
          </cell>
        </row>
        <row r="447">
          <cell r="A447">
            <v>40114</v>
          </cell>
          <cell r="B447">
            <v>40114</v>
          </cell>
          <cell r="C447" t="str">
            <v>Past</v>
          </cell>
          <cell r="D447">
            <v>50.24</v>
          </cell>
          <cell r="E447" t="e">
            <v>#N/A</v>
          </cell>
          <cell r="F447" t="e">
            <v>#N/A</v>
          </cell>
          <cell r="G447" t="e">
            <v>#N/A</v>
          </cell>
          <cell r="H447" t="e">
            <v>#N/A</v>
          </cell>
          <cell r="I447" t="e">
            <v>#N/A</v>
          </cell>
          <cell r="J447" t="e">
            <v>#N/A</v>
          </cell>
          <cell r="K447" t="e">
            <v>#N/A</v>
          </cell>
          <cell r="L447" t="e">
            <v>#N/A</v>
          </cell>
          <cell r="M447" t="e">
            <v>#N/A</v>
          </cell>
          <cell r="N447" t="e">
            <v>#N/A</v>
          </cell>
          <cell r="O447" t="e">
            <v>#N/A</v>
          </cell>
          <cell r="P447">
            <v>50.24</v>
          </cell>
          <cell r="Q447">
            <v>1.9372469999999999</v>
          </cell>
          <cell r="R447" t="e">
            <v>#N/A</v>
          </cell>
        </row>
        <row r="448">
          <cell r="A448">
            <v>40115</v>
          </cell>
          <cell r="B448">
            <v>40115</v>
          </cell>
          <cell r="C448" t="str">
            <v>Past</v>
          </cell>
          <cell r="D448">
            <v>51.56</v>
          </cell>
          <cell r="E448" t="e">
            <v>#N/A</v>
          </cell>
          <cell r="F448" t="e">
            <v>#N/A</v>
          </cell>
          <cell r="G448" t="e">
            <v>#N/A</v>
          </cell>
          <cell r="H448" t="e">
            <v>#N/A</v>
          </cell>
          <cell r="I448" t="e">
            <v>#N/A</v>
          </cell>
          <cell r="J448" t="e">
            <v>#N/A</v>
          </cell>
          <cell r="K448" t="e">
            <v>#N/A</v>
          </cell>
          <cell r="L448" t="e">
            <v>#N/A</v>
          </cell>
          <cell r="M448" t="e">
            <v>#N/A</v>
          </cell>
          <cell r="N448" t="e">
            <v>#N/A</v>
          </cell>
          <cell r="O448" t="e">
            <v>#N/A</v>
          </cell>
          <cell r="P448">
            <v>51.56</v>
          </cell>
          <cell r="Q448">
            <v>1.9594319999999998</v>
          </cell>
          <cell r="R448" t="e">
            <v>#N/A</v>
          </cell>
        </row>
        <row r="449">
          <cell r="A449">
            <v>40116</v>
          </cell>
          <cell r="B449">
            <v>40116</v>
          </cell>
          <cell r="C449" t="str">
            <v>Past</v>
          </cell>
          <cell r="D449">
            <v>50.38</v>
          </cell>
          <cell r="E449" t="e">
            <v>#N/A</v>
          </cell>
          <cell r="F449" t="e">
            <v>#N/A</v>
          </cell>
          <cell r="G449" t="e">
            <v>#N/A</v>
          </cell>
          <cell r="H449" t="e">
            <v>#N/A</v>
          </cell>
          <cell r="I449" t="e">
            <v>#N/A</v>
          </cell>
          <cell r="J449" t="e">
            <v>#N/A</v>
          </cell>
          <cell r="K449" t="e">
            <v>#N/A</v>
          </cell>
          <cell r="L449" t="e">
            <v>#N/A</v>
          </cell>
          <cell r="M449" t="e">
            <v>#N/A</v>
          </cell>
          <cell r="N449" t="e">
            <v>#N/A</v>
          </cell>
          <cell r="O449" t="e">
            <v>#N/A</v>
          </cell>
          <cell r="P449">
            <v>50.38</v>
          </cell>
          <cell r="Q449">
            <v>1.9160649999999999</v>
          </cell>
          <cell r="R449" t="e">
            <v>#N/A</v>
          </cell>
        </row>
        <row r="450">
          <cell r="A450">
            <v>40119</v>
          </cell>
          <cell r="B450">
            <v>40119</v>
          </cell>
          <cell r="C450" t="str">
            <v>Past</v>
          </cell>
          <cell r="D450">
            <v>50.78</v>
          </cell>
          <cell r="E450" t="e">
            <v>#N/A</v>
          </cell>
          <cell r="F450" t="e">
            <v>#N/A</v>
          </cell>
          <cell r="G450" t="e">
            <v>#N/A</v>
          </cell>
          <cell r="H450" t="e">
            <v>#N/A</v>
          </cell>
          <cell r="I450" t="e">
            <v>#N/A</v>
          </cell>
          <cell r="J450" t="e">
            <v>#N/A</v>
          </cell>
          <cell r="K450" t="e">
            <v>#N/A</v>
          </cell>
          <cell r="L450" t="e">
            <v>#N/A</v>
          </cell>
          <cell r="M450" t="e">
            <v>#N/A</v>
          </cell>
          <cell r="N450" t="e">
            <v>#N/A</v>
          </cell>
          <cell r="O450" t="e">
            <v>#N/A</v>
          </cell>
          <cell r="P450">
            <v>50.78</v>
          </cell>
          <cell r="Q450">
            <v>1.4602200000000001</v>
          </cell>
          <cell r="R450" t="e">
            <v>#N/A</v>
          </cell>
        </row>
        <row r="451">
          <cell r="A451">
            <v>40120</v>
          </cell>
          <cell r="B451">
            <v>40120</v>
          </cell>
          <cell r="C451" t="str">
            <v>Past</v>
          </cell>
          <cell r="D451">
            <v>49.24</v>
          </cell>
          <cell r="E451" t="e">
            <v>#N/A</v>
          </cell>
          <cell r="F451" t="e">
            <v>#N/A</v>
          </cell>
          <cell r="G451" t="e">
            <v>#N/A</v>
          </cell>
          <cell r="H451" t="e">
            <v>#N/A</v>
          </cell>
          <cell r="I451" t="e">
            <v>#N/A</v>
          </cell>
          <cell r="J451" t="e">
            <v>#N/A</v>
          </cell>
          <cell r="K451" t="e">
            <v>#N/A</v>
          </cell>
          <cell r="L451" t="e">
            <v>#N/A</v>
          </cell>
          <cell r="M451" t="e">
            <v>#N/A</v>
          </cell>
          <cell r="N451" t="e">
            <v>#N/A</v>
          </cell>
          <cell r="O451" t="e">
            <v>#N/A</v>
          </cell>
          <cell r="P451">
            <v>49.24</v>
          </cell>
          <cell r="Q451">
            <v>2.3001649999999998</v>
          </cell>
          <cell r="R451" t="e">
            <v>#N/A</v>
          </cell>
        </row>
        <row r="452">
          <cell r="A452">
            <v>40121</v>
          </cell>
          <cell r="B452">
            <v>40121</v>
          </cell>
          <cell r="C452" t="str">
            <v>Past</v>
          </cell>
          <cell r="D452">
            <v>49.63</v>
          </cell>
          <cell r="E452" t="e">
            <v>#N/A</v>
          </cell>
          <cell r="F452" t="e">
            <v>#N/A</v>
          </cell>
          <cell r="G452" t="e">
            <v>#N/A</v>
          </cell>
          <cell r="H452" t="e">
            <v>#N/A</v>
          </cell>
          <cell r="I452" t="e">
            <v>#N/A</v>
          </cell>
          <cell r="J452" t="e">
            <v>#N/A</v>
          </cell>
          <cell r="K452" t="e">
            <v>#N/A</v>
          </cell>
          <cell r="L452" t="e">
            <v>#N/A</v>
          </cell>
          <cell r="M452" t="e">
            <v>#N/A</v>
          </cell>
          <cell r="N452" t="e">
            <v>#N/A</v>
          </cell>
          <cell r="O452" t="e">
            <v>#N/A</v>
          </cell>
          <cell r="P452">
            <v>49.63</v>
          </cell>
          <cell r="Q452">
            <v>1.014732</v>
          </cell>
          <cell r="R452" t="e">
            <v>#N/A</v>
          </cell>
        </row>
        <row r="453">
          <cell r="A453">
            <v>40122</v>
          </cell>
          <cell r="B453">
            <v>40122</v>
          </cell>
          <cell r="C453" t="str">
            <v>Past</v>
          </cell>
          <cell r="D453">
            <v>51.83</v>
          </cell>
          <cell r="E453" t="e">
            <v>#N/A</v>
          </cell>
          <cell r="F453" t="e">
            <v>#N/A</v>
          </cell>
          <cell r="G453" t="e">
            <v>#N/A</v>
          </cell>
          <cell r="H453" t="e">
            <v>#N/A</v>
          </cell>
          <cell r="I453" t="e">
            <v>#N/A</v>
          </cell>
          <cell r="J453" t="e">
            <v>#N/A</v>
          </cell>
          <cell r="K453" t="e">
            <v>#N/A</v>
          </cell>
          <cell r="L453" t="e">
            <v>#N/A</v>
          </cell>
          <cell r="M453" t="e">
            <v>#N/A</v>
          </cell>
          <cell r="N453" t="e">
            <v>#N/A</v>
          </cell>
          <cell r="O453" t="e">
            <v>#N/A</v>
          </cell>
          <cell r="P453">
            <v>51.83</v>
          </cell>
          <cell r="Q453">
            <v>2.1875149999999999</v>
          </cell>
          <cell r="R453" t="e">
            <v>#N/A</v>
          </cell>
        </row>
        <row r="454">
          <cell r="A454">
            <v>40123</v>
          </cell>
          <cell r="B454">
            <v>40123</v>
          </cell>
          <cell r="C454" t="str">
            <v>Past</v>
          </cell>
          <cell r="D454">
            <v>51.51</v>
          </cell>
          <cell r="E454" t="e">
            <v>#N/A</v>
          </cell>
          <cell r="F454" t="e">
            <v>#N/A</v>
          </cell>
          <cell r="G454" t="e">
            <v>#N/A</v>
          </cell>
          <cell r="H454" t="e">
            <v>#N/A</v>
          </cell>
          <cell r="I454" t="e">
            <v>#N/A</v>
          </cell>
          <cell r="J454" t="e">
            <v>#N/A</v>
          </cell>
          <cell r="K454" t="e">
            <v>#N/A</v>
          </cell>
          <cell r="L454" t="e">
            <v>#N/A</v>
          </cell>
          <cell r="M454" t="e">
            <v>#N/A</v>
          </cell>
          <cell r="N454" t="e">
            <v>#N/A</v>
          </cell>
          <cell r="O454" t="e">
            <v>#N/A</v>
          </cell>
          <cell r="P454">
            <v>51.51</v>
          </cell>
          <cell r="Q454">
            <v>1.1632069999999999</v>
          </cell>
          <cell r="R454" t="e">
            <v>#N/A</v>
          </cell>
        </row>
        <row r="455">
          <cell r="A455">
            <v>40126</v>
          </cell>
          <cell r="B455">
            <v>40126</v>
          </cell>
          <cell r="C455" t="str">
            <v>Past</v>
          </cell>
          <cell r="D455">
            <v>52.85</v>
          </cell>
          <cell r="E455" t="e">
            <v>#N/A</v>
          </cell>
          <cell r="F455" t="e">
            <v>#N/A</v>
          </cell>
          <cell r="G455" t="e">
            <v>#N/A</v>
          </cell>
          <cell r="H455" t="e">
            <v>#N/A</v>
          </cell>
          <cell r="I455" t="e">
            <v>#N/A</v>
          </cell>
          <cell r="J455" t="e">
            <v>#N/A</v>
          </cell>
          <cell r="K455" t="e">
            <v>#N/A</v>
          </cell>
          <cell r="L455" t="e">
            <v>#N/A</v>
          </cell>
          <cell r="M455" t="e">
            <v>#N/A</v>
          </cell>
          <cell r="N455" t="e">
            <v>#N/A</v>
          </cell>
          <cell r="O455" t="e">
            <v>#N/A</v>
          </cell>
          <cell r="P455">
            <v>52.85</v>
          </cell>
          <cell r="Q455">
            <v>0.84079099999999996</v>
          </cell>
          <cell r="R455" t="e">
            <v>#N/A</v>
          </cell>
        </row>
        <row r="456">
          <cell r="A456">
            <v>40127</v>
          </cell>
          <cell r="B456">
            <v>40127</v>
          </cell>
          <cell r="C456" t="str">
            <v>Past</v>
          </cell>
          <cell r="D456">
            <v>52.21</v>
          </cell>
          <cell r="E456" t="e">
            <v>#N/A</v>
          </cell>
          <cell r="F456" t="e">
            <v>#N/A</v>
          </cell>
          <cell r="G456" t="e">
            <v>#N/A</v>
          </cell>
          <cell r="H456" t="e">
            <v>#N/A</v>
          </cell>
          <cell r="I456" t="e">
            <v>#N/A</v>
          </cell>
          <cell r="J456" t="e">
            <v>#N/A</v>
          </cell>
          <cell r="K456" t="e">
            <v>#N/A</v>
          </cell>
          <cell r="L456" t="e">
            <v>#N/A</v>
          </cell>
          <cell r="M456" t="e">
            <v>#N/A</v>
          </cell>
          <cell r="N456" t="e">
            <v>#N/A</v>
          </cell>
          <cell r="O456" t="e">
            <v>#N/A</v>
          </cell>
          <cell r="P456">
            <v>52.21</v>
          </cell>
          <cell r="Q456">
            <v>0.694272</v>
          </cell>
          <cell r="R456" t="e">
            <v>#N/A</v>
          </cell>
        </row>
        <row r="457">
          <cell r="A457">
            <v>40128</v>
          </cell>
          <cell r="B457">
            <v>40128</v>
          </cell>
          <cell r="C457" t="str">
            <v>Past</v>
          </cell>
          <cell r="D457">
            <v>52.6</v>
          </cell>
          <cell r="E457" t="e">
            <v>#N/A</v>
          </cell>
          <cell r="F457" t="e">
            <v>#N/A</v>
          </cell>
          <cell r="G457" t="e">
            <v>#N/A</v>
          </cell>
          <cell r="H457" t="e">
            <v>#N/A</v>
          </cell>
          <cell r="I457" t="e">
            <v>#N/A</v>
          </cell>
          <cell r="J457" t="e">
            <v>#N/A</v>
          </cell>
          <cell r="K457" t="e">
            <v>#N/A</v>
          </cell>
          <cell r="L457" t="e">
            <v>#N/A</v>
          </cell>
          <cell r="M457" t="e">
            <v>#N/A</v>
          </cell>
          <cell r="N457" t="e">
            <v>#N/A</v>
          </cell>
          <cell r="O457" t="e">
            <v>#N/A</v>
          </cell>
          <cell r="P457">
            <v>52.6</v>
          </cell>
          <cell r="Q457">
            <v>0.58015799999999995</v>
          </cell>
          <cell r="R457" t="e">
            <v>#N/A</v>
          </cell>
        </row>
        <row r="458">
          <cell r="A458">
            <v>40129</v>
          </cell>
          <cell r="B458">
            <v>40129</v>
          </cell>
          <cell r="C458" t="str">
            <v>Past</v>
          </cell>
          <cell r="D458">
            <v>52.09</v>
          </cell>
          <cell r="E458" t="e">
            <v>#N/A</v>
          </cell>
          <cell r="F458" t="e">
            <v>#N/A</v>
          </cell>
          <cell r="G458" t="e">
            <v>#N/A</v>
          </cell>
          <cell r="H458" t="e">
            <v>#N/A</v>
          </cell>
          <cell r="I458" t="e">
            <v>#N/A</v>
          </cell>
          <cell r="J458" t="e">
            <v>#N/A</v>
          </cell>
          <cell r="K458" t="e">
            <v>#N/A</v>
          </cell>
          <cell r="L458" t="e">
            <v>#N/A</v>
          </cell>
          <cell r="M458" t="e">
            <v>#N/A</v>
          </cell>
          <cell r="N458" t="e">
            <v>#N/A</v>
          </cell>
          <cell r="O458" t="e">
            <v>#N/A</v>
          </cell>
          <cell r="P458">
            <v>52.09</v>
          </cell>
          <cell r="Q458">
            <v>0.49426799999999999</v>
          </cell>
          <cell r="R458" t="e">
            <v>#N/A</v>
          </cell>
        </row>
        <row r="459">
          <cell r="A459">
            <v>40130</v>
          </cell>
          <cell r="B459">
            <v>40130</v>
          </cell>
          <cell r="C459" t="str">
            <v>Past</v>
          </cell>
          <cell r="D459">
            <v>52.92</v>
          </cell>
          <cell r="E459" t="e">
            <v>#N/A</v>
          </cell>
          <cell r="F459" t="e">
            <v>#N/A</v>
          </cell>
          <cell r="G459" t="e">
            <v>#N/A</v>
          </cell>
          <cell r="H459" t="e">
            <v>#N/A</v>
          </cell>
          <cell r="I459" t="e">
            <v>#N/A</v>
          </cell>
          <cell r="J459" t="e">
            <v>#N/A</v>
          </cell>
          <cell r="K459" t="e">
            <v>#N/A</v>
          </cell>
          <cell r="L459" t="e">
            <v>#N/A</v>
          </cell>
          <cell r="M459" t="e">
            <v>#N/A</v>
          </cell>
          <cell r="N459" t="e">
            <v>#N/A</v>
          </cell>
          <cell r="O459" t="e">
            <v>#N/A</v>
          </cell>
          <cell r="P459">
            <v>52.92</v>
          </cell>
          <cell r="Q459">
            <v>0.79573299999999991</v>
          </cell>
          <cell r="R459" t="e">
            <v>#N/A</v>
          </cell>
        </row>
        <row r="460">
          <cell r="A460">
            <v>40133</v>
          </cell>
          <cell r="B460">
            <v>40133</v>
          </cell>
          <cell r="C460" t="str">
            <v>Past</v>
          </cell>
          <cell r="D460">
            <v>53.72</v>
          </cell>
          <cell r="E460" t="e">
            <v>#N/A</v>
          </cell>
          <cell r="F460" t="e">
            <v>#N/A</v>
          </cell>
          <cell r="G460" t="e">
            <v>#N/A</v>
          </cell>
          <cell r="H460" t="e">
            <v>#N/A</v>
          </cell>
          <cell r="I460" t="e">
            <v>#N/A</v>
          </cell>
          <cell r="J460" t="e">
            <v>#N/A</v>
          </cell>
          <cell r="K460" t="e">
            <v>#N/A</v>
          </cell>
          <cell r="L460" t="e">
            <v>#N/A</v>
          </cell>
          <cell r="M460" t="e">
            <v>#N/A</v>
          </cell>
          <cell r="N460" t="e">
            <v>#N/A</v>
          </cell>
          <cell r="O460" t="e">
            <v>#N/A</v>
          </cell>
          <cell r="P460">
            <v>53.72</v>
          </cell>
          <cell r="Q460">
            <v>0.62946199999999997</v>
          </cell>
          <cell r="R460" t="e">
            <v>#N/A</v>
          </cell>
        </row>
        <row r="461">
          <cell r="A461">
            <v>40134</v>
          </cell>
          <cell r="B461">
            <v>40134</v>
          </cell>
          <cell r="C461" t="str">
            <v>Past</v>
          </cell>
          <cell r="D461">
            <v>53.75</v>
          </cell>
          <cell r="E461" t="e">
            <v>#N/A</v>
          </cell>
          <cell r="F461" t="e">
            <v>#N/A</v>
          </cell>
          <cell r="G461" t="e">
            <v>#N/A</v>
          </cell>
          <cell r="H461" t="e">
            <v>#N/A</v>
          </cell>
          <cell r="I461" t="e">
            <v>#N/A</v>
          </cell>
          <cell r="J461" t="e">
            <v>#N/A</v>
          </cell>
          <cell r="K461" t="e">
            <v>#N/A</v>
          </cell>
          <cell r="L461" t="e">
            <v>#N/A</v>
          </cell>
          <cell r="M461" t="e">
            <v>#N/A</v>
          </cell>
          <cell r="N461" t="e">
            <v>#N/A</v>
          </cell>
          <cell r="O461" t="e">
            <v>#N/A</v>
          </cell>
          <cell r="P461">
            <v>53.75</v>
          </cell>
          <cell r="Q461">
            <v>0.72533499999999995</v>
          </cell>
          <cell r="R461" t="e">
            <v>#N/A</v>
          </cell>
        </row>
        <row r="462">
          <cell r="A462">
            <v>40135</v>
          </cell>
          <cell r="B462">
            <v>40135</v>
          </cell>
          <cell r="C462" t="str">
            <v>Past</v>
          </cell>
          <cell r="D462">
            <v>53.34</v>
          </cell>
          <cell r="E462" t="e">
            <v>#N/A</v>
          </cell>
          <cell r="F462" t="e">
            <v>#N/A</v>
          </cell>
          <cell r="G462" t="e">
            <v>#N/A</v>
          </cell>
          <cell r="H462" t="e">
            <v>#N/A</v>
          </cell>
          <cell r="I462" t="e">
            <v>#N/A</v>
          </cell>
          <cell r="J462" t="e">
            <v>#N/A</v>
          </cell>
          <cell r="K462" t="e">
            <v>#N/A</v>
          </cell>
          <cell r="L462" t="e">
            <v>#N/A</v>
          </cell>
          <cell r="M462" t="e">
            <v>#N/A</v>
          </cell>
          <cell r="N462" t="e">
            <v>#N/A</v>
          </cell>
          <cell r="O462" t="e">
            <v>#N/A</v>
          </cell>
          <cell r="P462">
            <v>53.34</v>
          </cell>
          <cell r="Q462">
            <v>1.0979619999999999</v>
          </cell>
          <cell r="R462" t="e">
            <v>#N/A</v>
          </cell>
        </row>
        <row r="463">
          <cell r="A463">
            <v>40136</v>
          </cell>
          <cell r="B463">
            <v>40136</v>
          </cell>
          <cell r="C463" t="str">
            <v>Past</v>
          </cell>
          <cell r="D463">
            <v>52.34</v>
          </cell>
          <cell r="E463" t="e">
            <v>#N/A</v>
          </cell>
          <cell r="F463" t="e">
            <v>#N/A</v>
          </cell>
          <cell r="G463" t="e">
            <v>#N/A</v>
          </cell>
          <cell r="H463" t="e">
            <v>#N/A</v>
          </cell>
          <cell r="I463" t="e">
            <v>#N/A</v>
          </cell>
          <cell r="J463" t="e">
            <v>#N/A</v>
          </cell>
          <cell r="K463" t="e">
            <v>#N/A</v>
          </cell>
          <cell r="L463" t="e">
            <v>#N/A</v>
          </cell>
          <cell r="M463" t="e">
            <v>#N/A</v>
          </cell>
          <cell r="N463" t="e">
            <v>#N/A</v>
          </cell>
          <cell r="O463" t="e">
            <v>#N/A</v>
          </cell>
          <cell r="P463">
            <v>52.34</v>
          </cell>
          <cell r="Q463">
            <v>0.83560800000000002</v>
          </cell>
          <cell r="R463" t="e">
            <v>#N/A</v>
          </cell>
        </row>
        <row r="464">
          <cell r="A464">
            <v>40137</v>
          </cell>
          <cell r="B464">
            <v>40137</v>
          </cell>
          <cell r="C464" t="str">
            <v>Past</v>
          </cell>
          <cell r="D464">
            <v>53.08</v>
          </cell>
          <cell r="E464" t="e">
            <v>#N/A</v>
          </cell>
          <cell r="F464" t="e">
            <v>#N/A</v>
          </cell>
          <cell r="G464" t="e">
            <v>#N/A</v>
          </cell>
          <cell r="H464" t="e">
            <v>#N/A</v>
          </cell>
          <cell r="I464" t="e">
            <v>#N/A</v>
          </cell>
          <cell r="J464" t="e">
            <v>#N/A</v>
          </cell>
          <cell r="K464" t="e">
            <v>#N/A</v>
          </cell>
          <cell r="L464" t="e">
            <v>#N/A</v>
          </cell>
          <cell r="M464" t="e">
            <v>#N/A</v>
          </cell>
          <cell r="N464" t="e">
            <v>#N/A</v>
          </cell>
          <cell r="O464" t="e">
            <v>#N/A</v>
          </cell>
          <cell r="P464">
            <v>53.08</v>
          </cell>
          <cell r="Q464">
            <v>1.199255</v>
          </cell>
          <cell r="R464" t="e">
            <v>#N/A</v>
          </cell>
        </row>
        <row r="465">
          <cell r="A465">
            <v>40140</v>
          </cell>
          <cell r="B465">
            <v>40140</v>
          </cell>
          <cell r="C465" t="str">
            <v>Past</v>
          </cell>
          <cell r="D465">
            <v>54.13</v>
          </cell>
          <cell r="E465" t="e">
            <v>#N/A</v>
          </cell>
          <cell r="F465" t="e">
            <v>#N/A</v>
          </cell>
          <cell r="G465" t="e">
            <v>#N/A</v>
          </cell>
          <cell r="H465" t="e">
            <v>#N/A</v>
          </cell>
          <cell r="I465" t="e">
            <v>#N/A</v>
          </cell>
          <cell r="J465" t="e">
            <v>#N/A</v>
          </cell>
          <cell r="K465" t="e">
            <v>#N/A</v>
          </cell>
          <cell r="L465" t="e">
            <v>#N/A</v>
          </cell>
          <cell r="M465" t="e">
            <v>#N/A</v>
          </cell>
          <cell r="N465" t="e">
            <v>#N/A</v>
          </cell>
          <cell r="O465" t="e">
            <v>#N/A</v>
          </cell>
          <cell r="P465">
            <v>54.13</v>
          </cell>
          <cell r="Q465">
            <v>1.0304679999999999</v>
          </cell>
          <cell r="R465" t="e">
            <v>#N/A</v>
          </cell>
        </row>
        <row r="466">
          <cell r="A466">
            <v>40141</v>
          </cell>
          <cell r="B466">
            <v>40141</v>
          </cell>
          <cell r="C466" t="str">
            <v>Past</v>
          </cell>
          <cell r="D466">
            <v>54.01</v>
          </cell>
          <cell r="E466" t="e">
            <v>#N/A</v>
          </cell>
          <cell r="F466" t="e">
            <v>#N/A</v>
          </cell>
          <cell r="G466" t="e">
            <v>#N/A</v>
          </cell>
          <cell r="H466" t="e">
            <v>#N/A</v>
          </cell>
          <cell r="I466" t="e">
            <v>#N/A</v>
          </cell>
          <cell r="J466" t="e">
            <v>#N/A</v>
          </cell>
          <cell r="K466" t="e">
            <v>#N/A</v>
          </cell>
          <cell r="L466" t="e">
            <v>#N/A</v>
          </cell>
          <cell r="M466" t="e">
            <v>#N/A</v>
          </cell>
          <cell r="N466" t="e">
            <v>#N/A</v>
          </cell>
          <cell r="O466" t="e">
            <v>#N/A</v>
          </cell>
          <cell r="P466">
            <v>54.01</v>
          </cell>
          <cell r="Q466">
            <v>0.98047299999999993</v>
          </cell>
          <cell r="R466" t="e">
            <v>#N/A</v>
          </cell>
        </row>
        <row r="467">
          <cell r="A467">
            <v>40142</v>
          </cell>
          <cell r="B467">
            <v>40142</v>
          </cell>
          <cell r="C467" t="str">
            <v>Past</v>
          </cell>
          <cell r="D467">
            <v>54.5</v>
          </cell>
          <cell r="E467" t="e">
            <v>#N/A</v>
          </cell>
          <cell r="F467" t="e">
            <v>#N/A</v>
          </cell>
          <cell r="G467" t="e">
            <v>#N/A</v>
          </cell>
          <cell r="H467" t="e">
            <v>#N/A</v>
          </cell>
          <cell r="I467" t="e">
            <v>#N/A</v>
          </cell>
          <cell r="J467" t="e">
            <v>#N/A</v>
          </cell>
          <cell r="K467" t="e">
            <v>#N/A</v>
          </cell>
          <cell r="L467" t="e">
            <v>#N/A</v>
          </cell>
          <cell r="M467" t="e">
            <v>#N/A</v>
          </cell>
          <cell r="N467" t="e">
            <v>#N/A</v>
          </cell>
          <cell r="O467" t="e">
            <v>#N/A</v>
          </cell>
          <cell r="P467">
            <v>54.5</v>
          </cell>
          <cell r="Q467">
            <v>0.62567000000000006</v>
          </cell>
          <cell r="R467" t="e">
            <v>#N/A</v>
          </cell>
        </row>
        <row r="468">
          <cell r="A468">
            <v>40144</v>
          </cell>
          <cell r="B468">
            <v>40144</v>
          </cell>
          <cell r="C468" t="str">
            <v>Past</v>
          </cell>
          <cell r="D468">
            <v>53.7</v>
          </cell>
          <cell r="E468" t="e">
            <v>#N/A</v>
          </cell>
          <cell r="F468" t="e">
            <v>#N/A</v>
          </cell>
          <cell r="G468" t="e">
            <v>#N/A</v>
          </cell>
          <cell r="H468" t="e">
            <v>#N/A</v>
          </cell>
          <cell r="I468" t="e">
            <v>#N/A</v>
          </cell>
          <cell r="J468" t="e">
            <v>#N/A</v>
          </cell>
          <cell r="K468" t="e">
            <v>#N/A</v>
          </cell>
          <cell r="L468" t="e">
            <v>#N/A</v>
          </cell>
          <cell r="M468" t="e">
            <v>#N/A</v>
          </cell>
          <cell r="N468" t="e">
            <v>#N/A</v>
          </cell>
          <cell r="O468" t="e">
            <v>#N/A</v>
          </cell>
          <cell r="P468">
            <v>53.7</v>
          </cell>
          <cell r="Q468">
            <v>0.37877499999999997</v>
          </cell>
          <cell r="R468" t="e">
            <v>#N/A</v>
          </cell>
        </row>
        <row r="469">
          <cell r="A469">
            <v>40147</v>
          </cell>
          <cell r="B469">
            <v>40147</v>
          </cell>
          <cell r="C469" t="str">
            <v>Past</v>
          </cell>
          <cell r="D469">
            <v>53.46</v>
          </cell>
          <cell r="E469" t="e">
            <v>#N/A</v>
          </cell>
          <cell r="F469" t="e">
            <v>#N/A</v>
          </cell>
          <cell r="G469" t="e">
            <v>#N/A</v>
          </cell>
          <cell r="H469" t="e">
            <v>#N/A</v>
          </cell>
          <cell r="I469" t="e">
            <v>#N/A</v>
          </cell>
          <cell r="J469" t="e">
            <v>#N/A</v>
          </cell>
          <cell r="K469" t="e">
            <v>#N/A</v>
          </cell>
          <cell r="L469" t="e">
            <v>#N/A</v>
          </cell>
          <cell r="M469" t="e">
            <v>#N/A</v>
          </cell>
          <cell r="N469" t="e">
            <v>#N/A</v>
          </cell>
          <cell r="O469" t="e">
            <v>#N/A</v>
          </cell>
          <cell r="P469">
            <v>53.46</v>
          </cell>
          <cell r="Q469">
            <v>0.77588400000000002</v>
          </cell>
          <cell r="R469" t="e">
            <v>#N/A</v>
          </cell>
        </row>
        <row r="470">
          <cell r="A470">
            <v>40148</v>
          </cell>
          <cell r="B470">
            <v>40148</v>
          </cell>
          <cell r="C470" t="str">
            <v>Past</v>
          </cell>
          <cell r="D470">
            <v>54.43</v>
          </cell>
          <cell r="E470" t="e">
            <v>#N/A</v>
          </cell>
          <cell r="F470" t="e">
            <v>#N/A</v>
          </cell>
          <cell r="G470" t="e">
            <v>#N/A</v>
          </cell>
          <cell r="H470" t="e">
            <v>#N/A</v>
          </cell>
          <cell r="I470" t="e">
            <v>#N/A</v>
          </cell>
          <cell r="J470" t="e">
            <v>#N/A</v>
          </cell>
          <cell r="K470" t="e">
            <v>#N/A</v>
          </cell>
          <cell r="L470" t="e">
            <v>#N/A</v>
          </cell>
          <cell r="M470" t="e">
            <v>#N/A</v>
          </cell>
          <cell r="N470" t="e">
            <v>#N/A</v>
          </cell>
          <cell r="O470" t="e">
            <v>#N/A</v>
          </cell>
          <cell r="P470">
            <v>54.43</v>
          </cell>
          <cell r="Q470">
            <v>0.91150399999999998</v>
          </cell>
          <cell r="R470" t="e">
            <v>#N/A</v>
          </cell>
        </row>
        <row r="471">
          <cell r="A471">
            <v>40149</v>
          </cell>
          <cell r="B471">
            <v>40149</v>
          </cell>
          <cell r="C471" t="str">
            <v>Past</v>
          </cell>
          <cell r="D471">
            <v>54.92</v>
          </cell>
          <cell r="E471" t="e">
            <v>#N/A</v>
          </cell>
          <cell r="F471" t="e">
            <v>#N/A</v>
          </cell>
          <cell r="G471" t="e">
            <v>#N/A</v>
          </cell>
          <cell r="H471" t="e">
            <v>#N/A</v>
          </cell>
          <cell r="I471" t="e">
            <v>#N/A</v>
          </cell>
          <cell r="J471" t="e">
            <v>#N/A</v>
          </cell>
          <cell r="K471" t="e">
            <v>#N/A</v>
          </cell>
          <cell r="L471" t="e">
            <v>#N/A</v>
          </cell>
          <cell r="M471" t="e">
            <v>#N/A</v>
          </cell>
          <cell r="N471" t="e">
            <v>#N/A</v>
          </cell>
          <cell r="O471" t="e">
            <v>#N/A</v>
          </cell>
          <cell r="P471">
            <v>54.92</v>
          </cell>
          <cell r="Q471">
            <v>0.69361499999999998</v>
          </cell>
          <cell r="R471" t="e">
            <v>#N/A</v>
          </cell>
        </row>
        <row r="472">
          <cell r="A472">
            <v>40150</v>
          </cell>
          <cell r="B472">
            <v>40150</v>
          </cell>
          <cell r="C472" t="str">
            <v>Past</v>
          </cell>
          <cell r="D472">
            <v>54.8</v>
          </cell>
          <cell r="E472" t="e">
            <v>#N/A</v>
          </cell>
          <cell r="F472" t="e">
            <v>#N/A</v>
          </cell>
          <cell r="G472" t="e">
            <v>#N/A</v>
          </cell>
          <cell r="H472" t="e">
            <v>#N/A</v>
          </cell>
          <cell r="I472" t="e">
            <v>#N/A</v>
          </cell>
          <cell r="J472" t="e">
            <v>#N/A</v>
          </cell>
          <cell r="K472" t="e">
            <v>#N/A</v>
          </cell>
          <cell r="L472" t="e">
            <v>#N/A</v>
          </cell>
          <cell r="M472" t="e">
            <v>#N/A</v>
          </cell>
          <cell r="N472" t="e">
            <v>#N/A</v>
          </cell>
          <cell r="O472" t="e">
            <v>#N/A</v>
          </cell>
          <cell r="P472">
            <v>54.8</v>
          </cell>
          <cell r="Q472">
            <v>0.95516599999999996</v>
          </cell>
          <cell r="R472" t="e">
            <v>#N/A</v>
          </cell>
        </row>
        <row r="473">
          <cell r="A473">
            <v>40151</v>
          </cell>
          <cell r="B473">
            <v>40151</v>
          </cell>
          <cell r="C473" t="str">
            <v>Past</v>
          </cell>
          <cell r="D473">
            <v>54.7</v>
          </cell>
          <cell r="E473" t="e">
            <v>#N/A</v>
          </cell>
          <cell r="F473" t="e">
            <v>#N/A</v>
          </cell>
          <cell r="G473" t="e">
            <v>#N/A</v>
          </cell>
          <cell r="H473" t="e">
            <v>#N/A</v>
          </cell>
          <cell r="I473" t="e">
            <v>#N/A</v>
          </cell>
          <cell r="J473" t="e">
            <v>#N/A</v>
          </cell>
          <cell r="K473" t="e">
            <v>#N/A</v>
          </cell>
          <cell r="L473" t="e">
            <v>#N/A</v>
          </cell>
          <cell r="M473" t="e">
            <v>#N/A</v>
          </cell>
          <cell r="N473" t="e">
            <v>#N/A</v>
          </cell>
          <cell r="O473" t="e">
            <v>#N/A</v>
          </cell>
          <cell r="P473">
            <v>54.7</v>
          </cell>
          <cell r="Q473">
            <v>2.4204239999999997</v>
          </cell>
          <cell r="R473" t="e">
            <v>#N/A</v>
          </cell>
        </row>
        <row r="474">
          <cell r="A474">
            <v>40154</v>
          </cell>
          <cell r="B474">
            <v>40154</v>
          </cell>
          <cell r="C474" t="str">
            <v>Past</v>
          </cell>
          <cell r="D474">
            <v>55.87</v>
          </cell>
          <cell r="E474" t="e">
            <v>#N/A</v>
          </cell>
          <cell r="F474" t="e">
            <v>#N/A</v>
          </cell>
          <cell r="G474" t="e">
            <v>#N/A</v>
          </cell>
          <cell r="H474" t="e">
            <v>#N/A</v>
          </cell>
          <cell r="I474" t="e">
            <v>#N/A</v>
          </cell>
          <cell r="J474" t="e">
            <v>#N/A</v>
          </cell>
          <cell r="K474" t="e">
            <v>#N/A</v>
          </cell>
          <cell r="L474" t="e">
            <v>#N/A</v>
          </cell>
          <cell r="M474" t="e">
            <v>#N/A</v>
          </cell>
          <cell r="N474" t="e">
            <v>#N/A</v>
          </cell>
          <cell r="O474" t="e">
            <v>#N/A</v>
          </cell>
          <cell r="P474">
            <v>55.87</v>
          </cell>
          <cell r="Q474">
            <v>0.77695099999999995</v>
          </cell>
          <cell r="R474" t="e">
            <v>#N/A</v>
          </cell>
        </row>
        <row r="475">
          <cell r="A475">
            <v>40155</v>
          </cell>
          <cell r="B475">
            <v>40155</v>
          </cell>
          <cell r="C475" t="str">
            <v>Past</v>
          </cell>
          <cell r="D475">
            <v>55.62</v>
          </cell>
          <cell r="E475" t="e">
            <v>#N/A</v>
          </cell>
          <cell r="F475" t="e">
            <v>#N/A</v>
          </cell>
          <cell r="G475" t="e">
            <v>#N/A</v>
          </cell>
          <cell r="H475" t="e">
            <v>#N/A</v>
          </cell>
          <cell r="I475" t="e">
            <v>#N/A</v>
          </cell>
          <cell r="J475" t="e">
            <v>#N/A</v>
          </cell>
          <cell r="K475" t="e">
            <v>#N/A</v>
          </cell>
          <cell r="L475" t="e">
            <v>#N/A</v>
          </cell>
          <cell r="M475" t="e">
            <v>#N/A</v>
          </cell>
          <cell r="N475" t="e">
            <v>#N/A</v>
          </cell>
          <cell r="O475" t="e">
            <v>#N/A</v>
          </cell>
          <cell r="P475">
            <v>55.62</v>
          </cell>
          <cell r="Q475">
            <v>1.0417809999999998</v>
          </cell>
          <cell r="R475" t="e">
            <v>#N/A</v>
          </cell>
        </row>
        <row r="476">
          <cell r="A476">
            <v>40156</v>
          </cell>
          <cell r="B476">
            <v>40156</v>
          </cell>
          <cell r="C476" t="str">
            <v>Past</v>
          </cell>
          <cell r="D476">
            <v>55.37</v>
          </cell>
          <cell r="E476" t="e">
            <v>#N/A</v>
          </cell>
          <cell r="F476" t="e">
            <v>#N/A</v>
          </cell>
          <cell r="G476" t="e">
            <v>#N/A</v>
          </cell>
          <cell r="H476" t="e">
            <v>#N/A</v>
          </cell>
          <cell r="I476" t="e">
            <v>#N/A</v>
          </cell>
          <cell r="J476" t="e">
            <v>#N/A</v>
          </cell>
          <cell r="K476" t="e">
            <v>#N/A</v>
          </cell>
          <cell r="L476" t="e">
            <v>#N/A</v>
          </cell>
          <cell r="M476" t="e">
            <v>#N/A</v>
          </cell>
          <cell r="N476" t="e">
            <v>#N/A</v>
          </cell>
          <cell r="O476" t="e">
            <v>#N/A</v>
          </cell>
          <cell r="P476">
            <v>55.37</v>
          </cell>
          <cell r="Q476">
            <v>0.86890699999999998</v>
          </cell>
          <cell r="R476" t="e">
            <v>#N/A</v>
          </cell>
        </row>
        <row r="477">
          <cell r="A477">
            <v>40157</v>
          </cell>
          <cell r="B477">
            <v>40157</v>
          </cell>
          <cell r="C477" t="str">
            <v>Past</v>
          </cell>
          <cell r="D477">
            <v>55.44</v>
          </cell>
          <cell r="E477" t="e">
            <v>#N/A</v>
          </cell>
          <cell r="F477" t="e">
            <v>#N/A</v>
          </cell>
          <cell r="G477" t="e">
            <v>#N/A</v>
          </cell>
          <cell r="H477" t="e">
            <v>#N/A</v>
          </cell>
          <cell r="I477" t="e">
            <v>#N/A</v>
          </cell>
          <cell r="J477" t="e">
            <v>#N/A</v>
          </cell>
          <cell r="K477" t="e">
            <v>#N/A</v>
          </cell>
          <cell r="L477" t="e">
            <v>#N/A</v>
          </cell>
          <cell r="M477" t="e">
            <v>#N/A</v>
          </cell>
          <cell r="N477" t="e">
            <v>#N/A</v>
          </cell>
          <cell r="O477" t="e">
            <v>#N/A</v>
          </cell>
          <cell r="P477">
            <v>55.44</v>
          </cell>
          <cell r="Q477">
            <v>0.50804199999999999</v>
          </cell>
          <cell r="R477" t="e">
            <v>#N/A</v>
          </cell>
        </row>
        <row r="478">
          <cell r="A478">
            <v>40158</v>
          </cell>
          <cell r="B478">
            <v>40158</v>
          </cell>
          <cell r="C478" t="str">
            <v>Past</v>
          </cell>
          <cell r="D478">
            <v>55.79</v>
          </cell>
          <cell r="E478" t="e">
            <v>#N/A</v>
          </cell>
          <cell r="F478" t="e">
            <v>#N/A</v>
          </cell>
          <cell r="G478" t="e">
            <v>#N/A</v>
          </cell>
          <cell r="H478" t="e">
            <v>#N/A</v>
          </cell>
          <cell r="I478" t="e">
            <v>#N/A</v>
          </cell>
          <cell r="J478" t="e">
            <v>#N/A</v>
          </cell>
          <cell r="K478" t="e">
            <v>#N/A</v>
          </cell>
          <cell r="L478" t="e">
            <v>#N/A</v>
          </cell>
          <cell r="M478" t="e">
            <v>#N/A</v>
          </cell>
          <cell r="N478" t="e">
            <v>#N/A</v>
          </cell>
          <cell r="O478" t="e">
            <v>#N/A</v>
          </cell>
          <cell r="P478">
            <v>55.79</v>
          </cell>
          <cell r="Q478">
            <v>0.54949599999999998</v>
          </cell>
          <cell r="R478" t="e">
            <v>#N/A</v>
          </cell>
        </row>
        <row r="479">
          <cell r="A479">
            <v>40161</v>
          </cell>
          <cell r="B479">
            <v>40161</v>
          </cell>
          <cell r="C479" t="str">
            <v>Past</v>
          </cell>
          <cell r="D479">
            <v>56.3</v>
          </cell>
          <cell r="E479" t="e">
            <v>#N/A</v>
          </cell>
          <cell r="F479" t="e">
            <v>#N/A</v>
          </cell>
          <cell r="G479" t="e">
            <v>#N/A</v>
          </cell>
          <cell r="H479" t="e">
            <v>#N/A</v>
          </cell>
          <cell r="I479" t="e">
            <v>#N/A</v>
          </cell>
          <cell r="J479" t="e">
            <v>#N/A</v>
          </cell>
          <cell r="K479" t="e">
            <v>#N/A</v>
          </cell>
          <cell r="L479" t="e">
            <v>#N/A</v>
          </cell>
          <cell r="M479" t="e">
            <v>#N/A</v>
          </cell>
          <cell r="N479" t="e">
            <v>#N/A</v>
          </cell>
          <cell r="O479" t="e">
            <v>#N/A</v>
          </cell>
          <cell r="P479">
            <v>56.3</v>
          </cell>
          <cell r="Q479">
            <v>0.85882700000000001</v>
          </cell>
          <cell r="R479" t="e">
            <v>#N/A</v>
          </cell>
        </row>
        <row r="480">
          <cell r="A480">
            <v>40162</v>
          </cell>
          <cell r="B480">
            <v>40162</v>
          </cell>
          <cell r="C480" t="str">
            <v>Past</v>
          </cell>
          <cell r="D480">
            <v>56.63</v>
          </cell>
          <cell r="E480" t="e">
            <v>#N/A</v>
          </cell>
          <cell r="F480" t="e">
            <v>#N/A</v>
          </cell>
          <cell r="G480" t="e">
            <v>#N/A</v>
          </cell>
          <cell r="H480" t="e">
            <v>#N/A</v>
          </cell>
          <cell r="I480" t="e">
            <v>#N/A</v>
          </cell>
          <cell r="J480" t="e">
            <v>#N/A</v>
          </cell>
          <cell r="K480" t="e">
            <v>#N/A</v>
          </cell>
          <cell r="L480" t="e">
            <v>#N/A</v>
          </cell>
          <cell r="M480" t="e">
            <v>#N/A</v>
          </cell>
          <cell r="N480" t="e">
            <v>#N/A</v>
          </cell>
          <cell r="O480" t="e">
            <v>#N/A</v>
          </cell>
          <cell r="P480">
            <v>56.63</v>
          </cell>
          <cell r="Q480">
            <v>0.64062799999999998</v>
          </cell>
          <cell r="R480" t="e">
            <v>#N/A</v>
          </cell>
        </row>
        <row r="481">
          <cell r="A481">
            <v>40163</v>
          </cell>
          <cell r="B481">
            <v>40163</v>
          </cell>
          <cell r="C481" t="str">
            <v>Past</v>
          </cell>
          <cell r="D481">
            <v>56.26</v>
          </cell>
          <cell r="E481" t="e">
            <v>#N/A</v>
          </cell>
          <cell r="F481" t="e">
            <v>#N/A</v>
          </cell>
          <cell r="G481" t="e">
            <v>#N/A</v>
          </cell>
          <cell r="H481" t="e">
            <v>#N/A</v>
          </cell>
          <cell r="I481" t="e">
            <v>#N/A</v>
          </cell>
          <cell r="J481" t="e">
            <v>#N/A</v>
          </cell>
          <cell r="K481" t="e">
            <v>#N/A</v>
          </cell>
          <cell r="L481" t="e">
            <v>#N/A</v>
          </cell>
          <cell r="M481" t="e">
            <v>#N/A</v>
          </cell>
          <cell r="N481" t="e">
            <v>#N/A</v>
          </cell>
          <cell r="O481" t="e">
            <v>#N/A</v>
          </cell>
          <cell r="P481">
            <v>56.26</v>
          </cell>
          <cell r="Q481">
            <v>0.85518699999999992</v>
          </cell>
          <cell r="R481" t="e">
            <v>#N/A</v>
          </cell>
        </row>
        <row r="482">
          <cell r="A482">
            <v>40164</v>
          </cell>
          <cell r="B482">
            <v>40164</v>
          </cell>
          <cell r="C482" t="str">
            <v>Past</v>
          </cell>
          <cell r="D482">
            <v>55.9</v>
          </cell>
          <cell r="E482" t="e">
            <v>#N/A</v>
          </cell>
          <cell r="F482" t="e">
            <v>#N/A</v>
          </cell>
          <cell r="G482" t="e">
            <v>#N/A</v>
          </cell>
          <cell r="H482" t="e">
            <v>#N/A</v>
          </cell>
          <cell r="I482" t="e">
            <v>#N/A</v>
          </cell>
          <cell r="J482" t="e">
            <v>#N/A</v>
          </cell>
          <cell r="K482" t="e">
            <v>#N/A</v>
          </cell>
          <cell r="L482" t="e">
            <v>#N/A</v>
          </cell>
          <cell r="M482" t="e">
            <v>#N/A</v>
          </cell>
          <cell r="N482" t="e">
            <v>#N/A</v>
          </cell>
          <cell r="O482" t="e">
            <v>#N/A</v>
          </cell>
          <cell r="P482">
            <v>55.9</v>
          </cell>
          <cell r="Q482">
            <v>0.53759599999999996</v>
          </cell>
          <cell r="R482" t="e">
            <v>#N/A</v>
          </cell>
        </row>
        <row r="483">
          <cell r="A483">
            <v>40165</v>
          </cell>
          <cell r="B483">
            <v>40165</v>
          </cell>
          <cell r="C483" t="str">
            <v>Past</v>
          </cell>
          <cell r="D483">
            <v>55.99</v>
          </cell>
          <cell r="E483" t="e">
            <v>#N/A</v>
          </cell>
          <cell r="F483" t="e">
            <v>#N/A</v>
          </cell>
          <cell r="G483" t="e">
            <v>#N/A</v>
          </cell>
          <cell r="H483" t="e">
            <v>#N/A</v>
          </cell>
          <cell r="I483" t="e">
            <v>#N/A</v>
          </cell>
          <cell r="J483" t="e">
            <v>#N/A</v>
          </cell>
          <cell r="K483" t="e">
            <v>#N/A</v>
          </cell>
          <cell r="L483" t="e">
            <v>#N/A</v>
          </cell>
          <cell r="M483" t="e">
            <v>#N/A</v>
          </cell>
          <cell r="N483" t="e">
            <v>#N/A</v>
          </cell>
          <cell r="O483" t="e">
            <v>#N/A</v>
          </cell>
          <cell r="P483">
            <v>55.99</v>
          </cell>
          <cell r="Q483">
            <v>0.79616799999999999</v>
          </cell>
          <cell r="R483" t="e">
            <v>#N/A</v>
          </cell>
        </row>
        <row r="484">
          <cell r="A484">
            <v>40168</v>
          </cell>
          <cell r="B484">
            <v>40168</v>
          </cell>
          <cell r="C484" t="str">
            <v>Past</v>
          </cell>
          <cell r="D484">
            <v>55.77</v>
          </cell>
          <cell r="E484" t="e">
            <v>#N/A</v>
          </cell>
          <cell r="F484" t="e">
            <v>#N/A</v>
          </cell>
          <cell r="G484" t="e">
            <v>#N/A</v>
          </cell>
          <cell r="H484" t="e">
            <v>#N/A</v>
          </cell>
          <cell r="I484" t="e">
            <v>#N/A</v>
          </cell>
          <cell r="J484" t="e">
            <v>#N/A</v>
          </cell>
          <cell r="K484" t="e">
            <v>#N/A</v>
          </cell>
          <cell r="L484" t="e">
            <v>#N/A</v>
          </cell>
          <cell r="M484" t="e">
            <v>#N/A</v>
          </cell>
          <cell r="N484" t="e">
            <v>#N/A</v>
          </cell>
          <cell r="O484" t="e">
            <v>#N/A</v>
          </cell>
          <cell r="P484">
            <v>55.77</v>
          </cell>
          <cell r="Q484">
            <v>0.78675499999999998</v>
          </cell>
          <cell r="R484" t="e">
            <v>#N/A</v>
          </cell>
        </row>
        <row r="485">
          <cell r="A485">
            <v>40169</v>
          </cell>
          <cell r="B485">
            <v>40169</v>
          </cell>
          <cell r="C485" t="str">
            <v>Past</v>
          </cell>
          <cell r="D485">
            <v>56.15</v>
          </cell>
          <cell r="E485" t="e">
            <v>#N/A</v>
          </cell>
          <cell r="F485" t="e">
            <v>#N/A</v>
          </cell>
          <cell r="G485" t="e">
            <v>#N/A</v>
          </cell>
          <cell r="H485" t="e">
            <v>#N/A</v>
          </cell>
          <cell r="I485" t="e">
            <v>#N/A</v>
          </cell>
          <cell r="J485" t="e">
            <v>#N/A</v>
          </cell>
          <cell r="K485" t="e">
            <v>#N/A</v>
          </cell>
          <cell r="L485" t="e">
            <v>#N/A</v>
          </cell>
          <cell r="M485" t="e">
            <v>#N/A</v>
          </cell>
          <cell r="N485" t="e">
            <v>#N/A</v>
          </cell>
          <cell r="O485" t="e">
            <v>#N/A</v>
          </cell>
          <cell r="P485">
            <v>56.15</v>
          </cell>
          <cell r="Q485">
            <v>0.83048899999999992</v>
          </cell>
          <cell r="R485" t="e">
            <v>#N/A</v>
          </cell>
        </row>
        <row r="486">
          <cell r="A486">
            <v>40170</v>
          </cell>
          <cell r="B486">
            <v>40170</v>
          </cell>
          <cell r="C486" t="str">
            <v>Past</v>
          </cell>
          <cell r="D486">
            <v>55.57</v>
          </cell>
          <cell r="E486" t="e">
            <v>#N/A</v>
          </cell>
          <cell r="F486" t="e">
            <v>#N/A</v>
          </cell>
          <cell r="G486" t="e">
            <v>#N/A</v>
          </cell>
          <cell r="H486" t="e">
            <v>#N/A</v>
          </cell>
          <cell r="I486" t="e">
            <v>#N/A</v>
          </cell>
          <cell r="J486" t="e">
            <v>#N/A</v>
          </cell>
          <cell r="K486" t="e">
            <v>#N/A</v>
          </cell>
          <cell r="L486" t="e">
            <v>#N/A</v>
          </cell>
          <cell r="M486" t="e">
            <v>#N/A</v>
          </cell>
          <cell r="N486" t="e">
            <v>#N/A</v>
          </cell>
          <cell r="O486" t="e">
            <v>#N/A</v>
          </cell>
          <cell r="P486">
            <v>55.57</v>
          </cell>
          <cell r="Q486">
            <v>1.2710349999999999</v>
          </cell>
          <cell r="R486" t="e">
            <v>#N/A</v>
          </cell>
        </row>
        <row r="487">
          <cell r="A487">
            <v>40171</v>
          </cell>
          <cell r="B487">
            <v>40171</v>
          </cell>
          <cell r="C487" t="str">
            <v>Past</v>
          </cell>
          <cell r="D487">
            <v>55.73</v>
          </cell>
          <cell r="E487" t="e">
            <v>#N/A</v>
          </cell>
          <cell r="F487" t="e">
            <v>#N/A</v>
          </cell>
          <cell r="G487" t="e">
            <v>#N/A</v>
          </cell>
          <cell r="H487" t="e">
            <v>#N/A</v>
          </cell>
          <cell r="I487" t="e">
            <v>#N/A</v>
          </cell>
          <cell r="J487" t="e">
            <v>#N/A</v>
          </cell>
          <cell r="K487" t="e">
            <v>#N/A</v>
          </cell>
          <cell r="L487" t="e">
            <v>#N/A</v>
          </cell>
          <cell r="M487" t="e">
            <v>#N/A</v>
          </cell>
          <cell r="N487" t="e">
            <v>#N/A</v>
          </cell>
          <cell r="O487" t="e">
            <v>#N/A</v>
          </cell>
          <cell r="P487">
            <v>55.73</v>
          </cell>
          <cell r="Q487">
            <v>0.39665099999999998</v>
          </cell>
          <cell r="R487" t="e">
            <v>#N/A</v>
          </cell>
        </row>
        <row r="488">
          <cell r="A488">
            <v>40175</v>
          </cell>
          <cell r="B488">
            <v>40175</v>
          </cell>
          <cell r="C488" t="str">
            <v>Past</v>
          </cell>
          <cell r="D488">
            <v>55.99</v>
          </cell>
          <cell r="E488" t="e">
            <v>#N/A</v>
          </cell>
          <cell r="F488" t="e">
            <v>#N/A</v>
          </cell>
          <cell r="G488" t="e">
            <v>#N/A</v>
          </cell>
          <cell r="H488" t="e">
            <v>#N/A</v>
          </cell>
          <cell r="I488" t="e">
            <v>#N/A</v>
          </cell>
          <cell r="J488" t="e">
            <v>#N/A</v>
          </cell>
          <cell r="K488" t="e">
            <v>#N/A</v>
          </cell>
          <cell r="L488" t="e">
            <v>#N/A</v>
          </cell>
          <cell r="M488" t="e">
            <v>#N/A</v>
          </cell>
          <cell r="N488" t="e">
            <v>#N/A</v>
          </cell>
          <cell r="O488" t="e">
            <v>#N/A</v>
          </cell>
          <cell r="P488">
            <v>55.99</v>
          </cell>
          <cell r="Q488">
            <v>0.74642699999999995</v>
          </cell>
          <cell r="R488" t="e">
            <v>#N/A</v>
          </cell>
        </row>
        <row r="489">
          <cell r="A489">
            <v>40176</v>
          </cell>
          <cell r="B489">
            <v>40176</v>
          </cell>
          <cell r="C489" t="str">
            <v>Past</v>
          </cell>
          <cell r="D489">
            <v>56.16</v>
          </cell>
          <cell r="E489" t="e">
            <v>#N/A</v>
          </cell>
          <cell r="F489" t="e">
            <v>#N/A</v>
          </cell>
          <cell r="G489" t="e">
            <v>#N/A</v>
          </cell>
          <cell r="H489" t="e">
            <v>#N/A</v>
          </cell>
          <cell r="I489" t="e">
            <v>#N/A</v>
          </cell>
          <cell r="J489" t="e">
            <v>#N/A</v>
          </cell>
          <cell r="K489" t="e">
            <v>#N/A</v>
          </cell>
          <cell r="L489" t="e">
            <v>#N/A</v>
          </cell>
          <cell r="M489" t="e">
            <v>#N/A</v>
          </cell>
          <cell r="N489" t="e">
            <v>#N/A</v>
          </cell>
          <cell r="O489" t="e">
            <v>#N/A</v>
          </cell>
          <cell r="P489">
            <v>56.16</v>
          </cell>
          <cell r="Q489">
            <v>0.33045199999999997</v>
          </cell>
          <cell r="R489" t="e">
            <v>#N/A</v>
          </cell>
        </row>
        <row r="490">
          <cell r="A490">
            <v>40177</v>
          </cell>
          <cell r="B490">
            <v>40177</v>
          </cell>
          <cell r="C490" t="str">
            <v>Past</v>
          </cell>
          <cell r="D490">
            <v>56.24</v>
          </cell>
          <cell r="E490" t="e">
            <v>#N/A</v>
          </cell>
          <cell r="F490" t="e">
            <v>#N/A</v>
          </cell>
          <cell r="G490" t="e">
            <v>#N/A</v>
          </cell>
          <cell r="H490" t="e">
            <v>#N/A</v>
          </cell>
          <cell r="I490" t="e">
            <v>#N/A</v>
          </cell>
          <cell r="J490" t="e">
            <v>#N/A</v>
          </cell>
          <cell r="K490" t="e">
            <v>#N/A</v>
          </cell>
          <cell r="L490" t="e">
            <v>#N/A</v>
          </cell>
          <cell r="M490" t="e">
            <v>#N/A</v>
          </cell>
          <cell r="N490" t="e">
            <v>#N/A</v>
          </cell>
          <cell r="O490" t="e">
            <v>#N/A</v>
          </cell>
          <cell r="P490">
            <v>56.24</v>
          </cell>
          <cell r="Q490">
            <v>0.35655199999999998</v>
          </cell>
          <cell r="R490" t="e">
            <v>#N/A</v>
          </cell>
        </row>
        <row r="491">
          <cell r="A491">
            <v>40178</v>
          </cell>
          <cell r="B491">
            <v>40178</v>
          </cell>
          <cell r="C491" t="str">
            <v>Past</v>
          </cell>
          <cell r="D491">
            <v>55.36</v>
          </cell>
          <cell r="E491" t="e">
            <v>#N/A</v>
          </cell>
          <cell r="F491" t="e">
            <v>#N/A</v>
          </cell>
          <cell r="G491" t="e">
            <v>#N/A</v>
          </cell>
          <cell r="H491" t="e">
            <v>#N/A</v>
          </cell>
          <cell r="I491" t="e">
            <v>#N/A</v>
          </cell>
          <cell r="J491" t="e">
            <v>#N/A</v>
          </cell>
          <cell r="K491" t="e">
            <v>#N/A</v>
          </cell>
          <cell r="L491" t="e">
            <v>#N/A</v>
          </cell>
          <cell r="M491" t="e">
            <v>#N/A</v>
          </cell>
          <cell r="N491" t="e">
            <v>#N/A</v>
          </cell>
          <cell r="O491" t="e">
            <v>#N/A</v>
          </cell>
          <cell r="P491">
            <v>55.36</v>
          </cell>
          <cell r="Q491">
            <v>0.50804700000000003</v>
          </cell>
          <cell r="R491" t="e">
            <v>#N/A</v>
          </cell>
        </row>
        <row r="492">
          <cell r="A492">
            <v>40182</v>
          </cell>
          <cell r="B492">
            <v>40182</v>
          </cell>
          <cell r="C492" t="str">
            <v>Past</v>
          </cell>
          <cell r="D492">
            <v>56.35</v>
          </cell>
          <cell r="E492" t="e">
            <v>#N/A</v>
          </cell>
          <cell r="F492" t="e">
            <v>#N/A</v>
          </cell>
          <cell r="G492" t="e">
            <v>#N/A</v>
          </cell>
          <cell r="H492" t="e">
            <v>#N/A</v>
          </cell>
          <cell r="I492" t="e">
            <v>#N/A</v>
          </cell>
          <cell r="J492" t="e">
            <v>#N/A</v>
          </cell>
          <cell r="K492" t="e">
            <v>#N/A</v>
          </cell>
          <cell r="L492" t="e">
            <v>#N/A</v>
          </cell>
          <cell r="M492" t="e">
            <v>#N/A</v>
          </cell>
          <cell r="N492" t="e">
            <v>#N/A</v>
          </cell>
          <cell r="O492" t="e">
            <v>#N/A</v>
          </cell>
          <cell r="P492">
            <v>56.35</v>
          </cell>
          <cell r="Q492">
            <v>0.82801099999999994</v>
          </cell>
          <cell r="R492" t="e">
            <v>#N/A</v>
          </cell>
        </row>
        <row r="493">
          <cell r="A493">
            <v>40183</v>
          </cell>
          <cell r="B493">
            <v>40183</v>
          </cell>
          <cell r="C493" t="str">
            <v>Past</v>
          </cell>
          <cell r="D493">
            <v>56.36</v>
          </cell>
          <cell r="E493" t="e">
            <v>#N/A</v>
          </cell>
          <cell r="F493" t="e">
            <v>#N/A</v>
          </cell>
          <cell r="G493" t="e">
            <v>#N/A</v>
          </cell>
          <cell r="H493" t="e">
            <v>#N/A</v>
          </cell>
          <cell r="I493" t="e">
            <v>#N/A</v>
          </cell>
          <cell r="J493" t="e">
            <v>#N/A</v>
          </cell>
          <cell r="K493" t="e">
            <v>#N/A</v>
          </cell>
          <cell r="L493" t="e">
            <v>#N/A</v>
          </cell>
          <cell r="M493" t="e">
            <v>#N/A</v>
          </cell>
          <cell r="N493" t="e">
            <v>#N/A</v>
          </cell>
          <cell r="O493" t="e">
            <v>#N/A</v>
          </cell>
          <cell r="P493">
            <v>56.36</v>
          </cell>
          <cell r="Q493">
            <v>0.51512000000000002</v>
          </cell>
          <cell r="R493" t="e">
            <v>#N/A</v>
          </cell>
        </row>
        <row r="494">
          <cell r="A494">
            <v>40184</v>
          </cell>
          <cell r="B494">
            <v>40184</v>
          </cell>
          <cell r="C494" t="str">
            <v>Past</v>
          </cell>
          <cell r="D494">
            <v>56.42</v>
          </cell>
          <cell r="E494" t="e">
            <v>#N/A</v>
          </cell>
          <cell r="F494" t="e">
            <v>#N/A</v>
          </cell>
          <cell r="G494" t="e">
            <v>#N/A</v>
          </cell>
          <cell r="H494" t="e">
            <v>#N/A</v>
          </cell>
          <cell r="I494" t="e">
            <v>#N/A</v>
          </cell>
          <cell r="J494" t="e">
            <v>#N/A</v>
          </cell>
          <cell r="K494" t="e">
            <v>#N/A</v>
          </cell>
          <cell r="L494" t="e">
            <v>#N/A</v>
          </cell>
          <cell r="M494" t="e">
            <v>#N/A</v>
          </cell>
          <cell r="N494" t="e">
            <v>#N/A</v>
          </cell>
          <cell r="O494" t="e">
            <v>#N/A</v>
          </cell>
          <cell r="P494">
            <v>56.42</v>
          </cell>
          <cell r="Q494">
            <v>0.89539599999999997</v>
          </cell>
          <cell r="R494" t="e">
            <v>#N/A</v>
          </cell>
        </row>
        <row r="495">
          <cell r="A495">
            <v>40185</v>
          </cell>
          <cell r="B495">
            <v>40185</v>
          </cell>
          <cell r="C495" t="str">
            <v>Past</v>
          </cell>
          <cell r="D495">
            <v>56.83</v>
          </cell>
          <cell r="E495" t="e">
            <v>#N/A</v>
          </cell>
          <cell r="F495" t="e">
            <v>#N/A</v>
          </cell>
          <cell r="G495" t="e">
            <v>#N/A</v>
          </cell>
          <cell r="H495" t="e">
            <v>#N/A</v>
          </cell>
          <cell r="I495" t="e">
            <v>#N/A</v>
          </cell>
          <cell r="J495" t="e">
            <v>#N/A</v>
          </cell>
          <cell r="K495" t="e">
            <v>#N/A</v>
          </cell>
          <cell r="L495" t="e">
            <v>#N/A</v>
          </cell>
          <cell r="M495" t="e">
            <v>#N/A</v>
          </cell>
          <cell r="N495" t="e">
            <v>#N/A</v>
          </cell>
          <cell r="O495" t="e">
            <v>#N/A</v>
          </cell>
          <cell r="P495">
            <v>56.83</v>
          </cell>
          <cell r="Q495">
            <v>0.60548899999999994</v>
          </cell>
          <cell r="R495" t="e">
            <v>#N/A</v>
          </cell>
        </row>
        <row r="496">
          <cell r="A496">
            <v>40186</v>
          </cell>
          <cell r="B496">
            <v>40186</v>
          </cell>
          <cell r="C496" t="str">
            <v>Past</v>
          </cell>
          <cell r="D496">
            <v>57.39</v>
          </cell>
          <cell r="E496" t="e">
            <v>#N/A</v>
          </cell>
          <cell r="F496" t="e">
            <v>#N/A</v>
          </cell>
          <cell r="G496" t="e">
            <v>#N/A</v>
          </cell>
          <cell r="H496" t="e">
            <v>#N/A</v>
          </cell>
          <cell r="I496" t="e">
            <v>#N/A</v>
          </cell>
          <cell r="J496" t="e">
            <v>#N/A</v>
          </cell>
          <cell r="K496" t="e">
            <v>#N/A</v>
          </cell>
          <cell r="L496" t="e">
            <v>#N/A</v>
          </cell>
          <cell r="M496" t="e">
            <v>#N/A</v>
          </cell>
          <cell r="N496" t="e">
            <v>#N/A</v>
          </cell>
          <cell r="O496" t="e">
            <v>#N/A</v>
          </cell>
          <cell r="P496">
            <v>57.39</v>
          </cell>
          <cell r="Q496">
            <v>0.59313899999999997</v>
          </cell>
          <cell r="R496" t="e">
            <v>#N/A</v>
          </cell>
        </row>
        <row r="497">
          <cell r="A497">
            <v>40189</v>
          </cell>
          <cell r="B497">
            <v>40189</v>
          </cell>
          <cell r="C497" t="str">
            <v>Past</v>
          </cell>
          <cell r="D497">
            <v>57</v>
          </cell>
          <cell r="E497" t="e">
            <v>#N/A</v>
          </cell>
          <cell r="F497" t="e">
            <v>#N/A</v>
          </cell>
          <cell r="G497" t="e">
            <v>#N/A</v>
          </cell>
          <cell r="H497" t="e">
            <v>#N/A</v>
          </cell>
          <cell r="I497" t="e">
            <v>#N/A</v>
          </cell>
          <cell r="J497" t="e">
            <v>#N/A</v>
          </cell>
          <cell r="K497" t="e">
            <v>#N/A</v>
          </cell>
          <cell r="L497" t="e">
            <v>#N/A</v>
          </cell>
          <cell r="M497" t="e">
            <v>#N/A</v>
          </cell>
          <cell r="N497" t="e">
            <v>#N/A</v>
          </cell>
          <cell r="O497" t="e">
            <v>#N/A</v>
          </cell>
          <cell r="P497">
            <v>57</v>
          </cell>
          <cell r="Q497">
            <v>0.57861399999999996</v>
          </cell>
          <cell r="R497" t="e">
            <v>#N/A</v>
          </cell>
        </row>
        <row r="498">
          <cell r="A498">
            <v>40190</v>
          </cell>
          <cell r="B498">
            <v>40190</v>
          </cell>
          <cell r="C498" t="str">
            <v>Past</v>
          </cell>
          <cell r="D498">
            <v>56.56</v>
          </cell>
          <cell r="E498" t="e">
            <v>#N/A</v>
          </cell>
          <cell r="F498" t="e">
            <v>#N/A</v>
          </cell>
          <cell r="G498" t="e">
            <v>#N/A</v>
          </cell>
          <cell r="H498" t="e">
            <v>#N/A</v>
          </cell>
          <cell r="I498" t="e">
            <v>#N/A</v>
          </cell>
          <cell r="J498" t="e">
            <v>#N/A</v>
          </cell>
          <cell r="K498" t="e">
            <v>#N/A</v>
          </cell>
          <cell r="L498" t="e">
            <v>#N/A</v>
          </cell>
          <cell r="M498" t="e">
            <v>#N/A</v>
          </cell>
          <cell r="N498" t="e">
            <v>#N/A</v>
          </cell>
          <cell r="O498" t="e">
            <v>#N/A</v>
          </cell>
          <cell r="P498">
            <v>56.56</v>
          </cell>
          <cell r="Q498">
            <v>0.58831699999999998</v>
          </cell>
          <cell r="R498" t="e">
            <v>#N/A</v>
          </cell>
        </row>
        <row r="499">
          <cell r="A499">
            <v>40191</v>
          </cell>
          <cell r="B499">
            <v>40191</v>
          </cell>
          <cell r="C499" t="str">
            <v>Past</v>
          </cell>
          <cell r="D499">
            <v>56.8</v>
          </cell>
          <cell r="E499" t="e">
            <v>#N/A</v>
          </cell>
          <cell r="F499" t="e">
            <v>#N/A</v>
          </cell>
          <cell r="G499" t="e">
            <v>#N/A</v>
          </cell>
          <cell r="H499" t="e">
            <v>#N/A</v>
          </cell>
          <cell r="I499" t="e">
            <v>#N/A</v>
          </cell>
          <cell r="J499" t="e">
            <v>#N/A</v>
          </cell>
          <cell r="K499" t="e">
            <v>#N/A</v>
          </cell>
          <cell r="L499" t="e">
            <v>#N/A</v>
          </cell>
          <cell r="M499" t="e">
            <v>#N/A</v>
          </cell>
          <cell r="N499" t="e">
            <v>#N/A</v>
          </cell>
          <cell r="O499" t="e">
            <v>#N/A</v>
          </cell>
          <cell r="P499">
            <v>56.8</v>
          </cell>
          <cell r="Q499">
            <v>0.42825799999999997</v>
          </cell>
          <cell r="R499" t="e">
            <v>#N/A</v>
          </cell>
        </row>
        <row r="500">
          <cell r="A500">
            <v>40192</v>
          </cell>
          <cell r="B500">
            <v>40192</v>
          </cell>
          <cell r="C500" t="str">
            <v>Past</v>
          </cell>
          <cell r="D500">
            <v>57.07</v>
          </cell>
          <cell r="E500" t="e">
            <v>#N/A</v>
          </cell>
          <cell r="F500" t="e">
            <v>#N/A</v>
          </cell>
          <cell r="G500" t="e">
            <v>#N/A</v>
          </cell>
          <cell r="H500" t="e">
            <v>#N/A</v>
          </cell>
          <cell r="I500" t="e">
            <v>#N/A</v>
          </cell>
          <cell r="J500" t="e">
            <v>#N/A</v>
          </cell>
          <cell r="K500" t="e">
            <v>#N/A</v>
          </cell>
          <cell r="L500" t="e">
            <v>#N/A</v>
          </cell>
          <cell r="M500" t="e">
            <v>#N/A</v>
          </cell>
          <cell r="N500" t="e">
            <v>#N/A</v>
          </cell>
          <cell r="O500" t="e">
            <v>#N/A</v>
          </cell>
          <cell r="P500">
            <v>57.07</v>
          </cell>
          <cell r="Q500">
            <v>0.41117599999999999</v>
          </cell>
          <cell r="R500" t="e">
            <v>#N/A</v>
          </cell>
        </row>
        <row r="501">
          <cell r="A501">
            <v>40193</v>
          </cell>
          <cell r="B501">
            <v>40193</v>
          </cell>
          <cell r="C501" t="str">
            <v>Past</v>
          </cell>
          <cell r="D501">
            <v>56.7</v>
          </cell>
          <cell r="E501" t="e">
            <v>#N/A</v>
          </cell>
          <cell r="F501" t="e">
            <v>#N/A</v>
          </cell>
          <cell r="G501" t="e">
            <v>#N/A</v>
          </cell>
          <cell r="H501" t="e">
            <v>#N/A</v>
          </cell>
          <cell r="I501" t="e">
            <v>#N/A</v>
          </cell>
          <cell r="J501" t="e">
            <v>#N/A</v>
          </cell>
          <cell r="K501" t="e">
            <v>#N/A</v>
          </cell>
          <cell r="L501" t="e">
            <v>#N/A</v>
          </cell>
          <cell r="M501" t="e">
            <v>#N/A</v>
          </cell>
          <cell r="N501" t="e">
            <v>#N/A</v>
          </cell>
          <cell r="O501" t="e">
            <v>#N/A</v>
          </cell>
          <cell r="P501">
            <v>56.7</v>
          </cell>
          <cell r="Q501">
            <v>0.635907</v>
          </cell>
          <cell r="R501" t="e">
            <v>#N/A</v>
          </cell>
        </row>
        <row r="502">
          <cell r="A502">
            <v>40197</v>
          </cell>
          <cell r="B502">
            <v>40197</v>
          </cell>
          <cell r="C502" t="str">
            <v>Past</v>
          </cell>
          <cell r="D502">
            <v>56.78</v>
          </cell>
          <cell r="E502" t="e">
            <v>#N/A</v>
          </cell>
          <cell r="F502" t="e">
            <v>#N/A</v>
          </cell>
          <cell r="G502" t="e">
            <v>#N/A</v>
          </cell>
          <cell r="H502" t="e">
            <v>#N/A</v>
          </cell>
          <cell r="I502" t="e">
            <v>#N/A</v>
          </cell>
          <cell r="J502" t="e">
            <v>#N/A</v>
          </cell>
          <cell r="K502" t="e">
            <v>#N/A</v>
          </cell>
          <cell r="L502" t="e">
            <v>#N/A</v>
          </cell>
          <cell r="M502" t="e">
            <v>#N/A</v>
          </cell>
          <cell r="N502" t="e">
            <v>#N/A</v>
          </cell>
          <cell r="O502" t="e">
            <v>#N/A</v>
          </cell>
          <cell r="P502">
            <v>56.78</v>
          </cell>
          <cell r="Q502">
            <v>0.761459</v>
          </cell>
          <cell r="R502" t="e">
            <v>#N/A</v>
          </cell>
        </row>
        <row r="503">
          <cell r="A503">
            <v>40198</v>
          </cell>
          <cell r="B503">
            <v>40198</v>
          </cell>
          <cell r="C503" t="str">
            <v>Past</v>
          </cell>
          <cell r="D503">
            <v>56.04</v>
          </cell>
          <cell r="E503" t="e">
            <v>#N/A</v>
          </cell>
          <cell r="F503" t="e">
            <v>#N/A</v>
          </cell>
          <cell r="G503" t="e">
            <v>#N/A</v>
          </cell>
          <cell r="H503" t="e">
            <v>#N/A</v>
          </cell>
          <cell r="I503" t="e">
            <v>#N/A</v>
          </cell>
          <cell r="J503" t="e">
            <v>#N/A</v>
          </cell>
          <cell r="K503" t="e">
            <v>#N/A</v>
          </cell>
          <cell r="L503" t="e">
            <v>#N/A</v>
          </cell>
          <cell r="M503" t="e">
            <v>#N/A</v>
          </cell>
          <cell r="N503" t="e">
            <v>#N/A</v>
          </cell>
          <cell r="O503" t="e">
            <v>#N/A</v>
          </cell>
          <cell r="P503">
            <v>56.04</v>
          </cell>
          <cell r="Q503">
            <v>0.81456499999999998</v>
          </cell>
          <cell r="R503" t="e">
            <v>#N/A</v>
          </cell>
        </row>
        <row r="504">
          <cell r="A504">
            <v>40199</v>
          </cell>
          <cell r="B504">
            <v>40199</v>
          </cell>
          <cell r="C504" t="str">
            <v>Past</v>
          </cell>
          <cell r="D504">
            <v>54.47</v>
          </cell>
          <cell r="E504" t="e">
            <v>#N/A</v>
          </cell>
          <cell r="F504" t="e">
            <v>#N/A</v>
          </cell>
          <cell r="G504" t="e">
            <v>#N/A</v>
          </cell>
          <cell r="H504" t="e">
            <v>#N/A</v>
          </cell>
          <cell r="I504" t="e">
            <v>#N/A</v>
          </cell>
          <cell r="J504" t="e">
            <v>#N/A</v>
          </cell>
          <cell r="K504" t="e">
            <v>#N/A</v>
          </cell>
          <cell r="L504" t="e">
            <v>#N/A</v>
          </cell>
          <cell r="M504" t="e">
            <v>#N/A</v>
          </cell>
          <cell r="N504" t="e">
            <v>#N/A</v>
          </cell>
          <cell r="O504" t="e">
            <v>#N/A</v>
          </cell>
          <cell r="P504">
            <v>54.47</v>
          </cell>
          <cell r="Q504">
            <v>1.532249</v>
          </cell>
          <cell r="R504" t="e">
            <v>#N/A</v>
          </cell>
        </row>
        <row r="505">
          <cell r="A505">
            <v>40200</v>
          </cell>
          <cell r="B505">
            <v>40200</v>
          </cell>
          <cell r="C505" t="str">
            <v>Past</v>
          </cell>
          <cell r="D505">
            <v>53.68</v>
          </cell>
          <cell r="E505" t="e">
            <v>#N/A</v>
          </cell>
          <cell r="F505" t="e">
            <v>#N/A</v>
          </cell>
          <cell r="G505" t="e">
            <v>#N/A</v>
          </cell>
          <cell r="H505" t="e">
            <v>#N/A</v>
          </cell>
          <cell r="I505" t="e">
            <v>#N/A</v>
          </cell>
          <cell r="J505" t="e">
            <v>#N/A</v>
          </cell>
          <cell r="K505" t="e">
            <v>#N/A</v>
          </cell>
          <cell r="L505" t="e">
            <v>#N/A</v>
          </cell>
          <cell r="M505" t="e">
            <v>#N/A</v>
          </cell>
          <cell r="N505" t="e">
            <v>#N/A</v>
          </cell>
          <cell r="O505" t="e">
            <v>#N/A</v>
          </cell>
          <cell r="P505">
            <v>53.68</v>
          </cell>
          <cell r="Q505">
            <v>0.77065000000000006</v>
          </cell>
          <cell r="R505" t="e">
            <v>#N/A</v>
          </cell>
        </row>
        <row r="506">
          <cell r="A506">
            <v>40203</v>
          </cell>
          <cell r="B506">
            <v>40203</v>
          </cell>
          <cell r="C506" t="str">
            <v>Past</v>
          </cell>
          <cell r="D506">
            <v>53.51</v>
          </cell>
          <cell r="E506" t="e">
            <v>#N/A</v>
          </cell>
          <cell r="F506" t="e">
            <v>#N/A</v>
          </cell>
          <cell r="G506" t="e">
            <v>#N/A</v>
          </cell>
          <cell r="H506" t="e">
            <v>#N/A</v>
          </cell>
          <cell r="I506" t="e">
            <v>#N/A</v>
          </cell>
          <cell r="J506" t="e">
            <v>#N/A</v>
          </cell>
          <cell r="K506" t="e">
            <v>#N/A</v>
          </cell>
          <cell r="L506" t="e">
            <v>#N/A</v>
          </cell>
          <cell r="M506" t="e">
            <v>#N/A</v>
          </cell>
          <cell r="N506" t="e">
            <v>#N/A</v>
          </cell>
          <cell r="O506" t="e">
            <v>#N/A</v>
          </cell>
          <cell r="P506">
            <v>53.51</v>
          </cell>
          <cell r="Q506">
            <v>0.67970199999999992</v>
          </cell>
          <cell r="R506" t="e">
            <v>#N/A</v>
          </cell>
        </row>
        <row r="507">
          <cell r="A507">
            <v>40204</v>
          </cell>
          <cell r="B507">
            <v>40204</v>
          </cell>
          <cell r="C507" t="str">
            <v>Past</v>
          </cell>
          <cell r="D507">
            <v>53.16</v>
          </cell>
          <cell r="E507" t="e">
            <v>#N/A</v>
          </cell>
          <cell r="F507" t="e">
            <v>#N/A</v>
          </cell>
          <cell r="G507" t="e">
            <v>#N/A</v>
          </cell>
          <cell r="H507" t="e">
            <v>#N/A</v>
          </cell>
          <cell r="I507" t="e">
            <v>#N/A</v>
          </cell>
          <cell r="J507" t="e">
            <v>#N/A</v>
          </cell>
          <cell r="K507" t="e">
            <v>#N/A</v>
          </cell>
          <cell r="L507" t="e">
            <v>#N/A</v>
          </cell>
          <cell r="M507" t="e">
            <v>#N/A</v>
          </cell>
          <cell r="N507" t="e">
            <v>#N/A</v>
          </cell>
          <cell r="O507" t="e">
            <v>#N/A</v>
          </cell>
          <cell r="P507">
            <v>53.16</v>
          </cell>
          <cell r="Q507">
            <v>0.76214799999999994</v>
          </cell>
          <cell r="R507" t="e">
            <v>#N/A</v>
          </cell>
        </row>
        <row r="508">
          <cell r="A508">
            <v>40205</v>
          </cell>
          <cell r="B508">
            <v>40205</v>
          </cell>
          <cell r="C508" t="str">
            <v>Past</v>
          </cell>
          <cell r="D508">
            <v>53.64</v>
          </cell>
          <cell r="E508" t="e">
            <v>#N/A</v>
          </cell>
          <cell r="F508" t="e">
            <v>#N/A</v>
          </cell>
          <cell r="G508" t="e">
            <v>#N/A</v>
          </cell>
          <cell r="H508" t="e">
            <v>#N/A</v>
          </cell>
          <cell r="I508" t="e">
            <v>#N/A</v>
          </cell>
          <cell r="J508" t="e">
            <v>#N/A</v>
          </cell>
          <cell r="K508" t="e">
            <v>#N/A</v>
          </cell>
          <cell r="L508" t="e">
            <v>#N/A</v>
          </cell>
          <cell r="M508" t="e">
            <v>#N/A</v>
          </cell>
          <cell r="N508" t="e">
            <v>#N/A</v>
          </cell>
          <cell r="O508" t="e">
            <v>#N/A</v>
          </cell>
          <cell r="P508">
            <v>53.64</v>
          </cell>
          <cell r="Q508">
            <v>1.0098240000000001</v>
          </cell>
          <cell r="R508" t="e">
            <v>#N/A</v>
          </cell>
        </row>
        <row r="509">
          <cell r="A509">
            <v>40206</v>
          </cell>
          <cell r="B509">
            <v>40206</v>
          </cell>
          <cell r="C509" t="str">
            <v>Past</v>
          </cell>
          <cell r="D509">
            <v>53.3</v>
          </cell>
          <cell r="E509" t="e">
            <v>#N/A</v>
          </cell>
          <cell r="F509" t="e">
            <v>#N/A</v>
          </cell>
          <cell r="G509" t="e">
            <v>#N/A</v>
          </cell>
          <cell r="H509" t="e">
            <v>#N/A</v>
          </cell>
          <cell r="I509" t="e">
            <v>#N/A</v>
          </cell>
          <cell r="J509" t="e">
            <v>#N/A</v>
          </cell>
          <cell r="K509" t="e">
            <v>#N/A</v>
          </cell>
          <cell r="L509" t="e">
            <v>#N/A</v>
          </cell>
          <cell r="M509" t="e">
            <v>#N/A</v>
          </cell>
          <cell r="N509" t="e">
            <v>#N/A</v>
          </cell>
          <cell r="O509" t="e">
            <v>#N/A</v>
          </cell>
          <cell r="P509">
            <v>53.3</v>
          </cell>
          <cell r="Q509">
            <v>0.96841599999999994</v>
          </cell>
          <cell r="R509" t="e">
            <v>#N/A</v>
          </cell>
        </row>
        <row r="510">
          <cell r="A510">
            <v>40207</v>
          </cell>
          <cell r="B510">
            <v>40207</v>
          </cell>
          <cell r="C510" t="str">
            <v>Past</v>
          </cell>
          <cell r="D510">
            <v>53.19</v>
          </cell>
          <cell r="E510" t="e">
            <v>#N/A</v>
          </cell>
          <cell r="F510" t="e">
            <v>#N/A</v>
          </cell>
          <cell r="G510" t="e">
            <v>#N/A</v>
          </cell>
          <cell r="H510" t="e">
            <v>#N/A</v>
          </cell>
          <cell r="I510" t="e">
            <v>#N/A</v>
          </cell>
          <cell r="J510" t="e">
            <v>#N/A</v>
          </cell>
          <cell r="K510" t="e">
            <v>#N/A</v>
          </cell>
          <cell r="L510" t="e">
            <v>#N/A</v>
          </cell>
          <cell r="M510" t="e">
            <v>#N/A</v>
          </cell>
          <cell r="N510" t="e">
            <v>#N/A</v>
          </cell>
          <cell r="O510" t="e">
            <v>#N/A</v>
          </cell>
          <cell r="P510">
            <v>53.19</v>
          </cell>
          <cell r="Q510">
            <v>1.1838949999999999</v>
          </cell>
          <cell r="R510" t="e">
            <v>#N/A</v>
          </cell>
        </row>
        <row r="511">
          <cell r="A511">
            <v>40210</v>
          </cell>
          <cell r="B511">
            <v>40210</v>
          </cell>
          <cell r="C511" t="str">
            <v>Past</v>
          </cell>
          <cell r="D511">
            <v>54.04</v>
          </cell>
          <cell r="E511" t="e">
            <v>#N/A</v>
          </cell>
          <cell r="F511" t="e">
            <v>#N/A</v>
          </cell>
          <cell r="G511" t="e">
            <v>#N/A</v>
          </cell>
          <cell r="H511" t="e">
            <v>#N/A</v>
          </cell>
          <cell r="I511" t="e">
            <v>#N/A</v>
          </cell>
          <cell r="J511" t="e">
            <v>#N/A</v>
          </cell>
          <cell r="K511" t="e">
            <v>#N/A</v>
          </cell>
          <cell r="L511" t="e">
            <v>#N/A</v>
          </cell>
          <cell r="M511" t="e">
            <v>#N/A</v>
          </cell>
          <cell r="N511" t="e">
            <v>#N/A</v>
          </cell>
          <cell r="O511" t="e">
            <v>#N/A</v>
          </cell>
          <cell r="P511">
            <v>54.04</v>
          </cell>
          <cell r="Q511">
            <v>0.86742399999999997</v>
          </cell>
          <cell r="R511" t="e">
            <v>#N/A</v>
          </cell>
        </row>
        <row r="512">
          <cell r="A512">
            <v>40211</v>
          </cell>
          <cell r="B512">
            <v>40211</v>
          </cell>
          <cell r="C512" t="str">
            <v>Past</v>
          </cell>
          <cell r="D512">
            <v>54.88</v>
          </cell>
          <cell r="E512" t="e">
            <v>#N/A</v>
          </cell>
          <cell r="F512" t="e">
            <v>#N/A</v>
          </cell>
          <cell r="G512" t="e">
            <v>#N/A</v>
          </cell>
          <cell r="H512" t="e">
            <v>#N/A</v>
          </cell>
          <cell r="I512" t="e">
            <v>#N/A</v>
          </cell>
          <cell r="J512" t="e">
            <v>#N/A</v>
          </cell>
          <cell r="K512" t="e">
            <v>#N/A</v>
          </cell>
          <cell r="L512" t="e">
            <v>#N/A</v>
          </cell>
          <cell r="M512" t="e">
            <v>#N/A</v>
          </cell>
          <cell r="N512" t="e">
            <v>#N/A</v>
          </cell>
          <cell r="O512" t="e">
            <v>#N/A</v>
          </cell>
          <cell r="P512">
            <v>54.88</v>
          </cell>
          <cell r="Q512">
            <v>0.9135359999999999</v>
          </cell>
          <cell r="R512" t="e">
            <v>#N/A</v>
          </cell>
        </row>
        <row r="513">
          <cell r="A513">
            <v>40212</v>
          </cell>
          <cell r="B513">
            <v>40212</v>
          </cell>
          <cell r="C513" t="str">
            <v>Past</v>
          </cell>
          <cell r="D513">
            <v>54.75</v>
          </cell>
          <cell r="E513" t="e">
            <v>#N/A</v>
          </cell>
          <cell r="F513" t="e">
            <v>#N/A</v>
          </cell>
          <cell r="G513" t="e">
            <v>#N/A</v>
          </cell>
          <cell r="H513" t="e">
            <v>#N/A</v>
          </cell>
          <cell r="I513" t="e">
            <v>#N/A</v>
          </cell>
          <cell r="J513" t="e">
            <v>#N/A</v>
          </cell>
          <cell r="K513" t="e">
            <v>#N/A</v>
          </cell>
          <cell r="L513" t="e">
            <v>#N/A</v>
          </cell>
          <cell r="M513" t="e">
            <v>#N/A</v>
          </cell>
          <cell r="N513" t="e">
            <v>#N/A</v>
          </cell>
          <cell r="O513" t="e">
            <v>#N/A</v>
          </cell>
          <cell r="P513">
            <v>54.75</v>
          </cell>
          <cell r="Q513">
            <v>0.78450599999999993</v>
          </cell>
          <cell r="R513" t="e">
            <v>#N/A</v>
          </cell>
        </row>
        <row r="514">
          <cell r="A514">
            <v>40213</v>
          </cell>
          <cell r="B514">
            <v>40213</v>
          </cell>
          <cell r="C514" t="str">
            <v>Past</v>
          </cell>
          <cell r="D514">
            <v>53.11</v>
          </cell>
          <cell r="E514" t="e">
            <v>#N/A</v>
          </cell>
          <cell r="F514" t="e">
            <v>#N/A</v>
          </cell>
          <cell r="G514" t="e">
            <v>#N/A</v>
          </cell>
          <cell r="H514" t="e">
            <v>#N/A</v>
          </cell>
          <cell r="I514" t="e">
            <v>#N/A</v>
          </cell>
          <cell r="J514" t="e">
            <v>#N/A</v>
          </cell>
          <cell r="K514" t="e">
            <v>#N/A</v>
          </cell>
          <cell r="L514" t="e">
            <v>#N/A</v>
          </cell>
          <cell r="M514" t="e">
            <v>#N/A</v>
          </cell>
          <cell r="N514" t="e">
            <v>#N/A</v>
          </cell>
          <cell r="O514" t="e">
            <v>#N/A</v>
          </cell>
          <cell r="P514">
            <v>53.11</v>
          </cell>
          <cell r="Q514">
            <v>0.89056499999999994</v>
          </cell>
          <cell r="R514" t="e">
            <v>#N/A</v>
          </cell>
        </row>
        <row r="515">
          <cell r="A515">
            <v>40214</v>
          </cell>
          <cell r="B515">
            <v>40214</v>
          </cell>
          <cell r="C515" t="str">
            <v>Past</v>
          </cell>
          <cell r="D515">
            <v>52.91</v>
          </cell>
          <cell r="E515" t="e">
            <v>#N/A</v>
          </cell>
          <cell r="F515" t="e">
            <v>#N/A</v>
          </cell>
          <cell r="G515" t="e">
            <v>#N/A</v>
          </cell>
          <cell r="H515" t="e">
            <v>#N/A</v>
          </cell>
          <cell r="I515" t="e">
            <v>#N/A</v>
          </cell>
          <cell r="J515" t="e">
            <v>#N/A</v>
          </cell>
          <cell r="K515" t="e">
            <v>#N/A</v>
          </cell>
          <cell r="L515" t="e">
            <v>#N/A</v>
          </cell>
          <cell r="M515" t="e">
            <v>#N/A</v>
          </cell>
          <cell r="N515" t="e">
            <v>#N/A</v>
          </cell>
          <cell r="O515" t="e">
            <v>#N/A</v>
          </cell>
          <cell r="P515">
            <v>52.91</v>
          </cell>
          <cell r="Q515">
            <v>1.242391</v>
          </cell>
          <cell r="R515" t="e">
            <v>#N/A</v>
          </cell>
        </row>
        <row r="516">
          <cell r="A516">
            <v>40217</v>
          </cell>
          <cell r="B516">
            <v>40217</v>
          </cell>
          <cell r="C516" t="str">
            <v>Past</v>
          </cell>
          <cell r="D516">
            <v>52.23</v>
          </cell>
          <cell r="E516" t="e">
            <v>#N/A</v>
          </cell>
          <cell r="F516" t="e">
            <v>#N/A</v>
          </cell>
          <cell r="G516" t="e">
            <v>#N/A</v>
          </cell>
          <cell r="H516" t="e">
            <v>#N/A</v>
          </cell>
          <cell r="I516" t="e">
            <v>#N/A</v>
          </cell>
          <cell r="J516" t="e">
            <v>#N/A</v>
          </cell>
          <cell r="K516" t="e">
            <v>#N/A</v>
          </cell>
          <cell r="L516" t="e">
            <v>#N/A</v>
          </cell>
          <cell r="M516" t="e">
            <v>#N/A</v>
          </cell>
          <cell r="N516" t="e">
            <v>#N/A</v>
          </cell>
          <cell r="O516" t="e">
            <v>#N/A</v>
          </cell>
          <cell r="P516">
            <v>52.23</v>
          </cell>
          <cell r="Q516">
            <v>0.59411099999999994</v>
          </cell>
          <cell r="R516" t="e">
            <v>#N/A</v>
          </cell>
        </row>
        <row r="517">
          <cell r="A517">
            <v>40218</v>
          </cell>
          <cell r="B517">
            <v>40218</v>
          </cell>
          <cell r="C517" t="str">
            <v>Past</v>
          </cell>
          <cell r="D517">
            <v>53.3</v>
          </cell>
          <cell r="E517" t="e">
            <v>#N/A</v>
          </cell>
          <cell r="F517" t="e">
            <v>#N/A</v>
          </cell>
          <cell r="G517" t="e">
            <v>#N/A</v>
          </cell>
          <cell r="H517" t="e">
            <v>#N/A</v>
          </cell>
          <cell r="I517" t="e">
            <v>#N/A</v>
          </cell>
          <cell r="J517" t="e">
            <v>#N/A</v>
          </cell>
          <cell r="K517" t="e">
            <v>#N/A</v>
          </cell>
          <cell r="L517" t="e">
            <v>#N/A</v>
          </cell>
          <cell r="M517" t="e">
            <v>#N/A</v>
          </cell>
          <cell r="N517" t="e">
            <v>#N/A</v>
          </cell>
          <cell r="O517" t="e">
            <v>#N/A</v>
          </cell>
          <cell r="P517">
            <v>53.3</v>
          </cell>
          <cell r="Q517">
            <v>0.99115299999999995</v>
          </cell>
          <cell r="R517" t="e">
            <v>#N/A</v>
          </cell>
        </row>
        <row r="518">
          <cell r="A518">
            <v>40219</v>
          </cell>
          <cell r="B518">
            <v>40219</v>
          </cell>
          <cell r="C518" t="str">
            <v>Past</v>
          </cell>
          <cell r="D518">
            <v>52.9</v>
          </cell>
          <cell r="E518" t="e">
            <v>#N/A</v>
          </cell>
          <cell r="F518" t="e">
            <v>#N/A</v>
          </cell>
          <cell r="G518" t="e">
            <v>#N/A</v>
          </cell>
          <cell r="H518" t="e">
            <v>#N/A</v>
          </cell>
          <cell r="I518" t="e">
            <v>#N/A</v>
          </cell>
          <cell r="J518" t="e">
            <v>#N/A</v>
          </cell>
          <cell r="K518" t="e">
            <v>#N/A</v>
          </cell>
          <cell r="L518" t="e">
            <v>#N/A</v>
          </cell>
          <cell r="M518" t="e">
            <v>#N/A</v>
          </cell>
          <cell r="N518" t="e">
            <v>#N/A</v>
          </cell>
          <cell r="O518" t="e">
            <v>#N/A</v>
          </cell>
          <cell r="P518">
            <v>52.9</v>
          </cell>
          <cell r="Q518">
            <v>0.65382200000000001</v>
          </cell>
          <cell r="R518" t="e">
            <v>#N/A</v>
          </cell>
        </row>
        <row r="519">
          <cell r="A519">
            <v>40220</v>
          </cell>
          <cell r="B519">
            <v>40220</v>
          </cell>
          <cell r="C519" t="str">
            <v>Past</v>
          </cell>
          <cell r="D519">
            <v>53.55</v>
          </cell>
          <cell r="E519" t="e">
            <v>#N/A</v>
          </cell>
          <cell r="F519" t="e">
            <v>#N/A</v>
          </cell>
          <cell r="G519" t="e">
            <v>#N/A</v>
          </cell>
          <cell r="H519" t="e">
            <v>#N/A</v>
          </cell>
          <cell r="I519" t="e">
            <v>#N/A</v>
          </cell>
          <cell r="J519" t="e">
            <v>#N/A</v>
          </cell>
          <cell r="K519" t="e">
            <v>#N/A</v>
          </cell>
          <cell r="L519" t="e">
            <v>#N/A</v>
          </cell>
          <cell r="M519" t="e">
            <v>#N/A</v>
          </cell>
          <cell r="N519" t="e">
            <v>#N/A</v>
          </cell>
          <cell r="O519" t="e">
            <v>#N/A</v>
          </cell>
          <cell r="P519">
            <v>53.55</v>
          </cell>
          <cell r="Q519">
            <v>0.59959200000000001</v>
          </cell>
          <cell r="R519" t="e">
            <v>#N/A</v>
          </cell>
        </row>
        <row r="520">
          <cell r="A520">
            <v>40221</v>
          </cell>
          <cell r="B520">
            <v>40221</v>
          </cell>
          <cell r="C520" t="str">
            <v>Past</v>
          </cell>
          <cell r="D520">
            <v>53.06</v>
          </cell>
          <cell r="E520" t="e">
            <v>#N/A</v>
          </cell>
          <cell r="F520" t="e">
            <v>#N/A</v>
          </cell>
          <cell r="G520" t="e">
            <v>#N/A</v>
          </cell>
          <cell r="H520" t="e">
            <v>#N/A</v>
          </cell>
          <cell r="I520" t="e">
            <v>#N/A</v>
          </cell>
          <cell r="J520" t="e">
            <v>#N/A</v>
          </cell>
          <cell r="K520" t="e">
            <v>#N/A</v>
          </cell>
          <cell r="L520" t="e">
            <v>#N/A</v>
          </cell>
          <cell r="M520" t="e">
            <v>#N/A</v>
          </cell>
          <cell r="N520" t="e">
            <v>#N/A</v>
          </cell>
          <cell r="O520" t="e">
            <v>#N/A</v>
          </cell>
          <cell r="P520">
            <v>53.06</v>
          </cell>
          <cell r="Q520">
            <v>0.62485099999999993</v>
          </cell>
          <cell r="R520" t="e">
            <v>#N/A</v>
          </cell>
        </row>
        <row r="521">
          <cell r="A521">
            <v>40225</v>
          </cell>
          <cell r="B521">
            <v>40225</v>
          </cell>
          <cell r="C521" t="str">
            <v>Past</v>
          </cell>
          <cell r="D521">
            <v>54.13</v>
          </cell>
          <cell r="E521" t="e">
            <v>#N/A</v>
          </cell>
          <cell r="F521" t="e">
            <v>#N/A</v>
          </cell>
          <cell r="G521" t="e">
            <v>#N/A</v>
          </cell>
          <cell r="H521" t="e">
            <v>#N/A</v>
          </cell>
          <cell r="I521" t="e">
            <v>#N/A</v>
          </cell>
          <cell r="J521" t="e">
            <v>#N/A</v>
          </cell>
          <cell r="K521" t="e">
            <v>#N/A</v>
          </cell>
          <cell r="L521" t="e">
            <v>#N/A</v>
          </cell>
          <cell r="M521" t="e">
            <v>#N/A</v>
          </cell>
          <cell r="N521" t="e">
            <v>#N/A</v>
          </cell>
          <cell r="O521" t="e">
            <v>#N/A</v>
          </cell>
          <cell r="P521">
            <v>54.13</v>
          </cell>
          <cell r="Q521">
            <v>0.51459299999999997</v>
          </cell>
          <cell r="R521" t="e">
            <v>#N/A</v>
          </cell>
        </row>
        <row r="522">
          <cell r="A522">
            <v>40226</v>
          </cell>
          <cell r="B522">
            <v>40226</v>
          </cell>
          <cell r="C522" t="str">
            <v>Past</v>
          </cell>
          <cell r="D522">
            <v>54.29</v>
          </cell>
          <cell r="E522" t="e">
            <v>#N/A</v>
          </cell>
          <cell r="F522" t="e">
            <v>#N/A</v>
          </cell>
          <cell r="G522" t="e">
            <v>#N/A</v>
          </cell>
          <cell r="H522" t="e">
            <v>#N/A</v>
          </cell>
          <cell r="I522" t="e">
            <v>#N/A</v>
          </cell>
          <cell r="J522" t="e">
            <v>#N/A</v>
          </cell>
          <cell r="K522" t="e">
            <v>#N/A</v>
          </cell>
          <cell r="L522" t="e">
            <v>#N/A</v>
          </cell>
          <cell r="M522" t="e">
            <v>#N/A</v>
          </cell>
          <cell r="N522" t="e">
            <v>#N/A</v>
          </cell>
          <cell r="O522" t="e">
            <v>#N/A</v>
          </cell>
          <cell r="P522">
            <v>54.29</v>
          </cell>
          <cell r="Q522">
            <v>0.85985699999999998</v>
          </cell>
          <cell r="R522" t="e">
            <v>#N/A</v>
          </cell>
        </row>
        <row r="523">
          <cell r="A523">
            <v>40227</v>
          </cell>
          <cell r="B523">
            <v>40227</v>
          </cell>
          <cell r="C523" t="str">
            <v>Past</v>
          </cell>
          <cell r="D523">
            <v>55.24</v>
          </cell>
          <cell r="E523" t="e">
            <v>#N/A</v>
          </cell>
          <cell r="F523" t="e">
            <v>#N/A</v>
          </cell>
          <cell r="G523" t="e">
            <v>#N/A</v>
          </cell>
          <cell r="H523" t="e">
            <v>#N/A</v>
          </cell>
          <cell r="I523" t="e">
            <v>#N/A</v>
          </cell>
          <cell r="J523" t="e">
            <v>#N/A</v>
          </cell>
          <cell r="K523" t="e">
            <v>#N/A</v>
          </cell>
          <cell r="L523" t="e">
            <v>#N/A</v>
          </cell>
          <cell r="M523" t="e">
            <v>#N/A</v>
          </cell>
          <cell r="N523" t="e">
            <v>#N/A</v>
          </cell>
          <cell r="O523" t="e">
            <v>#N/A</v>
          </cell>
          <cell r="P523">
            <v>55.24</v>
          </cell>
          <cell r="Q523">
            <v>0.45469599999999999</v>
          </cell>
          <cell r="R523" t="e">
            <v>#N/A</v>
          </cell>
        </row>
        <row r="524">
          <cell r="A524">
            <v>40228</v>
          </cell>
          <cell r="B524">
            <v>40228</v>
          </cell>
          <cell r="C524" t="str">
            <v>Past</v>
          </cell>
          <cell r="D524">
            <v>55.47</v>
          </cell>
          <cell r="E524" t="e">
            <v>#N/A</v>
          </cell>
          <cell r="F524" t="e">
            <v>#N/A</v>
          </cell>
          <cell r="G524" t="e">
            <v>#N/A</v>
          </cell>
          <cell r="H524" t="e">
            <v>#N/A</v>
          </cell>
          <cell r="I524" t="e">
            <v>#N/A</v>
          </cell>
          <cell r="J524" t="e">
            <v>#N/A</v>
          </cell>
          <cell r="K524" t="e">
            <v>#N/A</v>
          </cell>
          <cell r="L524" t="e">
            <v>#N/A</v>
          </cell>
          <cell r="M524" t="e">
            <v>#N/A</v>
          </cell>
          <cell r="N524" t="e">
            <v>#N/A</v>
          </cell>
          <cell r="O524" t="e">
            <v>#N/A</v>
          </cell>
          <cell r="P524">
            <v>55.47</v>
          </cell>
          <cell r="Q524">
            <v>0.80460900000000002</v>
          </cell>
          <cell r="R524" t="e">
            <v>#N/A</v>
          </cell>
        </row>
        <row r="525">
          <cell r="A525">
            <v>40231</v>
          </cell>
          <cell r="B525">
            <v>40231</v>
          </cell>
          <cell r="C525" t="str">
            <v>Past</v>
          </cell>
          <cell r="D525">
            <v>55.01</v>
          </cell>
          <cell r="E525" t="e">
            <v>#N/A</v>
          </cell>
          <cell r="F525" t="e">
            <v>#N/A</v>
          </cell>
          <cell r="G525" t="e">
            <v>#N/A</v>
          </cell>
          <cell r="H525" t="e">
            <v>#N/A</v>
          </cell>
          <cell r="I525" t="e">
            <v>#N/A</v>
          </cell>
          <cell r="J525" t="e">
            <v>#N/A</v>
          </cell>
          <cell r="K525" t="e">
            <v>#N/A</v>
          </cell>
          <cell r="L525" t="e">
            <v>#N/A</v>
          </cell>
          <cell r="M525" t="e">
            <v>#N/A</v>
          </cell>
          <cell r="N525" t="e">
            <v>#N/A</v>
          </cell>
          <cell r="O525" t="e">
            <v>#N/A</v>
          </cell>
          <cell r="P525">
            <v>55.01</v>
          </cell>
          <cell r="Q525">
            <v>0.61067199999999999</v>
          </cell>
          <cell r="R525" t="e">
            <v>#N/A</v>
          </cell>
        </row>
        <row r="526">
          <cell r="A526">
            <v>40232</v>
          </cell>
          <cell r="B526">
            <v>40232</v>
          </cell>
          <cell r="C526" t="str">
            <v>Past</v>
          </cell>
          <cell r="D526">
            <v>54.31</v>
          </cell>
          <cell r="E526" t="e">
            <v>#N/A</v>
          </cell>
          <cell r="F526" t="e">
            <v>#N/A</v>
          </cell>
          <cell r="G526" t="e">
            <v>#N/A</v>
          </cell>
          <cell r="H526" t="e">
            <v>#N/A</v>
          </cell>
          <cell r="I526" t="e">
            <v>#N/A</v>
          </cell>
          <cell r="J526" t="e">
            <v>#N/A</v>
          </cell>
          <cell r="K526" t="e">
            <v>#N/A</v>
          </cell>
          <cell r="L526" t="e">
            <v>#N/A</v>
          </cell>
          <cell r="M526" t="e">
            <v>#N/A</v>
          </cell>
          <cell r="N526" t="e">
            <v>#N/A</v>
          </cell>
          <cell r="O526" t="e">
            <v>#N/A</v>
          </cell>
          <cell r="P526">
            <v>54.31</v>
          </cell>
          <cell r="Q526">
            <v>0.76574299999999995</v>
          </cell>
          <cell r="R526" t="e">
            <v>#N/A</v>
          </cell>
        </row>
        <row r="527">
          <cell r="A527">
            <v>40233</v>
          </cell>
          <cell r="B527">
            <v>40233</v>
          </cell>
          <cell r="C527" t="str">
            <v>Past</v>
          </cell>
          <cell r="D527">
            <v>54.93</v>
          </cell>
          <cell r="E527" t="e">
            <v>#N/A</v>
          </cell>
          <cell r="F527" t="e">
            <v>#N/A</v>
          </cell>
          <cell r="G527" t="e">
            <v>#N/A</v>
          </cell>
          <cell r="H527" t="e">
            <v>#N/A</v>
          </cell>
          <cell r="I527" t="e">
            <v>#N/A</v>
          </cell>
          <cell r="J527" t="e">
            <v>#N/A</v>
          </cell>
          <cell r="K527" t="e">
            <v>#N/A</v>
          </cell>
          <cell r="L527" t="e">
            <v>#N/A</v>
          </cell>
          <cell r="M527" t="e">
            <v>#N/A</v>
          </cell>
          <cell r="N527" t="e">
            <v>#N/A</v>
          </cell>
          <cell r="O527" t="e">
            <v>#N/A</v>
          </cell>
          <cell r="P527">
            <v>54.93</v>
          </cell>
          <cell r="Q527">
            <v>0.669493</v>
          </cell>
          <cell r="R527" t="e">
            <v>#N/A</v>
          </cell>
        </row>
        <row r="528">
          <cell r="A528">
            <v>40234</v>
          </cell>
          <cell r="B528">
            <v>40234</v>
          </cell>
          <cell r="C528" t="str">
            <v>Past</v>
          </cell>
          <cell r="D528">
            <v>54.86</v>
          </cell>
          <cell r="E528" t="e">
            <v>#N/A</v>
          </cell>
          <cell r="F528" t="e">
            <v>#N/A</v>
          </cell>
          <cell r="G528" t="e">
            <v>#N/A</v>
          </cell>
          <cell r="H528" t="e">
            <v>#N/A</v>
          </cell>
          <cell r="I528" t="e">
            <v>#N/A</v>
          </cell>
          <cell r="J528" t="e">
            <v>#N/A</v>
          </cell>
          <cell r="K528" t="e">
            <v>#N/A</v>
          </cell>
          <cell r="L528" t="e">
            <v>#N/A</v>
          </cell>
          <cell r="M528" t="e">
            <v>#N/A</v>
          </cell>
          <cell r="N528" t="e">
            <v>#N/A</v>
          </cell>
          <cell r="O528" t="e">
            <v>#N/A</v>
          </cell>
          <cell r="P528">
            <v>54.86</v>
          </cell>
          <cell r="Q528">
            <v>1.2883519999999999</v>
          </cell>
          <cell r="R528" t="e">
            <v>#N/A</v>
          </cell>
        </row>
        <row r="529">
          <cell r="A529">
            <v>40235</v>
          </cell>
          <cell r="B529">
            <v>40235</v>
          </cell>
          <cell r="C529" t="str">
            <v>Past</v>
          </cell>
          <cell r="D529">
            <v>56.28</v>
          </cell>
          <cell r="E529" t="e">
            <v>#N/A</v>
          </cell>
          <cell r="F529" t="e">
            <v>#N/A</v>
          </cell>
          <cell r="G529" t="e">
            <v>#N/A</v>
          </cell>
          <cell r="H529" t="e">
            <v>#N/A</v>
          </cell>
          <cell r="I529" t="e">
            <v>#N/A</v>
          </cell>
          <cell r="J529" t="e">
            <v>#N/A</v>
          </cell>
          <cell r="K529" t="e">
            <v>#N/A</v>
          </cell>
          <cell r="L529" t="e">
            <v>#N/A</v>
          </cell>
          <cell r="M529" t="e">
            <v>#N/A</v>
          </cell>
          <cell r="N529" t="e">
            <v>#N/A</v>
          </cell>
          <cell r="O529" t="e">
            <v>#N/A</v>
          </cell>
          <cell r="P529">
            <v>56.28</v>
          </cell>
          <cell r="Q529">
            <v>1.642218</v>
          </cell>
          <cell r="R529" t="e">
            <v>#N/A</v>
          </cell>
        </row>
        <row r="530">
          <cell r="A530">
            <v>40238</v>
          </cell>
          <cell r="B530">
            <v>40238</v>
          </cell>
          <cell r="C530" t="str">
            <v>Past</v>
          </cell>
          <cell r="D530">
            <v>58.39</v>
          </cell>
          <cell r="E530" t="e">
            <v>#N/A</v>
          </cell>
          <cell r="F530" t="e">
            <v>#N/A</v>
          </cell>
          <cell r="G530" t="e">
            <v>#N/A</v>
          </cell>
          <cell r="H530" t="e">
            <v>#N/A</v>
          </cell>
          <cell r="I530" t="e">
            <v>#N/A</v>
          </cell>
          <cell r="J530" t="e">
            <v>#N/A</v>
          </cell>
          <cell r="K530" t="e">
            <v>#N/A</v>
          </cell>
          <cell r="L530" t="e">
            <v>#N/A</v>
          </cell>
          <cell r="M530" t="e">
            <v>#N/A</v>
          </cell>
          <cell r="N530" t="e">
            <v>#N/A</v>
          </cell>
          <cell r="O530" t="e">
            <v>#N/A</v>
          </cell>
          <cell r="P530">
            <v>58.39</v>
          </cell>
          <cell r="Q530">
            <v>1.6441269999999999</v>
          </cell>
          <cell r="R530" t="e">
            <v>#N/A</v>
          </cell>
        </row>
        <row r="531">
          <cell r="A531">
            <v>40239</v>
          </cell>
          <cell r="B531">
            <v>40239</v>
          </cell>
          <cell r="C531" t="str">
            <v>Past</v>
          </cell>
          <cell r="D531">
            <v>58.75</v>
          </cell>
          <cell r="E531" t="e">
            <v>#N/A</v>
          </cell>
          <cell r="F531" t="e">
            <v>#N/A</v>
          </cell>
          <cell r="G531" t="e">
            <v>#N/A</v>
          </cell>
          <cell r="H531" t="e">
            <v>#N/A</v>
          </cell>
          <cell r="I531" t="e">
            <v>#N/A</v>
          </cell>
          <cell r="J531" t="e">
            <v>#N/A</v>
          </cell>
          <cell r="K531" t="e">
            <v>#N/A</v>
          </cell>
          <cell r="L531" t="e">
            <v>#N/A</v>
          </cell>
          <cell r="M531" t="e">
            <v>#N/A</v>
          </cell>
          <cell r="N531" t="e">
            <v>#N/A</v>
          </cell>
          <cell r="O531" t="e">
            <v>#N/A</v>
          </cell>
          <cell r="P531">
            <v>58.75</v>
          </cell>
          <cell r="Q531">
            <v>1.914488</v>
          </cell>
          <cell r="R531" t="e">
            <v>#N/A</v>
          </cell>
        </row>
        <row r="532">
          <cell r="A532">
            <v>40240</v>
          </cell>
          <cell r="B532">
            <v>40240</v>
          </cell>
          <cell r="C532" t="str">
            <v>Past</v>
          </cell>
          <cell r="D532">
            <v>58.98</v>
          </cell>
          <cell r="E532" t="e">
            <v>#N/A</v>
          </cell>
          <cell r="F532" t="e">
            <v>#N/A</v>
          </cell>
          <cell r="G532" t="e">
            <v>#N/A</v>
          </cell>
          <cell r="H532" t="e">
            <v>#N/A</v>
          </cell>
          <cell r="I532" t="e">
            <v>#N/A</v>
          </cell>
          <cell r="J532" t="e">
            <v>#N/A</v>
          </cell>
          <cell r="K532" t="e">
            <v>#N/A</v>
          </cell>
          <cell r="L532" t="e">
            <v>#N/A</v>
          </cell>
          <cell r="M532" t="e">
            <v>#N/A</v>
          </cell>
          <cell r="N532" t="e">
            <v>#N/A</v>
          </cell>
          <cell r="O532" t="e">
            <v>#N/A</v>
          </cell>
          <cell r="P532">
            <v>58.98</v>
          </cell>
          <cell r="Q532">
            <v>1.1650700000000001</v>
          </cell>
          <cell r="R532" t="e">
            <v>#N/A</v>
          </cell>
        </row>
        <row r="533">
          <cell r="A533">
            <v>40241</v>
          </cell>
          <cell r="B533">
            <v>40241</v>
          </cell>
          <cell r="C533" t="str">
            <v>Past</v>
          </cell>
          <cell r="D533">
            <v>59.73</v>
          </cell>
          <cell r="E533" t="e">
            <v>#N/A</v>
          </cell>
          <cell r="F533" t="e">
            <v>#N/A</v>
          </cell>
          <cell r="G533" t="e">
            <v>#N/A</v>
          </cell>
          <cell r="H533" t="e">
            <v>#N/A</v>
          </cell>
          <cell r="I533" t="e">
            <v>#N/A</v>
          </cell>
          <cell r="J533" t="e">
            <v>#N/A</v>
          </cell>
          <cell r="K533" t="e">
            <v>#N/A</v>
          </cell>
          <cell r="L533" t="e">
            <v>#N/A</v>
          </cell>
          <cell r="M533" t="e">
            <v>#N/A</v>
          </cell>
          <cell r="N533" t="e">
            <v>#N/A</v>
          </cell>
          <cell r="O533" t="e">
            <v>#N/A</v>
          </cell>
          <cell r="P533">
            <v>59.73</v>
          </cell>
          <cell r="Q533">
            <v>1.3729709999999999</v>
          </cell>
          <cell r="R533" t="e">
            <v>#N/A</v>
          </cell>
        </row>
        <row r="534">
          <cell r="A534">
            <v>40242</v>
          </cell>
          <cell r="B534">
            <v>40242</v>
          </cell>
          <cell r="C534" t="str">
            <v>Past</v>
          </cell>
          <cell r="D534">
            <v>60.04</v>
          </cell>
          <cell r="E534" t="e">
            <v>#N/A</v>
          </cell>
          <cell r="F534" t="e">
            <v>#N/A</v>
          </cell>
          <cell r="G534" t="e">
            <v>#N/A</v>
          </cell>
          <cell r="H534" t="e">
            <v>#N/A</v>
          </cell>
          <cell r="I534" t="e">
            <v>#N/A</v>
          </cell>
          <cell r="J534" t="e">
            <v>#N/A</v>
          </cell>
          <cell r="K534" t="e">
            <v>#N/A</v>
          </cell>
          <cell r="L534" t="e">
            <v>#N/A</v>
          </cell>
          <cell r="M534" t="e">
            <v>#N/A</v>
          </cell>
          <cell r="N534" t="e">
            <v>#N/A</v>
          </cell>
          <cell r="O534" t="e">
            <v>#N/A</v>
          </cell>
          <cell r="P534">
            <v>60.04</v>
          </cell>
          <cell r="Q534">
            <v>1.855043</v>
          </cell>
          <cell r="R534" t="e">
            <v>#N/A</v>
          </cell>
        </row>
        <row r="535">
          <cell r="A535">
            <v>40245</v>
          </cell>
          <cell r="B535">
            <v>40245</v>
          </cell>
          <cell r="C535" t="str">
            <v>Past</v>
          </cell>
          <cell r="D535">
            <v>59.49</v>
          </cell>
          <cell r="E535" t="e">
            <v>#N/A</v>
          </cell>
          <cell r="F535" t="e">
            <v>#N/A</v>
          </cell>
          <cell r="G535" t="e">
            <v>#N/A</v>
          </cell>
          <cell r="H535" t="e">
            <v>#N/A</v>
          </cell>
          <cell r="I535" t="e">
            <v>#N/A</v>
          </cell>
          <cell r="J535" t="e">
            <v>#N/A</v>
          </cell>
          <cell r="K535" t="e">
            <v>#N/A</v>
          </cell>
          <cell r="L535" t="e">
            <v>#N/A</v>
          </cell>
          <cell r="M535" t="e">
            <v>#N/A</v>
          </cell>
          <cell r="N535" t="e">
            <v>#N/A</v>
          </cell>
          <cell r="O535" t="e">
            <v>#N/A</v>
          </cell>
          <cell r="P535">
            <v>59.49</v>
          </cell>
          <cell r="Q535">
            <v>0.89217599999999997</v>
          </cell>
          <cell r="R535" t="e">
            <v>#N/A</v>
          </cell>
        </row>
        <row r="536">
          <cell r="A536">
            <v>40246</v>
          </cell>
          <cell r="B536">
            <v>40246</v>
          </cell>
          <cell r="C536" t="str">
            <v>Past</v>
          </cell>
          <cell r="D536">
            <v>60.6</v>
          </cell>
          <cell r="E536" t="e">
            <v>#N/A</v>
          </cell>
          <cell r="F536" t="e">
            <v>#N/A</v>
          </cell>
          <cell r="G536" t="e">
            <v>#N/A</v>
          </cell>
          <cell r="H536" t="e">
            <v>#N/A</v>
          </cell>
          <cell r="I536" t="e">
            <v>#N/A</v>
          </cell>
          <cell r="J536" t="e">
            <v>#N/A</v>
          </cell>
          <cell r="K536" t="e">
            <v>#N/A</v>
          </cell>
          <cell r="L536" t="e">
            <v>#N/A</v>
          </cell>
          <cell r="M536" t="e">
            <v>#N/A</v>
          </cell>
          <cell r="N536" t="e">
            <v>#N/A</v>
          </cell>
          <cell r="O536" t="e">
            <v>#N/A</v>
          </cell>
          <cell r="P536">
            <v>60.6</v>
          </cell>
          <cell r="Q536">
            <v>1.6383449999999999</v>
          </cell>
          <cell r="R536" t="e">
            <v>#N/A</v>
          </cell>
        </row>
        <row r="537">
          <cell r="A537">
            <v>40247</v>
          </cell>
          <cell r="B537">
            <v>40247</v>
          </cell>
          <cell r="C537" t="str">
            <v>Past</v>
          </cell>
          <cell r="D537">
            <v>60.9</v>
          </cell>
          <cell r="E537" t="e">
            <v>#N/A</v>
          </cell>
          <cell r="F537" t="e">
            <v>#N/A</v>
          </cell>
          <cell r="G537" t="e">
            <v>#N/A</v>
          </cell>
          <cell r="H537" t="e">
            <v>#N/A</v>
          </cell>
          <cell r="I537" t="e">
            <v>#N/A</v>
          </cell>
          <cell r="J537" t="e">
            <v>#N/A</v>
          </cell>
          <cell r="K537" t="e">
            <v>#N/A</v>
          </cell>
          <cell r="L537" t="e">
            <v>#N/A</v>
          </cell>
          <cell r="M537" t="e">
            <v>#N/A</v>
          </cell>
          <cell r="N537" t="e">
            <v>#N/A</v>
          </cell>
          <cell r="O537" t="e">
            <v>#N/A</v>
          </cell>
          <cell r="P537">
            <v>60.9</v>
          </cell>
          <cell r="Q537">
            <v>0.94089899999999993</v>
          </cell>
          <cell r="R537" t="e">
            <v>#N/A</v>
          </cell>
        </row>
        <row r="538">
          <cell r="A538">
            <v>40248</v>
          </cell>
          <cell r="B538">
            <v>40248</v>
          </cell>
          <cell r="C538" t="str">
            <v>Past</v>
          </cell>
          <cell r="D538">
            <v>61.21</v>
          </cell>
          <cell r="E538" t="e">
            <v>#N/A</v>
          </cell>
          <cell r="F538" t="e">
            <v>#N/A</v>
          </cell>
          <cell r="G538" t="e">
            <v>#N/A</v>
          </cell>
          <cell r="H538" t="e">
            <v>#N/A</v>
          </cell>
          <cell r="I538" t="e">
            <v>#N/A</v>
          </cell>
          <cell r="J538" t="e">
            <v>#N/A</v>
          </cell>
          <cell r="K538" t="e">
            <v>#N/A</v>
          </cell>
          <cell r="L538" t="e">
            <v>#N/A</v>
          </cell>
          <cell r="M538" t="e">
            <v>#N/A</v>
          </cell>
          <cell r="N538" t="e">
            <v>#N/A</v>
          </cell>
          <cell r="O538" t="e">
            <v>#N/A</v>
          </cell>
          <cell r="P538">
            <v>61.21</v>
          </cell>
          <cell r="Q538">
            <v>0.87798899999999991</v>
          </cell>
          <cell r="R538" t="e">
            <v>#N/A</v>
          </cell>
        </row>
        <row r="539">
          <cell r="A539">
            <v>40249</v>
          </cell>
          <cell r="B539">
            <v>40249</v>
          </cell>
          <cell r="C539" t="str">
            <v>Past</v>
          </cell>
          <cell r="D539">
            <v>60.93</v>
          </cell>
          <cell r="E539" t="e">
            <v>#N/A</v>
          </cell>
          <cell r="F539" t="e">
            <v>#N/A</v>
          </cell>
          <cell r="G539" t="e">
            <v>#N/A</v>
          </cell>
          <cell r="H539" t="e">
            <v>#N/A</v>
          </cell>
          <cell r="I539" t="e">
            <v>#N/A</v>
          </cell>
          <cell r="J539" t="e">
            <v>#N/A</v>
          </cell>
          <cell r="K539" t="e">
            <v>#N/A</v>
          </cell>
          <cell r="L539" t="e">
            <v>#N/A</v>
          </cell>
          <cell r="M539" t="e">
            <v>#N/A</v>
          </cell>
          <cell r="N539" t="e">
            <v>#N/A</v>
          </cell>
          <cell r="O539" t="e">
            <v>#N/A</v>
          </cell>
          <cell r="P539">
            <v>60.93</v>
          </cell>
          <cell r="Q539">
            <v>0.47650599999999999</v>
          </cell>
          <cell r="R539" t="e">
            <v>#N/A</v>
          </cell>
        </row>
        <row r="540">
          <cell r="A540">
            <v>40252</v>
          </cell>
          <cell r="B540">
            <v>40252</v>
          </cell>
          <cell r="C540" t="str">
            <v>Past</v>
          </cell>
          <cell r="D540">
            <v>60.3</v>
          </cell>
          <cell r="E540" t="e">
            <v>#N/A</v>
          </cell>
          <cell r="F540" t="e">
            <v>#N/A</v>
          </cell>
          <cell r="G540" t="e">
            <v>#N/A</v>
          </cell>
          <cell r="H540" t="e">
            <v>#N/A</v>
          </cell>
          <cell r="I540" t="e">
            <v>#N/A</v>
          </cell>
          <cell r="J540" t="e">
            <v>#N/A</v>
          </cell>
          <cell r="K540" t="e">
            <v>#N/A</v>
          </cell>
          <cell r="L540" t="e">
            <v>#N/A</v>
          </cell>
          <cell r="M540" t="e">
            <v>#N/A</v>
          </cell>
          <cell r="N540" t="e">
            <v>#N/A</v>
          </cell>
          <cell r="O540" t="e">
            <v>#N/A</v>
          </cell>
          <cell r="P540">
            <v>60.3</v>
          </cell>
          <cell r="Q540">
            <v>0.64055899999999999</v>
          </cell>
          <cell r="R540" t="e">
            <v>#N/A</v>
          </cell>
        </row>
        <row r="541">
          <cell r="A541">
            <v>40253</v>
          </cell>
          <cell r="B541">
            <v>40253</v>
          </cell>
          <cell r="C541" t="str">
            <v>Past</v>
          </cell>
          <cell r="D541">
            <v>60.52</v>
          </cell>
          <cell r="E541" t="e">
            <v>#N/A</v>
          </cell>
          <cell r="F541" t="e">
            <v>#N/A</v>
          </cell>
          <cell r="G541" t="e">
            <v>#N/A</v>
          </cell>
          <cell r="H541" t="e">
            <v>#N/A</v>
          </cell>
          <cell r="I541" t="e">
            <v>#N/A</v>
          </cell>
          <cell r="J541" t="e">
            <v>#N/A</v>
          </cell>
          <cell r="K541" t="e">
            <v>#N/A</v>
          </cell>
          <cell r="L541" t="e">
            <v>#N/A</v>
          </cell>
          <cell r="M541" t="e">
            <v>#N/A</v>
          </cell>
          <cell r="N541" t="e">
            <v>#N/A</v>
          </cell>
          <cell r="O541" t="e">
            <v>#N/A</v>
          </cell>
          <cell r="P541">
            <v>60.52</v>
          </cell>
          <cell r="Q541">
            <v>0.92755399999999999</v>
          </cell>
          <cell r="R541" t="e">
            <v>#N/A</v>
          </cell>
        </row>
        <row r="542">
          <cell r="A542">
            <v>40254</v>
          </cell>
          <cell r="B542">
            <v>40254</v>
          </cell>
          <cell r="C542" t="str">
            <v>Past</v>
          </cell>
          <cell r="D542">
            <v>60.69</v>
          </cell>
          <cell r="E542" t="e">
            <v>#N/A</v>
          </cell>
          <cell r="F542" t="e">
            <v>#N/A</v>
          </cell>
          <cell r="G542" t="e">
            <v>#N/A</v>
          </cell>
          <cell r="H542" t="e">
            <v>#N/A</v>
          </cell>
          <cell r="I542" t="e">
            <v>#N/A</v>
          </cell>
          <cell r="J542" t="e">
            <v>#N/A</v>
          </cell>
          <cell r="K542" t="e">
            <v>#N/A</v>
          </cell>
          <cell r="L542" t="e">
            <v>#N/A</v>
          </cell>
          <cell r="M542" t="e">
            <v>#N/A</v>
          </cell>
          <cell r="N542" t="e">
            <v>#N/A</v>
          </cell>
          <cell r="O542" t="e">
            <v>#N/A</v>
          </cell>
          <cell r="P542">
            <v>60.69</v>
          </cell>
          <cell r="Q542">
            <v>0.820052</v>
          </cell>
          <cell r="R542" t="e">
            <v>#N/A</v>
          </cell>
        </row>
        <row r="543">
          <cell r="A543">
            <v>40255</v>
          </cell>
          <cell r="B543">
            <v>40255</v>
          </cell>
          <cell r="C543" t="str">
            <v>Past</v>
          </cell>
          <cell r="D543">
            <v>61.16</v>
          </cell>
          <cell r="E543" t="e">
            <v>#N/A</v>
          </cell>
          <cell r="F543" t="e">
            <v>#N/A</v>
          </cell>
          <cell r="G543" t="e">
            <v>#N/A</v>
          </cell>
          <cell r="H543" t="e">
            <v>#N/A</v>
          </cell>
          <cell r="I543" t="e">
            <v>#N/A</v>
          </cell>
          <cell r="J543" t="e">
            <v>#N/A</v>
          </cell>
          <cell r="K543" t="e">
            <v>#N/A</v>
          </cell>
          <cell r="L543" t="e">
            <v>#N/A</v>
          </cell>
          <cell r="M543" t="e">
            <v>#N/A</v>
          </cell>
          <cell r="N543" t="e">
            <v>#N/A</v>
          </cell>
          <cell r="O543" t="e">
            <v>#N/A</v>
          </cell>
          <cell r="P543">
            <v>61.16</v>
          </cell>
          <cell r="Q543">
            <v>0.89903599999999995</v>
          </cell>
          <cell r="R543" t="e">
            <v>#N/A</v>
          </cell>
        </row>
        <row r="544">
          <cell r="A544">
            <v>40256</v>
          </cell>
          <cell r="B544">
            <v>40256</v>
          </cell>
          <cell r="C544" t="str">
            <v>Past</v>
          </cell>
          <cell r="D544">
            <v>62.97</v>
          </cell>
          <cell r="E544" t="e">
            <v>#N/A</v>
          </cell>
          <cell r="F544" t="e">
            <v>#N/A</v>
          </cell>
          <cell r="G544" t="e">
            <v>#N/A</v>
          </cell>
          <cell r="H544" t="e">
            <v>#N/A</v>
          </cell>
          <cell r="I544" t="e">
            <v>#N/A</v>
          </cell>
          <cell r="J544" t="e">
            <v>#N/A</v>
          </cell>
          <cell r="K544" t="e">
            <v>#N/A</v>
          </cell>
          <cell r="L544" t="e">
            <v>#N/A</v>
          </cell>
          <cell r="M544" t="e">
            <v>#N/A</v>
          </cell>
          <cell r="N544" t="e">
            <v>#N/A</v>
          </cell>
          <cell r="O544" t="e">
            <v>#N/A</v>
          </cell>
          <cell r="P544">
            <v>62.97</v>
          </cell>
          <cell r="Q544">
            <v>3.6285810000000001</v>
          </cell>
          <cell r="R544" t="e">
            <v>#N/A</v>
          </cell>
        </row>
        <row r="545">
          <cell r="A545">
            <v>40259</v>
          </cell>
          <cell r="B545">
            <v>40259</v>
          </cell>
          <cell r="C545" t="str">
            <v>Past</v>
          </cell>
          <cell r="D545">
            <v>62.59</v>
          </cell>
          <cell r="E545" t="e">
            <v>#N/A</v>
          </cell>
          <cell r="F545" t="e">
            <v>#N/A</v>
          </cell>
          <cell r="G545" t="e">
            <v>#N/A</v>
          </cell>
          <cell r="H545" t="e">
            <v>#N/A</v>
          </cell>
          <cell r="I545" t="e">
            <v>#N/A</v>
          </cell>
          <cell r="J545" t="e">
            <v>#N/A</v>
          </cell>
          <cell r="K545" t="e">
            <v>#N/A</v>
          </cell>
          <cell r="L545" t="e">
            <v>#N/A</v>
          </cell>
          <cell r="M545" t="e">
            <v>#N/A</v>
          </cell>
          <cell r="N545" t="e">
            <v>#N/A</v>
          </cell>
          <cell r="O545" t="e">
            <v>#N/A</v>
          </cell>
          <cell r="P545">
            <v>62.59</v>
          </cell>
          <cell r="Q545">
            <v>0.79755199999999993</v>
          </cell>
          <cell r="R545" t="e">
            <v>#N/A</v>
          </cell>
        </row>
        <row r="546">
          <cell r="A546">
            <v>40260</v>
          </cell>
          <cell r="B546">
            <v>40260</v>
          </cell>
          <cell r="C546" t="str">
            <v>Past</v>
          </cell>
          <cell r="D546">
            <v>62.85</v>
          </cell>
          <cell r="E546" t="e">
            <v>#N/A</v>
          </cell>
          <cell r="F546" t="e">
            <v>#N/A</v>
          </cell>
          <cell r="G546" t="e">
            <v>#N/A</v>
          </cell>
          <cell r="H546" t="e">
            <v>#N/A</v>
          </cell>
          <cell r="I546" t="e">
            <v>#N/A</v>
          </cell>
          <cell r="J546" t="e">
            <v>#N/A</v>
          </cell>
          <cell r="K546" t="e">
            <v>#N/A</v>
          </cell>
          <cell r="L546" t="e">
            <v>#N/A</v>
          </cell>
          <cell r="M546" t="e">
            <v>#N/A</v>
          </cell>
          <cell r="N546" t="e">
            <v>#N/A</v>
          </cell>
          <cell r="O546" t="e">
            <v>#N/A</v>
          </cell>
          <cell r="P546">
            <v>62.85</v>
          </cell>
          <cell r="Q546">
            <v>0.81594099999999992</v>
          </cell>
          <cell r="R546" t="e">
            <v>#N/A</v>
          </cell>
        </row>
        <row r="547">
          <cell r="A547">
            <v>40261</v>
          </cell>
          <cell r="B547">
            <v>40261</v>
          </cell>
          <cell r="C547" t="str">
            <v>Past</v>
          </cell>
          <cell r="D547">
            <v>62.54</v>
          </cell>
          <cell r="E547" t="e">
            <v>#N/A</v>
          </cell>
          <cell r="F547" t="e">
            <v>#N/A</v>
          </cell>
          <cell r="G547" t="e">
            <v>#N/A</v>
          </cell>
          <cell r="H547" t="e">
            <v>#N/A</v>
          </cell>
          <cell r="I547" t="e">
            <v>#N/A</v>
          </cell>
          <cell r="J547" t="e">
            <v>#N/A</v>
          </cell>
          <cell r="K547" t="e">
            <v>#N/A</v>
          </cell>
          <cell r="L547" t="e">
            <v>#N/A</v>
          </cell>
          <cell r="M547" t="e">
            <v>#N/A</v>
          </cell>
          <cell r="N547" t="e">
            <v>#N/A</v>
          </cell>
          <cell r="O547" t="e">
            <v>#N/A</v>
          </cell>
          <cell r="P547">
            <v>62.54</v>
          </cell>
          <cell r="Q547">
            <v>0.63059100000000001</v>
          </cell>
          <cell r="R547" t="e">
            <v>#N/A</v>
          </cell>
        </row>
        <row r="548">
          <cell r="A548">
            <v>40262</v>
          </cell>
          <cell r="B548">
            <v>40262</v>
          </cell>
          <cell r="C548" t="str">
            <v>Past</v>
          </cell>
          <cell r="D548">
            <v>62.67</v>
          </cell>
          <cell r="E548" t="e">
            <v>#N/A</v>
          </cell>
          <cell r="F548" t="e">
            <v>#N/A</v>
          </cell>
          <cell r="G548" t="e">
            <v>#N/A</v>
          </cell>
          <cell r="H548" t="e">
            <v>#N/A</v>
          </cell>
          <cell r="I548" t="e">
            <v>#N/A</v>
          </cell>
          <cell r="J548" t="e">
            <v>#N/A</v>
          </cell>
          <cell r="K548" t="e">
            <v>#N/A</v>
          </cell>
          <cell r="L548" t="e">
            <v>#N/A</v>
          </cell>
          <cell r="M548" t="e">
            <v>#N/A</v>
          </cell>
          <cell r="N548" t="e">
            <v>#N/A</v>
          </cell>
          <cell r="O548" t="e">
            <v>#N/A</v>
          </cell>
          <cell r="P548">
            <v>62.67</v>
          </cell>
          <cell r="Q548">
            <v>0.72600900000000002</v>
          </cell>
          <cell r="R548" t="e">
            <v>#N/A</v>
          </cell>
        </row>
        <row r="549">
          <cell r="A549">
            <v>40263</v>
          </cell>
          <cell r="B549">
            <v>40263</v>
          </cell>
          <cell r="C549" t="str">
            <v>Past</v>
          </cell>
          <cell r="D549">
            <v>62.98</v>
          </cell>
          <cell r="E549" t="e">
            <v>#N/A</v>
          </cell>
          <cell r="F549" t="e">
            <v>#N/A</v>
          </cell>
          <cell r="G549" t="e">
            <v>#N/A</v>
          </cell>
          <cell r="H549" t="e">
            <v>#N/A</v>
          </cell>
          <cell r="I549" t="e">
            <v>#N/A</v>
          </cell>
          <cell r="J549" t="e">
            <v>#N/A</v>
          </cell>
          <cell r="K549" t="e">
            <v>#N/A</v>
          </cell>
          <cell r="L549" t="e">
            <v>#N/A</v>
          </cell>
          <cell r="M549" t="e">
            <v>#N/A</v>
          </cell>
          <cell r="N549" t="e">
            <v>#N/A</v>
          </cell>
          <cell r="O549" t="e">
            <v>#N/A</v>
          </cell>
          <cell r="P549">
            <v>62.98</v>
          </cell>
          <cell r="Q549">
            <v>0.87897799999999993</v>
          </cell>
          <cell r="R549" t="e">
            <v>#N/A</v>
          </cell>
        </row>
        <row r="550">
          <cell r="A550">
            <v>40266</v>
          </cell>
          <cell r="B550">
            <v>40266</v>
          </cell>
          <cell r="C550" t="str">
            <v>Past</v>
          </cell>
          <cell r="D550">
            <v>63.4</v>
          </cell>
          <cell r="E550" t="e">
            <v>#N/A</v>
          </cell>
          <cell r="F550" t="e">
            <v>#N/A</v>
          </cell>
          <cell r="G550" t="e">
            <v>#N/A</v>
          </cell>
          <cell r="H550" t="e">
            <v>#N/A</v>
          </cell>
          <cell r="I550" t="e">
            <v>#N/A</v>
          </cell>
          <cell r="J550" t="e">
            <v>#N/A</v>
          </cell>
          <cell r="K550" t="e">
            <v>#N/A</v>
          </cell>
          <cell r="L550" t="e">
            <v>#N/A</v>
          </cell>
          <cell r="M550" t="e">
            <v>#N/A</v>
          </cell>
          <cell r="N550" t="e">
            <v>#N/A</v>
          </cell>
          <cell r="O550" t="e">
            <v>#N/A</v>
          </cell>
          <cell r="P550">
            <v>63.4</v>
          </cell>
          <cell r="Q550">
            <v>1.082724</v>
          </cell>
          <cell r="R550" t="e">
            <v>#N/A</v>
          </cell>
        </row>
        <row r="551">
          <cell r="A551">
            <v>40267</v>
          </cell>
          <cell r="B551">
            <v>40267</v>
          </cell>
          <cell r="C551" t="str">
            <v>Past</v>
          </cell>
          <cell r="D551">
            <v>63.13</v>
          </cell>
          <cell r="E551" t="e">
            <v>#N/A</v>
          </cell>
          <cell r="F551" t="e">
            <v>#N/A</v>
          </cell>
          <cell r="G551" t="e">
            <v>#N/A</v>
          </cell>
          <cell r="H551" t="e">
            <v>#N/A</v>
          </cell>
          <cell r="I551" t="e">
            <v>#N/A</v>
          </cell>
          <cell r="J551" t="e">
            <v>#N/A</v>
          </cell>
          <cell r="K551" t="e">
            <v>#N/A</v>
          </cell>
          <cell r="L551" t="e">
            <v>#N/A</v>
          </cell>
          <cell r="M551" t="e">
            <v>#N/A</v>
          </cell>
          <cell r="N551" t="e">
            <v>#N/A</v>
          </cell>
          <cell r="O551" t="e">
            <v>#N/A</v>
          </cell>
          <cell r="P551">
            <v>63.13</v>
          </cell>
          <cell r="Q551">
            <v>0.73755799999999994</v>
          </cell>
          <cell r="R551" t="e">
            <v>#N/A</v>
          </cell>
        </row>
        <row r="552">
          <cell r="A552">
            <v>40268</v>
          </cell>
          <cell r="B552">
            <v>40268</v>
          </cell>
          <cell r="C552" t="str">
            <v>Past</v>
          </cell>
          <cell r="D552">
            <v>62.59</v>
          </cell>
          <cell r="E552" t="e">
            <v>#N/A</v>
          </cell>
          <cell r="F552" t="e">
            <v>#N/A</v>
          </cell>
          <cell r="G552" t="e">
            <v>#N/A</v>
          </cell>
          <cell r="H552" t="e">
            <v>#N/A</v>
          </cell>
          <cell r="I552" t="e">
            <v>#N/A</v>
          </cell>
          <cell r="J552" t="e">
            <v>#N/A</v>
          </cell>
          <cell r="K552" t="e">
            <v>#N/A</v>
          </cell>
          <cell r="L552" t="e">
            <v>#N/A</v>
          </cell>
          <cell r="M552" t="e">
            <v>#N/A</v>
          </cell>
          <cell r="N552" t="e">
            <v>#N/A</v>
          </cell>
          <cell r="O552" t="e">
            <v>#N/A</v>
          </cell>
          <cell r="P552">
            <v>62.59</v>
          </cell>
          <cell r="Q552">
            <v>0.99620399999999998</v>
          </cell>
          <cell r="R552" t="e">
            <v>#N/A</v>
          </cell>
        </row>
        <row r="553">
          <cell r="A553">
            <v>40269</v>
          </cell>
          <cell r="B553">
            <v>40269</v>
          </cell>
          <cell r="C553" t="str">
            <v>Past</v>
          </cell>
          <cell r="D553">
            <v>62.87</v>
          </cell>
          <cell r="E553" t="e">
            <v>#N/A</v>
          </cell>
          <cell r="F553" t="e">
            <v>#N/A</v>
          </cell>
          <cell r="G553" t="e">
            <v>#N/A</v>
          </cell>
          <cell r="H553" t="e">
            <v>#N/A</v>
          </cell>
          <cell r="I553" t="e">
            <v>#N/A</v>
          </cell>
          <cell r="J553" t="e">
            <v>#N/A</v>
          </cell>
          <cell r="K553" t="e">
            <v>#N/A</v>
          </cell>
          <cell r="L553" t="e">
            <v>#N/A</v>
          </cell>
          <cell r="M553" t="e">
            <v>#N/A</v>
          </cell>
          <cell r="N553" t="e">
            <v>#N/A</v>
          </cell>
          <cell r="O553" t="e">
            <v>#N/A</v>
          </cell>
          <cell r="P553">
            <v>62.87</v>
          </cell>
          <cell r="Q553">
            <v>0.82861499999999999</v>
          </cell>
          <cell r="R553" t="e">
            <v>#N/A</v>
          </cell>
        </row>
        <row r="554">
          <cell r="A554">
            <v>40273</v>
          </cell>
          <cell r="B554">
            <v>40273</v>
          </cell>
          <cell r="C554" t="str">
            <v>Past</v>
          </cell>
          <cell r="D554">
            <v>62.76</v>
          </cell>
          <cell r="E554" t="e">
            <v>#N/A</v>
          </cell>
          <cell r="F554" t="e">
            <v>#N/A</v>
          </cell>
          <cell r="G554" t="e">
            <v>#N/A</v>
          </cell>
          <cell r="H554" t="e">
            <v>#N/A</v>
          </cell>
          <cell r="I554" t="e">
            <v>#N/A</v>
          </cell>
          <cell r="J554" t="e">
            <v>#N/A</v>
          </cell>
          <cell r="K554" t="e">
            <v>#N/A</v>
          </cell>
          <cell r="L554" t="e">
            <v>#N/A</v>
          </cell>
          <cell r="M554" t="e">
            <v>#N/A</v>
          </cell>
          <cell r="N554" t="e">
            <v>#N/A</v>
          </cell>
          <cell r="O554" t="e">
            <v>#N/A</v>
          </cell>
          <cell r="P554">
            <v>62.76</v>
          </cell>
          <cell r="Q554">
            <v>0.523926</v>
          </cell>
          <cell r="R554" t="e">
            <v>#N/A</v>
          </cell>
        </row>
        <row r="555">
          <cell r="A555">
            <v>40274</v>
          </cell>
          <cell r="B555">
            <v>40274</v>
          </cell>
          <cell r="C555" t="str">
            <v>Past</v>
          </cell>
          <cell r="D555">
            <v>63.04</v>
          </cell>
          <cell r="E555" t="e">
            <v>#N/A</v>
          </cell>
          <cell r="F555" t="e">
            <v>#N/A</v>
          </cell>
          <cell r="G555" t="e">
            <v>#N/A</v>
          </cell>
          <cell r="H555" t="e">
            <v>#N/A</v>
          </cell>
          <cell r="I555" t="e">
            <v>#N/A</v>
          </cell>
          <cell r="J555" t="e">
            <v>#N/A</v>
          </cell>
          <cell r="K555" t="e">
            <v>#N/A</v>
          </cell>
          <cell r="L555" t="e">
            <v>#N/A</v>
          </cell>
          <cell r="M555" t="e">
            <v>#N/A</v>
          </cell>
          <cell r="N555" t="e">
            <v>#N/A</v>
          </cell>
          <cell r="O555" t="e">
            <v>#N/A</v>
          </cell>
          <cell r="P555">
            <v>63.04</v>
          </cell>
          <cell r="Q555">
            <v>0.98579299999999992</v>
          </cell>
          <cell r="R555" t="e">
            <v>#N/A</v>
          </cell>
        </row>
        <row r="556">
          <cell r="A556">
            <v>40275</v>
          </cell>
          <cell r="B556">
            <v>40275</v>
          </cell>
          <cell r="C556" t="str">
            <v>Past</v>
          </cell>
          <cell r="D556">
            <v>62.48</v>
          </cell>
          <cell r="E556" t="e">
            <v>#N/A</v>
          </cell>
          <cell r="F556" t="e">
            <v>#N/A</v>
          </cell>
          <cell r="G556" t="e">
            <v>#N/A</v>
          </cell>
          <cell r="H556" t="e">
            <v>#N/A</v>
          </cell>
          <cell r="I556" t="e">
            <v>#N/A</v>
          </cell>
          <cell r="J556" t="e">
            <v>#N/A</v>
          </cell>
          <cell r="K556" t="e">
            <v>#N/A</v>
          </cell>
          <cell r="L556" t="e">
            <v>#N/A</v>
          </cell>
          <cell r="M556" t="e">
            <v>#N/A</v>
          </cell>
          <cell r="N556" t="e">
            <v>#N/A</v>
          </cell>
          <cell r="O556" t="e">
            <v>#N/A</v>
          </cell>
          <cell r="P556">
            <v>62.48</v>
          </cell>
          <cell r="Q556">
            <v>0.92876399999999992</v>
          </cell>
          <cell r="R556" t="e">
            <v>#N/A</v>
          </cell>
        </row>
        <row r="557">
          <cell r="A557">
            <v>40276</v>
          </cell>
          <cell r="B557">
            <v>40276</v>
          </cell>
          <cell r="C557" t="str">
            <v>Past</v>
          </cell>
          <cell r="D557">
            <v>62.99</v>
          </cell>
          <cell r="E557" t="e">
            <v>#N/A</v>
          </cell>
          <cell r="F557" t="e">
            <v>#N/A</v>
          </cell>
          <cell r="G557" t="e">
            <v>#N/A</v>
          </cell>
          <cell r="H557" t="e">
            <v>#N/A</v>
          </cell>
          <cell r="I557" t="e">
            <v>#N/A</v>
          </cell>
          <cell r="J557" t="e">
            <v>#N/A</v>
          </cell>
          <cell r="K557" t="e">
            <v>#N/A</v>
          </cell>
          <cell r="L557" t="e">
            <v>#N/A</v>
          </cell>
          <cell r="M557" t="e">
            <v>#N/A</v>
          </cell>
          <cell r="N557" t="e">
            <v>#N/A</v>
          </cell>
          <cell r="O557">
            <v>0</v>
          </cell>
          <cell r="P557">
            <v>62.99</v>
          </cell>
          <cell r="Q557">
            <v>0.56561899999999998</v>
          </cell>
          <cell r="R557" t="e">
            <v>#N/A</v>
          </cell>
        </row>
        <row r="558">
          <cell r="A558">
            <v>40277</v>
          </cell>
          <cell r="B558">
            <v>40277</v>
          </cell>
          <cell r="C558" t="str">
            <v>Current</v>
          </cell>
          <cell r="D558">
            <v>63.51</v>
          </cell>
          <cell r="E558">
            <v>63.51</v>
          </cell>
          <cell r="F558">
            <v>63.51</v>
          </cell>
          <cell r="G558">
            <v>63.51</v>
          </cell>
          <cell r="H558">
            <v>63.51</v>
          </cell>
          <cell r="I558">
            <v>63.51</v>
          </cell>
          <cell r="J558" t="e">
            <v>#N/A</v>
          </cell>
          <cell r="K558" t="e">
            <v>#N/A</v>
          </cell>
          <cell r="L558" t="e">
            <v>#N/A</v>
          </cell>
          <cell r="M558" t="e">
            <v>#N/A</v>
          </cell>
          <cell r="N558" t="e">
            <v>#N/A</v>
          </cell>
          <cell r="O558">
            <v>26.288689999999999</v>
          </cell>
          <cell r="P558">
            <v>63.51</v>
          </cell>
          <cell r="Q558">
            <v>0.52714799999999995</v>
          </cell>
          <cell r="R558" t="e">
            <v>#N/A</v>
          </cell>
        </row>
        <row r="559">
          <cell r="A559">
            <v>40280</v>
          </cell>
          <cell r="B559">
            <v>40280</v>
          </cell>
          <cell r="C559" t="str">
            <v>Future</v>
          </cell>
          <cell r="D559" t="e">
            <v>#N/A</v>
          </cell>
          <cell r="E559">
            <v>63.25996062992126</v>
          </cell>
          <cell r="F559">
            <v>63.614291338582674</v>
          </cell>
          <cell r="G559">
            <v>63.456811023622045</v>
          </cell>
          <cell r="H559">
            <v>63.456811023622045</v>
          </cell>
          <cell r="I559" t="e">
            <v>#N/A</v>
          </cell>
          <cell r="J559" t="e">
            <v>#N/A</v>
          </cell>
          <cell r="K559" t="e">
            <v>#N/A</v>
          </cell>
          <cell r="L559" t="e">
            <v>#N/A</v>
          </cell>
          <cell r="M559" t="e">
            <v>#N/A</v>
          </cell>
          <cell r="N559" t="e">
            <v>#N/A</v>
          </cell>
          <cell r="O559" t="e">
            <v>#N/A</v>
          </cell>
          <cell r="P559">
            <v>63.51</v>
          </cell>
          <cell r="Q559">
            <v>0.52714799999999995</v>
          </cell>
          <cell r="R559" t="e">
            <v>#N/A</v>
          </cell>
        </row>
        <row r="560">
          <cell r="A560">
            <v>40281</v>
          </cell>
          <cell r="B560">
            <v>40281</v>
          </cell>
          <cell r="C560" t="str">
            <v>Future</v>
          </cell>
          <cell r="D560" t="e">
            <v>#N/A</v>
          </cell>
          <cell r="E560">
            <v>63.009921259842521</v>
          </cell>
          <cell r="F560">
            <v>63.718582677165351</v>
          </cell>
          <cell r="G560">
            <v>63.403622047244092</v>
          </cell>
          <cell r="H560">
            <v>63.403622047244092</v>
          </cell>
          <cell r="I560" t="e">
            <v>#N/A</v>
          </cell>
          <cell r="J560" t="e">
            <v>#N/A</v>
          </cell>
          <cell r="K560" t="e">
            <v>#N/A</v>
          </cell>
          <cell r="L560" t="e">
            <v>#N/A</v>
          </cell>
          <cell r="M560" t="e">
            <v>#N/A</v>
          </cell>
          <cell r="N560" t="e">
            <v>#N/A</v>
          </cell>
          <cell r="O560" t="e">
            <v>#N/A</v>
          </cell>
          <cell r="P560">
            <v>63.51</v>
          </cell>
          <cell r="Q560" t="str">
            <v/>
          </cell>
          <cell r="R560" t="e">
            <v>#N/A</v>
          </cell>
        </row>
        <row r="561">
          <cell r="A561">
            <v>40282</v>
          </cell>
          <cell r="B561">
            <v>40282</v>
          </cell>
          <cell r="C561" t="str">
            <v>Future</v>
          </cell>
          <cell r="D561" t="e">
            <v>#N/A</v>
          </cell>
          <cell r="E561">
            <v>62.759881889763783</v>
          </cell>
          <cell r="F561">
            <v>63.822874015748027</v>
          </cell>
          <cell r="G561">
            <v>63.350433070866139</v>
          </cell>
          <cell r="H561">
            <v>63.350433070866139</v>
          </cell>
          <cell r="I561" t="e">
            <v>#N/A</v>
          </cell>
          <cell r="J561" t="e">
            <v>#N/A</v>
          </cell>
          <cell r="K561" t="e">
            <v>#N/A</v>
          </cell>
          <cell r="L561" t="e">
            <v>#N/A</v>
          </cell>
          <cell r="M561" t="e">
            <v>#N/A</v>
          </cell>
          <cell r="N561" t="e">
            <v>#N/A</v>
          </cell>
          <cell r="O561" t="e">
            <v>#N/A</v>
          </cell>
          <cell r="P561">
            <v>63.51</v>
          </cell>
          <cell r="Q561" t="str">
            <v/>
          </cell>
          <cell r="R561" t="e">
            <v>#N/A</v>
          </cell>
        </row>
        <row r="562">
          <cell r="A562">
            <v>40283</v>
          </cell>
          <cell r="B562">
            <v>40283</v>
          </cell>
          <cell r="C562" t="str">
            <v>Future</v>
          </cell>
          <cell r="D562" t="e">
            <v>#N/A</v>
          </cell>
          <cell r="E562">
            <v>62.509842519685044</v>
          </cell>
          <cell r="F562">
            <v>63.927165354330704</v>
          </cell>
          <cell r="G562">
            <v>63.297244094488185</v>
          </cell>
          <cell r="H562">
            <v>63.297244094488185</v>
          </cell>
          <cell r="I562" t="e">
            <v>#N/A</v>
          </cell>
          <cell r="J562" t="e">
            <v>#N/A</v>
          </cell>
          <cell r="K562" t="e">
            <v>#N/A</v>
          </cell>
          <cell r="L562" t="e">
            <v>#N/A</v>
          </cell>
          <cell r="M562" t="e">
            <v>#N/A</v>
          </cell>
          <cell r="N562" t="e">
            <v>#N/A</v>
          </cell>
          <cell r="O562" t="e">
            <v>#N/A</v>
          </cell>
          <cell r="P562">
            <v>63.51</v>
          </cell>
          <cell r="Q562" t="str">
            <v/>
          </cell>
          <cell r="R562" t="e">
            <v>#N/A</v>
          </cell>
        </row>
        <row r="563">
          <cell r="A563">
            <v>40284</v>
          </cell>
          <cell r="B563">
            <v>40284</v>
          </cell>
          <cell r="C563" t="str">
            <v>Future</v>
          </cell>
          <cell r="D563" t="e">
            <v>#N/A</v>
          </cell>
          <cell r="E563">
            <v>62.259803149606306</v>
          </cell>
          <cell r="F563">
            <v>64.03145669291338</v>
          </cell>
          <cell r="G563">
            <v>63.244055118110232</v>
          </cell>
          <cell r="H563">
            <v>63.244055118110232</v>
          </cell>
          <cell r="I563" t="e">
            <v>#N/A</v>
          </cell>
          <cell r="J563" t="e">
            <v>#N/A</v>
          </cell>
          <cell r="K563" t="e">
            <v>#N/A</v>
          </cell>
          <cell r="L563" t="e">
            <v>#N/A</v>
          </cell>
          <cell r="M563" t="e">
            <v>#N/A</v>
          </cell>
          <cell r="N563" t="e">
            <v>#N/A</v>
          </cell>
          <cell r="O563" t="e">
            <v>#N/A</v>
          </cell>
          <cell r="P563">
            <v>63.51</v>
          </cell>
          <cell r="Q563" t="str">
            <v/>
          </cell>
          <cell r="R563" t="e">
            <v>#N/A</v>
          </cell>
        </row>
        <row r="564">
          <cell r="A564">
            <v>40287</v>
          </cell>
          <cell r="B564">
            <v>40287</v>
          </cell>
          <cell r="C564" t="str">
            <v>Future</v>
          </cell>
          <cell r="D564" t="e">
            <v>#N/A</v>
          </cell>
          <cell r="E564">
            <v>62.009763779527567</v>
          </cell>
          <cell r="F564">
            <v>64.135748031496064</v>
          </cell>
          <cell r="G564">
            <v>63.190866141732279</v>
          </cell>
          <cell r="H564">
            <v>63.190866141732279</v>
          </cell>
          <cell r="I564" t="e">
            <v>#N/A</v>
          </cell>
          <cell r="J564" t="e">
            <v>#N/A</v>
          </cell>
          <cell r="K564" t="e">
            <v>#N/A</v>
          </cell>
          <cell r="L564" t="e">
            <v>#N/A</v>
          </cell>
          <cell r="M564" t="e">
            <v>#N/A</v>
          </cell>
          <cell r="N564" t="e">
            <v>#N/A</v>
          </cell>
          <cell r="O564" t="e">
            <v>#N/A</v>
          </cell>
          <cell r="P564">
            <v>63.51</v>
          </cell>
          <cell r="Q564" t="str">
            <v/>
          </cell>
          <cell r="R564" t="e">
            <v>#N/A</v>
          </cell>
        </row>
        <row r="565">
          <cell r="A565">
            <v>40288</v>
          </cell>
          <cell r="B565">
            <v>40288</v>
          </cell>
          <cell r="C565" t="str">
            <v>Future</v>
          </cell>
          <cell r="D565" t="e">
            <v>#N/A</v>
          </cell>
          <cell r="E565">
            <v>61.759724409448829</v>
          </cell>
          <cell r="F565">
            <v>64.240039370078748</v>
          </cell>
          <cell r="G565">
            <v>63.137677165354326</v>
          </cell>
          <cell r="H565">
            <v>63.137677165354326</v>
          </cell>
          <cell r="I565" t="e">
            <v>#N/A</v>
          </cell>
          <cell r="J565" t="e">
            <v>#N/A</v>
          </cell>
          <cell r="K565" t="e">
            <v>#N/A</v>
          </cell>
          <cell r="L565" t="e">
            <v>#N/A</v>
          </cell>
          <cell r="M565" t="e">
            <v>#N/A</v>
          </cell>
          <cell r="N565" t="e">
            <v>#N/A</v>
          </cell>
          <cell r="O565" t="e">
            <v>#N/A</v>
          </cell>
          <cell r="P565">
            <v>63.51</v>
          </cell>
          <cell r="Q565" t="str">
            <v/>
          </cell>
          <cell r="R565" t="e">
            <v>#N/A</v>
          </cell>
        </row>
        <row r="566">
          <cell r="A566">
            <v>40289</v>
          </cell>
          <cell r="B566">
            <v>40289</v>
          </cell>
          <cell r="C566" t="str">
            <v>Future</v>
          </cell>
          <cell r="D566" t="e">
            <v>#N/A</v>
          </cell>
          <cell r="E566">
            <v>61.50968503937009</v>
          </cell>
          <cell r="F566">
            <v>64.344330708661431</v>
          </cell>
          <cell r="G566">
            <v>63.084488188976373</v>
          </cell>
          <cell r="H566">
            <v>63.084488188976373</v>
          </cell>
          <cell r="I566" t="e">
            <v>#N/A</v>
          </cell>
          <cell r="J566" t="e">
            <v>#N/A</v>
          </cell>
          <cell r="K566" t="e">
            <v>#N/A</v>
          </cell>
          <cell r="L566" t="e">
            <v>#N/A</v>
          </cell>
          <cell r="M566" t="e">
            <v>#N/A</v>
          </cell>
          <cell r="N566" t="e">
            <v>#N/A</v>
          </cell>
          <cell r="O566" t="e">
            <v>#N/A</v>
          </cell>
          <cell r="P566">
            <v>63.51</v>
          </cell>
          <cell r="Q566" t="str">
            <v/>
          </cell>
          <cell r="R566" t="e">
            <v>#N/A</v>
          </cell>
        </row>
        <row r="567">
          <cell r="A567">
            <v>40290</v>
          </cell>
          <cell r="B567">
            <v>40290</v>
          </cell>
          <cell r="C567" t="str">
            <v>Future</v>
          </cell>
          <cell r="D567" t="e">
            <v>#N/A</v>
          </cell>
          <cell r="E567">
            <v>61.259645669291352</v>
          </cell>
          <cell r="F567">
            <v>64.448622047244115</v>
          </cell>
          <cell r="G567">
            <v>63.03129921259842</v>
          </cell>
          <cell r="H567">
            <v>63.03129921259842</v>
          </cell>
          <cell r="I567" t="e">
            <v>#N/A</v>
          </cell>
          <cell r="J567" t="e">
            <v>#N/A</v>
          </cell>
          <cell r="K567" t="e">
            <v>#N/A</v>
          </cell>
          <cell r="L567" t="e">
            <v>#N/A</v>
          </cell>
          <cell r="M567" t="e">
            <v>#N/A</v>
          </cell>
          <cell r="N567" t="e">
            <v>#N/A</v>
          </cell>
          <cell r="O567" t="e">
            <v>#N/A</v>
          </cell>
          <cell r="P567">
            <v>63.51</v>
          </cell>
          <cell r="Q567" t="str">
            <v/>
          </cell>
          <cell r="R567" t="e">
            <v>#N/A</v>
          </cell>
        </row>
        <row r="568">
          <cell r="A568">
            <v>40291</v>
          </cell>
          <cell r="B568">
            <v>40291</v>
          </cell>
          <cell r="C568" t="str">
            <v>Future</v>
          </cell>
          <cell r="D568" t="e">
            <v>#N/A</v>
          </cell>
          <cell r="E568">
            <v>61.009606299212614</v>
          </cell>
          <cell r="F568">
            <v>64.552913385826798</v>
          </cell>
          <cell r="G568">
            <v>62.978110236220466</v>
          </cell>
          <cell r="H568">
            <v>62.978110236220466</v>
          </cell>
          <cell r="I568" t="e">
            <v>#N/A</v>
          </cell>
          <cell r="J568" t="e">
            <v>#N/A</v>
          </cell>
          <cell r="K568" t="e">
            <v>#N/A</v>
          </cell>
          <cell r="L568" t="e">
            <v>#N/A</v>
          </cell>
          <cell r="M568" t="e">
            <v>#N/A</v>
          </cell>
          <cell r="N568" t="e">
            <v>#N/A</v>
          </cell>
          <cell r="O568" t="e">
            <v>#N/A</v>
          </cell>
          <cell r="P568">
            <v>63.51</v>
          </cell>
          <cell r="Q568" t="str">
            <v/>
          </cell>
          <cell r="R568" t="e">
            <v>#N/A</v>
          </cell>
        </row>
        <row r="569">
          <cell r="A569">
            <v>40294</v>
          </cell>
          <cell r="B569">
            <v>40294</v>
          </cell>
          <cell r="C569" t="str">
            <v>Future</v>
          </cell>
          <cell r="D569" t="e">
            <v>#N/A</v>
          </cell>
          <cell r="E569">
            <v>60.759566929133875</v>
          </cell>
          <cell r="F569">
            <v>64.657204724409482</v>
          </cell>
          <cell r="G569">
            <v>62.924921259842513</v>
          </cell>
          <cell r="H569">
            <v>62.924921259842513</v>
          </cell>
          <cell r="I569" t="e">
            <v>#N/A</v>
          </cell>
          <cell r="J569" t="e">
            <v>#N/A</v>
          </cell>
          <cell r="K569" t="e">
            <v>#N/A</v>
          </cell>
          <cell r="L569" t="e">
            <v>#N/A</v>
          </cell>
          <cell r="M569" t="e">
            <v>#N/A</v>
          </cell>
          <cell r="N569" t="e">
            <v>#N/A</v>
          </cell>
          <cell r="O569" t="e">
            <v>#N/A</v>
          </cell>
          <cell r="P569">
            <v>63.51</v>
          </cell>
          <cell r="Q569" t="str">
            <v/>
          </cell>
          <cell r="R569" t="e">
            <v>#N/A</v>
          </cell>
        </row>
        <row r="570">
          <cell r="A570">
            <v>40295</v>
          </cell>
          <cell r="B570">
            <v>40295</v>
          </cell>
          <cell r="C570" t="str">
            <v>Future</v>
          </cell>
          <cell r="D570" t="e">
            <v>#N/A</v>
          </cell>
          <cell r="E570">
            <v>60.509527559055137</v>
          </cell>
          <cell r="F570">
            <v>64.761496062992165</v>
          </cell>
          <cell r="G570">
            <v>62.87173228346456</v>
          </cell>
          <cell r="H570">
            <v>62.87173228346456</v>
          </cell>
          <cell r="I570" t="e">
            <v>#N/A</v>
          </cell>
          <cell r="J570" t="e">
            <v>#N/A</v>
          </cell>
          <cell r="K570" t="e">
            <v>#N/A</v>
          </cell>
          <cell r="L570" t="e">
            <v>#N/A</v>
          </cell>
          <cell r="M570" t="e">
            <v>#N/A</v>
          </cell>
          <cell r="N570" t="e">
            <v>#N/A</v>
          </cell>
          <cell r="O570" t="e">
            <v>#N/A</v>
          </cell>
          <cell r="P570">
            <v>63.51</v>
          </cell>
          <cell r="Q570" t="str">
            <v/>
          </cell>
          <cell r="R570" t="e">
            <v>#N/A</v>
          </cell>
        </row>
        <row r="571">
          <cell r="A571">
            <v>40296</v>
          </cell>
          <cell r="B571">
            <v>40296</v>
          </cell>
          <cell r="C571" t="str">
            <v>Future</v>
          </cell>
          <cell r="D571" t="e">
            <v>#N/A</v>
          </cell>
          <cell r="E571">
            <v>60.259488188976398</v>
          </cell>
          <cell r="F571">
            <v>64.865787401574849</v>
          </cell>
          <cell r="G571">
            <v>62.818543307086607</v>
          </cell>
          <cell r="H571">
            <v>62.818543307086607</v>
          </cell>
          <cell r="I571" t="e">
            <v>#N/A</v>
          </cell>
          <cell r="J571" t="e">
            <v>#N/A</v>
          </cell>
          <cell r="K571" t="e">
            <v>#N/A</v>
          </cell>
          <cell r="L571" t="e">
            <v>#N/A</v>
          </cell>
          <cell r="M571" t="e">
            <v>#N/A</v>
          </cell>
          <cell r="N571" t="e">
            <v>#N/A</v>
          </cell>
          <cell r="O571" t="e">
            <v>#N/A</v>
          </cell>
          <cell r="P571">
            <v>63.51</v>
          </cell>
          <cell r="Q571" t="str">
            <v/>
          </cell>
          <cell r="R571" t="e">
            <v>#N/A</v>
          </cell>
        </row>
        <row r="572">
          <cell r="A572">
            <v>40297</v>
          </cell>
          <cell r="B572">
            <v>40297</v>
          </cell>
          <cell r="C572" t="str">
            <v>Future</v>
          </cell>
          <cell r="D572" t="e">
            <v>#N/A</v>
          </cell>
          <cell r="E572">
            <v>60.00944881889766</v>
          </cell>
          <cell r="F572">
            <v>64.970078740157533</v>
          </cell>
          <cell r="G572">
            <v>62.765354330708654</v>
          </cell>
          <cell r="H572">
            <v>62.765354330708654</v>
          </cell>
          <cell r="I572" t="e">
            <v>#N/A</v>
          </cell>
          <cell r="J572" t="e">
            <v>#N/A</v>
          </cell>
          <cell r="K572" t="e">
            <v>#N/A</v>
          </cell>
          <cell r="L572" t="e">
            <v>#N/A</v>
          </cell>
          <cell r="M572" t="e">
            <v>#N/A</v>
          </cell>
          <cell r="N572" t="e">
            <v>#N/A</v>
          </cell>
          <cell r="O572" t="e">
            <v>#N/A</v>
          </cell>
          <cell r="P572">
            <v>63.51</v>
          </cell>
          <cell r="Q572" t="str">
            <v/>
          </cell>
          <cell r="R572" t="e">
            <v>#N/A</v>
          </cell>
        </row>
        <row r="573">
          <cell r="A573">
            <v>40298</v>
          </cell>
          <cell r="B573">
            <v>40298</v>
          </cell>
          <cell r="C573" t="str">
            <v>Future</v>
          </cell>
          <cell r="D573" t="e">
            <v>#N/A</v>
          </cell>
          <cell r="E573">
            <v>59.759409448818921</v>
          </cell>
          <cell r="F573">
            <v>65.074370078740216</v>
          </cell>
          <cell r="G573">
            <v>62.7121653543307</v>
          </cell>
          <cell r="H573">
            <v>62.7121653543307</v>
          </cell>
          <cell r="I573" t="e">
            <v>#N/A</v>
          </cell>
          <cell r="J573" t="e">
            <v>#N/A</v>
          </cell>
          <cell r="K573" t="e">
            <v>#N/A</v>
          </cell>
          <cell r="L573" t="e">
            <v>#N/A</v>
          </cell>
          <cell r="M573" t="e">
            <v>#N/A</v>
          </cell>
          <cell r="N573" t="e">
            <v>#N/A</v>
          </cell>
          <cell r="O573" t="e">
            <v>#N/A</v>
          </cell>
          <cell r="P573">
            <v>63.51</v>
          </cell>
          <cell r="Q573" t="str">
            <v/>
          </cell>
          <cell r="R573" t="e">
            <v>#N/A</v>
          </cell>
        </row>
        <row r="574">
          <cell r="A574">
            <v>40301</v>
          </cell>
          <cell r="B574">
            <v>40301</v>
          </cell>
          <cell r="C574" t="str">
            <v>Future</v>
          </cell>
          <cell r="D574" t="e">
            <v>#N/A</v>
          </cell>
          <cell r="E574">
            <v>59.509370078740183</v>
          </cell>
          <cell r="F574">
            <v>65.1786614173229</v>
          </cell>
          <cell r="G574">
            <v>62.658976377952747</v>
          </cell>
          <cell r="H574">
            <v>62.658976377952747</v>
          </cell>
          <cell r="I574" t="e">
            <v>#N/A</v>
          </cell>
          <cell r="J574" t="e">
            <v>#N/A</v>
          </cell>
          <cell r="K574" t="e">
            <v>#N/A</v>
          </cell>
          <cell r="L574" t="e">
            <v>#N/A</v>
          </cell>
          <cell r="M574" t="e">
            <v>#N/A</v>
          </cell>
          <cell r="N574" t="e">
            <v>#N/A</v>
          </cell>
          <cell r="O574" t="e">
            <v>#N/A</v>
          </cell>
          <cell r="P574">
            <v>63.51</v>
          </cell>
          <cell r="Q574" t="str">
            <v/>
          </cell>
          <cell r="R574" t="e">
            <v>#N/A</v>
          </cell>
        </row>
        <row r="575">
          <cell r="A575">
            <v>40302</v>
          </cell>
          <cell r="B575">
            <v>40302</v>
          </cell>
          <cell r="C575" t="str">
            <v>Future</v>
          </cell>
          <cell r="D575" t="e">
            <v>#N/A</v>
          </cell>
          <cell r="E575">
            <v>59.259330708661444</v>
          </cell>
          <cell r="F575">
            <v>65.282952755905583</v>
          </cell>
          <cell r="G575">
            <v>62.605787401574794</v>
          </cell>
          <cell r="H575">
            <v>62.605787401574794</v>
          </cell>
          <cell r="I575" t="e">
            <v>#N/A</v>
          </cell>
          <cell r="J575" t="e">
            <v>#N/A</v>
          </cell>
          <cell r="K575" t="e">
            <v>#N/A</v>
          </cell>
          <cell r="L575" t="e">
            <v>#N/A</v>
          </cell>
          <cell r="M575" t="e">
            <v>#N/A</v>
          </cell>
          <cell r="N575" t="e">
            <v>#N/A</v>
          </cell>
          <cell r="O575" t="e">
            <v>#N/A</v>
          </cell>
          <cell r="P575">
            <v>63.51</v>
          </cell>
          <cell r="Q575" t="str">
            <v/>
          </cell>
          <cell r="R575" t="e">
            <v>#N/A</v>
          </cell>
        </row>
        <row r="576">
          <cell r="A576">
            <v>40303</v>
          </cell>
          <cell r="B576">
            <v>40303</v>
          </cell>
          <cell r="C576" t="str">
            <v>Future</v>
          </cell>
          <cell r="D576" t="e">
            <v>#N/A</v>
          </cell>
          <cell r="E576">
            <v>59.009291338582706</v>
          </cell>
          <cell r="F576">
            <v>65.387244094488267</v>
          </cell>
          <cell r="G576">
            <v>62.552598425196841</v>
          </cell>
          <cell r="H576">
            <v>62.552598425196841</v>
          </cell>
          <cell r="I576" t="e">
            <v>#N/A</v>
          </cell>
          <cell r="J576" t="e">
            <v>#N/A</v>
          </cell>
          <cell r="K576" t="e">
            <v>#N/A</v>
          </cell>
          <cell r="L576" t="e">
            <v>#N/A</v>
          </cell>
          <cell r="M576" t="e">
            <v>#N/A</v>
          </cell>
          <cell r="N576" t="e">
            <v>#N/A</v>
          </cell>
          <cell r="O576" t="e">
            <v>#N/A</v>
          </cell>
          <cell r="P576">
            <v>63.51</v>
          </cell>
          <cell r="Q576" t="str">
            <v/>
          </cell>
          <cell r="R576" t="e">
            <v>#N/A</v>
          </cell>
        </row>
        <row r="577">
          <cell r="A577">
            <v>40304</v>
          </cell>
          <cell r="B577">
            <v>40304</v>
          </cell>
          <cell r="C577" t="str">
            <v>Future</v>
          </cell>
          <cell r="D577" t="e">
            <v>#N/A</v>
          </cell>
          <cell r="E577">
            <v>58.759251968503968</v>
          </cell>
          <cell r="F577">
            <v>65.49153543307095</v>
          </cell>
          <cell r="G577">
            <v>62.499409448818888</v>
          </cell>
          <cell r="H577">
            <v>62.499409448818888</v>
          </cell>
          <cell r="I577" t="e">
            <v>#N/A</v>
          </cell>
          <cell r="J577" t="e">
            <v>#N/A</v>
          </cell>
          <cell r="K577" t="e">
            <v>#N/A</v>
          </cell>
          <cell r="L577" t="e">
            <v>#N/A</v>
          </cell>
          <cell r="M577" t="e">
            <v>#N/A</v>
          </cell>
          <cell r="N577" t="e">
            <v>#N/A</v>
          </cell>
          <cell r="O577" t="e">
            <v>#N/A</v>
          </cell>
          <cell r="P577">
            <v>63.51</v>
          </cell>
          <cell r="Q577" t="str">
            <v/>
          </cell>
          <cell r="R577" t="e">
            <v>#N/A</v>
          </cell>
        </row>
        <row r="578">
          <cell r="A578">
            <v>40305</v>
          </cell>
          <cell r="B578">
            <v>40305</v>
          </cell>
          <cell r="C578" t="str">
            <v>Future</v>
          </cell>
          <cell r="D578" t="e">
            <v>#N/A</v>
          </cell>
          <cell r="E578">
            <v>58.509212598425229</v>
          </cell>
          <cell r="F578">
            <v>65.595826771653634</v>
          </cell>
          <cell r="G578">
            <v>62.446220472440935</v>
          </cell>
          <cell r="H578">
            <v>62.446220472440935</v>
          </cell>
          <cell r="I578" t="e">
            <v>#N/A</v>
          </cell>
          <cell r="J578" t="e">
            <v>#N/A</v>
          </cell>
          <cell r="K578" t="e">
            <v>#N/A</v>
          </cell>
          <cell r="L578" t="e">
            <v>#N/A</v>
          </cell>
          <cell r="M578" t="e">
            <v>#N/A</v>
          </cell>
          <cell r="N578" t="e">
            <v>#N/A</v>
          </cell>
          <cell r="O578" t="e">
            <v>#N/A</v>
          </cell>
          <cell r="P578">
            <v>63.51</v>
          </cell>
          <cell r="Q578" t="str">
            <v/>
          </cell>
          <cell r="R578" t="e">
            <v>#N/A</v>
          </cell>
        </row>
        <row r="579">
          <cell r="A579">
            <v>40308</v>
          </cell>
          <cell r="B579">
            <v>40308</v>
          </cell>
          <cell r="C579" t="str">
            <v>Future</v>
          </cell>
          <cell r="D579" t="e">
            <v>#N/A</v>
          </cell>
          <cell r="E579">
            <v>58.259173228346491</v>
          </cell>
          <cell r="F579">
            <v>65.700118110236318</v>
          </cell>
          <cell r="G579">
            <v>62.393031496062981</v>
          </cell>
          <cell r="H579">
            <v>62.393031496062981</v>
          </cell>
          <cell r="I579" t="e">
            <v>#N/A</v>
          </cell>
          <cell r="J579" t="e">
            <v>#N/A</v>
          </cell>
          <cell r="K579" t="e">
            <v>#N/A</v>
          </cell>
          <cell r="L579" t="e">
            <v>#N/A</v>
          </cell>
          <cell r="M579" t="e">
            <v>#N/A</v>
          </cell>
          <cell r="N579" t="e">
            <v>#N/A</v>
          </cell>
          <cell r="O579" t="e">
            <v>#N/A</v>
          </cell>
          <cell r="P579">
            <v>63.51</v>
          </cell>
          <cell r="Q579" t="str">
            <v/>
          </cell>
          <cell r="R579" t="e">
            <v>#N/A</v>
          </cell>
        </row>
        <row r="580">
          <cell r="A580">
            <v>40309</v>
          </cell>
          <cell r="B580">
            <v>40309</v>
          </cell>
          <cell r="C580" t="str">
            <v>Future</v>
          </cell>
          <cell r="D580" t="e">
            <v>#N/A</v>
          </cell>
          <cell r="E580">
            <v>58.009133858267752</v>
          </cell>
          <cell r="F580">
            <v>65.804409448819001</v>
          </cell>
          <cell r="G580">
            <v>62.339842519685028</v>
          </cell>
          <cell r="H580">
            <v>62.339842519685028</v>
          </cell>
          <cell r="I580" t="e">
            <v>#N/A</v>
          </cell>
          <cell r="J580" t="e">
            <v>#N/A</v>
          </cell>
          <cell r="K580" t="e">
            <v>#N/A</v>
          </cell>
          <cell r="L580" t="e">
            <v>#N/A</v>
          </cell>
          <cell r="M580" t="e">
            <v>#N/A</v>
          </cell>
          <cell r="N580" t="e">
            <v>#N/A</v>
          </cell>
          <cell r="O580" t="e">
            <v>#N/A</v>
          </cell>
          <cell r="P580">
            <v>63.51</v>
          </cell>
          <cell r="Q580" t="str">
            <v/>
          </cell>
          <cell r="R580" t="e">
            <v>#N/A</v>
          </cell>
        </row>
        <row r="581">
          <cell r="A581">
            <v>40310</v>
          </cell>
          <cell r="B581">
            <v>40310</v>
          </cell>
          <cell r="C581" t="str">
            <v>Future</v>
          </cell>
          <cell r="D581" t="e">
            <v>#N/A</v>
          </cell>
          <cell r="E581">
            <v>57.759094488189014</v>
          </cell>
          <cell r="F581">
            <v>65.908700787401685</v>
          </cell>
          <cell r="G581">
            <v>62.286653543307075</v>
          </cell>
          <cell r="H581">
            <v>62.286653543307075</v>
          </cell>
          <cell r="I581" t="e">
            <v>#N/A</v>
          </cell>
          <cell r="J581" t="e">
            <v>#N/A</v>
          </cell>
          <cell r="K581" t="e">
            <v>#N/A</v>
          </cell>
          <cell r="L581" t="e">
            <v>#N/A</v>
          </cell>
          <cell r="M581" t="e">
            <v>#N/A</v>
          </cell>
          <cell r="N581" t="e">
            <v>#N/A</v>
          </cell>
          <cell r="O581" t="e">
            <v>#N/A</v>
          </cell>
          <cell r="P581">
            <v>63.51</v>
          </cell>
          <cell r="Q581" t="str">
            <v/>
          </cell>
          <cell r="R581" t="e">
            <v>#N/A</v>
          </cell>
        </row>
        <row r="582">
          <cell r="A582">
            <v>40311</v>
          </cell>
          <cell r="B582">
            <v>40311</v>
          </cell>
          <cell r="C582" t="str">
            <v>Future</v>
          </cell>
          <cell r="D582" t="e">
            <v>#N/A</v>
          </cell>
          <cell r="E582">
            <v>57.509055118110275</v>
          </cell>
          <cell r="F582">
            <v>66.012992125984368</v>
          </cell>
          <cell r="G582">
            <v>62.233464566929122</v>
          </cell>
          <cell r="H582">
            <v>62.233464566929122</v>
          </cell>
          <cell r="I582" t="e">
            <v>#N/A</v>
          </cell>
          <cell r="J582" t="e">
            <v>#N/A</v>
          </cell>
          <cell r="K582" t="e">
            <v>#N/A</v>
          </cell>
          <cell r="L582" t="e">
            <v>#N/A</v>
          </cell>
          <cell r="M582" t="e">
            <v>#N/A</v>
          </cell>
          <cell r="N582" t="e">
            <v>#N/A</v>
          </cell>
          <cell r="O582" t="e">
            <v>#N/A</v>
          </cell>
          <cell r="P582">
            <v>63.51</v>
          </cell>
          <cell r="Q582" t="str">
            <v/>
          </cell>
          <cell r="R582" t="e">
            <v>#N/A</v>
          </cell>
        </row>
        <row r="583">
          <cell r="A583">
            <v>40312</v>
          </cell>
          <cell r="B583">
            <v>40312</v>
          </cell>
          <cell r="C583" t="str">
            <v>Future</v>
          </cell>
          <cell r="D583" t="e">
            <v>#N/A</v>
          </cell>
          <cell r="E583">
            <v>57.259015748031537</v>
          </cell>
          <cell r="F583">
            <v>66.117283464567052</v>
          </cell>
          <cell r="G583">
            <v>62.180275590551169</v>
          </cell>
          <cell r="H583">
            <v>62.180275590551169</v>
          </cell>
          <cell r="I583" t="e">
            <v>#N/A</v>
          </cell>
          <cell r="J583" t="e">
            <v>#N/A</v>
          </cell>
          <cell r="K583" t="e">
            <v>#N/A</v>
          </cell>
          <cell r="L583" t="e">
            <v>#N/A</v>
          </cell>
          <cell r="M583" t="e">
            <v>#N/A</v>
          </cell>
          <cell r="N583" t="e">
            <v>#N/A</v>
          </cell>
          <cell r="O583" t="e">
            <v>#N/A</v>
          </cell>
          <cell r="P583">
            <v>63.51</v>
          </cell>
          <cell r="Q583" t="str">
            <v/>
          </cell>
          <cell r="R583" t="e">
            <v>#N/A</v>
          </cell>
        </row>
        <row r="584">
          <cell r="A584">
            <v>40315</v>
          </cell>
          <cell r="B584">
            <v>40315</v>
          </cell>
          <cell r="C584" t="str">
            <v>Future</v>
          </cell>
          <cell r="D584" t="e">
            <v>#N/A</v>
          </cell>
          <cell r="E584">
            <v>57.008976377952798</v>
          </cell>
          <cell r="F584">
            <v>66.221574803149736</v>
          </cell>
          <cell r="G584">
            <v>62.127086614173216</v>
          </cell>
          <cell r="H584">
            <v>62.127086614173216</v>
          </cell>
          <cell r="I584" t="e">
            <v>#N/A</v>
          </cell>
          <cell r="J584" t="e">
            <v>#N/A</v>
          </cell>
          <cell r="K584" t="e">
            <v>#N/A</v>
          </cell>
          <cell r="L584" t="e">
            <v>#N/A</v>
          </cell>
          <cell r="M584" t="e">
            <v>#N/A</v>
          </cell>
          <cell r="N584" t="e">
            <v>#N/A</v>
          </cell>
          <cell r="O584" t="e">
            <v>#N/A</v>
          </cell>
          <cell r="P584">
            <v>63.51</v>
          </cell>
          <cell r="Q584" t="str">
            <v/>
          </cell>
          <cell r="R584" t="e">
            <v>#N/A</v>
          </cell>
        </row>
        <row r="585">
          <cell r="A585">
            <v>40316</v>
          </cell>
          <cell r="B585">
            <v>40316</v>
          </cell>
          <cell r="C585" t="str">
            <v>Future</v>
          </cell>
          <cell r="D585" t="e">
            <v>#N/A</v>
          </cell>
          <cell r="E585">
            <v>56.75893700787406</v>
          </cell>
          <cell r="F585">
            <v>66.325866141732419</v>
          </cell>
          <cell r="G585">
            <v>62.073897637795262</v>
          </cell>
          <cell r="H585">
            <v>62.073897637795262</v>
          </cell>
          <cell r="I585" t="e">
            <v>#N/A</v>
          </cell>
          <cell r="J585" t="e">
            <v>#N/A</v>
          </cell>
          <cell r="K585" t="e">
            <v>#N/A</v>
          </cell>
          <cell r="L585" t="e">
            <v>#N/A</v>
          </cell>
          <cell r="M585" t="e">
            <v>#N/A</v>
          </cell>
          <cell r="N585" t="e">
            <v>#N/A</v>
          </cell>
          <cell r="O585" t="e">
            <v>#N/A</v>
          </cell>
          <cell r="P585">
            <v>63.51</v>
          </cell>
          <cell r="Q585" t="str">
            <v/>
          </cell>
          <cell r="R585" t="e">
            <v>#N/A</v>
          </cell>
        </row>
        <row r="586">
          <cell r="A586">
            <v>40317</v>
          </cell>
          <cell r="B586">
            <v>40317</v>
          </cell>
          <cell r="C586" t="str">
            <v>Future</v>
          </cell>
          <cell r="D586" t="e">
            <v>#N/A</v>
          </cell>
          <cell r="E586">
            <v>56.508897637795322</v>
          </cell>
          <cell r="F586">
            <v>66.430157480315103</v>
          </cell>
          <cell r="G586">
            <v>62.020708661417309</v>
          </cell>
          <cell r="H586">
            <v>62.020708661417309</v>
          </cell>
          <cell r="I586" t="e">
            <v>#N/A</v>
          </cell>
          <cell r="J586" t="e">
            <v>#N/A</v>
          </cell>
          <cell r="K586" t="e">
            <v>#N/A</v>
          </cell>
          <cell r="L586" t="e">
            <v>#N/A</v>
          </cell>
          <cell r="M586" t="e">
            <v>#N/A</v>
          </cell>
          <cell r="N586" t="e">
            <v>#N/A</v>
          </cell>
          <cell r="O586" t="e">
            <v>#N/A</v>
          </cell>
          <cell r="P586">
            <v>63.51</v>
          </cell>
          <cell r="Q586" t="str">
            <v/>
          </cell>
          <cell r="R586" t="e">
            <v>#N/A</v>
          </cell>
        </row>
        <row r="587">
          <cell r="A587">
            <v>40318</v>
          </cell>
          <cell r="B587">
            <v>40318</v>
          </cell>
          <cell r="C587" t="str">
            <v>Future</v>
          </cell>
          <cell r="D587" t="e">
            <v>#N/A</v>
          </cell>
          <cell r="E587">
            <v>56.258858267716583</v>
          </cell>
          <cell r="F587">
            <v>66.534448818897786</v>
          </cell>
          <cell r="G587">
            <v>61.967519685039356</v>
          </cell>
          <cell r="H587">
            <v>61.967519685039356</v>
          </cell>
          <cell r="I587" t="e">
            <v>#N/A</v>
          </cell>
          <cell r="J587" t="e">
            <v>#N/A</v>
          </cell>
          <cell r="K587" t="e">
            <v>#N/A</v>
          </cell>
          <cell r="L587" t="e">
            <v>#N/A</v>
          </cell>
          <cell r="M587" t="e">
            <v>#N/A</v>
          </cell>
          <cell r="N587" t="e">
            <v>#N/A</v>
          </cell>
          <cell r="O587" t="e">
            <v>#N/A</v>
          </cell>
          <cell r="P587">
            <v>63.51</v>
          </cell>
          <cell r="Q587" t="str">
            <v/>
          </cell>
          <cell r="R587" t="e">
            <v>#N/A</v>
          </cell>
        </row>
        <row r="588">
          <cell r="A588">
            <v>40319</v>
          </cell>
          <cell r="B588">
            <v>40319</v>
          </cell>
          <cell r="C588" t="str">
            <v>Future</v>
          </cell>
          <cell r="D588" t="e">
            <v>#N/A</v>
          </cell>
          <cell r="E588">
            <v>56.008818897637845</v>
          </cell>
          <cell r="F588">
            <v>66.63874015748047</v>
          </cell>
          <cell r="G588">
            <v>61.914330708661403</v>
          </cell>
          <cell r="H588">
            <v>61.914330708661403</v>
          </cell>
          <cell r="I588" t="e">
            <v>#N/A</v>
          </cell>
          <cell r="J588" t="e">
            <v>#N/A</v>
          </cell>
          <cell r="K588" t="e">
            <v>#N/A</v>
          </cell>
          <cell r="L588" t="e">
            <v>#N/A</v>
          </cell>
          <cell r="M588" t="e">
            <v>#N/A</v>
          </cell>
          <cell r="N588" t="e">
            <v>#N/A</v>
          </cell>
          <cell r="O588" t="e">
            <v>#N/A</v>
          </cell>
          <cell r="P588">
            <v>63.51</v>
          </cell>
          <cell r="Q588" t="str">
            <v/>
          </cell>
          <cell r="R588" t="e">
            <v>#N/A</v>
          </cell>
        </row>
        <row r="589">
          <cell r="A589">
            <v>40322</v>
          </cell>
          <cell r="B589">
            <v>40322</v>
          </cell>
          <cell r="C589" t="str">
            <v>Future</v>
          </cell>
          <cell r="D589" t="e">
            <v>#N/A</v>
          </cell>
          <cell r="E589">
            <v>55.758779527559106</v>
          </cell>
          <cell r="F589">
            <v>66.743031496063153</v>
          </cell>
          <cell r="G589">
            <v>61.86114173228345</v>
          </cell>
          <cell r="H589">
            <v>61.86114173228345</v>
          </cell>
          <cell r="I589" t="e">
            <v>#N/A</v>
          </cell>
          <cell r="J589" t="e">
            <v>#N/A</v>
          </cell>
          <cell r="K589" t="e">
            <v>#N/A</v>
          </cell>
          <cell r="L589" t="e">
            <v>#N/A</v>
          </cell>
          <cell r="M589" t="e">
            <v>#N/A</v>
          </cell>
          <cell r="N589" t="e">
            <v>#N/A</v>
          </cell>
          <cell r="O589" t="e">
            <v>#N/A</v>
          </cell>
          <cell r="P589">
            <v>63.51</v>
          </cell>
          <cell r="Q589" t="str">
            <v/>
          </cell>
          <cell r="R589" t="e">
            <v>#N/A</v>
          </cell>
        </row>
        <row r="590">
          <cell r="A590">
            <v>40323</v>
          </cell>
          <cell r="B590">
            <v>40323</v>
          </cell>
          <cell r="C590" t="str">
            <v>Future</v>
          </cell>
          <cell r="D590" t="e">
            <v>#N/A</v>
          </cell>
          <cell r="E590">
            <v>55.508740157480368</v>
          </cell>
          <cell r="F590">
            <v>66.847322834645837</v>
          </cell>
          <cell r="G590">
            <v>61.807952755905497</v>
          </cell>
          <cell r="H590">
            <v>61.807952755905497</v>
          </cell>
          <cell r="I590" t="e">
            <v>#N/A</v>
          </cell>
          <cell r="J590" t="e">
            <v>#N/A</v>
          </cell>
          <cell r="K590" t="e">
            <v>#N/A</v>
          </cell>
          <cell r="L590" t="e">
            <v>#N/A</v>
          </cell>
          <cell r="M590" t="e">
            <v>#N/A</v>
          </cell>
          <cell r="N590" t="e">
            <v>#N/A</v>
          </cell>
          <cell r="O590" t="e">
            <v>#N/A</v>
          </cell>
          <cell r="P590">
            <v>63.51</v>
          </cell>
          <cell r="Q590" t="str">
            <v/>
          </cell>
          <cell r="R590" t="e">
            <v>#N/A</v>
          </cell>
        </row>
        <row r="591">
          <cell r="A591">
            <v>40324</v>
          </cell>
          <cell r="B591">
            <v>40324</v>
          </cell>
          <cell r="C591" t="str">
            <v>Future</v>
          </cell>
          <cell r="D591" t="e">
            <v>#N/A</v>
          </cell>
          <cell r="E591">
            <v>55.258700787401629</v>
          </cell>
          <cell r="F591">
            <v>66.951614173228521</v>
          </cell>
          <cell r="G591">
            <v>61.754763779527543</v>
          </cell>
          <cell r="H591">
            <v>61.754763779527543</v>
          </cell>
          <cell r="I591" t="e">
            <v>#N/A</v>
          </cell>
          <cell r="J591" t="e">
            <v>#N/A</v>
          </cell>
          <cell r="K591" t="e">
            <v>#N/A</v>
          </cell>
          <cell r="L591" t="e">
            <v>#N/A</v>
          </cell>
          <cell r="M591" t="e">
            <v>#N/A</v>
          </cell>
          <cell r="N591" t="e">
            <v>#N/A</v>
          </cell>
          <cell r="O591" t="e">
            <v>#N/A</v>
          </cell>
          <cell r="P591">
            <v>63.51</v>
          </cell>
          <cell r="Q591" t="str">
            <v/>
          </cell>
          <cell r="R591" t="e">
            <v>#N/A</v>
          </cell>
        </row>
        <row r="592">
          <cell r="A592">
            <v>40325</v>
          </cell>
          <cell r="B592">
            <v>40325</v>
          </cell>
          <cell r="C592" t="str">
            <v>Future</v>
          </cell>
          <cell r="D592" t="e">
            <v>#N/A</v>
          </cell>
          <cell r="E592">
            <v>55.008661417322891</v>
          </cell>
          <cell r="F592">
            <v>67.055905511811204</v>
          </cell>
          <cell r="G592">
            <v>61.70157480314959</v>
          </cell>
          <cell r="H592">
            <v>61.70157480314959</v>
          </cell>
          <cell r="I592" t="e">
            <v>#N/A</v>
          </cell>
          <cell r="J592" t="e">
            <v>#N/A</v>
          </cell>
          <cell r="K592" t="e">
            <v>#N/A</v>
          </cell>
          <cell r="L592" t="e">
            <v>#N/A</v>
          </cell>
          <cell r="M592" t="e">
            <v>#N/A</v>
          </cell>
          <cell r="N592" t="e">
            <v>#N/A</v>
          </cell>
          <cell r="O592" t="e">
            <v>#N/A</v>
          </cell>
          <cell r="P592">
            <v>63.51</v>
          </cell>
          <cell r="Q592" t="str">
            <v/>
          </cell>
          <cell r="R592" t="e">
            <v>#N/A</v>
          </cell>
        </row>
        <row r="593">
          <cell r="A593">
            <v>40326</v>
          </cell>
          <cell r="B593">
            <v>40326</v>
          </cell>
          <cell r="C593" t="str">
            <v>Future</v>
          </cell>
          <cell r="D593" t="e">
            <v>#N/A</v>
          </cell>
          <cell r="E593">
            <v>54.758622047244152</v>
          </cell>
          <cell r="F593">
            <v>67.160196850393888</v>
          </cell>
          <cell r="G593">
            <v>61.648385826771637</v>
          </cell>
          <cell r="H593">
            <v>61.648385826771637</v>
          </cell>
          <cell r="I593" t="e">
            <v>#N/A</v>
          </cell>
          <cell r="J593" t="e">
            <v>#N/A</v>
          </cell>
          <cell r="K593" t="e">
            <v>#N/A</v>
          </cell>
          <cell r="L593" t="e">
            <v>#N/A</v>
          </cell>
          <cell r="M593" t="e">
            <v>#N/A</v>
          </cell>
          <cell r="N593" t="e">
            <v>#N/A</v>
          </cell>
          <cell r="O593" t="e">
            <v>#N/A</v>
          </cell>
          <cell r="P593">
            <v>63.51</v>
          </cell>
          <cell r="Q593" t="str">
            <v/>
          </cell>
          <cell r="R593" t="e">
            <v>#N/A</v>
          </cell>
        </row>
        <row r="594">
          <cell r="A594">
            <v>40330</v>
          </cell>
          <cell r="B594">
            <v>40330</v>
          </cell>
          <cell r="C594" t="str">
            <v>Future</v>
          </cell>
          <cell r="D594" t="e">
            <v>#N/A</v>
          </cell>
          <cell r="E594">
            <v>54.508582677165414</v>
          </cell>
          <cell r="F594">
            <v>67.264488188976571</v>
          </cell>
          <cell r="G594">
            <v>61.595196850393684</v>
          </cell>
          <cell r="H594">
            <v>61.595196850393684</v>
          </cell>
          <cell r="I594" t="e">
            <v>#N/A</v>
          </cell>
          <cell r="J594" t="e">
            <v>#N/A</v>
          </cell>
          <cell r="K594" t="e">
            <v>#N/A</v>
          </cell>
          <cell r="L594" t="e">
            <v>#N/A</v>
          </cell>
          <cell r="M594" t="e">
            <v>#N/A</v>
          </cell>
          <cell r="N594" t="e">
            <v>#N/A</v>
          </cell>
          <cell r="O594" t="e">
            <v>#N/A</v>
          </cell>
          <cell r="P594">
            <v>63.51</v>
          </cell>
          <cell r="Q594" t="str">
            <v/>
          </cell>
          <cell r="R594" t="e">
            <v>#N/A</v>
          </cell>
        </row>
        <row r="595">
          <cell r="A595">
            <v>40331</v>
          </cell>
          <cell r="B595">
            <v>40331</v>
          </cell>
          <cell r="C595" t="str">
            <v>Future</v>
          </cell>
          <cell r="D595" t="e">
            <v>#N/A</v>
          </cell>
          <cell r="E595">
            <v>54.258543307086676</v>
          </cell>
          <cell r="F595">
            <v>67.368779527559255</v>
          </cell>
          <cell r="G595">
            <v>61.542007874015731</v>
          </cell>
          <cell r="H595">
            <v>61.542007874015731</v>
          </cell>
          <cell r="I595" t="e">
            <v>#N/A</v>
          </cell>
          <cell r="J595" t="e">
            <v>#N/A</v>
          </cell>
          <cell r="K595" t="e">
            <v>#N/A</v>
          </cell>
          <cell r="L595" t="e">
            <v>#N/A</v>
          </cell>
          <cell r="M595" t="e">
            <v>#N/A</v>
          </cell>
          <cell r="N595" t="e">
            <v>#N/A</v>
          </cell>
          <cell r="O595" t="e">
            <v>#N/A</v>
          </cell>
          <cell r="P595">
            <v>63.51</v>
          </cell>
          <cell r="Q595" t="str">
            <v/>
          </cell>
          <cell r="R595" t="e">
            <v>#N/A</v>
          </cell>
        </row>
        <row r="596">
          <cell r="A596">
            <v>40332</v>
          </cell>
          <cell r="B596">
            <v>40332</v>
          </cell>
          <cell r="C596" t="str">
            <v>Future</v>
          </cell>
          <cell r="D596" t="e">
            <v>#N/A</v>
          </cell>
          <cell r="E596">
            <v>54.008503937007937</v>
          </cell>
          <cell r="F596">
            <v>67.473070866141938</v>
          </cell>
          <cell r="G596">
            <v>61.488818897637778</v>
          </cell>
          <cell r="H596">
            <v>61.488818897637778</v>
          </cell>
          <cell r="I596" t="e">
            <v>#N/A</v>
          </cell>
          <cell r="J596" t="e">
            <v>#N/A</v>
          </cell>
          <cell r="K596" t="e">
            <v>#N/A</v>
          </cell>
          <cell r="L596" t="e">
            <v>#N/A</v>
          </cell>
          <cell r="M596" t="e">
            <v>#N/A</v>
          </cell>
          <cell r="N596" t="e">
            <v>#N/A</v>
          </cell>
          <cell r="O596" t="e">
            <v>#N/A</v>
          </cell>
          <cell r="P596">
            <v>63.51</v>
          </cell>
          <cell r="Q596" t="str">
            <v/>
          </cell>
          <cell r="R596" t="e">
            <v>#N/A</v>
          </cell>
        </row>
        <row r="597">
          <cell r="A597">
            <v>40333</v>
          </cell>
          <cell r="B597">
            <v>40333</v>
          </cell>
          <cell r="C597" t="str">
            <v>Future</v>
          </cell>
          <cell r="D597" t="e">
            <v>#N/A</v>
          </cell>
          <cell r="E597">
            <v>53.758464566929199</v>
          </cell>
          <cell r="F597">
            <v>67.577362204724622</v>
          </cell>
          <cell r="G597">
            <v>61.435629921259824</v>
          </cell>
          <cell r="H597">
            <v>61.435629921259824</v>
          </cell>
          <cell r="I597" t="e">
            <v>#N/A</v>
          </cell>
          <cell r="J597" t="e">
            <v>#N/A</v>
          </cell>
          <cell r="K597" t="e">
            <v>#N/A</v>
          </cell>
          <cell r="L597" t="e">
            <v>#N/A</v>
          </cell>
          <cell r="M597" t="e">
            <v>#N/A</v>
          </cell>
          <cell r="N597" t="e">
            <v>#N/A</v>
          </cell>
          <cell r="O597" t="e">
            <v>#N/A</v>
          </cell>
          <cell r="P597">
            <v>63.51</v>
          </cell>
          <cell r="Q597" t="str">
            <v/>
          </cell>
          <cell r="R597" t="e">
            <v>#N/A</v>
          </cell>
        </row>
        <row r="598">
          <cell r="A598">
            <v>40336</v>
          </cell>
          <cell r="B598">
            <v>40336</v>
          </cell>
          <cell r="C598" t="str">
            <v>Future</v>
          </cell>
          <cell r="D598" t="e">
            <v>#N/A</v>
          </cell>
          <cell r="E598">
            <v>53.50842519685046</v>
          </cell>
          <cell r="F598">
            <v>67.681653543307306</v>
          </cell>
          <cell r="G598">
            <v>61.382440944881871</v>
          </cell>
          <cell r="H598">
            <v>61.382440944881871</v>
          </cell>
          <cell r="I598" t="e">
            <v>#N/A</v>
          </cell>
          <cell r="J598" t="e">
            <v>#N/A</v>
          </cell>
          <cell r="K598" t="e">
            <v>#N/A</v>
          </cell>
          <cell r="L598" t="e">
            <v>#N/A</v>
          </cell>
          <cell r="M598" t="e">
            <v>#N/A</v>
          </cell>
          <cell r="N598" t="e">
            <v>#N/A</v>
          </cell>
          <cell r="O598" t="e">
            <v>#N/A</v>
          </cell>
          <cell r="P598">
            <v>63.51</v>
          </cell>
          <cell r="Q598" t="str">
            <v/>
          </cell>
          <cell r="R598" t="e">
            <v>#N/A</v>
          </cell>
        </row>
        <row r="599">
          <cell r="A599">
            <v>40337</v>
          </cell>
          <cell r="B599">
            <v>40337</v>
          </cell>
          <cell r="C599" t="str">
            <v>Future</v>
          </cell>
          <cell r="D599" t="e">
            <v>#N/A</v>
          </cell>
          <cell r="E599">
            <v>53.258385826771722</v>
          </cell>
          <cell r="F599">
            <v>67.785944881889989</v>
          </cell>
          <cell r="G599">
            <v>61.329251968503918</v>
          </cell>
          <cell r="H599">
            <v>61.329251968503918</v>
          </cell>
          <cell r="I599" t="e">
            <v>#N/A</v>
          </cell>
          <cell r="J599" t="e">
            <v>#N/A</v>
          </cell>
          <cell r="K599" t="e">
            <v>#N/A</v>
          </cell>
          <cell r="L599" t="e">
            <v>#N/A</v>
          </cell>
          <cell r="M599" t="e">
            <v>#N/A</v>
          </cell>
          <cell r="N599" t="e">
            <v>#N/A</v>
          </cell>
          <cell r="O599" t="e">
            <v>#N/A</v>
          </cell>
          <cell r="P599">
            <v>63.51</v>
          </cell>
          <cell r="Q599" t="str">
            <v/>
          </cell>
          <cell r="R599" t="e">
            <v>#N/A</v>
          </cell>
        </row>
        <row r="600">
          <cell r="A600">
            <v>40338</v>
          </cell>
          <cell r="B600">
            <v>40338</v>
          </cell>
          <cell r="C600" t="str">
            <v>Future</v>
          </cell>
          <cell r="D600" t="e">
            <v>#N/A</v>
          </cell>
          <cell r="E600">
            <v>53.008346456692983</v>
          </cell>
          <cell r="F600">
            <v>67.890236220472673</v>
          </cell>
          <cell r="G600">
            <v>61.276062992125965</v>
          </cell>
          <cell r="H600">
            <v>61.276062992125965</v>
          </cell>
          <cell r="I600" t="e">
            <v>#N/A</v>
          </cell>
          <cell r="J600" t="e">
            <v>#N/A</v>
          </cell>
          <cell r="K600" t="e">
            <v>#N/A</v>
          </cell>
          <cell r="L600" t="e">
            <v>#N/A</v>
          </cell>
          <cell r="M600" t="e">
            <v>#N/A</v>
          </cell>
          <cell r="N600" t="e">
            <v>#N/A</v>
          </cell>
          <cell r="O600" t="e">
            <v>#N/A</v>
          </cell>
          <cell r="P600">
            <v>63.51</v>
          </cell>
          <cell r="Q600" t="str">
            <v/>
          </cell>
          <cell r="R600" t="e">
            <v>#N/A</v>
          </cell>
        </row>
        <row r="601">
          <cell r="A601">
            <v>40339</v>
          </cell>
          <cell r="B601">
            <v>40339</v>
          </cell>
          <cell r="C601" t="str">
            <v>Future</v>
          </cell>
          <cell r="D601" t="e">
            <v>#N/A</v>
          </cell>
          <cell r="E601">
            <v>52.758307086614245</v>
          </cell>
          <cell r="F601">
            <v>67.994527559055356</v>
          </cell>
          <cell r="G601">
            <v>61.222874015748012</v>
          </cell>
          <cell r="H601">
            <v>61.222874015748012</v>
          </cell>
          <cell r="I601" t="e">
            <v>#N/A</v>
          </cell>
          <cell r="J601" t="e">
            <v>#N/A</v>
          </cell>
          <cell r="K601" t="e">
            <v>#N/A</v>
          </cell>
          <cell r="L601" t="e">
            <v>#N/A</v>
          </cell>
          <cell r="M601" t="e">
            <v>#N/A</v>
          </cell>
          <cell r="N601" t="e">
            <v>#N/A</v>
          </cell>
          <cell r="O601" t="e">
            <v>#N/A</v>
          </cell>
          <cell r="P601">
            <v>63.51</v>
          </cell>
          <cell r="Q601" t="str">
            <v/>
          </cell>
          <cell r="R601" t="e">
            <v>#N/A</v>
          </cell>
        </row>
        <row r="602">
          <cell r="A602">
            <v>40340</v>
          </cell>
          <cell r="B602">
            <v>40340</v>
          </cell>
          <cell r="C602" t="str">
            <v>Future</v>
          </cell>
          <cell r="D602" t="e">
            <v>#N/A</v>
          </cell>
          <cell r="E602">
            <v>52.508267716535507</v>
          </cell>
          <cell r="F602">
            <v>68.09881889763804</v>
          </cell>
          <cell r="G602">
            <v>61.169685039370059</v>
          </cell>
          <cell r="H602">
            <v>61.169685039370059</v>
          </cell>
          <cell r="I602" t="e">
            <v>#N/A</v>
          </cell>
          <cell r="J602" t="e">
            <v>#N/A</v>
          </cell>
          <cell r="K602" t="e">
            <v>#N/A</v>
          </cell>
          <cell r="L602" t="e">
            <v>#N/A</v>
          </cell>
          <cell r="M602" t="e">
            <v>#N/A</v>
          </cell>
          <cell r="N602" t="e">
            <v>#N/A</v>
          </cell>
          <cell r="O602" t="e">
            <v>#N/A</v>
          </cell>
          <cell r="P602">
            <v>63.51</v>
          </cell>
          <cell r="Q602" t="str">
            <v/>
          </cell>
          <cell r="R602" t="e">
            <v>#N/A</v>
          </cell>
        </row>
        <row r="603">
          <cell r="A603">
            <v>40343</v>
          </cell>
          <cell r="B603">
            <v>40343</v>
          </cell>
          <cell r="C603" t="str">
            <v>Future</v>
          </cell>
          <cell r="D603" t="e">
            <v>#N/A</v>
          </cell>
          <cell r="E603">
            <v>52.258228346456768</v>
          </cell>
          <cell r="F603">
            <v>68.203110236220724</v>
          </cell>
          <cell r="G603">
            <v>61.116496062992105</v>
          </cell>
          <cell r="H603">
            <v>61.116496062992105</v>
          </cell>
          <cell r="I603" t="e">
            <v>#N/A</v>
          </cell>
          <cell r="J603" t="e">
            <v>#N/A</v>
          </cell>
          <cell r="K603" t="e">
            <v>#N/A</v>
          </cell>
          <cell r="L603" t="e">
            <v>#N/A</v>
          </cell>
          <cell r="M603" t="e">
            <v>#N/A</v>
          </cell>
          <cell r="N603" t="e">
            <v>#N/A</v>
          </cell>
          <cell r="O603" t="e">
            <v>#N/A</v>
          </cell>
          <cell r="P603">
            <v>63.51</v>
          </cell>
          <cell r="Q603" t="str">
            <v/>
          </cell>
          <cell r="R603" t="e">
            <v>#N/A</v>
          </cell>
        </row>
        <row r="604">
          <cell r="A604">
            <v>40344</v>
          </cell>
          <cell r="B604">
            <v>40344</v>
          </cell>
          <cell r="C604" t="str">
            <v>Future</v>
          </cell>
          <cell r="D604" t="e">
            <v>#N/A</v>
          </cell>
          <cell r="E604">
            <v>52.00818897637803</v>
          </cell>
          <cell r="F604">
            <v>68.307401574803407</v>
          </cell>
          <cell r="G604">
            <v>61.063307086614152</v>
          </cell>
          <cell r="H604">
            <v>61.063307086614152</v>
          </cell>
          <cell r="I604" t="e">
            <v>#N/A</v>
          </cell>
          <cell r="J604" t="e">
            <v>#N/A</v>
          </cell>
          <cell r="K604" t="e">
            <v>#N/A</v>
          </cell>
          <cell r="L604" t="e">
            <v>#N/A</v>
          </cell>
          <cell r="M604" t="e">
            <v>#N/A</v>
          </cell>
          <cell r="N604" t="e">
            <v>#N/A</v>
          </cell>
          <cell r="O604" t="e">
            <v>#N/A</v>
          </cell>
          <cell r="P604">
            <v>63.51</v>
          </cell>
          <cell r="Q604" t="str">
            <v/>
          </cell>
          <cell r="R604" t="e">
            <v>#N/A</v>
          </cell>
        </row>
        <row r="605">
          <cell r="A605">
            <v>40345</v>
          </cell>
          <cell r="B605">
            <v>40345</v>
          </cell>
          <cell r="C605" t="str">
            <v>Future</v>
          </cell>
          <cell r="D605" t="e">
            <v>#N/A</v>
          </cell>
          <cell r="E605">
            <v>51.758149606299291</v>
          </cell>
          <cell r="F605">
            <v>68.411692913386091</v>
          </cell>
          <cell r="G605">
            <v>61.010118110236199</v>
          </cell>
          <cell r="H605">
            <v>61.010118110236199</v>
          </cell>
          <cell r="I605" t="e">
            <v>#N/A</v>
          </cell>
          <cell r="J605" t="e">
            <v>#N/A</v>
          </cell>
          <cell r="K605" t="e">
            <v>#N/A</v>
          </cell>
          <cell r="L605" t="e">
            <v>#N/A</v>
          </cell>
          <cell r="M605" t="e">
            <v>#N/A</v>
          </cell>
          <cell r="N605" t="e">
            <v>#N/A</v>
          </cell>
          <cell r="O605" t="e">
            <v>#N/A</v>
          </cell>
          <cell r="P605">
            <v>63.51</v>
          </cell>
          <cell r="Q605" t="str">
            <v/>
          </cell>
          <cell r="R605" t="e">
            <v>#N/A</v>
          </cell>
        </row>
        <row r="606">
          <cell r="A606">
            <v>40346</v>
          </cell>
          <cell r="B606">
            <v>40346</v>
          </cell>
          <cell r="C606" t="str">
            <v>Future</v>
          </cell>
          <cell r="D606" t="e">
            <v>#N/A</v>
          </cell>
          <cell r="E606">
            <v>51.508110236220553</v>
          </cell>
          <cell r="F606">
            <v>68.515984251968774</v>
          </cell>
          <cell r="G606">
            <v>60.956929133858246</v>
          </cell>
          <cell r="H606">
            <v>60.956929133858246</v>
          </cell>
          <cell r="I606" t="e">
            <v>#N/A</v>
          </cell>
          <cell r="J606" t="e">
            <v>#N/A</v>
          </cell>
          <cell r="K606" t="e">
            <v>#N/A</v>
          </cell>
          <cell r="L606" t="e">
            <v>#N/A</v>
          </cell>
          <cell r="M606" t="e">
            <v>#N/A</v>
          </cell>
          <cell r="N606" t="e">
            <v>#N/A</v>
          </cell>
          <cell r="O606" t="e">
            <v>#N/A</v>
          </cell>
          <cell r="P606">
            <v>63.51</v>
          </cell>
          <cell r="Q606" t="str">
            <v/>
          </cell>
          <cell r="R606" t="e">
            <v>#N/A</v>
          </cell>
        </row>
        <row r="607">
          <cell r="A607">
            <v>40347</v>
          </cell>
          <cell r="B607">
            <v>40347</v>
          </cell>
          <cell r="C607" t="str">
            <v>Future</v>
          </cell>
          <cell r="D607" t="e">
            <v>#N/A</v>
          </cell>
          <cell r="E607">
            <v>51.258070866141814</v>
          </cell>
          <cell r="F607">
            <v>68.620275590551458</v>
          </cell>
          <cell r="G607">
            <v>60.903740157480293</v>
          </cell>
          <cell r="H607">
            <v>60.903740157480293</v>
          </cell>
          <cell r="I607" t="e">
            <v>#N/A</v>
          </cell>
          <cell r="J607" t="e">
            <v>#N/A</v>
          </cell>
          <cell r="K607" t="e">
            <v>#N/A</v>
          </cell>
          <cell r="L607" t="e">
            <v>#N/A</v>
          </cell>
          <cell r="M607" t="e">
            <v>#N/A</v>
          </cell>
          <cell r="N607" t="e">
            <v>#N/A</v>
          </cell>
          <cell r="O607" t="e">
            <v>#N/A</v>
          </cell>
          <cell r="P607">
            <v>63.51</v>
          </cell>
          <cell r="Q607" t="str">
            <v/>
          </cell>
          <cell r="R607" t="e">
            <v>#N/A</v>
          </cell>
        </row>
        <row r="608">
          <cell r="A608">
            <v>40350</v>
          </cell>
          <cell r="B608">
            <v>40350</v>
          </cell>
          <cell r="C608" t="str">
            <v>Future</v>
          </cell>
          <cell r="D608" t="e">
            <v>#N/A</v>
          </cell>
          <cell r="E608">
            <v>51.008031496063076</v>
          </cell>
          <cell r="F608">
            <v>68.724566929134141</v>
          </cell>
          <cell r="G608">
            <v>60.85055118110234</v>
          </cell>
          <cell r="H608">
            <v>60.85055118110234</v>
          </cell>
          <cell r="I608" t="e">
            <v>#N/A</v>
          </cell>
          <cell r="J608" t="e">
            <v>#N/A</v>
          </cell>
          <cell r="K608" t="e">
            <v>#N/A</v>
          </cell>
          <cell r="L608" t="e">
            <v>#N/A</v>
          </cell>
          <cell r="M608" t="e">
            <v>#N/A</v>
          </cell>
          <cell r="N608" t="e">
            <v>#N/A</v>
          </cell>
          <cell r="O608" t="e">
            <v>#N/A</v>
          </cell>
          <cell r="P608">
            <v>63.51</v>
          </cell>
          <cell r="Q608" t="str">
            <v/>
          </cell>
          <cell r="R608" t="e">
            <v>#N/A</v>
          </cell>
        </row>
        <row r="609">
          <cell r="A609">
            <v>40351</v>
          </cell>
          <cell r="B609">
            <v>40351</v>
          </cell>
          <cell r="C609" t="str">
            <v>Future</v>
          </cell>
          <cell r="D609" t="e">
            <v>#N/A</v>
          </cell>
          <cell r="E609">
            <v>50.757992125984337</v>
          </cell>
          <cell r="F609">
            <v>68.828858267716825</v>
          </cell>
          <cell r="G609">
            <v>60.797362204724386</v>
          </cell>
          <cell r="H609">
            <v>60.797362204724386</v>
          </cell>
          <cell r="I609" t="e">
            <v>#N/A</v>
          </cell>
          <cell r="J609" t="e">
            <v>#N/A</v>
          </cell>
          <cell r="K609" t="e">
            <v>#N/A</v>
          </cell>
          <cell r="L609" t="e">
            <v>#N/A</v>
          </cell>
          <cell r="M609" t="e">
            <v>#N/A</v>
          </cell>
          <cell r="N609" t="e">
            <v>#N/A</v>
          </cell>
          <cell r="O609" t="e">
            <v>#N/A</v>
          </cell>
          <cell r="P609">
            <v>63.51</v>
          </cell>
          <cell r="Q609" t="str">
            <v/>
          </cell>
          <cell r="R609" t="e">
            <v>#N/A</v>
          </cell>
        </row>
        <row r="610">
          <cell r="A610">
            <v>40352</v>
          </cell>
          <cell r="B610">
            <v>40352</v>
          </cell>
          <cell r="C610" t="str">
            <v>Future</v>
          </cell>
          <cell r="D610" t="e">
            <v>#N/A</v>
          </cell>
          <cell r="E610">
            <v>50.507952755905599</v>
          </cell>
          <cell r="F610">
            <v>68.933149606299509</v>
          </cell>
          <cell r="G610">
            <v>60.744173228346433</v>
          </cell>
          <cell r="H610">
            <v>60.744173228346433</v>
          </cell>
          <cell r="I610" t="e">
            <v>#N/A</v>
          </cell>
          <cell r="J610" t="e">
            <v>#N/A</v>
          </cell>
          <cell r="K610" t="e">
            <v>#N/A</v>
          </cell>
          <cell r="L610" t="e">
            <v>#N/A</v>
          </cell>
          <cell r="M610" t="e">
            <v>#N/A</v>
          </cell>
          <cell r="N610" t="e">
            <v>#N/A</v>
          </cell>
          <cell r="O610" t="e">
            <v>#N/A</v>
          </cell>
          <cell r="P610">
            <v>63.51</v>
          </cell>
          <cell r="Q610" t="str">
            <v/>
          </cell>
          <cell r="R610" t="e">
            <v>#N/A</v>
          </cell>
        </row>
        <row r="611">
          <cell r="A611">
            <v>40353</v>
          </cell>
          <cell r="B611">
            <v>40353</v>
          </cell>
          <cell r="C611" t="str">
            <v>Future</v>
          </cell>
          <cell r="D611" t="e">
            <v>#N/A</v>
          </cell>
          <cell r="E611">
            <v>50.257913385826861</v>
          </cell>
          <cell r="F611">
            <v>69.037440944882192</v>
          </cell>
          <cell r="G611">
            <v>60.69098425196848</v>
          </cell>
          <cell r="H611">
            <v>60.69098425196848</v>
          </cell>
          <cell r="I611" t="e">
            <v>#N/A</v>
          </cell>
          <cell r="J611" t="e">
            <v>#N/A</v>
          </cell>
          <cell r="K611" t="e">
            <v>#N/A</v>
          </cell>
          <cell r="L611" t="e">
            <v>#N/A</v>
          </cell>
          <cell r="M611" t="e">
            <v>#N/A</v>
          </cell>
          <cell r="N611" t="e">
            <v>#N/A</v>
          </cell>
          <cell r="O611" t="e">
            <v>#N/A</v>
          </cell>
          <cell r="P611">
            <v>63.51</v>
          </cell>
          <cell r="Q611" t="str">
            <v/>
          </cell>
          <cell r="R611" t="e">
            <v>#N/A</v>
          </cell>
        </row>
        <row r="612">
          <cell r="A612">
            <v>40354</v>
          </cell>
          <cell r="B612">
            <v>40354</v>
          </cell>
          <cell r="C612" t="str">
            <v>Future</v>
          </cell>
          <cell r="D612" t="e">
            <v>#N/A</v>
          </cell>
          <cell r="E612">
            <v>50.007874015748122</v>
          </cell>
          <cell r="F612">
            <v>69.141732283464876</v>
          </cell>
          <cell r="G612">
            <v>60.637795275590527</v>
          </cell>
          <cell r="H612">
            <v>60.637795275590527</v>
          </cell>
          <cell r="I612" t="e">
            <v>#N/A</v>
          </cell>
          <cell r="J612" t="e">
            <v>#N/A</v>
          </cell>
          <cell r="K612" t="e">
            <v>#N/A</v>
          </cell>
          <cell r="L612" t="e">
            <v>#N/A</v>
          </cell>
          <cell r="M612" t="e">
            <v>#N/A</v>
          </cell>
          <cell r="N612" t="e">
            <v>#N/A</v>
          </cell>
          <cell r="O612" t="e">
            <v>#N/A</v>
          </cell>
          <cell r="P612">
            <v>63.51</v>
          </cell>
          <cell r="Q612" t="str">
            <v/>
          </cell>
          <cell r="R612" t="e">
            <v>#N/A</v>
          </cell>
        </row>
        <row r="613">
          <cell r="A613">
            <v>40357</v>
          </cell>
          <cell r="B613">
            <v>40357</v>
          </cell>
          <cell r="C613" t="str">
            <v>Future</v>
          </cell>
          <cell r="D613" t="e">
            <v>#N/A</v>
          </cell>
          <cell r="E613">
            <v>49.757834645669384</v>
          </cell>
          <cell r="F613">
            <v>69.246023622047559</v>
          </cell>
          <cell r="G613">
            <v>60.584606299212574</v>
          </cell>
          <cell r="H613">
            <v>60.584606299212574</v>
          </cell>
          <cell r="I613" t="e">
            <v>#N/A</v>
          </cell>
          <cell r="J613" t="e">
            <v>#N/A</v>
          </cell>
          <cell r="K613" t="e">
            <v>#N/A</v>
          </cell>
          <cell r="L613" t="e">
            <v>#N/A</v>
          </cell>
          <cell r="M613" t="e">
            <v>#N/A</v>
          </cell>
          <cell r="N613" t="e">
            <v>#N/A</v>
          </cell>
          <cell r="O613" t="e">
            <v>#N/A</v>
          </cell>
          <cell r="P613">
            <v>63.51</v>
          </cell>
          <cell r="Q613" t="str">
            <v/>
          </cell>
          <cell r="R613" t="e">
            <v>#N/A</v>
          </cell>
        </row>
        <row r="614">
          <cell r="A614">
            <v>40358</v>
          </cell>
          <cell r="B614">
            <v>40358</v>
          </cell>
          <cell r="C614" t="str">
            <v>Future</v>
          </cell>
          <cell r="D614" t="e">
            <v>#N/A</v>
          </cell>
          <cell r="E614">
            <v>49.507795275590645</v>
          </cell>
          <cell r="F614">
            <v>69.350314960630243</v>
          </cell>
          <cell r="G614">
            <v>60.531417322834621</v>
          </cell>
          <cell r="H614">
            <v>60.531417322834621</v>
          </cell>
          <cell r="I614" t="e">
            <v>#N/A</v>
          </cell>
          <cell r="J614" t="e">
            <v>#N/A</v>
          </cell>
          <cell r="K614" t="e">
            <v>#N/A</v>
          </cell>
          <cell r="L614" t="e">
            <v>#N/A</v>
          </cell>
          <cell r="M614" t="e">
            <v>#N/A</v>
          </cell>
          <cell r="N614" t="e">
            <v>#N/A</v>
          </cell>
          <cell r="O614" t="e">
            <v>#N/A</v>
          </cell>
          <cell r="P614">
            <v>63.51</v>
          </cell>
          <cell r="Q614" t="str">
            <v/>
          </cell>
          <cell r="R614" t="e">
            <v>#N/A</v>
          </cell>
        </row>
        <row r="615">
          <cell r="A615">
            <v>40359</v>
          </cell>
          <cell r="B615">
            <v>40359</v>
          </cell>
          <cell r="C615" t="str">
            <v>Future</v>
          </cell>
          <cell r="D615" t="e">
            <v>#N/A</v>
          </cell>
          <cell r="E615">
            <v>49.257755905511907</v>
          </cell>
          <cell r="F615">
            <v>69.454606299212927</v>
          </cell>
          <cell r="G615">
            <v>60.478228346456667</v>
          </cell>
          <cell r="H615">
            <v>60.478228346456667</v>
          </cell>
          <cell r="I615" t="e">
            <v>#N/A</v>
          </cell>
          <cell r="J615" t="e">
            <v>#N/A</v>
          </cell>
          <cell r="K615" t="e">
            <v>#N/A</v>
          </cell>
          <cell r="L615" t="e">
            <v>#N/A</v>
          </cell>
          <cell r="M615" t="e">
            <v>#N/A</v>
          </cell>
          <cell r="N615" t="e">
            <v>#N/A</v>
          </cell>
          <cell r="O615" t="e">
            <v>#N/A</v>
          </cell>
          <cell r="P615">
            <v>63.51</v>
          </cell>
          <cell r="Q615" t="str">
            <v/>
          </cell>
          <cell r="R615" t="e">
            <v>#N/A</v>
          </cell>
        </row>
        <row r="616">
          <cell r="A616">
            <v>40360</v>
          </cell>
          <cell r="B616">
            <v>40360</v>
          </cell>
          <cell r="C616" t="str">
            <v>Future</v>
          </cell>
          <cell r="D616" t="e">
            <v>#N/A</v>
          </cell>
          <cell r="E616">
            <v>49.007716535433168</v>
          </cell>
          <cell r="F616">
            <v>69.55889763779561</v>
          </cell>
          <cell r="G616">
            <v>60.425039370078714</v>
          </cell>
          <cell r="H616">
            <v>60.425039370078714</v>
          </cell>
          <cell r="I616" t="e">
            <v>#N/A</v>
          </cell>
          <cell r="J616" t="e">
            <v>#N/A</v>
          </cell>
          <cell r="K616" t="e">
            <v>#N/A</v>
          </cell>
          <cell r="L616" t="e">
            <v>#N/A</v>
          </cell>
          <cell r="M616" t="e">
            <v>#N/A</v>
          </cell>
          <cell r="N616" t="e">
            <v>#N/A</v>
          </cell>
          <cell r="O616" t="e">
            <v>#N/A</v>
          </cell>
          <cell r="P616">
            <v>63.51</v>
          </cell>
          <cell r="Q616" t="str">
            <v/>
          </cell>
          <cell r="R616" t="e">
            <v>#N/A</v>
          </cell>
        </row>
        <row r="617">
          <cell r="A617">
            <v>40361</v>
          </cell>
          <cell r="B617">
            <v>40361</v>
          </cell>
          <cell r="C617" t="str">
            <v>Future</v>
          </cell>
          <cell r="D617" t="e">
            <v>#N/A</v>
          </cell>
          <cell r="E617">
            <v>48.75767716535443</v>
          </cell>
          <cell r="F617">
            <v>69.663188976378294</v>
          </cell>
          <cell r="G617">
            <v>60.371850393700761</v>
          </cell>
          <cell r="H617">
            <v>60.371850393700761</v>
          </cell>
          <cell r="I617" t="e">
            <v>#N/A</v>
          </cell>
          <cell r="J617" t="e">
            <v>#N/A</v>
          </cell>
          <cell r="K617" t="e">
            <v>#N/A</v>
          </cell>
          <cell r="L617" t="e">
            <v>#N/A</v>
          </cell>
          <cell r="M617" t="e">
            <v>#N/A</v>
          </cell>
          <cell r="N617" t="e">
            <v>#N/A</v>
          </cell>
          <cell r="O617" t="e">
            <v>#N/A</v>
          </cell>
          <cell r="P617">
            <v>63.51</v>
          </cell>
          <cell r="Q617" t="str">
            <v/>
          </cell>
          <cell r="R617" t="e">
            <v>#N/A</v>
          </cell>
        </row>
        <row r="618">
          <cell r="A618">
            <v>40365</v>
          </cell>
          <cell r="B618">
            <v>40365</v>
          </cell>
          <cell r="C618" t="str">
            <v>Future</v>
          </cell>
          <cell r="D618" t="e">
            <v>#N/A</v>
          </cell>
          <cell r="E618">
            <v>48.507637795275691</v>
          </cell>
          <cell r="F618">
            <v>69.767480314960977</v>
          </cell>
          <cell r="G618">
            <v>60.318661417322808</v>
          </cell>
          <cell r="H618">
            <v>60.318661417322808</v>
          </cell>
          <cell r="I618" t="e">
            <v>#N/A</v>
          </cell>
          <cell r="J618" t="e">
            <v>#N/A</v>
          </cell>
          <cell r="K618" t="e">
            <v>#N/A</v>
          </cell>
          <cell r="L618" t="e">
            <v>#N/A</v>
          </cell>
          <cell r="M618" t="e">
            <v>#N/A</v>
          </cell>
          <cell r="N618" t="e">
            <v>#N/A</v>
          </cell>
          <cell r="O618" t="e">
            <v>#N/A</v>
          </cell>
          <cell r="P618">
            <v>63.51</v>
          </cell>
          <cell r="Q618" t="str">
            <v/>
          </cell>
          <cell r="R618" t="e">
            <v>#N/A</v>
          </cell>
        </row>
        <row r="619">
          <cell r="A619">
            <v>40366</v>
          </cell>
          <cell r="B619">
            <v>40366</v>
          </cell>
          <cell r="C619" t="str">
            <v>Future</v>
          </cell>
          <cell r="D619" t="e">
            <v>#N/A</v>
          </cell>
          <cell r="E619">
            <v>48.257598425196953</v>
          </cell>
          <cell r="F619">
            <v>69.871771653543661</v>
          </cell>
          <cell r="G619">
            <v>60.265472440944855</v>
          </cell>
          <cell r="H619">
            <v>60.265472440944855</v>
          </cell>
          <cell r="I619" t="e">
            <v>#N/A</v>
          </cell>
          <cell r="J619" t="e">
            <v>#N/A</v>
          </cell>
          <cell r="K619" t="e">
            <v>#N/A</v>
          </cell>
          <cell r="L619" t="e">
            <v>#N/A</v>
          </cell>
          <cell r="M619" t="e">
            <v>#N/A</v>
          </cell>
          <cell r="N619" t="e">
            <v>#N/A</v>
          </cell>
          <cell r="O619" t="e">
            <v>#N/A</v>
          </cell>
          <cell r="P619">
            <v>63.51</v>
          </cell>
          <cell r="Q619" t="str">
            <v/>
          </cell>
          <cell r="R619" t="e">
            <v>#N/A</v>
          </cell>
        </row>
        <row r="620">
          <cell r="A620">
            <v>40367</v>
          </cell>
          <cell r="B620">
            <v>40367</v>
          </cell>
          <cell r="C620" t="str">
            <v>Future</v>
          </cell>
          <cell r="D620" t="e">
            <v>#N/A</v>
          </cell>
          <cell r="E620">
            <v>48.007559055118215</v>
          </cell>
          <cell r="F620">
            <v>69.976062992126344</v>
          </cell>
          <cell r="G620">
            <v>60.212283464566902</v>
          </cell>
          <cell r="H620">
            <v>60.212283464566902</v>
          </cell>
          <cell r="I620" t="e">
            <v>#N/A</v>
          </cell>
          <cell r="J620" t="e">
            <v>#N/A</v>
          </cell>
          <cell r="K620" t="e">
            <v>#N/A</v>
          </cell>
          <cell r="L620" t="e">
            <v>#N/A</v>
          </cell>
          <cell r="M620" t="e">
            <v>#N/A</v>
          </cell>
          <cell r="N620" t="e">
            <v>#N/A</v>
          </cell>
          <cell r="O620" t="e">
            <v>#N/A</v>
          </cell>
          <cell r="P620">
            <v>63.51</v>
          </cell>
          <cell r="Q620" t="str">
            <v/>
          </cell>
          <cell r="R620" t="e">
            <v>#N/A</v>
          </cell>
        </row>
        <row r="621">
          <cell r="A621">
            <v>40368</v>
          </cell>
          <cell r="B621">
            <v>40368</v>
          </cell>
          <cell r="C621" t="str">
            <v>Future</v>
          </cell>
          <cell r="D621" t="e">
            <v>#N/A</v>
          </cell>
          <cell r="E621">
            <v>47.757519685039476</v>
          </cell>
          <cell r="F621">
            <v>70.080354330709028</v>
          </cell>
          <cell r="G621">
            <v>60.159094488188948</v>
          </cell>
          <cell r="H621">
            <v>60.159094488188948</v>
          </cell>
          <cell r="I621" t="e">
            <v>#N/A</v>
          </cell>
          <cell r="J621" t="e">
            <v>#N/A</v>
          </cell>
          <cell r="K621" t="e">
            <v>#N/A</v>
          </cell>
          <cell r="L621" t="e">
            <v>#N/A</v>
          </cell>
          <cell r="M621" t="e">
            <v>#N/A</v>
          </cell>
          <cell r="N621" t="e">
            <v>#N/A</v>
          </cell>
          <cell r="O621" t="e">
            <v>#N/A</v>
          </cell>
          <cell r="P621">
            <v>63.51</v>
          </cell>
          <cell r="Q621" t="str">
            <v/>
          </cell>
          <cell r="R621" t="e">
            <v>#N/A</v>
          </cell>
        </row>
        <row r="622">
          <cell r="A622">
            <v>40371</v>
          </cell>
          <cell r="B622">
            <v>40371</v>
          </cell>
          <cell r="C622" t="str">
            <v>Future</v>
          </cell>
          <cell r="D622" t="e">
            <v>#N/A</v>
          </cell>
          <cell r="E622">
            <v>47.507480314960738</v>
          </cell>
          <cell r="F622">
            <v>70.184645669291712</v>
          </cell>
          <cell r="G622">
            <v>60.105905511810995</v>
          </cell>
          <cell r="H622">
            <v>60.105905511810995</v>
          </cell>
          <cell r="I622" t="e">
            <v>#N/A</v>
          </cell>
          <cell r="J622" t="e">
            <v>#N/A</v>
          </cell>
          <cell r="K622" t="e">
            <v>#N/A</v>
          </cell>
          <cell r="L622" t="e">
            <v>#N/A</v>
          </cell>
          <cell r="M622" t="e">
            <v>#N/A</v>
          </cell>
          <cell r="N622" t="e">
            <v>#N/A</v>
          </cell>
          <cell r="O622" t="e">
            <v>#N/A</v>
          </cell>
          <cell r="P622">
            <v>63.51</v>
          </cell>
          <cell r="Q622" t="str">
            <v/>
          </cell>
          <cell r="R622" t="e">
            <v>#N/A</v>
          </cell>
        </row>
        <row r="623">
          <cell r="A623">
            <v>40372</v>
          </cell>
          <cell r="B623">
            <v>40372</v>
          </cell>
          <cell r="C623" t="str">
            <v>Future</v>
          </cell>
          <cell r="D623" t="e">
            <v>#N/A</v>
          </cell>
          <cell r="E623">
            <v>47.257440944881999</v>
          </cell>
          <cell r="F623">
            <v>70.288937007874395</v>
          </cell>
          <cell r="G623">
            <v>60.052716535433042</v>
          </cell>
          <cell r="H623">
            <v>60.052716535433042</v>
          </cell>
          <cell r="I623" t="e">
            <v>#N/A</v>
          </cell>
          <cell r="J623" t="e">
            <v>#N/A</v>
          </cell>
          <cell r="K623" t="e">
            <v>#N/A</v>
          </cell>
          <cell r="L623" t="e">
            <v>#N/A</v>
          </cell>
          <cell r="M623" t="e">
            <v>#N/A</v>
          </cell>
          <cell r="N623" t="e">
            <v>#N/A</v>
          </cell>
          <cell r="O623" t="e">
            <v>#N/A</v>
          </cell>
          <cell r="P623">
            <v>63.51</v>
          </cell>
          <cell r="Q623" t="str">
            <v/>
          </cell>
          <cell r="R623" t="e">
            <v>#N/A</v>
          </cell>
        </row>
        <row r="624">
          <cell r="A624">
            <v>40373</v>
          </cell>
          <cell r="B624">
            <v>40373</v>
          </cell>
          <cell r="C624" t="str">
            <v>Future</v>
          </cell>
          <cell r="D624" t="e">
            <v>#N/A</v>
          </cell>
          <cell r="E624">
            <v>47.007401574803261</v>
          </cell>
          <cell r="F624">
            <v>70.393228346457079</v>
          </cell>
          <cell r="G624">
            <v>59.999527559055089</v>
          </cell>
          <cell r="H624">
            <v>59.999527559055089</v>
          </cell>
          <cell r="I624" t="e">
            <v>#N/A</v>
          </cell>
          <cell r="J624" t="e">
            <v>#N/A</v>
          </cell>
          <cell r="K624" t="e">
            <v>#N/A</v>
          </cell>
          <cell r="L624" t="e">
            <v>#N/A</v>
          </cell>
          <cell r="M624" t="e">
            <v>#N/A</v>
          </cell>
          <cell r="N624" t="e">
            <v>#N/A</v>
          </cell>
          <cell r="O624" t="e">
            <v>#N/A</v>
          </cell>
          <cell r="P624">
            <v>63.51</v>
          </cell>
          <cell r="Q624" t="str">
            <v/>
          </cell>
          <cell r="R624" t="e">
            <v>#N/A</v>
          </cell>
        </row>
        <row r="625">
          <cell r="A625">
            <v>40374</v>
          </cell>
          <cell r="B625">
            <v>40374</v>
          </cell>
          <cell r="C625" t="str">
            <v>Future</v>
          </cell>
          <cell r="D625" t="e">
            <v>#N/A</v>
          </cell>
          <cell r="E625">
            <v>46.757362204724522</v>
          </cell>
          <cell r="F625">
            <v>70.497519685039762</v>
          </cell>
          <cell r="G625">
            <v>59.946338582677136</v>
          </cell>
          <cell r="H625">
            <v>59.946338582677136</v>
          </cell>
          <cell r="I625" t="e">
            <v>#N/A</v>
          </cell>
          <cell r="J625" t="e">
            <v>#N/A</v>
          </cell>
          <cell r="K625" t="e">
            <v>#N/A</v>
          </cell>
          <cell r="L625" t="e">
            <v>#N/A</v>
          </cell>
          <cell r="M625" t="e">
            <v>#N/A</v>
          </cell>
          <cell r="N625" t="e">
            <v>#N/A</v>
          </cell>
          <cell r="O625" t="e">
            <v>#N/A</v>
          </cell>
          <cell r="P625">
            <v>63.51</v>
          </cell>
          <cell r="Q625" t="str">
            <v/>
          </cell>
          <cell r="R625" t="e">
            <v>#N/A</v>
          </cell>
        </row>
        <row r="626">
          <cell r="A626">
            <v>40375</v>
          </cell>
          <cell r="B626">
            <v>40375</v>
          </cell>
          <cell r="C626" t="str">
            <v>Future</v>
          </cell>
          <cell r="D626" t="e">
            <v>#N/A</v>
          </cell>
          <cell r="E626">
            <v>46.507322834645784</v>
          </cell>
          <cell r="F626">
            <v>70.601811023622446</v>
          </cell>
          <cell r="G626">
            <v>59.893149606299183</v>
          </cell>
          <cell r="H626">
            <v>59.893149606299183</v>
          </cell>
          <cell r="I626" t="e">
            <v>#N/A</v>
          </cell>
          <cell r="J626" t="e">
            <v>#N/A</v>
          </cell>
          <cell r="K626" t="e">
            <v>#N/A</v>
          </cell>
          <cell r="L626" t="e">
            <v>#N/A</v>
          </cell>
          <cell r="M626" t="e">
            <v>#N/A</v>
          </cell>
          <cell r="N626" t="e">
            <v>#N/A</v>
          </cell>
          <cell r="O626" t="e">
            <v>#N/A</v>
          </cell>
          <cell r="P626">
            <v>63.51</v>
          </cell>
          <cell r="Q626" t="str">
            <v/>
          </cell>
          <cell r="R626" t="e">
            <v>#N/A</v>
          </cell>
        </row>
        <row r="627">
          <cell r="A627">
            <v>40378</v>
          </cell>
          <cell r="B627">
            <v>40378</v>
          </cell>
          <cell r="C627" t="str">
            <v>Future</v>
          </cell>
          <cell r="D627" t="e">
            <v>#N/A</v>
          </cell>
          <cell r="E627">
            <v>46.257283464567045</v>
          </cell>
          <cell r="F627">
            <v>70.706102362205129</v>
          </cell>
          <cell r="G627">
            <v>59.839960629921229</v>
          </cell>
          <cell r="H627">
            <v>59.839960629921229</v>
          </cell>
          <cell r="I627" t="e">
            <v>#N/A</v>
          </cell>
          <cell r="J627" t="e">
            <v>#N/A</v>
          </cell>
          <cell r="K627" t="e">
            <v>#N/A</v>
          </cell>
          <cell r="L627" t="e">
            <v>#N/A</v>
          </cell>
          <cell r="M627" t="e">
            <v>#N/A</v>
          </cell>
          <cell r="N627" t="e">
            <v>#N/A</v>
          </cell>
          <cell r="O627" t="e">
            <v>#N/A</v>
          </cell>
          <cell r="P627">
            <v>63.51</v>
          </cell>
          <cell r="Q627" t="str">
            <v/>
          </cell>
          <cell r="R627" t="e">
            <v>#N/A</v>
          </cell>
        </row>
        <row r="628">
          <cell r="A628">
            <v>40379</v>
          </cell>
          <cell r="B628">
            <v>40379</v>
          </cell>
          <cell r="C628" t="str">
            <v>Future</v>
          </cell>
          <cell r="D628" t="e">
            <v>#N/A</v>
          </cell>
          <cell r="E628">
            <v>46.007244094488307</v>
          </cell>
          <cell r="F628">
            <v>70.810393700787813</v>
          </cell>
          <cell r="G628">
            <v>59.786771653543276</v>
          </cell>
          <cell r="H628">
            <v>59.786771653543276</v>
          </cell>
          <cell r="I628" t="e">
            <v>#N/A</v>
          </cell>
          <cell r="J628" t="e">
            <v>#N/A</v>
          </cell>
          <cell r="K628" t="e">
            <v>#N/A</v>
          </cell>
          <cell r="L628" t="e">
            <v>#N/A</v>
          </cell>
          <cell r="M628" t="e">
            <v>#N/A</v>
          </cell>
          <cell r="N628" t="e">
            <v>#N/A</v>
          </cell>
          <cell r="O628" t="e">
            <v>#N/A</v>
          </cell>
          <cell r="P628">
            <v>63.51</v>
          </cell>
          <cell r="Q628" t="str">
            <v/>
          </cell>
          <cell r="R628" t="e">
            <v>#N/A</v>
          </cell>
        </row>
        <row r="629">
          <cell r="A629">
            <v>40380</v>
          </cell>
          <cell r="B629">
            <v>40380</v>
          </cell>
          <cell r="C629" t="str">
            <v>Future</v>
          </cell>
          <cell r="D629" t="e">
            <v>#N/A</v>
          </cell>
          <cell r="E629">
            <v>45.757204724409569</v>
          </cell>
          <cell r="F629">
            <v>70.914685039370497</v>
          </cell>
          <cell r="G629">
            <v>59.733582677165323</v>
          </cell>
          <cell r="H629">
            <v>59.733582677165323</v>
          </cell>
          <cell r="I629" t="e">
            <v>#N/A</v>
          </cell>
          <cell r="J629" t="e">
            <v>#N/A</v>
          </cell>
          <cell r="K629" t="e">
            <v>#N/A</v>
          </cell>
          <cell r="L629" t="e">
            <v>#N/A</v>
          </cell>
          <cell r="M629" t="e">
            <v>#N/A</v>
          </cell>
          <cell r="N629" t="e">
            <v>#N/A</v>
          </cell>
          <cell r="O629" t="e">
            <v>#N/A</v>
          </cell>
          <cell r="P629">
            <v>63.51</v>
          </cell>
          <cell r="Q629" t="str">
            <v/>
          </cell>
          <cell r="R629" t="e">
            <v>#N/A</v>
          </cell>
        </row>
        <row r="630">
          <cell r="A630">
            <v>40381</v>
          </cell>
          <cell r="B630">
            <v>40381</v>
          </cell>
          <cell r="C630" t="str">
            <v>Future</v>
          </cell>
          <cell r="D630" t="e">
            <v>#N/A</v>
          </cell>
          <cell r="E630">
            <v>45.50716535433083</v>
          </cell>
          <cell r="F630">
            <v>71.01897637795318</v>
          </cell>
          <cell r="G630">
            <v>59.68039370078737</v>
          </cell>
          <cell r="H630">
            <v>59.68039370078737</v>
          </cell>
          <cell r="I630" t="e">
            <v>#N/A</v>
          </cell>
          <cell r="J630" t="e">
            <v>#N/A</v>
          </cell>
          <cell r="K630" t="e">
            <v>#N/A</v>
          </cell>
          <cell r="L630" t="e">
            <v>#N/A</v>
          </cell>
          <cell r="M630" t="e">
            <v>#N/A</v>
          </cell>
          <cell r="N630" t="e">
            <v>#N/A</v>
          </cell>
          <cell r="O630" t="e">
            <v>#N/A</v>
          </cell>
          <cell r="P630">
            <v>63.51</v>
          </cell>
          <cell r="Q630" t="str">
            <v/>
          </cell>
          <cell r="R630" t="e">
            <v>#N/A</v>
          </cell>
        </row>
        <row r="631">
          <cell r="A631">
            <v>40382</v>
          </cell>
          <cell r="B631">
            <v>40382</v>
          </cell>
          <cell r="C631" t="str">
            <v>Future</v>
          </cell>
          <cell r="D631" t="e">
            <v>#N/A</v>
          </cell>
          <cell r="E631">
            <v>45.257125984252092</v>
          </cell>
          <cell r="F631">
            <v>71.123267716535864</v>
          </cell>
          <cell r="G631">
            <v>59.627204724409417</v>
          </cell>
          <cell r="H631">
            <v>59.627204724409417</v>
          </cell>
          <cell r="I631" t="e">
            <v>#N/A</v>
          </cell>
          <cell r="J631" t="e">
            <v>#N/A</v>
          </cell>
          <cell r="K631" t="e">
            <v>#N/A</v>
          </cell>
          <cell r="L631" t="e">
            <v>#N/A</v>
          </cell>
          <cell r="M631" t="e">
            <v>#N/A</v>
          </cell>
          <cell r="N631" t="e">
            <v>#N/A</v>
          </cell>
          <cell r="O631" t="e">
            <v>#N/A</v>
          </cell>
          <cell r="P631">
            <v>63.51</v>
          </cell>
          <cell r="Q631" t="str">
            <v/>
          </cell>
          <cell r="R631" t="e">
            <v>#N/A</v>
          </cell>
        </row>
        <row r="632">
          <cell r="A632">
            <v>40385</v>
          </cell>
          <cell r="B632">
            <v>40385</v>
          </cell>
          <cell r="C632" t="str">
            <v>Future</v>
          </cell>
          <cell r="D632" t="e">
            <v>#N/A</v>
          </cell>
          <cell r="E632">
            <v>45.007086614173353</v>
          </cell>
          <cell r="F632">
            <v>71.227559055118547</v>
          </cell>
          <cell r="G632">
            <v>59.574015748031464</v>
          </cell>
          <cell r="H632">
            <v>59.574015748031464</v>
          </cell>
          <cell r="I632" t="e">
            <v>#N/A</v>
          </cell>
          <cell r="J632" t="e">
            <v>#N/A</v>
          </cell>
          <cell r="K632" t="e">
            <v>#N/A</v>
          </cell>
          <cell r="L632" t="e">
            <v>#N/A</v>
          </cell>
          <cell r="M632" t="e">
            <v>#N/A</v>
          </cell>
          <cell r="N632" t="e">
            <v>#N/A</v>
          </cell>
          <cell r="O632" t="e">
            <v>#N/A</v>
          </cell>
          <cell r="P632">
            <v>63.51</v>
          </cell>
          <cell r="Q632" t="str">
            <v/>
          </cell>
          <cell r="R632" t="e">
            <v>#N/A</v>
          </cell>
        </row>
        <row r="633">
          <cell r="A633">
            <v>40386</v>
          </cell>
          <cell r="B633">
            <v>40386</v>
          </cell>
          <cell r="C633" t="str">
            <v>Future</v>
          </cell>
          <cell r="D633" t="e">
            <v>#N/A</v>
          </cell>
          <cell r="E633">
            <v>44.757047244094615</v>
          </cell>
          <cell r="F633">
            <v>71.331850393701231</v>
          </cell>
          <cell r="G633">
            <v>59.52082677165351</v>
          </cell>
          <cell r="H633">
            <v>59.52082677165351</v>
          </cell>
          <cell r="I633" t="e">
            <v>#N/A</v>
          </cell>
          <cell r="J633" t="e">
            <v>#N/A</v>
          </cell>
          <cell r="K633" t="e">
            <v>#N/A</v>
          </cell>
          <cell r="L633" t="e">
            <v>#N/A</v>
          </cell>
          <cell r="M633" t="e">
            <v>#N/A</v>
          </cell>
          <cell r="N633" t="e">
            <v>#N/A</v>
          </cell>
          <cell r="O633" t="e">
            <v>#N/A</v>
          </cell>
          <cell r="P633">
            <v>63.51</v>
          </cell>
          <cell r="Q633" t="str">
            <v/>
          </cell>
          <cell r="R633" t="e">
            <v>#N/A</v>
          </cell>
        </row>
        <row r="634">
          <cell r="A634">
            <v>40387</v>
          </cell>
          <cell r="B634">
            <v>40387</v>
          </cell>
          <cell r="C634" t="str">
            <v>Future</v>
          </cell>
          <cell r="D634" t="e">
            <v>#N/A</v>
          </cell>
          <cell r="E634">
            <v>44.507007874015876</v>
          </cell>
          <cell r="F634">
            <v>71.436141732283915</v>
          </cell>
          <cell r="G634">
            <v>59.467637795275557</v>
          </cell>
          <cell r="H634">
            <v>59.467637795275557</v>
          </cell>
          <cell r="I634" t="e">
            <v>#N/A</v>
          </cell>
          <cell r="J634" t="e">
            <v>#N/A</v>
          </cell>
          <cell r="K634" t="e">
            <v>#N/A</v>
          </cell>
          <cell r="L634" t="e">
            <v>#N/A</v>
          </cell>
          <cell r="M634" t="e">
            <v>#N/A</v>
          </cell>
          <cell r="N634" t="e">
            <v>#N/A</v>
          </cell>
          <cell r="O634" t="e">
            <v>#N/A</v>
          </cell>
          <cell r="P634">
            <v>63.51</v>
          </cell>
          <cell r="Q634" t="str">
            <v/>
          </cell>
          <cell r="R634" t="e">
            <v>#N/A</v>
          </cell>
        </row>
        <row r="635">
          <cell r="A635">
            <v>40388</v>
          </cell>
          <cell r="B635">
            <v>40388</v>
          </cell>
          <cell r="C635" t="str">
            <v>Future</v>
          </cell>
          <cell r="D635" t="e">
            <v>#N/A</v>
          </cell>
          <cell r="E635">
            <v>44.256968503937138</v>
          </cell>
          <cell r="F635">
            <v>71.540433070866598</v>
          </cell>
          <cell r="G635">
            <v>59.414448818897604</v>
          </cell>
          <cell r="H635">
            <v>59.414448818897604</v>
          </cell>
          <cell r="I635" t="e">
            <v>#N/A</v>
          </cell>
          <cell r="J635" t="e">
            <v>#N/A</v>
          </cell>
          <cell r="K635" t="e">
            <v>#N/A</v>
          </cell>
          <cell r="L635" t="e">
            <v>#N/A</v>
          </cell>
          <cell r="M635" t="e">
            <v>#N/A</v>
          </cell>
          <cell r="N635" t="e">
            <v>#N/A</v>
          </cell>
          <cell r="O635" t="e">
            <v>#N/A</v>
          </cell>
          <cell r="P635">
            <v>63.51</v>
          </cell>
          <cell r="Q635" t="str">
            <v/>
          </cell>
          <cell r="R635" t="e">
            <v>#N/A</v>
          </cell>
        </row>
        <row r="636">
          <cell r="A636">
            <v>40389</v>
          </cell>
          <cell r="B636">
            <v>40389</v>
          </cell>
          <cell r="C636" t="str">
            <v>Future</v>
          </cell>
          <cell r="D636" t="e">
            <v>#N/A</v>
          </cell>
          <cell r="E636">
            <v>44.006929133858399</v>
          </cell>
          <cell r="F636">
            <v>71.644724409449282</v>
          </cell>
          <cell r="G636">
            <v>59.361259842519651</v>
          </cell>
          <cell r="H636">
            <v>59.361259842519651</v>
          </cell>
          <cell r="I636" t="e">
            <v>#N/A</v>
          </cell>
          <cell r="J636" t="e">
            <v>#N/A</v>
          </cell>
          <cell r="K636" t="e">
            <v>#N/A</v>
          </cell>
          <cell r="L636" t="e">
            <v>#N/A</v>
          </cell>
          <cell r="M636" t="e">
            <v>#N/A</v>
          </cell>
          <cell r="N636" t="e">
            <v>#N/A</v>
          </cell>
          <cell r="O636" t="e">
            <v>#N/A</v>
          </cell>
          <cell r="P636">
            <v>63.51</v>
          </cell>
          <cell r="Q636" t="str">
            <v/>
          </cell>
          <cell r="R636" t="e">
            <v>#N/A</v>
          </cell>
        </row>
        <row r="637">
          <cell r="A637">
            <v>40392</v>
          </cell>
          <cell r="B637">
            <v>40392</v>
          </cell>
          <cell r="C637" t="str">
            <v>Future</v>
          </cell>
          <cell r="D637" t="e">
            <v>#N/A</v>
          </cell>
          <cell r="E637">
            <v>43.756889763779661</v>
          </cell>
          <cell r="F637">
            <v>71.749015748031965</v>
          </cell>
          <cell r="G637">
            <v>59.308070866141698</v>
          </cell>
          <cell r="H637">
            <v>59.308070866141698</v>
          </cell>
          <cell r="I637" t="e">
            <v>#N/A</v>
          </cell>
          <cell r="J637" t="e">
            <v>#N/A</v>
          </cell>
          <cell r="K637" t="e">
            <v>#N/A</v>
          </cell>
          <cell r="L637" t="e">
            <v>#N/A</v>
          </cell>
          <cell r="M637" t="e">
            <v>#N/A</v>
          </cell>
          <cell r="N637" t="e">
            <v>#N/A</v>
          </cell>
          <cell r="O637" t="e">
            <v>#N/A</v>
          </cell>
          <cell r="P637">
            <v>63.51</v>
          </cell>
          <cell r="Q637" t="str">
            <v/>
          </cell>
          <cell r="R637" t="e">
            <v>#N/A</v>
          </cell>
        </row>
        <row r="638">
          <cell r="A638">
            <v>40393</v>
          </cell>
          <cell r="B638">
            <v>40393</v>
          </cell>
          <cell r="C638" t="str">
            <v>Future</v>
          </cell>
          <cell r="D638" t="e">
            <v>#N/A</v>
          </cell>
          <cell r="E638">
            <v>43.506850393700923</v>
          </cell>
          <cell r="F638">
            <v>71.853307086614649</v>
          </cell>
          <cell r="G638">
            <v>59.254881889763745</v>
          </cell>
          <cell r="H638">
            <v>59.254881889763745</v>
          </cell>
          <cell r="I638" t="e">
            <v>#N/A</v>
          </cell>
          <cell r="J638" t="e">
            <v>#N/A</v>
          </cell>
          <cell r="K638" t="e">
            <v>#N/A</v>
          </cell>
          <cell r="L638" t="e">
            <v>#N/A</v>
          </cell>
          <cell r="M638" t="e">
            <v>#N/A</v>
          </cell>
          <cell r="N638" t="e">
            <v>#N/A</v>
          </cell>
          <cell r="O638" t="e">
            <v>#N/A</v>
          </cell>
          <cell r="P638">
            <v>63.51</v>
          </cell>
          <cell r="Q638" t="str">
            <v/>
          </cell>
          <cell r="R638" t="e">
            <v>#N/A</v>
          </cell>
        </row>
        <row r="639">
          <cell r="A639">
            <v>40394</v>
          </cell>
          <cell r="B639">
            <v>40394</v>
          </cell>
          <cell r="C639" t="str">
            <v>Future</v>
          </cell>
          <cell r="D639" t="e">
            <v>#N/A</v>
          </cell>
          <cell r="E639">
            <v>43.256811023622184</v>
          </cell>
          <cell r="F639">
            <v>71.957598425197332</v>
          </cell>
          <cell r="G639">
            <v>59.201692913385791</v>
          </cell>
          <cell r="H639">
            <v>59.201692913385791</v>
          </cell>
          <cell r="I639" t="e">
            <v>#N/A</v>
          </cell>
          <cell r="J639" t="e">
            <v>#N/A</v>
          </cell>
          <cell r="K639" t="e">
            <v>#N/A</v>
          </cell>
          <cell r="L639" t="e">
            <v>#N/A</v>
          </cell>
          <cell r="M639" t="e">
            <v>#N/A</v>
          </cell>
          <cell r="N639" t="e">
            <v>#N/A</v>
          </cell>
          <cell r="O639" t="e">
            <v>#N/A</v>
          </cell>
          <cell r="P639">
            <v>63.51</v>
          </cell>
          <cell r="Q639" t="str">
            <v/>
          </cell>
          <cell r="R639" t="e">
            <v>#N/A</v>
          </cell>
        </row>
        <row r="640">
          <cell r="A640">
            <v>40395</v>
          </cell>
          <cell r="B640">
            <v>40395</v>
          </cell>
          <cell r="C640" t="str">
            <v>Future</v>
          </cell>
          <cell r="D640" t="e">
            <v>#N/A</v>
          </cell>
          <cell r="E640">
            <v>43.006771653543446</v>
          </cell>
          <cell r="F640">
            <v>72.061889763780016</v>
          </cell>
          <cell r="G640">
            <v>59.148503937007838</v>
          </cell>
          <cell r="H640">
            <v>59.148503937007838</v>
          </cell>
          <cell r="I640" t="e">
            <v>#N/A</v>
          </cell>
          <cell r="J640" t="e">
            <v>#N/A</v>
          </cell>
          <cell r="K640" t="e">
            <v>#N/A</v>
          </cell>
          <cell r="L640" t="e">
            <v>#N/A</v>
          </cell>
          <cell r="M640" t="e">
            <v>#N/A</v>
          </cell>
          <cell r="N640" t="e">
            <v>#N/A</v>
          </cell>
          <cell r="O640" t="e">
            <v>#N/A</v>
          </cell>
          <cell r="P640">
            <v>63.51</v>
          </cell>
          <cell r="Q640" t="str">
            <v/>
          </cell>
          <cell r="R640" t="e">
            <v>#N/A</v>
          </cell>
        </row>
        <row r="641">
          <cell r="A641">
            <v>40396</v>
          </cell>
          <cell r="B641">
            <v>40396</v>
          </cell>
          <cell r="C641" t="str">
            <v>Future</v>
          </cell>
          <cell r="D641" t="e">
            <v>#N/A</v>
          </cell>
          <cell r="E641">
            <v>42.756732283464707</v>
          </cell>
          <cell r="F641">
            <v>72.1661811023627</v>
          </cell>
          <cell r="G641">
            <v>59.095314960629885</v>
          </cell>
          <cell r="H641">
            <v>59.095314960629885</v>
          </cell>
          <cell r="I641" t="e">
            <v>#N/A</v>
          </cell>
          <cell r="J641" t="e">
            <v>#N/A</v>
          </cell>
          <cell r="K641" t="e">
            <v>#N/A</v>
          </cell>
          <cell r="L641" t="e">
            <v>#N/A</v>
          </cell>
          <cell r="M641" t="e">
            <v>#N/A</v>
          </cell>
          <cell r="N641" t="e">
            <v>#N/A</v>
          </cell>
          <cell r="O641" t="e">
            <v>#N/A</v>
          </cell>
          <cell r="P641">
            <v>63.51</v>
          </cell>
          <cell r="Q641" t="str">
            <v/>
          </cell>
          <cell r="R641" t="e">
            <v>#N/A</v>
          </cell>
        </row>
        <row r="642">
          <cell r="A642">
            <v>40399</v>
          </cell>
          <cell r="B642">
            <v>40399</v>
          </cell>
          <cell r="C642" t="str">
            <v>Future</v>
          </cell>
          <cell r="D642" t="e">
            <v>#N/A</v>
          </cell>
          <cell r="E642">
            <v>42.506692913385969</v>
          </cell>
          <cell r="F642">
            <v>72.270472440945383</v>
          </cell>
          <cell r="G642">
            <v>59.042125984251932</v>
          </cell>
          <cell r="H642">
            <v>59.042125984251932</v>
          </cell>
          <cell r="I642" t="e">
            <v>#N/A</v>
          </cell>
          <cell r="J642" t="e">
            <v>#N/A</v>
          </cell>
          <cell r="K642" t="e">
            <v>#N/A</v>
          </cell>
          <cell r="L642" t="e">
            <v>#N/A</v>
          </cell>
          <cell r="M642" t="e">
            <v>#N/A</v>
          </cell>
          <cell r="N642" t="e">
            <v>#N/A</v>
          </cell>
          <cell r="O642" t="e">
            <v>#N/A</v>
          </cell>
          <cell r="P642">
            <v>63.51</v>
          </cell>
          <cell r="Q642" t="str">
            <v/>
          </cell>
          <cell r="R642" t="e">
            <v>#N/A</v>
          </cell>
        </row>
        <row r="643">
          <cell r="A643">
            <v>40400</v>
          </cell>
          <cell r="B643">
            <v>40400</v>
          </cell>
          <cell r="C643" t="str">
            <v>Future</v>
          </cell>
          <cell r="D643" t="e">
            <v>#N/A</v>
          </cell>
          <cell r="E643">
            <v>42.25665354330723</v>
          </cell>
          <cell r="F643">
            <v>72.374763779528067</v>
          </cell>
          <cell r="G643">
            <v>58.988937007873979</v>
          </cell>
          <cell r="H643">
            <v>58.988937007873979</v>
          </cell>
          <cell r="I643" t="e">
            <v>#N/A</v>
          </cell>
          <cell r="J643" t="e">
            <v>#N/A</v>
          </cell>
          <cell r="K643" t="e">
            <v>#N/A</v>
          </cell>
          <cell r="L643" t="e">
            <v>#N/A</v>
          </cell>
          <cell r="M643" t="e">
            <v>#N/A</v>
          </cell>
          <cell r="N643" t="e">
            <v>#N/A</v>
          </cell>
          <cell r="O643" t="e">
            <v>#N/A</v>
          </cell>
          <cell r="P643">
            <v>63.51</v>
          </cell>
          <cell r="Q643" t="str">
            <v/>
          </cell>
          <cell r="R643" t="e">
            <v>#N/A</v>
          </cell>
        </row>
        <row r="644">
          <cell r="A644">
            <v>40401</v>
          </cell>
          <cell r="B644">
            <v>40401</v>
          </cell>
          <cell r="C644" t="str">
            <v>Future</v>
          </cell>
          <cell r="D644" t="e">
            <v>#N/A</v>
          </cell>
          <cell r="E644">
            <v>42.006614173228492</v>
          </cell>
          <cell r="F644">
            <v>72.47905511811075</v>
          </cell>
          <cell r="G644">
            <v>58.935748031496026</v>
          </cell>
          <cell r="H644">
            <v>58.935748031496026</v>
          </cell>
          <cell r="I644" t="e">
            <v>#N/A</v>
          </cell>
          <cell r="J644" t="e">
            <v>#N/A</v>
          </cell>
          <cell r="K644" t="e">
            <v>#N/A</v>
          </cell>
          <cell r="L644" t="e">
            <v>#N/A</v>
          </cell>
          <cell r="M644" t="e">
            <v>#N/A</v>
          </cell>
          <cell r="N644" t="e">
            <v>#N/A</v>
          </cell>
          <cell r="O644" t="e">
            <v>#N/A</v>
          </cell>
          <cell r="P644">
            <v>63.51</v>
          </cell>
          <cell r="Q644" t="str">
            <v/>
          </cell>
          <cell r="R644" t="e">
            <v>#N/A</v>
          </cell>
        </row>
        <row r="645">
          <cell r="A645">
            <v>40402</v>
          </cell>
          <cell r="B645">
            <v>40402</v>
          </cell>
          <cell r="C645" t="str">
            <v>Future</v>
          </cell>
          <cell r="D645" t="e">
            <v>#N/A</v>
          </cell>
          <cell r="E645">
            <v>41.756574803149753</v>
          </cell>
          <cell r="F645">
            <v>72.583346456693434</v>
          </cell>
          <cell r="G645">
            <v>58.882559055118072</v>
          </cell>
          <cell r="H645">
            <v>58.882559055118072</v>
          </cell>
          <cell r="I645" t="e">
            <v>#N/A</v>
          </cell>
          <cell r="J645" t="e">
            <v>#N/A</v>
          </cell>
          <cell r="K645" t="e">
            <v>#N/A</v>
          </cell>
          <cell r="L645" t="e">
            <v>#N/A</v>
          </cell>
          <cell r="M645" t="e">
            <v>#N/A</v>
          </cell>
          <cell r="N645" t="e">
            <v>#N/A</v>
          </cell>
          <cell r="O645" t="e">
            <v>#N/A</v>
          </cell>
          <cell r="P645">
            <v>63.51</v>
          </cell>
          <cell r="Q645" t="str">
            <v/>
          </cell>
          <cell r="R645" t="e">
            <v>#N/A</v>
          </cell>
        </row>
        <row r="646">
          <cell r="A646">
            <v>40403</v>
          </cell>
          <cell r="B646">
            <v>40403</v>
          </cell>
          <cell r="C646" t="str">
            <v>Future</v>
          </cell>
          <cell r="D646" t="e">
            <v>#N/A</v>
          </cell>
          <cell r="E646">
            <v>41.506535433071015</v>
          </cell>
          <cell r="F646">
            <v>72.687637795276117</v>
          </cell>
          <cell r="G646">
            <v>58.829370078740119</v>
          </cell>
          <cell r="H646">
            <v>58.829370078740119</v>
          </cell>
          <cell r="I646" t="e">
            <v>#N/A</v>
          </cell>
          <cell r="J646" t="e">
            <v>#N/A</v>
          </cell>
          <cell r="K646" t="e">
            <v>#N/A</v>
          </cell>
          <cell r="L646" t="e">
            <v>#N/A</v>
          </cell>
          <cell r="M646" t="e">
            <v>#N/A</v>
          </cell>
          <cell r="N646" t="e">
            <v>#N/A</v>
          </cell>
          <cell r="O646" t="e">
            <v>#N/A</v>
          </cell>
          <cell r="P646">
            <v>63.51</v>
          </cell>
          <cell r="Q646" t="str">
            <v/>
          </cell>
          <cell r="R646" t="e">
            <v>#N/A</v>
          </cell>
        </row>
        <row r="647">
          <cell r="A647">
            <v>40406</v>
          </cell>
          <cell r="B647">
            <v>40406</v>
          </cell>
          <cell r="C647" t="str">
            <v>Future</v>
          </cell>
          <cell r="D647" t="e">
            <v>#N/A</v>
          </cell>
          <cell r="E647">
            <v>41.256496062992277</v>
          </cell>
          <cell r="F647">
            <v>72.791929133858801</v>
          </cell>
          <cell r="G647">
            <v>58.776181102362166</v>
          </cell>
          <cell r="H647">
            <v>58.776181102362166</v>
          </cell>
          <cell r="I647" t="e">
            <v>#N/A</v>
          </cell>
          <cell r="J647" t="e">
            <v>#N/A</v>
          </cell>
          <cell r="K647" t="e">
            <v>#N/A</v>
          </cell>
          <cell r="L647" t="e">
            <v>#N/A</v>
          </cell>
          <cell r="M647" t="e">
            <v>#N/A</v>
          </cell>
          <cell r="N647" t="e">
            <v>#N/A</v>
          </cell>
          <cell r="O647" t="e">
            <v>#N/A</v>
          </cell>
          <cell r="P647">
            <v>63.51</v>
          </cell>
          <cell r="Q647" t="str">
            <v/>
          </cell>
          <cell r="R647" t="e">
            <v>#N/A</v>
          </cell>
        </row>
        <row r="648">
          <cell r="A648">
            <v>40407</v>
          </cell>
          <cell r="B648">
            <v>40407</v>
          </cell>
          <cell r="C648" t="str">
            <v>Future</v>
          </cell>
          <cell r="D648" t="e">
            <v>#N/A</v>
          </cell>
          <cell r="E648">
            <v>41.006456692913538</v>
          </cell>
          <cell r="F648">
            <v>72.896220472441485</v>
          </cell>
          <cell r="G648">
            <v>58.722992125984213</v>
          </cell>
          <cell r="H648">
            <v>58.722992125984213</v>
          </cell>
          <cell r="I648" t="e">
            <v>#N/A</v>
          </cell>
          <cell r="J648" t="e">
            <v>#N/A</v>
          </cell>
          <cell r="K648" t="e">
            <v>#N/A</v>
          </cell>
          <cell r="L648" t="e">
            <v>#N/A</v>
          </cell>
          <cell r="M648" t="e">
            <v>#N/A</v>
          </cell>
          <cell r="N648" t="e">
            <v>#N/A</v>
          </cell>
          <cell r="O648" t="e">
            <v>#N/A</v>
          </cell>
          <cell r="P648">
            <v>63.51</v>
          </cell>
          <cell r="Q648" t="str">
            <v/>
          </cell>
          <cell r="R648" t="e">
            <v>#N/A</v>
          </cell>
        </row>
        <row r="649">
          <cell r="A649">
            <v>40408</v>
          </cell>
          <cell r="B649">
            <v>40408</v>
          </cell>
          <cell r="C649" t="str">
            <v>Future</v>
          </cell>
          <cell r="D649" t="e">
            <v>#N/A</v>
          </cell>
          <cell r="E649">
            <v>40.7564173228348</v>
          </cell>
          <cell r="F649">
            <v>73.000511811024168</v>
          </cell>
          <cell r="G649">
            <v>58.66980314960626</v>
          </cell>
          <cell r="H649">
            <v>58.66980314960626</v>
          </cell>
          <cell r="I649" t="e">
            <v>#N/A</v>
          </cell>
          <cell r="J649" t="e">
            <v>#N/A</v>
          </cell>
          <cell r="K649" t="e">
            <v>#N/A</v>
          </cell>
          <cell r="L649" t="e">
            <v>#N/A</v>
          </cell>
          <cell r="M649" t="e">
            <v>#N/A</v>
          </cell>
          <cell r="N649" t="e">
            <v>#N/A</v>
          </cell>
          <cell r="O649" t="e">
            <v>#N/A</v>
          </cell>
          <cell r="P649">
            <v>63.51</v>
          </cell>
          <cell r="Q649" t="str">
            <v/>
          </cell>
          <cell r="R649" t="e">
            <v>#N/A</v>
          </cell>
        </row>
        <row r="650">
          <cell r="A650">
            <v>40409</v>
          </cell>
          <cell r="B650">
            <v>40409</v>
          </cell>
          <cell r="C650" t="str">
            <v>Future</v>
          </cell>
          <cell r="D650" t="e">
            <v>#N/A</v>
          </cell>
          <cell r="E650">
            <v>40.506377952756061</v>
          </cell>
          <cell r="F650">
            <v>73.104803149606852</v>
          </cell>
          <cell r="G650">
            <v>58.616614173228307</v>
          </cell>
          <cell r="H650">
            <v>58.616614173228307</v>
          </cell>
          <cell r="I650" t="e">
            <v>#N/A</v>
          </cell>
          <cell r="J650" t="e">
            <v>#N/A</v>
          </cell>
          <cell r="K650" t="e">
            <v>#N/A</v>
          </cell>
          <cell r="L650" t="e">
            <v>#N/A</v>
          </cell>
          <cell r="M650" t="e">
            <v>#N/A</v>
          </cell>
          <cell r="N650" t="e">
            <v>#N/A</v>
          </cell>
          <cell r="O650" t="e">
            <v>#N/A</v>
          </cell>
          <cell r="P650">
            <v>63.51</v>
          </cell>
          <cell r="Q650" t="str">
            <v/>
          </cell>
          <cell r="R650" t="e">
            <v>#N/A</v>
          </cell>
        </row>
        <row r="651">
          <cell r="A651">
            <v>40410</v>
          </cell>
          <cell r="B651">
            <v>40410</v>
          </cell>
          <cell r="C651" t="str">
            <v>Future</v>
          </cell>
          <cell r="D651" t="e">
            <v>#N/A</v>
          </cell>
          <cell r="E651">
            <v>40.256338582677323</v>
          </cell>
          <cell r="F651">
            <v>73.209094488189535</v>
          </cell>
          <cell r="G651">
            <v>58.563425196850353</v>
          </cell>
          <cell r="H651">
            <v>58.563425196850353</v>
          </cell>
          <cell r="I651" t="e">
            <v>#N/A</v>
          </cell>
          <cell r="J651" t="e">
            <v>#N/A</v>
          </cell>
          <cell r="K651" t="e">
            <v>#N/A</v>
          </cell>
          <cell r="L651" t="e">
            <v>#N/A</v>
          </cell>
          <cell r="M651" t="e">
            <v>#N/A</v>
          </cell>
          <cell r="N651" t="e">
            <v>#N/A</v>
          </cell>
          <cell r="O651" t="e">
            <v>#N/A</v>
          </cell>
          <cell r="P651">
            <v>63.51</v>
          </cell>
          <cell r="Q651" t="str">
            <v/>
          </cell>
          <cell r="R651" t="e">
            <v>#N/A</v>
          </cell>
        </row>
        <row r="652">
          <cell r="A652">
            <v>40413</v>
          </cell>
          <cell r="B652">
            <v>40413</v>
          </cell>
          <cell r="C652" t="str">
            <v>Future</v>
          </cell>
          <cell r="D652" t="e">
            <v>#N/A</v>
          </cell>
          <cell r="E652">
            <v>40.006299212598584</v>
          </cell>
          <cell r="F652">
            <v>73.313385826772219</v>
          </cell>
          <cell r="G652">
            <v>58.5102362204724</v>
          </cell>
          <cell r="H652">
            <v>58.5102362204724</v>
          </cell>
          <cell r="I652" t="e">
            <v>#N/A</v>
          </cell>
          <cell r="J652" t="e">
            <v>#N/A</v>
          </cell>
          <cell r="K652" t="e">
            <v>#N/A</v>
          </cell>
          <cell r="L652" t="e">
            <v>#N/A</v>
          </cell>
          <cell r="M652" t="e">
            <v>#N/A</v>
          </cell>
          <cell r="N652" t="e">
            <v>#N/A</v>
          </cell>
          <cell r="O652" t="e">
            <v>#N/A</v>
          </cell>
          <cell r="P652">
            <v>63.51</v>
          </cell>
          <cell r="Q652" t="str">
            <v/>
          </cell>
          <cell r="R652" t="e">
            <v>#N/A</v>
          </cell>
        </row>
        <row r="653">
          <cell r="A653">
            <v>40414</v>
          </cell>
          <cell r="B653">
            <v>40414</v>
          </cell>
          <cell r="C653" t="str">
            <v>Future</v>
          </cell>
          <cell r="D653" t="e">
            <v>#N/A</v>
          </cell>
          <cell r="E653">
            <v>39.756259842519846</v>
          </cell>
          <cell r="F653">
            <v>73.417677165354903</v>
          </cell>
          <cell r="G653">
            <v>58.457047244094447</v>
          </cell>
          <cell r="H653">
            <v>58.457047244094447</v>
          </cell>
          <cell r="I653" t="e">
            <v>#N/A</v>
          </cell>
          <cell r="J653" t="e">
            <v>#N/A</v>
          </cell>
          <cell r="K653" t="e">
            <v>#N/A</v>
          </cell>
          <cell r="L653" t="e">
            <v>#N/A</v>
          </cell>
          <cell r="M653" t="e">
            <v>#N/A</v>
          </cell>
          <cell r="N653" t="e">
            <v>#N/A</v>
          </cell>
          <cell r="O653" t="e">
            <v>#N/A</v>
          </cell>
          <cell r="P653">
            <v>63.51</v>
          </cell>
          <cell r="Q653" t="str">
            <v/>
          </cell>
          <cell r="R653" t="e">
            <v>#N/A</v>
          </cell>
        </row>
        <row r="654">
          <cell r="A654">
            <v>40415</v>
          </cell>
          <cell r="B654">
            <v>40415</v>
          </cell>
          <cell r="C654" t="str">
            <v>Future</v>
          </cell>
          <cell r="D654" t="e">
            <v>#N/A</v>
          </cell>
          <cell r="E654">
            <v>39.506220472441107</v>
          </cell>
          <cell r="F654">
            <v>73.521968503937586</v>
          </cell>
          <cell r="G654">
            <v>58.403858267716494</v>
          </cell>
          <cell r="H654">
            <v>58.403858267716494</v>
          </cell>
          <cell r="I654" t="e">
            <v>#N/A</v>
          </cell>
          <cell r="J654" t="e">
            <v>#N/A</v>
          </cell>
          <cell r="K654" t="e">
            <v>#N/A</v>
          </cell>
          <cell r="L654" t="e">
            <v>#N/A</v>
          </cell>
          <cell r="M654" t="e">
            <v>#N/A</v>
          </cell>
          <cell r="N654" t="e">
            <v>#N/A</v>
          </cell>
          <cell r="O654" t="e">
            <v>#N/A</v>
          </cell>
          <cell r="P654">
            <v>63.51</v>
          </cell>
          <cell r="Q654" t="str">
            <v/>
          </cell>
          <cell r="R654" t="e">
            <v>#N/A</v>
          </cell>
        </row>
        <row r="655">
          <cell r="A655">
            <v>40416</v>
          </cell>
          <cell r="B655">
            <v>40416</v>
          </cell>
          <cell r="C655" t="str">
            <v>Future</v>
          </cell>
          <cell r="D655" t="e">
            <v>#N/A</v>
          </cell>
          <cell r="E655">
            <v>39.256181102362369</v>
          </cell>
          <cell r="F655">
            <v>73.62625984252027</v>
          </cell>
          <cell r="G655">
            <v>58.350669291338541</v>
          </cell>
          <cell r="H655">
            <v>58.350669291338541</v>
          </cell>
          <cell r="I655" t="e">
            <v>#N/A</v>
          </cell>
          <cell r="J655" t="e">
            <v>#N/A</v>
          </cell>
          <cell r="K655" t="e">
            <v>#N/A</v>
          </cell>
          <cell r="L655" t="e">
            <v>#N/A</v>
          </cell>
          <cell r="M655" t="e">
            <v>#N/A</v>
          </cell>
          <cell r="N655" t="e">
            <v>#N/A</v>
          </cell>
          <cell r="O655" t="e">
            <v>#N/A</v>
          </cell>
          <cell r="P655">
            <v>63.51</v>
          </cell>
          <cell r="Q655" t="str">
            <v/>
          </cell>
          <cell r="R655" t="e">
            <v>#N/A</v>
          </cell>
        </row>
        <row r="656">
          <cell r="A656">
            <v>40417</v>
          </cell>
          <cell r="B656">
            <v>40417</v>
          </cell>
          <cell r="C656" t="str">
            <v>Future</v>
          </cell>
          <cell r="D656" t="e">
            <v>#N/A</v>
          </cell>
          <cell r="E656">
            <v>39.006141732283631</v>
          </cell>
          <cell r="F656">
            <v>73.730551181102953</v>
          </cell>
          <cell r="G656">
            <v>58.297480314960588</v>
          </cell>
          <cell r="H656">
            <v>58.297480314960588</v>
          </cell>
          <cell r="I656" t="e">
            <v>#N/A</v>
          </cell>
          <cell r="J656" t="e">
            <v>#N/A</v>
          </cell>
          <cell r="K656" t="e">
            <v>#N/A</v>
          </cell>
          <cell r="L656" t="e">
            <v>#N/A</v>
          </cell>
          <cell r="M656" t="e">
            <v>#N/A</v>
          </cell>
          <cell r="N656" t="e">
            <v>#N/A</v>
          </cell>
          <cell r="O656" t="e">
            <v>#N/A</v>
          </cell>
          <cell r="P656">
            <v>63.51</v>
          </cell>
          <cell r="Q656" t="str">
            <v/>
          </cell>
          <cell r="R656" t="e">
            <v>#N/A</v>
          </cell>
        </row>
        <row r="657">
          <cell r="A657">
            <v>40420</v>
          </cell>
          <cell r="B657">
            <v>40420</v>
          </cell>
          <cell r="C657" t="str">
            <v>Future</v>
          </cell>
          <cell r="D657" t="e">
            <v>#N/A</v>
          </cell>
          <cell r="E657">
            <v>38.756102362204892</v>
          </cell>
          <cell r="F657">
            <v>73.834842519685637</v>
          </cell>
          <cell r="G657">
            <v>58.244291338582634</v>
          </cell>
          <cell r="H657">
            <v>58.244291338582634</v>
          </cell>
          <cell r="I657" t="e">
            <v>#N/A</v>
          </cell>
          <cell r="J657" t="e">
            <v>#N/A</v>
          </cell>
          <cell r="K657" t="e">
            <v>#N/A</v>
          </cell>
          <cell r="L657" t="e">
            <v>#N/A</v>
          </cell>
          <cell r="M657" t="e">
            <v>#N/A</v>
          </cell>
          <cell r="N657" t="e">
            <v>#N/A</v>
          </cell>
          <cell r="O657" t="e">
            <v>#N/A</v>
          </cell>
          <cell r="P657">
            <v>63.51</v>
          </cell>
          <cell r="Q657" t="str">
            <v/>
          </cell>
          <cell r="R657" t="e">
            <v>#N/A</v>
          </cell>
        </row>
        <row r="658">
          <cell r="A658">
            <v>40421</v>
          </cell>
          <cell r="B658">
            <v>40421</v>
          </cell>
          <cell r="C658" t="str">
            <v>Future</v>
          </cell>
          <cell r="D658" t="e">
            <v>#N/A</v>
          </cell>
          <cell r="E658">
            <v>38.506062992126154</v>
          </cell>
          <cell r="F658">
            <v>73.93913385826832</v>
          </cell>
          <cell r="G658">
            <v>58.191102362204681</v>
          </cell>
          <cell r="H658">
            <v>58.191102362204681</v>
          </cell>
          <cell r="I658" t="e">
            <v>#N/A</v>
          </cell>
          <cell r="J658" t="e">
            <v>#N/A</v>
          </cell>
          <cell r="K658" t="e">
            <v>#N/A</v>
          </cell>
          <cell r="L658" t="e">
            <v>#N/A</v>
          </cell>
          <cell r="M658" t="e">
            <v>#N/A</v>
          </cell>
          <cell r="N658" t="e">
            <v>#N/A</v>
          </cell>
          <cell r="O658" t="e">
            <v>#N/A</v>
          </cell>
          <cell r="P658">
            <v>63.51</v>
          </cell>
          <cell r="Q658" t="str">
            <v/>
          </cell>
          <cell r="R658" t="e">
            <v>#N/A</v>
          </cell>
        </row>
        <row r="659">
          <cell r="A659">
            <v>40422</v>
          </cell>
          <cell r="B659">
            <v>40422</v>
          </cell>
          <cell r="C659" t="str">
            <v>Future</v>
          </cell>
          <cell r="D659" t="e">
            <v>#N/A</v>
          </cell>
          <cell r="E659">
            <v>38.256023622047415</v>
          </cell>
          <cell r="F659">
            <v>74.043425196851004</v>
          </cell>
          <cell r="G659">
            <v>58.137913385826728</v>
          </cell>
          <cell r="H659">
            <v>58.137913385826728</v>
          </cell>
          <cell r="I659" t="e">
            <v>#N/A</v>
          </cell>
          <cell r="J659" t="e">
            <v>#N/A</v>
          </cell>
          <cell r="K659" t="e">
            <v>#N/A</v>
          </cell>
          <cell r="L659" t="e">
            <v>#N/A</v>
          </cell>
          <cell r="M659" t="e">
            <v>#N/A</v>
          </cell>
          <cell r="N659" t="e">
            <v>#N/A</v>
          </cell>
          <cell r="O659" t="e">
            <v>#N/A</v>
          </cell>
          <cell r="P659">
            <v>63.51</v>
          </cell>
          <cell r="Q659" t="str">
            <v/>
          </cell>
          <cell r="R659" t="e">
            <v>#N/A</v>
          </cell>
        </row>
        <row r="660">
          <cell r="A660">
            <v>40423</v>
          </cell>
          <cell r="B660">
            <v>40423</v>
          </cell>
          <cell r="C660" t="str">
            <v>Future</v>
          </cell>
          <cell r="D660" t="e">
            <v>#N/A</v>
          </cell>
          <cell r="E660">
            <v>38.005984251968677</v>
          </cell>
          <cell r="F660">
            <v>74.147716535433688</v>
          </cell>
          <cell r="G660">
            <v>58.084724409448775</v>
          </cell>
          <cell r="H660">
            <v>58.084724409448775</v>
          </cell>
          <cell r="I660" t="e">
            <v>#N/A</v>
          </cell>
          <cell r="J660" t="e">
            <v>#N/A</v>
          </cell>
          <cell r="K660" t="e">
            <v>#N/A</v>
          </cell>
          <cell r="L660" t="e">
            <v>#N/A</v>
          </cell>
          <cell r="M660" t="e">
            <v>#N/A</v>
          </cell>
          <cell r="N660" t="e">
            <v>#N/A</v>
          </cell>
          <cell r="O660" t="e">
            <v>#N/A</v>
          </cell>
          <cell r="P660">
            <v>63.51</v>
          </cell>
          <cell r="Q660" t="str">
            <v/>
          </cell>
          <cell r="R660" t="e">
            <v>#N/A</v>
          </cell>
        </row>
        <row r="661">
          <cell r="A661">
            <v>40424</v>
          </cell>
          <cell r="B661">
            <v>40424</v>
          </cell>
          <cell r="C661" t="str">
            <v>Future</v>
          </cell>
          <cell r="D661" t="e">
            <v>#N/A</v>
          </cell>
          <cell r="E661">
            <v>37.755944881889938</v>
          </cell>
          <cell r="F661">
            <v>74.252007874016371</v>
          </cell>
          <cell r="G661">
            <v>58.031535433070822</v>
          </cell>
          <cell r="H661">
            <v>58.031535433070822</v>
          </cell>
          <cell r="I661" t="e">
            <v>#N/A</v>
          </cell>
          <cell r="J661" t="e">
            <v>#N/A</v>
          </cell>
          <cell r="K661" t="e">
            <v>#N/A</v>
          </cell>
          <cell r="L661" t="e">
            <v>#N/A</v>
          </cell>
          <cell r="M661" t="e">
            <v>#N/A</v>
          </cell>
          <cell r="N661" t="e">
            <v>#N/A</v>
          </cell>
          <cell r="O661" t="e">
            <v>#N/A</v>
          </cell>
          <cell r="P661">
            <v>63.51</v>
          </cell>
          <cell r="Q661" t="str">
            <v/>
          </cell>
          <cell r="R661" t="e">
            <v>#N/A</v>
          </cell>
        </row>
        <row r="662">
          <cell r="A662">
            <v>40428</v>
          </cell>
          <cell r="B662">
            <v>40428</v>
          </cell>
          <cell r="C662" t="str">
            <v>Future</v>
          </cell>
          <cell r="D662" t="e">
            <v>#N/A</v>
          </cell>
          <cell r="E662">
            <v>37.5059055118112</v>
          </cell>
          <cell r="F662">
            <v>74.356299212599055</v>
          </cell>
          <cell r="G662">
            <v>57.978346456692869</v>
          </cell>
          <cell r="H662">
            <v>57.978346456692869</v>
          </cell>
          <cell r="I662" t="e">
            <v>#N/A</v>
          </cell>
          <cell r="J662" t="e">
            <v>#N/A</v>
          </cell>
          <cell r="K662" t="e">
            <v>#N/A</v>
          </cell>
          <cell r="L662" t="e">
            <v>#N/A</v>
          </cell>
          <cell r="M662" t="e">
            <v>#N/A</v>
          </cell>
          <cell r="N662" t="e">
            <v>#N/A</v>
          </cell>
          <cell r="O662" t="e">
            <v>#N/A</v>
          </cell>
          <cell r="P662">
            <v>63.51</v>
          </cell>
          <cell r="Q662" t="str">
            <v/>
          </cell>
          <cell r="R662" t="e">
            <v>#N/A</v>
          </cell>
        </row>
        <row r="663">
          <cell r="A663">
            <v>40429</v>
          </cell>
          <cell r="B663">
            <v>40429</v>
          </cell>
          <cell r="C663" t="str">
            <v>Future</v>
          </cell>
          <cell r="D663" t="e">
            <v>#N/A</v>
          </cell>
          <cell r="E663">
            <v>37.255866141732461</v>
          </cell>
          <cell r="F663">
            <v>74.460590551181738</v>
          </cell>
          <cell r="G663">
            <v>57.925157480314915</v>
          </cell>
          <cell r="H663">
            <v>57.925157480314915</v>
          </cell>
          <cell r="I663" t="e">
            <v>#N/A</v>
          </cell>
          <cell r="J663" t="e">
            <v>#N/A</v>
          </cell>
          <cell r="K663" t="e">
            <v>#N/A</v>
          </cell>
          <cell r="L663" t="e">
            <v>#N/A</v>
          </cell>
          <cell r="M663" t="e">
            <v>#N/A</v>
          </cell>
          <cell r="N663" t="e">
            <v>#N/A</v>
          </cell>
          <cell r="O663" t="e">
            <v>#N/A</v>
          </cell>
          <cell r="P663">
            <v>63.51</v>
          </cell>
          <cell r="Q663" t="str">
            <v/>
          </cell>
          <cell r="R663" t="e">
            <v>#N/A</v>
          </cell>
        </row>
        <row r="664">
          <cell r="A664">
            <v>40430</v>
          </cell>
          <cell r="B664">
            <v>40430</v>
          </cell>
          <cell r="C664" t="str">
            <v>Future</v>
          </cell>
          <cell r="D664" t="e">
            <v>#N/A</v>
          </cell>
          <cell r="E664">
            <v>37.005826771653723</v>
          </cell>
          <cell r="F664">
            <v>74.564881889764422</v>
          </cell>
          <cell r="G664">
            <v>57.871968503936962</v>
          </cell>
          <cell r="H664">
            <v>57.871968503936962</v>
          </cell>
          <cell r="I664" t="e">
            <v>#N/A</v>
          </cell>
          <cell r="J664" t="e">
            <v>#N/A</v>
          </cell>
          <cell r="K664" t="e">
            <v>#N/A</v>
          </cell>
          <cell r="L664" t="e">
            <v>#N/A</v>
          </cell>
          <cell r="M664" t="e">
            <v>#N/A</v>
          </cell>
          <cell r="N664" t="e">
            <v>#N/A</v>
          </cell>
          <cell r="O664" t="e">
            <v>#N/A</v>
          </cell>
          <cell r="P664">
            <v>63.51</v>
          </cell>
          <cell r="Q664" t="str">
            <v/>
          </cell>
          <cell r="R664" t="e">
            <v>#N/A</v>
          </cell>
        </row>
        <row r="665">
          <cell r="A665">
            <v>40431</v>
          </cell>
          <cell r="B665">
            <v>40431</v>
          </cell>
          <cell r="C665" t="str">
            <v>Future</v>
          </cell>
          <cell r="D665" t="e">
            <v>#N/A</v>
          </cell>
          <cell r="E665">
            <v>36.755787401574985</v>
          </cell>
          <cell r="F665">
            <v>74.669173228347105</v>
          </cell>
          <cell r="G665">
            <v>57.818779527559009</v>
          </cell>
          <cell r="H665">
            <v>57.818779527559009</v>
          </cell>
          <cell r="I665" t="e">
            <v>#N/A</v>
          </cell>
          <cell r="J665" t="e">
            <v>#N/A</v>
          </cell>
          <cell r="K665" t="e">
            <v>#N/A</v>
          </cell>
          <cell r="L665" t="e">
            <v>#N/A</v>
          </cell>
          <cell r="M665" t="e">
            <v>#N/A</v>
          </cell>
          <cell r="N665" t="e">
            <v>#N/A</v>
          </cell>
          <cell r="O665" t="e">
            <v>#N/A</v>
          </cell>
          <cell r="P665">
            <v>63.51</v>
          </cell>
          <cell r="Q665" t="str">
            <v/>
          </cell>
          <cell r="R665" t="e">
            <v>#N/A</v>
          </cell>
        </row>
        <row r="666">
          <cell r="A666">
            <v>40434</v>
          </cell>
          <cell r="B666">
            <v>40434</v>
          </cell>
          <cell r="C666" t="str">
            <v>Future</v>
          </cell>
          <cell r="D666" t="e">
            <v>#N/A</v>
          </cell>
          <cell r="E666">
            <v>36.505748031496246</v>
          </cell>
          <cell r="F666">
            <v>74.773464566929789</v>
          </cell>
          <cell r="G666">
            <v>57.765590551181056</v>
          </cell>
          <cell r="H666">
            <v>57.765590551181056</v>
          </cell>
          <cell r="I666" t="e">
            <v>#N/A</v>
          </cell>
          <cell r="J666" t="e">
            <v>#N/A</v>
          </cell>
          <cell r="K666" t="e">
            <v>#N/A</v>
          </cell>
          <cell r="L666" t="e">
            <v>#N/A</v>
          </cell>
          <cell r="M666" t="e">
            <v>#N/A</v>
          </cell>
          <cell r="N666" t="e">
            <v>#N/A</v>
          </cell>
          <cell r="O666" t="e">
            <v>#N/A</v>
          </cell>
          <cell r="P666">
            <v>63.51</v>
          </cell>
          <cell r="Q666" t="str">
            <v/>
          </cell>
          <cell r="R666" t="e">
            <v>#N/A</v>
          </cell>
        </row>
        <row r="667">
          <cell r="A667">
            <v>40435</v>
          </cell>
          <cell r="B667">
            <v>40435</v>
          </cell>
          <cell r="C667" t="str">
            <v>Future</v>
          </cell>
          <cell r="D667" t="e">
            <v>#N/A</v>
          </cell>
          <cell r="E667">
            <v>36.255708661417508</v>
          </cell>
          <cell r="F667">
            <v>74.877755905512473</v>
          </cell>
          <cell r="G667">
            <v>57.712401574803103</v>
          </cell>
          <cell r="H667">
            <v>57.712401574803103</v>
          </cell>
          <cell r="I667" t="e">
            <v>#N/A</v>
          </cell>
          <cell r="J667" t="e">
            <v>#N/A</v>
          </cell>
          <cell r="K667" t="e">
            <v>#N/A</v>
          </cell>
          <cell r="L667" t="e">
            <v>#N/A</v>
          </cell>
          <cell r="M667" t="e">
            <v>#N/A</v>
          </cell>
          <cell r="N667" t="e">
            <v>#N/A</v>
          </cell>
          <cell r="O667" t="e">
            <v>#N/A</v>
          </cell>
          <cell r="P667">
            <v>63.51</v>
          </cell>
          <cell r="Q667" t="str">
            <v/>
          </cell>
          <cell r="R667" t="e">
            <v>#N/A</v>
          </cell>
        </row>
        <row r="668">
          <cell r="A668">
            <v>40436</v>
          </cell>
          <cell r="B668">
            <v>40436</v>
          </cell>
          <cell r="C668" t="str">
            <v>Future</v>
          </cell>
          <cell r="D668" t="e">
            <v>#N/A</v>
          </cell>
          <cell r="E668">
            <v>36.005669291338769</v>
          </cell>
          <cell r="F668">
            <v>74.982047244095156</v>
          </cell>
          <cell r="G668">
            <v>57.65921259842515</v>
          </cell>
          <cell r="H668">
            <v>57.65921259842515</v>
          </cell>
          <cell r="I668" t="e">
            <v>#N/A</v>
          </cell>
          <cell r="J668" t="e">
            <v>#N/A</v>
          </cell>
          <cell r="K668" t="e">
            <v>#N/A</v>
          </cell>
          <cell r="L668" t="e">
            <v>#N/A</v>
          </cell>
          <cell r="M668" t="e">
            <v>#N/A</v>
          </cell>
          <cell r="N668" t="e">
            <v>#N/A</v>
          </cell>
          <cell r="O668" t="e">
            <v>#N/A</v>
          </cell>
          <cell r="P668">
            <v>63.51</v>
          </cell>
          <cell r="Q668" t="str">
            <v/>
          </cell>
          <cell r="R668" t="e">
            <v>#N/A</v>
          </cell>
        </row>
        <row r="669">
          <cell r="A669">
            <v>40437</v>
          </cell>
          <cell r="B669">
            <v>40437</v>
          </cell>
          <cell r="C669" t="str">
            <v>Future</v>
          </cell>
          <cell r="D669" t="e">
            <v>#N/A</v>
          </cell>
          <cell r="E669">
            <v>35.755629921260031</v>
          </cell>
          <cell r="F669">
            <v>75.08633858267784</v>
          </cell>
          <cell r="G669">
            <v>57.606023622047196</v>
          </cell>
          <cell r="H669">
            <v>57.606023622047196</v>
          </cell>
          <cell r="I669" t="e">
            <v>#N/A</v>
          </cell>
          <cell r="J669" t="e">
            <v>#N/A</v>
          </cell>
          <cell r="K669" t="e">
            <v>#N/A</v>
          </cell>
          <cell r="L669" t="e">
            <v>#N/A</v>
          </cell>
          <cell r="M669" t="e">
            <v>#N/A</v>
          </cell>
          <cell r="N669" t="e">
            <v>#N/A</v>
          </cell>
          <cell r="O669" t="e">
            <v>#N/A</v>
          </cell>
          <cell r="P669">
            <v>63.51</v>
          </cell>
          <cell r="Q669" t="str">
            <v/>
          </cell>
          <cell r="R669" t="e">
            <v>#N/A</v>
          </cell>
        </row>
        <row r="670">
          <cell r="A670">
            <v>40438</v>
          </cell>
          <cell r="B670">
            <v>40438</v>
          </cell>
          <cell r="C670" t="str">
            <v>Future</v>
          </cell>
          <cell r="D670" t="e">
            <v>#N/A</v>
          </cell>
          <cell r="E670">
            <v>35.505590551181292</v>
          </cell>
          <cell r="F670">
            <v>75.190629921260523</v>
          </cell>
          <cell r="G670">
            <v>57.552834645669243</v>
          </cell>
          <cell r="H670">
            <v>57.552834645669243</v>
          </cell>
          <cell r="I670" t="e">
            <v>#N/A</v>
          </cell>
          <cell r="J670" t="e">
            <v>#N/A</v>
          </cell>
          <cell r="K670" t="e">
            <v>#N/A</v>
          </cell>
          <cell r="L670" t="e">
            <v>#N/A</v>
          </cell>
          <cell r="M670" t="e">
            <v>#N/A</v>
          </cell>
          <cell r="N670" t="e">
            <v>#N/A</v>
          </cell>
          <cell r="O670" t="e">
            <v>#N/A</v>
          </cell>
          <cell r="P670">
            <v>63.51</v>
          </cell>
          <cell r="Q670" t="str">
            <v/>
          </cell>
          <cell r="R670" t="e">
            <v>#N/A</v>
          </cell>
        </row>
        <row r="671">
          <cell r="A671">
            <v>40441</v>
          </cell>
          <cell r="B671">
            <v>40441</v>
          </cell>
          <cell r="C671" t="str">
            <v>Future</v>
          </cell>
          <cell r="D671" t="e">
            <v>#N/A</v>
          </cell>
          <cell r="E671">
            <v>35.255551181102554</v>
          </cell>
          <cell r="F671">
            <v>75.294921259843207</v>
          </cell>
          <cell r="G671">
            <v>57.49964566929129</v>
          </cell>
          <cell r="H671">
            <v>57.49964566929129</v>
          </cell>
          <cell r="I671" t="e">
            <v>#N/A</v>
          </cell>
          <cell r="J671" t="e">
            <v>#N/A</v>
          </cell>
          <cell r="K671" t="e">
            <v>#N/A</v>
          </cell>
          <cell r="L671" t="e">
            <v>#N/A</v>
          </cell>
          <cell r="M671" t="e">
            <v>#N/A</v>
          </cell>
          <cell r="N671" t="e">
            <v>#N/A</v>
          </cell>
          <cell r="O671" t="e">
            <v>#N/A</v>
          </cell>
          <cell r="P671">
            <v>63.51</v>
          </cell>
          <cell r="Q671" t="str">
            <v/>
          </cell>
          <cell r="R671" t="e">
            <v>#N/A</v>
          </cell>
        </row>
        <row r="672">
          <cell r="A672">
            <v>40442</v>
          </cell>
          <cell r="B672">
            <v>40442</v>
          </cell>
          <cell r="C672" t="str">
            <v>Future</v>
          </cell>
          <cell r="D672" t="e">
            <v>#N/A</v>
          </cell>
          <cell r="E672">
            <v>35.005511811023815</v>
          </cell>
          <cell r="F672">
            <v>75.399212598425891</v>
          </cell>
          <cell r="G672">
            <v>57.446456692913337</v>
          </cell>
          <cell r="H672">
            <v>57.446456692913337</v>
          </cell>
          <cell r="I672" t="e">
            <v>#N/A</v>
          </cell>
          <cell r="J672" t="e">
            <v>#N/A</v>
          </cell>
          <cell r="K672" t="e">
            <v>#N/A</v>
          </cell>
          <cell r="L672" t="e">
            <v>#N/A</v>
          </cell>
          <cell r="M672" t="e">
            <v>#N/A</v>
          </cell>
          <cell r="N672" t="e">
            <v>#N/A</v>
          </cell>
          <cell r="O672" t="e">
            <v>#N/A</v>
          </cell>
          <cell r="P672">
            <v>63.51</v>
          </cell>
          <cell r="Q672" t="str">
            <v/>
          </cell>
          <cell r="R672" t="e">
            <v>#N/A</v>
          </cell>
        </row>
        <row r="673">
          <cell r="A673">
            <v>40443</v>
          </cell>
          <cell r="B673">
            <v>40443</v>
          </cell>
          <cell r="C673" t="str">
            <v>Future</v>
          </cell>
          <cell r="D673" t="e">
            <v>#N/A</v>
          </cell>
          <cell r="E673">
            <v>34.755472440945077</v>
          </cell>
          <cell r="F673">
            <v>75.503503937008574</v>
          </cell>
          <cell r="G673">
            <v>57.393267716535384</v>
          </cell>
          <cell r="H673">
            <v>57.393267716535384</v>
          </cell>
          <cell r="I673" t="e">
            <v>#N/A</v>
          </cell>
          <cell r="J673" t="e">
            <v>#N/A</v>
          </cell>
          <cell r="K673" t="e">
            <v>#N/A</v>
          </cell>
          <cell r="L673" t="e">
            <v>#N/A</v>
          </cell>
          <cell r="M673" t="e">
            <v>#N/A</v>
          </cell>
          <cell r="N673" t="e">
            <v>#N/A</v>
          </cell>
          <cell r="O673" t="e">
            <v>#N/A</v>
          </cell>
          <cell r="P673">
            <v>63.51</v>
          </cell>
          <cell r="Q673" t="str">
            <v/>
          </cell>
          <cell r="R673" t="e">
            <v>#N/A</v>
          </cell>
        </row>
        <row r="674">
          <cell r="A674">
            <v>40444</v>
          </cell>
          <cell r="B674">
            <v>40444</v>
          </cell>
          <cell r="C674" t="str">
            <v>Future</v>
          </cell>
          <cell r="D674" t="e">
            <v>#N/A</v>
          </cell>
          <cell r="E674">
            <v>34.505433070866339</v>
          </cell>
          <cell r="F674">
            <v>75.607795275591258</v>
          </cell>
          <cell r="G674">
            <v>57.340078740157431</v>
          </cell>
          <cell r="H674">
            <v>57.340078740157431</v>
          </cell>
          <cell r="I674" t="e">
            <v>#N/A</v>
          </cell>
          <cell r="J674" t="e">
            <v>#N/A</v>
          </cell>
          <cell r="K674" t="e">
            <v>#N/A</v>
          </cell>
          <cell r="L674" t="e">
            <v>#N/A</v>
          </cell>
          <cell r="M674" t="e">
            <v>#N/A</v>
          </cell>
          <cell r="N674" t="e">
            <v>#N/A</v>
          </cell>
          <cell r="O674" t="e">
            <v>#N/A</v>
          </cell>
          <cell r="P674">
            <v>63.51</v>
          </cell>
          <cell r="Q674" t="str">
            <v/>
          </cell>
          <cell r="R674" t="e">
            <v>#N/A</v>
          </cell>
        </row>
        <row r="675">
          <cell r="A675">
            <v>40445</v>
          </cell>
          <cell r="B675">
            <v>40445</v>
          </cell>
          <cell r="C675" t="str">
            <v>Future</v>
          </cell>
          <cell r="D675" t="e">
            <v>#N/A</v>
          </cell>
          <cell r="E675">
            <v>34.2553937007876</v>
          </cell>
          <cell r="F675">
            <v>75.712086614173941</v>
          </cell>
          <cell r="G675">
            <v>57.286889763779477</v>
          </cell>
          <cell r="H675">
            <v>57.286889763779477</v>
          </cell>
          <cell r="I675" t="e">
            <v>#N/A</v>
          </cell>
          <cell r="J675" t="e">
            <v>#N/A</v>
          </cell>
          <cell r="K675" t="e">
            <v>#N/A</v>
          </cell>
          <cell r="L675" t="e">
            <v>#N/A</v>
          </cell>
          <cell r="M675" t="e">
            <v>#N/A</v>
          </cell>
          <cell r="N675" t="e">
            <v>#N/A</v>
          </cell>
          <cell r="O675" t="e">
            <v>#N/A</v>
          </cell>
          <cell r="P675">
            <v>63.51</v>
          </cell>
          <cell r="Q675" t="str">
            <v/>
          </cell>
          <cell r="R675" t="e">
            <v>#N/A</v>
          </cell>
        </row>
        <row r="676">
          <cell r="A676">
            <v>40448</v>
          </cell>
          <cell r="B676">
            <v>40448</v>
          </cell>
          <cell r="C676" t="str">
            <v>Future</v>
          </cell>
          <cell r="D676" t="e">
            <v>#N/A</v>
          </cell>
          <cell r="E676">
            <v>34.005354330708862</v>
          </cell>
          <cell r="F676">
            <v>75.816377952756625</v>
          </cell>
          <cell r="G676">
            <v>57.233700787401524</v>
          </cell>
          <cell r="H676">
            <v>57.233700787401524</v>
          </cell>
          <cell r="I676" t="e">
            <v>#N/A</v>
          </cell>
          <cell r="J676" t="e">
            <v>#N/A</v>
          </cell>
          <cell r="K676" t="e">
            <v>#N/A</v>
          </cell>
          <cell r="L676" t="e">
            <v>#N/A</v>
          </cell>
          <cell r="M676" t="e">
            <v>#N/A</v>
          </cell>
          <cell r="N676" t="e">
            <v>#N/A</v>
          </cell>
          <cell r="O676" t="e">
            <v>#N/A</v>
          </cell>
          <cell r="P676">
            <v>63.51</v>
          </cell>
          <cell r="Q676" t="str">
            <v/>
          </cell>
          <cell r="R676" t="e">
            <v>#N/A</v>
          </cell>
        </row>
        <row r="677">
          <cell r="A677">
            <v>40449</v>
          </cell>
          <cell r="B677">
            <v>40449</v>
          </cell>
          <cell r="C677" t="str">
            <v>Future</v>
          </cell>
          <cell r="D677" t="e">
            <v>#N/A</v>
          </cell>
          <cell r="E677">
            <v>33.755314960630123</v>
          </cell>
          <cell r="F677">
            <v>75.920669291339308</v>
          </cell>
          <cell r="G677">
            <v>57.180511811023571</v>
          </cell>
          <cell r="H677">
            <v>57.180511811023571</v>
          </cell>
          <cell r="I677" t="e">
            <v>#N/A</v>
          </cell>
          <cell r="J677" t="e">
            <v>#N/A</v>
          </cell>
          <cell r="K677" t="e">
            <v>#N/A</v>
          </cell>
          <cell r="L677" t="e">
            <v>#N/A</v>
          </cell>
          <cell r="M677" t="e">
            <v>#N/A</v>
          </cell>
          <cell r="N677" t="e">
            <v>#N/A</v>
          </cell>
          <cell r="O677" t="e">
            <v>#N/A</v>
          </cell>
          <cell r="P677">
            <v>63.51</v>
          </cell>
          <cell r="Q677" t="str">
            <v/>
          </cell>
          <cell r="R677" t="e">
            <v>#N/A</v>
          </cell>
        </row>
        <row r="678">
          <cell r="A678">
            <v>40450</v>
          </cell>
          <cell r="B678">
            <v>40450</v>
          </cell>
          <cell r="C678" t="str">
            <v>Future</v>
          </cell>
          <cell r="D678" t="e">
            <v>#N/A</v>
          </cell>
          <cell r="E678">
            <v>33.505275590551385</v>
          </cell>
          <cell r="F678">
            <v>76.024960629921992</v>
          </cell>
          <cell r="G678">
            <v>57.127322834645618</v>
          </cell>
          <cell r="H678">
            <v>57.127322834645618</v>
          </cell>
          <cell r="I678" t="e">
            <v>#N/A</v>
          </cell>
          <cell r="J678" t="e">
            <v>#N/A</v>
          </cell>
          <cell r="K678" t="e">
            <v>#N/A</v>
          </cell>
          <cell r="L678" t="e">
            <v>#N/A</v>
          </cell>
          <cell r="M678" t="e">
            <v>#N/A</v>
          </cell>
          <cell r="N678" t="e">
            <v>#N/A</v>
          </cell>
          <cell r="O678" t="e">
            <v>#N/A</v>
          </cell>
          <cell r="P678">
            <v>63.51</v>
          </cell>
          <cell r="Q678" t="str">
            <v/>
          </cell>
          <cell r="R678" t="e">
            <v>#N/A</v>
          </cell>
        </row>
        <row r="679">
          <cell r="A679">
            <v>40451</v>
          </cell>
          <cell r="B679">
            <v>40451</v>
          </cell>
          <cell r="C679" t="str">
            <v>Future</v>
          </cell>
          <cell r="D679" t="e">
            <v>#N/A</v>
          </cell>
          <cell r="E679">
            <v>33.255236220472646</v>
          </cell>
          <cell r="F679">
            <v>76.129251968504676</v>
          </cell>
          <cell r="G679">
            <v>57.074133858267665</v>
          </cell>
          <cell r="H679">
            <v>57.074133858267665</v>
          </cell>
          <cell r="I679" t="e">
            <v>#N/A</v>
          </cell>
          <cell r="J679" t="e">
            <v>#N/A</v>
          </cell>
          <cell r="K679" t="e">
            <v>#N/A</v>
          </cell>
          <cell r="L679" t="e">
            <v>#N/A</v>
          </cell>
          <cell r="M679" t="e">
            <v>#N/A</v>
          </cell>
          <cell r="N679" t="e">
            <v>#N/A</v>
          </cell>
          <cell r="O679" t="e">
            <v>#N/A</v>
          </cell>
          <cell r="P679">
            <v>63.51</v>
          </cell>
          <cell r="Q679" t="str">
            <v/>
          </cell>
          <cell r="R679" t="e">
            <v>#N/A</v>
          </cell>
        </row>
        <row r="680">
          <cell r="A680">
            <v>40452</v>
          </cell>
          <cell r="B680">
            <v>40452</v>
          </cell>
          <cell r="C680" t="str">
            <v>Future</v>
          </cell>
          <cell r="D680" t="e">
            <v>#N/A</v>
          </cell>
          <cell r="E680">
            <v>33.005196850393908</v>
          </cell>
          <cell r="F680">
            <v>76.233543307087359</v>
          </cell>
          <cell r="G680">
            <v>57.020944881889712</v>
          </cell>
          <cell r="H680">
            <v>57.020944881889712</v>
          </cell>
          <cell r="I680" t="e">
            <v>#N/A</v>
          </cell>
          <cell r="J680" t="e">
            <v>#N/A</v>
          </cell>
          <cell r="K680" t="e">
            <v>#N/A</v>
          </cell>
          <cell r="L680" t="e">
            <v>#N/A</v>
          </cell>
          <cell r="M680" t="e">
            <v>#N/A</v>
          </cell>
          <cell r="N680" t="e">
            <v>#N/A</v>
          </cell>
          <cell r="O680" t="e">
            <v>#N/A</v>
          </cell>
          <cell r="P680">
            <v>63.51</v>
          </cell>
          <cell r="Q680" t="str">
            <v/>
          </cell>
          <cell r="R680" t="e">
            <v>#N/A</v>
          </cell>
        </row>
        <row r="681">
          <cell r="A681">
            <v>40455</v>
          </cell>
          <cell r="B681">
            <v>40455</v>
          </cell>
          <cell r="C681" t="str">
            <v>Future</v>
          </cell>
          <cell r="D681" t="e">
            <v>#N/A</v>
          </cell>
          <cell r="E681">
            <v>32.755157480315169</v>
          </cell>
          <cell r="F681">
            <v>76.337834645670043</v>
          </cell>
          <cell r="G681">
            <v>56.967755905511758</v>
          </cell>
          <cell r="H681">
            <v>56.967755905511758</v>
          </cell>
          <cell r="I681" t="e">
            <v>#N/A</v>
          </cell>
          <cell r="J681" t="e">
            <v>#N/A</v>
          </cell>
          <cell r="K681" t="e">
            <v>#N/A</v>
          </cell>
          <cell r="L681" t="e">
            <v>#N/A</v>
          </cell>
          <cell r="M681" t="e">
            <v>#N/A</v>
          </cell>
          <cell r="N681" t="e">
            <v>#N/A</v>
          </cell>
          <cell r="O681" t="e">
            <v>#N/A</v>
          </cell>
          <cell r="P681">
            <v>63.51</v>
          </cell>
          <cell r="Q681" t="str">
            <v/>
          </cell>
          <cell r="R681" t="e">
            <v>#N/A</v>
          </cell>
        </row>
        <row r="682">
          <cell r="A682">
            <v>40456</v>
          </cell>
          <cell r="B682">
            <v>40456</v>
          </cell>
          <cell r="C682" t="str">
            <v>Future</v>
          </cell>
          <cell r="D682" t="e">
            <v>#N/A</v>
          </cell>
          <cell r="E682">
            <v>32.505118110236431</v>
          </cell>
          <cell r="F682">
            <v>76.442125984252726</v>
          </cell>
          <cell r="G682">
            <v>56.914566929133805</v>
          </cell>
          <cell r="H682">
            <v>56.914566929133805</v>
          </cell>
          <cell r="I682" t="e">
            <v>#N/A</v>
          </cell>
          <cell r="J682" t="e">
            <v>#N/A</v>
          </cell>
          <cell r="K682" t="e">
            <v>#N/A</v>
          </cell>
          <cell r="L682" t="e">
            <v>#N/A</v>
          </cell>
          <cell r="M682" t="e">
            <v>#N/A</v>
          </cell>
          <cell r="N682" t="e">
            <v>#N/A</v>
          </cell>
          <cell r="O682" t="e">
            <v>#N/A</v>
          </cell>
          <cell r="P682">
            <v>63.51</v>
          </cell>
          <cell r="Q682" t="str">
            <v/>
          </cell>
          <cell r="R682" t="e">
            <v>#N/A</v>
          </cell>
        </row>
        <row r="683">
          <cell r="A683">
            <v>40457</v>
          </cell>
          <cell r="B683">
            <v>40457</v>
          </cell>
          <cell r="C683" t="str">
            <v>Future</v>
          </cell>
          <cell r="D683" t="e">
            <v>#N/A</v>
          </cell>
          <cell r="E683">
            <v>32.255078740157693</v>
          </cell>
          <cell r="F683">
            <v>76.54641732283541</v>
          </cell>
          <cell r="G683">
            <v>56.861377952755852</v>
          </cell>
          <cell r="H683">
            <v>56.861377952755852</v>
          </cell>
          <cell r="I683" t="e">
            <v>#N/A</v>
          </cell>
          <cell r="J683" t="e">
            <v>#N/A</v>
          </cell>
          <cell r="K683" t="e">
            <v>#N/A</v>
          </cell>
          <cell r="L683" t="e">
            <v>#N/A</v>
          </cell>
          <cell r="M683" t="e">
            <v>#N/A</v>
          </cell>
          <cell r="N683" t="e">
            <v>#N/A</v>
          </cell>
          <cell r="O683" t="e">
            <v>#N/A</v>
          </cell>
          <cell r="P683">
            <v>63.51</v>
          </cell>
          <cell r="Q683" t="str">
            <v/>
          </cell>
          <cell r="R683" t="e">
            <v>#N/A</v>
          </cell>
        </row>
        <row r="684">
          <cell r="A684">
            <v>40458</v>
          </cell>
          <cell r="B684">
            <v>40458</v>
          </cell>
          <cell r="C684" t="str">
            <v>Future</v>
          </cell>
          <cell r="D684" t="e">
            <v>#N/A</v>
          </cell>
          <cell r="E684">
            <v>32.005039370078954</v>
          </cell>
          <cell r="F684">
            <v>76.650708661418093</v>
          </cell>
          <cell r="G684">
            <v>56.808188976377899</v>
          </cell>
          <cell r="H684">
            <v>56.808188976377899</v>
          </cell>
          <cell r="I684" t="e">
            <v>#N/A</v>
          </cell>
          <cell r="J684" t="e">
            <v>#N/A</v>
          </cell>
          <cell r="K684" t="e">
            <v>#N/A</v>
          </cell>
          <cell r="L684" t="e">
            <v>#N/A</v>
          </cell>
          <cell r="M684" t="e">
            <v>#N/A</v>
          </cell>
          <cell r="N684" t="e">
            <v>#N/A</v>
          </cell>
          <cell r="O684" t="e">
            <v>#N/A</v>
          </cell>
          <cell r="P684">
            <v>63.51</v>
          </cell>
          <cell r="Q684" t="str">
            <v/>
          </cell>
          <cell r="R684" t="e">
            <v>#N/A</v>
          </cell>
        </row>
        <row r="685">
          <cell r="A685">
            <v>40459</v>
          </cell>
          <cell r="B685">
            <v>40459</v>
          </cell>
          <cell r="C685" t="str">
            <v>Future</v>
          </cell>
          <cell r="D685" t="e">
            <v>#N/A</v>
          </cell>
          <cell r="E685">
            <v>31.755000000000216</v>
          </cell>
          <cell r="F685">
            <v>76.755000000000777</v>
          </cell>
          <cell r="G685">
            <v>56.754999999999946</v>
          </cell>
          <cell r="H685">
            <v>56.754999999999946</v>
          </cell>
          <cell r="I685" t="e">
            <v>#N/A</v>
          </cell>
          <cell r="J685" t="e">
            <v>#N/A</v>
          </cell>
          <cell r="K685" t="e">
            <v>#N/A</v>
          </cell>
          <cell r="L685" t="e">
            <v>#N/A</v>
          </cell>
          <cell r="M685" t="e">
            <v>#N/A</v>
          </cell>
          <cell r="N685" t="e">
            <v>#N/A</v>
          </cell>
          <cell r="O685" t="e">
            <v>#N/A</v>
          </cell>
          <cell r="P685">
            <v>63.51</v>
          </cell>
          <cell r="Q685" t="str">
            <v/>
          </cell>
          <cell r="R685" t="e">
            <v>#N/A</v>
          </cell>
        </row>
        <row r="686">
          <cell r="A686">
            <v>40462</v>
          </cell>
          <cell r="B686">
            <v>40462</v>
          </cell>
          <cell r="C686" t="str">
            <v>Future</v>
          </cell>
          <cell r="D686" t="e">
            <v>#N/A</v>
          </cell>
          <cell r="E686">
            <v>31.504960629921477</v>
          </cell>
          <cell r="F686">
            <v>76.859291338583461</v>
          </cell>
          <cell r="G686">
            <v>56.701811023621993</v>
          </cell>
          <cell r="H686">
            <v>56.701811023621993</v>
          </cell>
          <cell r="I686" t="e">
            <v>#N/A</v>
          </cell>
          <cell r="J686" t="e">
            <v>#N/A</v>
          </cell>
          <cell r="K686" t="e">
            <v>#N/A</v>
          </cell>
          <cell r="L686" t="e">
            <v>#N/A</v>
          </cell>
          <cell r="M686" t="e">
            <v>#N/A</v>
          </cell>
          <cell r="N686" t="e">
            <v>#N/A</v>
          </cell>
          <cell r="O686" t="e">
            <v>#N/A</v>
          </cell>
          <cell r="P686">
            <v>63.51</v>
          </cell>
          <cell r="Q686" t="str">
            <v/>
          </cell>
          <cell r="R686" t="e">
            <v>#N/A</v>
          </cell>
        </row>
        <row r="687">
          <cell r="A687">
            <v>40463</v>
          </cell>
          <cell r="B687">
            <v>40463</v>
          </cell>
          <cell r="C687" t="str">
            <v>Future</v>
          </cell>
          <cell r="D687" t="e">
            <v>#N/A</v>
          </cell>
          <cell r="E687">
            <v>31.254921259842739</v>
          </cell>
          <cell r="F687">
            <v>76.963582677166144</v>
          </cell>
          <cell r="G687">
            <v>56.648622047244039</v>
          </cell>
          <cell r="H687">
            <v>56.648622047244039</v>
          </cell>
          <cell r="I687" t="e">
            <v>#N/A</v>
          </cell>
          <cell r="J687" t="e">
            <v>#N/A</v>
          </cell>
          <cell r="K687" t="e">
            <v>#N/A</v>
          </cell>
          <cell r="L687" t="e">
            <v>#N/A</v>
          </cell>
          <cell r="M687" t="e">
            <v>#N/A</v>
          </cell>
          <cell r="N687" t="e">
            <v>#N/A</v>
          </cell>
          <cell r="O687" t="e">
            <v>#N/A</v>
          </cell>
          <cell r="P687">
            <v>63.51</v>
          </cell>
          <cell r="Q687" t="str">
            <v/>
          </cell>
          <cell r="R687" t="e">
            <v>#N/A</v>
          </cell>
        </row>
        <row r="688">
          <cell r="A688">
            <v>40464</v>
          </cell>
          <cell r="B688">
            <v>40464</v>
          </cell>
          <cell r="C688" t="str">
            <v>Future</v>
          </cell>
          <cell r="D688" t="e">
            <v>#N/A</v>
          </cell>
          <cell r="E688">
            <v>31.004881889764</v>
          </cell>
          <cell r="F688">
            <v>77.067874015748828</v>
          </cell>
          <cell r="G688">
            <v>56.595433070866086</v>
          </cell>
          <cell r="H688">
            <v>56.595433070866086</v>
          </cell>
          <cell r="I688" t="e">
            <v>#N/A</v>
          </cell>
          <cell r="J688" t="e">
            <v>#N/A</v>
          </cell>
          <cell r="K688" t="e">
            <v>#N/A</v>
          </cell>
          <cell r="L688" t="e">
            <v>#N/A</v>
          </cell>
          <cell r="M688" t="e">
            <v>#N/A</v>
          </cell>
          <cell r="N688" t="e">
            <v>#N/A</v>
          </cell>
          <cell r="O688" t="e">
            <v>#N/A</v>
          </cell>
          <cell r="P688">
            <v>63.51</v>
          </cell>
          <cell r="Q688" t="str">
            <v/>
          </cell>
          <cell r="R688" t="e">
            <v>#N/A</v>
          </cell>
        </row>
        <row r="689">
          <cell r="A689">
            <v>40465</v>
          </cell>
          <cell r="B689">
            <v>40465</v>
          </cell>
          <cell r="C689" t="str">
            <v>Future</v>
          </cell>
          <cell r="D689" t="e">
            <v>#N/A</v>
          </cell>
          <cell r="E689">
            <v>30.754842519685262</v>
          </cell>
          <cell r="F689">
            <v>77.172165354331511</v>
          </cell>
          <cell r="G689">
            <v>56.542244094488133</v>
          </cell>
          <cell r="H689">
            <v>56.542244094488133</v>
          </cell>
          <cell r="I689" t="e">
            <v>#N/A</v>
          </cell>
          <cell r="J689" t="e">
            <v>#N/A</v>
          </cell>
          <cell r="K689" t="e">
            <v>#N/A</v>
          </cell>
          <cell r="L689" t="e">
            <v>#N/A</v>
          </cell>
          <cell r="M689" t="e">
            <v>#N/A</v>
          </cell>
          <cell r="N689" t="e">
            <v>#N/A</v>
          </cell>
          <cell r="O689" t="e">
            <v>#N/A</v>
          </cell>
          <cell r="P689">
            <v>63.51</v>
          </cell>
          <cell r="Q689" t="str">
            <v/>
          </cell>
          <cell r="R689" t="e">
            <v>#N/A</v>
          </cell>
        </row>
        <row r="690">
          <cell r="A690">
            <v>40466</v>
          </cell>
          <cell r="B690">
            <v>40466</v>
          </cell>
          <cell r="C690" t="str">
            <v>Future</v>
          </cell>
          <cell r="D690" t="e">
            <v>#N/A</v>
          </cell>
          <cell r="E690">
            <v>30.504803149606524</v>
          </cell>
          <cell r="F690">
            <v>77.276456692914195</v>
          </cell>
          <cell r="G690">
            <v>56.48905511811018</v>
          </cell>
          <cell r="H690">
            <v>56.48905511811018</v>
          </cell>
          <cell r="I690" t="e">
            <v>#N/A</v>
          </cell>
          <cell r="J690" t="e">
            <v>#N/A</v>
          </cell>
          <cell r="K690" t="e">
            <v>#N/A</v>
          </cell>
          <cell r="L690" t="e">
            <v>#N/A</v>
          </cell>
          <cell r="M690" t="e">
            <v>#N/A</v>
          </cell>
          <cell r="N690" t="e">
            <v>#N/A</v>
          </cell>
          <cell r="O690" t="e">
            <v>#N/A</v>
          </cell>
          <cell r="P690">
            <v>63.51</v>
          </cell>
          <cell r="Q690" t="str">
            <v/>
          </cell>
          <cell r="R690" t="e">
            <v>#N/A</v>
          </cell>
        </row>
        <row r="691">
          <cell r="A691">
            <v>40469</v>
          </cell>
          <cell r="B691">
            <v>40469</v>
          </cell>
          <cell r="C691" t="str">
            <v>Future</v>
          </cell>
          <cell r="D691" t="e">
            <v>#N/A</v>
          </cell>
          <cell r="E691">
            <v>30.254763779527785</v>
          </cell>
          <cell r="F691">
            <v>77.380748031496879</v>
          </cell>
          <cell r="G691">
            <v>56.435866141732227</v>
          </cell>
          <cell r="H691">
            <v>56.435866141732227</v>
          </cell>
          <cell r="I691" t="e">
            <v>#N/A</v>
          </cell>
          <cell r="J691" t="e">
            <v>#N/A</v>
          </cell>
          <cell r="K691" t="e">
            <v>#N/A</v>
          </cell>
          <cell r="L691" t="e">
            <v>#N/A</v>
          </cell>
          <cell r="M691" t="e">
            <v>#N/A</v>
          </cell>
          <cell r="N691" t="e">
            <v>#N/A</v>
          </cell>
          <cell r="O691" t="e">
            <v>#N/A</v>
          </cell>
          <cell r="P691">
            <v>63.51</v>
          </cell>
          <cell r="Q691" t="str">
            <v/>
          </cell>
          <cell r="R691" t="e">
            <v>#N/A</v>
          </cell>
        </row>
        <row r="692">
          <cell r="A692">
            <v>40470</v>
          </cell>
          <cell r="B692">
            <v>40470</v>
          </cell>
          <cell r="C692" t="str">
            <v>Future</v>
          </cell>
          <cell r="D692" t="e">
            <v>#N/A</v>
          </cell>
          <cell r="E692">
            <v>30.004724409449047</v>
          </cell>
          <cell r="F692">
            <v>77.485039370079562</v>
          </cell>
          <cell r="G692">
            <v>56.382677165354274</v>
          </cell>
          <cell r="H692">
            <v>56.382677165354274</v>
          </cell>
          <cell r="I692" t="e">
            <v>#N/A</v>
          </cell>
          <cell r="J692" t="e">
            <v>#N/A</v>
          </cell>
          <cell r="K692" t="e">
            <v>#N/A</v>
          </cell>
          <cell r="L692" t="e">
            <v>#N/A</v>
          </cell>
          <cell r="M692" t="e">
            <v>#N/A</v>
          </cell>
          <cell r="N692" t="e">
            <v>#N/A</v>
          </cell>
          <cell r="O692" t="e">
            <v>#N/A</v>
          </cell>
          <cell r="P692">
            <v>63.51</v>
          </cell>
          <cell r="Q692" t="str">
            <v/>
          </cell>
          <cell r="R692" t="e">
            <v>#N/A</v>
          </cell>
        </row>
        <row r="693">
          <cell r="A693">
            <v>40471</v>
          </cell>
          <cell r="B693">
            <v>40471</v>
          </cell>
          <cell r="C693" t="str">
            <v>Future</v>
          </cell>
          <cell r="D693" t="e">
            <v>#N/A</v>
          </cell>
          <cell r="E693">
            <v>29.754685039370308</v>
          </cell>
          <cell r="F693">
            <v>77.589330708662246</v>
          </cell>
          <cell r="G693">
            <v>56.32948818897632</v>
          </cell>
          <cell r="H693">
            <v>56.32948818897632</v>
          </cell>
          <cell r="I693" t="e">
            <v>#N/A</v>
          </cell>
          <cell r="J693" t="e">
            <v>#N/A</v>
          </cell>
          <cell r="K693" t="e">
            <v>#N/A</v>
          </cell>
          <cell r="L693" t="e">
            <v>#N/A</v>
          </cell>
          <cell r="M693" t="e">
            <v>#N/A</v>
          </cell>
          <cell r="N693" t="e">
            <v>#N/A</v>
          </cell>
          <cell r="O693" t="e">
            <v>#N/A</v>
          </cell>
          <cell r="P693">
            <v>63.51</v>
          </cell>
          <cell r="Q693" t="str">
            <v/>
          </cell>
          <cell r="R693" t="e">
            <v>#N/A</v>
          </cell>
        </row>
        <row r="694">
          <cell r="A694">
            <v>40472</v>
          </cell>
          <cell r="B694">
            <v>40472</v>
          </cell>
          <cell r="C694" t="str">
            <v>Future</v>
          </cell>
          <cell r="D694" t="e">
            <v>#N/A</v>
          </cell>
          <cell r="E694">
            <v>29.50464566929157</v>
          </cell>
          <cell r="F694">
            <v>77.693622047244929</v>
          </cell>
          <cell r="G694">
            <v>56.276299212598367</v>
          </cell>
          <cell r="H694">
            <v>56.276299212598367</v>
          </cell>
          <cell r="I694" t="e">
            <v>#N/A</v>
          </cell>
          <cell r="J694" t="e">
            <v>#N/A</v>
          </cell>
          <cell r="K694" t="e">
            <v>#N/A</v>
          </cell>
          <cell r="L694" t="e">
            <v>#N/A</v>
          </cell>
          <cell r="M694" t="e">
            <v>#N/A</v>
          </cell>
          <cell r="N694" t="e">
            <v>#N/A</v>
          </cell>
          <cell r="O694" t="e">
            <v>#N/A</v>
          </cell>
          <cell r="P694">
            <v>63.51</v>
          </cell>
          <cell r="Q694" t="str">
            <v/>
          </cell>
          <cell r="R694" t="e">
            <v>#N/A</v>
          </cell>
        </row>
        <row r="695">
          <cell r="A695">
            <v>40473</v>
          </cell>
          <cell r="B695">
            <v>40473</v>
          </cell>
          <cell r="C695" t="str">
            <v>Future</v>
          </cell>
          <cell r="D695" t="e">
            <v>#N/A</v>
          </cell>
          <cell r="E695">
            <v>29.254606299212831</v>
          </cell>
          <cell r="F695">
            <v>77.797913385827613</v>
          </cell>
          <cell r="G695">
            <v>56.223110236220414</v>
          </cell>
          <cell r="H695">
            <v>56.223110236220414</v>
          </cell>
          <cell r="I695" t="e">
            <v>#N/A</v>
          </cell>
          <cell r="J695" t="e">
            <v>#N/A</v>
          </cell>
          <cell r="K695" t="e">
            <v>#N/A</v>
          </cell>
          <cell r="L695" t="e">
            <v>#N/A</v>
          </cell>
          <cell r="M695" t="e">
            <v>#N/A</v>
          </cell>
          <cell r="N695" t="e">
            <v>#N/A</v>
          </cell>
          <cell r="O695" t="e">
            <v>#N/A</v>
          </cell>
          <cell r="P695">
            <v>63.51</v>
          </cell>
          <cell r="Q695" t="str">
            <v/>
          </cell>
          <cell r="R695" t="e">
            <v>#N/A</v>
          </cell>
        </row>
        <row r="696">
          <cell r="A696">
            <v>40476</v>
          </cell>
          <cell r="B696">
            <v>40476</v>
          </cell>
          <cell r="C696" t="str">
            <v>Future</v>
          </cell>
          <cell r="D696" t="e">
            <v>#N/A</v>
          </cell>
          <cell r="E696">
            <v>29.004566929134093</v>
          </cell>
          <cell r="F696">
            <v>77.902204724410296</v>
          </cell>
          <cell r="G696">
            <v>56.169921259842461</v>
          </cell>
          <cell r="H696">
            <v>56.169921259842461</v>
          </cell>
          <cell r="I696" t="e">
            <v>#N/A</v>
          </cell>
          <cell r="J696" t="e">
            <v>#N/A</v>
          </cell>
          <cell r="K696" t="e">
            <v>#N/A</v>
          </cell>
          <cell r="L696" t="e">
            <v>#N/A</v>
          </cell>
          <cell r="M696" t="e">
            <v>#N/A</v>
          </cell>
          <cell r="N696" t="e">
            <v>#N/A</v>
          </cell>
          <cell r="O696" t="e">
            <v>#N/A</v>
          </cell>
          <cell r="P696">
            <v>63.51</v>
          </cell>
          <cell r="Q696" t="str">
            <v/>
          </cell>
          <cell r="R696" t="e">
            <v>#N/A</v>
          </cell>
        </row>
        <row r="697">
          <cell r="A697">
            <v>40477</v>
          </cell>
          <cell r="B697">
            <v>40477</v>
          </cell>
          <cell r="C697" t="str">
            <v>Future</v>
          </cell>
          <cell r="D697" t="e">
            <v>#N/A</v>
          </cell>
          <cell r="E697">
            <v>28.754527559055354</v>
          </cell>
          <cell r="F697">
            <v>78.00649606299298</v>
          </cell>
          <cell r="G697">
            <v>56.116732283464508</v>
          </cell>
          <cell r="H697">
            <v>56.116732283464508</v>
          </cell>
          <cell r="I697" t="e">
            <v>#N/A</v>
          </cell>
          <cell r="J697" t="e">
            <v>#N/A</v>
          </cell>
          <cell r="K697" t="e">
            <v>#N/A</v>
          </cell>
          <cell r="L697" t="e">
            <v>#N/A</v>
          </cell>
          <cell r="M697" t="e">
            <v>#N/A</v>
          </cell>
          <cell r="N697" t="e">
            <v>#N/A</v>
          </cell>
          <cell r="O697" t="e">
            <v>#N/A</v>
          </cell>
          <cell r="P697">
            <v>63.51</v>
          </cell>
          <cell r="Q697" t="str">
            <v/>
          </cell>
          <cell r="R697" t="e">
            <v>#N/A</v>
          </cell>
        </row>
        <row r="698">
          <cell r="A698">
            <v>40478</v>
          </cell>
          <cell r="B698">
            <v>40478</v>
          </cell>
          <cell r="C698" t="str">
            <v>Future</v>
          </cell>
          <cell r="D698" t="e">
            <v>#N/A</v>
          </cell>
          <cell r="E698">
            <v>28.504488188976616</v>
          </cell>
          <cell r="F698">
            <v>78.110787401575664</v>
          </cell>
          <cell r="G698">
            <v>56.063543307086555</v>
          </cell>
          <cell r="H698">
            <v>56.063543307086555</v>
          </cell>
          <cell r="I698" t="e">
            <v>#N/A</v>
          </cell>
          <cell r="J698" t="e">
            <v>#N/A</v>
          </cell>
          <cell r="K698" t="e">
            <v>#N/A</v>
          </cell>
          <cell r="L698" t="e">
            <v>#N/A</v>
          </cell>
          <cell r="M698" t="e">
            <v>#N/A</v>
          </cell>
          <cell r="N698" t="e">
            <v>#N/A</v>
          </cell>
          <cell r="O698" t="e">
            <v>#N/A</v>
          </cell>
          <cell r="P698">
            <v>63.51</v>
          </cell>
          <cell r="Q698" t="str">
            <v/>
          </cell>
          <cell r="R698" t="e">
            <v>#N/A</v>
          </cell>
        </row>
        <row r="699">
          <cell r="A699">
            <v>40479</v>
          </cell>
          <cell r="B699">
            <v>40479</v>
          </cell>
          <cell r="C699" t="str">
            <v>Future</v>
          </cell>
          <cell r="D699" t="e">
            <v>#N/A</v>
          </cell>
          <cell r="E699">
            <v>28.254448818897878</v>
          </cell>
          <cell r="F699">
            <v>78.215078740158347</v>
          </cell>
          <cell r="G699">
            <v>56.010354330708601</v>
          </cell>
          <cell r="H699">
            <v>56.010354330708601</v>
          </cell>
          <cell r="I699" t="e">
            <v>#N/A</v>
          </cell>
          <cell r="J699" t="e">
            <v>#N/A</v>
          </cell>
          <cell r="K699" t="e">
            <v>#N/A</v>
          </cell>
          <cell r="L699" t="e">
            <v>#N/A</v>
          </cell>
          <cell r="M699" t="e">
            <v>#N/A</v>
          </cell>
          <cell r="N699" t="e">
            <v>#N/A</v>
          </cell>
          <cell r="O699" t="e">
            <v>#N/A</v>
          </cell>
          <cell r="P699">
            <v>63.51</v>
          </cell>
          <cell r="Q699" t="str">
            <v/>
          </cell>
          <cell r="R699" t="e">
            <v>#N/A</v>
          </cell>
        </row>
        <row r="700">
          <cell r="A700">
            <v>40480</v>
          </cell>
          <cell r="B700">
            <v>40480</v>
          </cell>
          <cell r="C700" t="str">
            <v>Future</v>
          </cell>
          <cell r="D700" t="e">
            <v>#N/A</v>
          </cell>
          <cell r="E700">
            <v>28.004409448819139</v>
          </cell>
          <cell r="F700">
            <v>78.319370078741031</v>
          </cell>
          <cell r="G700">
            <v>55.957165354330648</v>
          </cell>
          <cell r="H700">
            <v>55.957165354330648</v>
          </cell>
          <cell r="I700" t="e">
            <v>#N/A</v>
          </cell>
          <cell r="J700" t="e">
            <v>#N/A</v>
          </cell>
          <cell r="K700" t="e">
            <v>#N/A</v>
          </cell>
          <cell r="L700" t="e">
            <v>#N/A</v>
          </cell>
          <cell r="M700" t="e">
            <v>#N/A</v>
          </cell>
          <cell r="N700" t="e">
            <v>#N/A</v>
          </cell>
          <cell r="O700" t="e">
            <v>#N/A</v>
          </cell>
          <cell r="P700">
            <v>63.51</v>
          </cell>
          <cell r="Q700" t="str">
            <v/>
          </cell>
          <cell r="R700" t="e">
            <v>#N/A</v>
          </cell>
        </row>
        <row r="701">
          <cell r="A701">
            <v>40483</v>
          </cell>
          <cell r="B701">
            <v>40483</v>
          </cell>
          <cell r="C701" t="str">
            <v>Future</v>
          </cell>
          <cell r="D701" t="e">
            <v>#N/A</v>
          </cell>
          <cell r="E701">
            <v>27.754370078740401</v>
          </cell>
          <cell r="F701">
            <v>78.423661417323714</v>
          </cell>
          <cell r="G701">
            <v>55.903976377952695</v>
          </cell>
          <cell r="H701">
            <v>55.903976377952695</v>
          </cell>
          <cell r="I701" t="e">
            <v>#N/A</v>
          </cell>
          <cell r="J701" t="e">
            <v>#N/A</v>
          </cell>
          <cell r="K701" t="e">
            <v>#N/A</v>
          </cell>
          <cell r="L701" t="e">
            <v>#N/A</v>
          </cell>
          <cell r="M701" t="e">
            <v>#N/A</v>
          </cell>
          <cell r="N701" t="e">
            <v>#N/A</v>
          </cell>
          <cell r="O701" t="e">
            <v>#N/A</v>
          </cell>
          <cell r="P701">
            <v>63.51</v>
          </cell>
          <cell r="Q701" t="str">
            <v/>
          </cell>
          <cell r="R701" t="e">
            <v>#N/A</v>
          </cell>
        </row>
        <row r="702">
          <cell r="A702">
            <v>40484</v>
          </cell>
          <cell r="B702">
            <v>40484</v>
          </cell>
          <cell r="C702" t="str">
            <v>Future</v>
          </cell>
          <cell r="D702" t="e">
            <v>#N/A</v>
          </cell>
          <cell r="E702">
            <v>27.504330708661662</v>
          </cell>
          <cell r="F702">
            <v>78.527952755906398</v>
          </cell>
          <cell r="G702">
            <v>55.850787401574742</v>
          </cell>
          <cell r="H702">
            <v>55.850787401574742</v>
          </cell>
          <cell r="I702" t="e">
            <v>#N/A</v>
          </cell>
          <cell r="J702" t="e">
            <v>#N/A</v>
          </cell>
          <cell r="K702" t="e">
            <v>#N/A</v>
          </cell>
          <cell r="L702" t="e">
            <v>#N/A</v>
          </cell>
          <cell r="M702" t="e">
            <v>#N/A</v>
          </cell>
          <cell r="N702" t="e">
            <v>#N/A</v>
          </cell>
          <cell r="O702" t="e">
            <v>#N/A</v>
          </cell>
          <cell r="P702">
            <v>63.51</v>
          </cell>
          <cell r="Q702" t="str">
            <v/>
          </cell>
          <cell r="R702" t="e">
            <v>#N/A</v>
          </cell>
        </row>
        <row r="703">
          <cell r="A703">
            <v>40485</v>
          </cell>
          <cell r="B703">
            <v>40485</v>
          </cell>
          <cell r="C703" t="str">
            <v>Future</v>
          </cell>
          <cell r="D703" t="e">
            <v>#N/A</v>
          </cell>
          <cell r="E703">
            <v>27.254291338582924</v>
          </cell>
          <cell r="F703">
            <v>78.632244094489081</v>
          </cell>
          <cell r="G703">
            <v>55.797598425196789</v>
          </cell>
          <cell r="H703">
            <v>55.797598425196789</v>
          </cell>
          <cell r="I703" t="e">
            <v>#N/A</v>
          </cell>
          <cell r="J703" t="e">
            <v>#N/A</v>
          </cell>
          <cell r="K703" t="e">
            <v>#N/A</v>
          </cell>
          <cell r="L703" t="e">
            <v>#N/A</v>
          </cell>
          <cell r="M703" t="e">
            <v>#N/A</v>
          </cell>
          <cell r="N703" t="e">
            <v>#N/A</v>
          </cell>
          <cell r="O703" t="e">
            <v>#N/A</v>
          </cell>
          <cell r="P703">
            <v>63.51</v>
          </cell>
          <cell r="Q703" t="str">
            <v/>
          </cell>
          <cell r="R703" t="e">
            <v>#N/A</v>
          </cell>
        </row>
        <row r="704">
          <cell r="A704">
            <v>40486</v>
          </cell>
          <cell r="B704">
            <v>40486</v>
          </cell>
          <cell r="C704" t="str">
            <v>Future</v>
          </cell>
          <cell r="D704" t="e">
            <v>#N/A</v>
          </cell>
          <cell r="E704">
            <v>27.004251968504185</v>
          </cell>
          <cell r="F704">
            <v>78.736535433071765</v>
          </cell>
          <cell r="G704">
            <v>55.744409448818836</v>
          </cell>
          <cell r="H704">
            <v>55.744409448818836</v>
          </cell>
          <cell r="I704" t="e">
            <v>#N/A</v>
          </cell>
          <cell r="J704" t="e">
            <v>#N/A</v>
          </cell>
          <cell r="K704" t="e">
            <v>#N/A</v>
          </cell>
          <cell r="L704" t="e">
            <v>#N/A</v>
          </cell>
          <cell r="M704" t="e">
            <v>#N/A</v>
          </cell>
          <cell r="N704" t="e">
            <v>#N/A</v>
          </cell>
          <cell r="O704" t="e">
            <v>#N/A</v>
          </cell>
          <cell r="P704">
            <v>63.51</v>
          </cell>
          <cell r="Q704" t="str">
            <v/>
          </cell>
          <cell r="R704" t="e">
            <v>#N/A</v>
          </cell>
        </row>
        <row r="705">
          <cell r="A705">
            <v>40487</v>
          </cell>
          <cell r="B705">
            <v>40487</v>
          </cell>
          <cell r="C705" t="str">
            <v>Future</v>
          </cell>
          <cell r="D705" t="e">
            <v>#N/A</v>
          </cell>
          <cell r="E705">
            <v>26.754212598425447</v>
          </cell>
          <cell r="F705">
            <v>78.840826771654449</v>
          </cell>
          <cell r="G705">
            <v>55.691220472440882</v>
          </cell>
          <cell r="H705">
            <v>55.691220472440882</v>
          </cell>
          <cell r="I705" t="e">
            <v>#N/A</v>
          </cell>
          <cell r="J705" t="e">
            <v>#N/A</v>
          </cell>
          <cell r="K705" t="e">
            <v>#N/A</v>
          </cell>
          <cell r="L705" t="e">
            <v>#N/A</v>
          </cell>
          <cell r="M705" t="e">
            <v>#N/A</v>
          </cell>
          <cell r="N705" t="e">
            <v>#N/A</v>
          </cell>
          <cell r="O705" t="e">
            <v>#N/A</v>
          </cell>
          <cell r="P705">
            <v>63.51</v>
          </cell>
          <cell r="Q705" t="str">
            <v/>
          </cell>
          <cell r="R705" t="e">
            <v>#N/A</v>
          </cell>
        </row>
        <row r="706">
          <cell r="A706">
            <v>40490</v>
          </cell>
          <cell r="B706">
            <v>40490</v>
          </cell>
          <cell r="C706" t="str">
            <v>Future</v>
          </cell>
          <cell r="D706" t="e">
            <v>#N/A</v>
          </cell>
          <cell r="E706">
            <v>26.504173228346708</v>
          </cell>
          <cell r="F706">
            <v>78.945118110237132</v>
          </cell>
          <cell r="G706">
            <v>55.638031496062929</v>
          </cell>
          <cell r="H706">
            <v>55.638031496062929</v>
          </cell>
          <cell r="I706" t="e">
            <v>#N/A</v>
          </cell>
          <cell r="J706" t="e">
            <v>#N/A</v>
          </cell>
          <cell r="K706" t="e">
            <v>#N/A</v>
          </cell>
          <cell r="L706" t="e">
            <v>#N/A</v>
          </cell>
          <cell r="M706" t="e">
            <v>#N/A</v>
          </cell>
          <cell r="N706" t="e">
            <v>#N/A</v>
          </cell>
          <cell r="O706" t="e">
            <v>#N/A</v>
          </cell>
          <cell r="P706">
            <v>63.51</v>
          </cell>
          <cell r="Q706" t="str">
            <v/>
          </cell>
          <cell r="R706" t="e">
            <v>#N/A</v>
          </cell>
        </row>
        <row r="707">
          <cell r="A707">
            <v>40491</v>
          </cell>
          <cell r="B707">
            <v>40491</v>
          </cell>
          <cell r="C707" t="str">
            <v>Future</v>
          </cell>
          <cell r="D707" t="e">
            <v>#N/A</v>
          </cell>
          <cell r="E707">
            <v>26.25413385826797</v>
          </cell>
          <cell r="F707">
            <v>79.049409448819816</v>
          </cell>
          <cell r="G707">
            <v>55.584842519684976</v>
          </cell>
          <cell r="H707">
            <v>55.584842519684976</v>
          </cell>
          <cell r="I707" t="e">
            <v>#N/A</v>
          </cell>
          <cell r="J707" t="e">
            <v>#N/A</v>
          </cell>
          <cell r="K707" t="e">
            <v>#N/A</v>
          </cell>
          <cell r="L707" t="e">
            <v>#N/A</v>
          </cell>
          <cell r="M707" t="e">
            <v>#N/A</v>
          </cell>
          <cell r="N707" t="e">
            <v>#N/A</v>
          </cell>
          <cell r="O707" t="e">
            <v>#N/A</v>
          </cell>
          <cell r="P707">
            <v>63.51</v>
          </cell>
          <cell r="Q707" t="str">
            <v/>
          </cell>
          <cell r="R707" t="e">
            <v>#N/A</v>
          </cell>
        </row>
        <row r="708">
          <cell r="A708">
            <v>40492</v>
          </cell>
          <cell r="B708">
            <v>40492</v>
          </cell>
          <cell r="C708" t="str">
            <v>Future</v>
          </cell>
          <cell r="D708" t="e">
            <v>#N/A</v>
          </cell>
          <cell r="E708">
            <v>26.004094488189232</v>
          </cell>
          <cell r="F708">
            <v>79.153700787402499</v>
          </cell>
          <cell r="G708">
            <v>55.531653543307023</v>
          </cell>
          <cell r="H708">
            <v>55.531653543307023</v>
          </cell>
          <cell r="I708" t="e">
            <v>#N/A</v>
          </cell>
          <cell r="J708" t="e">
            <v>#N/A</v>
          </cell>
          <cell r="K708" t="e">
            <v>#N/A</v>
          </cell>
          <cell r="L708" t="e">
            <v>#N/A</v>
          </cell>
          <cell r="M708" t="e">
            <v>#N/A</v>
          </cell>
          <cell r="N708" t="e">
            <v>#N/A</v>
          </cell>
          <cell r="O708" t="e">
            <v>#N/A</v>
          </cell>
          <cell r="P708">
            <v>63.51</v>
          </cell>
          <cell r="Q708" t="str">
            <v/>
          </cell>
          <cell r="R708" t="e">
            <v>#N/A</v>
          </cell>
        </row>
        <row r="709">
          <cell r="A709">
            <v>40493</v>
          </cell>
          <cell r="B709">
            <v>40493</v>
          </cell>
          <cell r="C709" t="str">
            <v>Future</v>
          </cell>
          <cell r="D709" t="e">
            <v>#N/A</v>
          </cell>
          <cell r="E709">
            <v>25.754055118110493</v>
          </cell>
          <cell r="F709">
            <v>79.257992125985183</v>
          </cell>
          <cell r="G709">
            <v>55.47846456692907</v>
          </cell>
          <cell r="H709">
            <v>55.47846456692907</v>
          </cell>
          <cell r="I709" t="e">
            <v>#N/A</v>
          </cell>
          <cell r="J709" t="e">
            <v>#N/A</v>
          </cell>
          <cell r="K709" t="e">
            <v>#N/A</v>
          </cell>
          <cell r="L709" t="e">
            <v>#N/A</v>
          </cell>
          <cell r="M709" t="e">
            <v>#N/A</v>
          </cell>
          <cell r="N709" t="e">
            <v>#N/A</v>
          </cell>
          <cell r="O709" t="e">
            <v>#N/A</v>
          </cell>
          <cell r="P709">
            <v>63.51</v>
          </cell>
          <cell r="Q709" t="str">
            <v/>
          </cell>
          <cell r="R709" t="e">
            <v>#N/A</v>
          </cell>
        </row>
        <row r="710">
          <cell r="A710">
            <v>40494</v>
          </cell>
          <cell r="B710">
            <v>40494</v>
          </cell>
          <cell r="C710" t="str">
            <v>Future</v>
          </cell>
          <cell r="D710" t="e">
            <v>#N/A</v>
          </cell>
          <cell r="E710">
            <v>25.504015748031755</v>
          </cell>
          <cell r="F710">
            <v>79.362283464567867</v>
          </cell>
          <cell r="G710">
            <v>55.425275590551117</v>
          </cell>
          <cell r="H710">
            <v>55.425275590551117</v>
          </cell>
          <cell r="I710" t="e">
            <v>#N/A</v>
          </cell>
          <cell r="J710" t="e">
            <v>#N/A</v>
          </cell>
          <cell r="K710" t="e">
            <v>#N/A</v>
          </cell>
          <cell r="L710" t="e">
            <v>#N/A</v>
          </cell>
          <cell r="M710" t="e">
            <v>#N/A</v>
          </cell>
          <cell r="N710" t="e">
            <v>#N/A</v>
          </cell>
          <cell r="O710" t="e">
            <v>#N/A</v>
          </cell>
          <cell r="P710">
            <v>63.51</v>
          </cell>
          <cell r="Q710" t="str">
            <v/>
          </cell>
          <cell r="R710" t="e">
            <v>#N/A</v>
          </cell>
        </row>
        <row r="711">
          <cell r="A711">
            <v>40497</v>
          </cell>
          <cell r="B711">
            <v>40497</v>
          </cell>
          <cell r="C711" t="str">
            <v>Future</v>
          </cell>
          <cell r="D711" t="e">
            <v>#N/A</v>
          </cell>
          <cell r="E711">
            <v>25.253976377953016</v>
          </cell>
          <cell r="F711">
            <v>79.46657480315055</v>
          </cell>
          <cell r="G711">
            <v>55.372086614173163</v>
          </cell>
          <cell r="H711">
            <v>55.372086614173163</v>
          </cell>
          <cell r="I711" t="e">
            <v>#N/A</v>
          </cell>
          <cell r="J711" t="e">
            <v>#N/A</v>
          </cell>
          <cell r="K711" t="e">
            <v>#N/A</v>
          </cell>
          <cell r="L711" t="e">
            <v>#N/A</v>
          </cell>
          <cell r="M711" t="e">
            <v>#N/A</v>
          </cell>
          <cell r="N711" t="e">
            <v>#N/A</v>
          </cell>
          <cell r="O711" t="e">
            <v>#N/A</v>
          </cell>
          <cell r="P711">
            <v>63.51</v>
          </cell>
          <cell r="Q711" t="str">
            <v/>
          </cell>
          <cell r="R711" t="e">
            <v>#N/A</v>
          </cell>
        </row>
        <row r="712">
          <cell r="A712">
            <v>40498</v>
          </cell>
          <cell r="B712">
            <v>40498</v>
          </cell>
          <cell r="C712" t="str">
            <v>Future</v>
          </cell>
          <cell r="D712" t="e">
            <v>#N/A</v>
          </cell>
          <cell r="E712">
            <v>25.003937007874278</v>
          </cell>
          <cell r="F712">
            <v>79.570866141733234</v>
          </cell>
          <cell r="G712">
            <v>55.31889763779521</v>
          </cell>
          <cell r="H712">
            <v>55.31889763779521</v>
          </cell>
          <cell r="I712" t="e">
            <v>#N/A</v>
          </cell>
          <cell r="J712" t="e">
            <v>#N/A</v>
          </cell>
          <cell r="K712" t="e">
            <v>#N/A</v>
          </cell>
          <cell r="L712" t="e">
            <v>#N/A</v>
          </cell>
          <cell r="M712" t="e">
            <v>#N/A</v>
          </cell>
          <cell r="N712" t="e">
            <v>#N/A</v>
          </cell>
          <cell r="O712" t="e">
            <v>#N/A</v>
          </cell>
          <cell r="P712">
            <v>63.51</v>
          </cell>
          <cell r="Q712" t="str">
            <v/>
          </cell>
          <cell r="R712" t="e">
            <v>#N/A</v>
          </cell>
        </row>
        <row r="713">
          <cell r="A713">
            <v>40499</v>
          </cell>
          <cell r="B713">
            <v>40499</v>
          </cell>
          <cell r="C713" t="str">
            <v>Future</v>
          </cell>
          <cell r="D713" t="e">
            <v>#N/A</v>
          </cell>
          <cell r="E713">
            <v>24.753897637795539</v>
          </cell>
          <cell r="F713">
            <v>79.675157480315917</v>
          </cell>
          <cell r="G713">
            <v>55.265708661417257</v>
          </cell>
          <cell r="H713">
            <v>55.265708661417257</v>
          </cell>
          <cell r="I713" t="e">
            <v>#N/A</v>
          </cell>
          <cell r="J713" t="e">
            <v>#N/A</v>
          </cell>
          <cell r="K713" t="e">
            <v>#N/A</v>
          </cell>
          <cell r="L713" t="e">
            <v>#N/A</v>
          </cell>
          <cell r="M713" t="e">
            <v>#N/A</v>
          </cell>
          <cell r="N713" t="e">
            <v>#N/A</v>
          </cell>
          <cell r="O713" t="e">
            <v>#N/A</v>
          </cell>
          <cell r="P713">
            <v>63.51</v>
          </cell>
          <cell r="Q713" t="str">
            <v/>
          </cell>
          <cell r="R713" t="e">
            <v>#N/A</v>
          </cell>
        </row>
        <row r="714">
          <cell r="A714">
            <v>40500</v>
          </cell>
          <cell r="B714">
            <v>40500</v>
          </cell>
          <cell r="C714" t="str">
            <v>Future</v>
          </cell>
          <cell r="D714" t="e">
            <v>#N/A</v>
          </cell>
          <cell r="E714">
            <v>24.503858267716801</v>
          </cell>
          <cell r="F714">
            <v>79.779448818898601</v>
          </cell>
          <cell r="G714">
            <v>55.212519685039304</v>
          </cell>
          <cell r="H714">
            <v>55.212519685039304</v>
          </cell>
          <cell r="I714" t="e">
            <v>#N/A</v>
          </cell>
          <cell r="J714" t="e">
            <v>#N/A</v>
          </cell>
          <cell r="K714" t="e">
            <v>#N/A</v>
          </cell>
          <cell r="L714" t="e">
            <v>#N/A</v>
          </cell>
          <cell r="M714" t="e">
            <v>#N/A</v>
          </cell>
          <cell r="N714" t="e">
            <v>#N/A</v>
          </cell>
          <cell r="O714" t="e">
            <v>#N/A</v>
          </cell>
          <cell r="P714">
            <v>63.51</v>
          </cell>
          <cell r="Q714" t="str">
            <v/>
          </cell>
          <cell r="R714" t="e">
            <v>#N/A</v>
          </cell>
        </row>
        <row r="715">
          <cell r="A715">
            <v>40501</v>
          </cell>
          <cell r="B715">
            <v>40501</v>
          </cell>
          <cell r="C715" t="str">
            <v>Future</v>
          </cell>
          <cell r="D715" t="e">
            <v>#N/A</v>
          </cell>
          <cell r="E715">
            <v>24.253818897638062</v>
          </cell>
          <cell r="F715">
            <v>79.883740157481284</v>
          </cell>
          <cell r="G715">
            <v>55.159330708661351</v>
          </cell>
          <cell r="H715">
            <v>55.159330708661351</v>
          </cell>
          <cell r="I715" t="e">
            <v>#N/A</v>
          </cell>
          <cell r="J715" t="e">
            <v>#N/A</v>
          </cell>
          <cell r="K715" t="e">
            <v>#N/A</v>
          </cell>
          <cell r="L715" t="e">
            <v>#N/A</v>
          </cell>
          <cell r="M715" t="e">
            <v>#N/A</v>
          </cell>
          <cell r="N715" t="e">
            <v>#N/A</v>
          </cell>
          <cell r="O715" t="e">
            <v>#N/A</v>
          </cell>
          <cell r="P715">
            <v>63.51</v>
          </cell>
          <cell r="Q715" t="str">
            <v/>
          </cell>
          <cell r="R715" t="e">
            <v>#N/A</v>
          </cell>
        </row>
        <row r="716">
          <cell r="A716">
            <v>40504</v>
          </cell>
          <cell r="B716">
            <v>40504</v>
          </cell>
          <cell r="C716" t="str">
            <v>Future</v>
          </cell>
          <cell r="D716" t="e">
            <v>#N/A</v>
          </cell>
          <cell r="E716">
            <v>24.003779527559324</v>
          </cell>
          <cell r="F716">
            <v>79.988031496063968</v>
          </cell>
          <cell r="G716">
            <v>55.106141732283398</v>
          </cell>
          <cell r="H716">
            <v>55.106141732283398</v>
          </cell>
          <cell r="I716" t="e">
            <v>#N/A</v>
          </cell>
          <cell r="J716" t="e">
            <v>#N/A</v>
          </cell>
          <cell r="K716" t="e">
            <v>#N/A</v>
          </cell>
          <cell r="L716" t="e">
            <v>#N/A</v>
          </cell>
          <cell r="M716" t="e">
            <v>#N/A</v>
          </cell>
          <cell r="N716" t="e">
            <v>#N/A</v>
          </cell>
          <cell r="O716" t="e">
            <v>#N/A</v>
          </cell>
          <cell r="P716">
            <v>63.51</v>
          </cell>
          <cell r="Q716" t="str">
            <v/>
          </cell>
          <cell r="R716" t="e">
            <v>#N/A</v>
          </cell>
        </row>
        <row r="717">
          <cell r="A717">
            <v>40505</v>
          </cell>
          <cell r="B717">
            <v>40505</v>
          </cell>
          <cell r="C717" t="str">
            <v>Future</v>
          </cell>
          <cell r="D717" t="e">
            <v>#N/A</v>
          </cell>
          <cell r="E717">
            <v>23.753740157480586</v>
          </cell>
          <cell r="F717">
            <v>80.092322834646652</v>
          </cell>
          <cell r="G717">
            <v>55.052952755905444</v>
          </cell>
          <cell r="H717">
            <v>55.052952755905444</v>
          </cell>
          <cell r="I717" t="e">
            <v>#N/A</v>
          </cell>
          <cell r="J717" t="e">
            <v>#N/A</v>
          </cell>
          <cell r="K717" t="e">
            <v>#N/A</v>
          </cell>
          <cell r="L717" t="e">
            <v>#N/A</v>
          </cell>
          <cell r="M717" t="e">
            <v>#N/A</v>
          </cell>
          <cell r="N717" t="e">
            <v>#N/A</v>
          </cell>
          <cell r="O717" t="e">
            <v>#N/A</v>
          </cell>
          <cell r="P717">
            <v>63.51</v>
          </cell>
          <cell r="Q717" t="str">
            <v/>
          </cell>
          <cell r="R717" t="e">
            <v>#N/A</v>
          </cell>
        </row>
        <row r="718">
          <cell r="A718">
            <v>40506</v>
          </cell>
          <cell r="B718">
            <v>40506</v>
          </cell>
          <cell r="C718" t="str">
            <v>Future</v>
          </cell>
          <cell r="D718" t="e">
            <v>#N/A</v>
          </cell>
          <cell r="E718">
            <v>23.503700787401847</v>
          </cell>
          <cell r="F718">
            <v>80.196614173229335</v>
          </cell>
          <cell r="G718">
            <v>54.999763779527491</v>
          </cell>
          <cell r="H718">
            <v>54.999763779527491</v>
          </cell>
          <cell r="I718" t="e">
            <v>#N/A</v>
          </cell>
          <cell r="J718" t="e">
            <v>#N/A</v>
          </cell>
          <cell r="K718" t="e">
            <v>#N/A</v>
          </cell>
          <cell r="L718" t="e">
            <v>#N/A</v>
          </cell>
          <cell r="M718" t="e">
            <v>#N/A</v>
          </cell>
          <cell r="N718" t="e">
            <v>#N/A</v>
          </cell>
          <cell r="O718" t="e">
            <v>#N/A</v>
          </cell>
          <cell r="P718">
            <v>63.51</v>
          </cell>
          <cell r="Q718" t="str">
            <v/>
          </cell>
          <cell r="R718" t="e">
            <v>#N/A</v>
          </cell>
        </row>
        <row r="719">
          <cell r="A719">
            <v>40508</v>
          </cell>
          <cell r="B719">
            <v>40508</v>
          </cell>
          <cell r="C719" t="str">
            <v>Future</v>
          </cell>
          <cell r="D719" t="e">
            <v>#N/A</v>
          </cell>
          <cell r="E719">
            <v>23.253661417323109</v>
          </cell>
          <cell r="F719">
            <v>80.300905511812019</v>
          </cell>
          <cell r="G719">
            <v>54.946574803149538</v>
          </cell>
          <cell r="H719">
            <v>54.946574803149538</v>
          </cell>
          <cell r="I719" t="e">
            <v>#N/A</v>
          </cell>
          <cell r="J719" t="e">
            <v>#N/A</v>
          </cell>
          <cell r="K719" t="e">
            <v>#N/A</v>
          </cell>
          <cell r="L719" t="e">
            <v>#N/A</v>
          </cell>
          <cell r="M719" t="e">
            <v>#N/A</v>
          </cell>
          <cell r="N719" t="e">
            <v>#N/A</v>
          </cell>
          <cell r="O719" t="e">
            <v>#N/A</v>
          </cell>
          <cell r="P719">
            <v>63.51</v>
          </cell>
          <cell r="Q719" t="str">
            <v/>
          </cell>
          <cell r="R719" t="e">
            <v>#N/A</v>
          </cell>
        </row>
        <row r="720">
          <cell r="A720">
            <v>40511</v>
          </cell>
          <cell r="B720">
            <v>40511</v>
          </cell>
          <cell r="C720" t="str">
            <v>Future</v>
          </cell>
          <cell r="D720" t="e">
            <v>#N/A</v>
          </cell>
          <cell r="E720">
            <v>23.00362204724437</v>
          </cell>
          <cell r="F720">
            <v>80.405196850394702</v>
          </cell>
          <cell r="G720">
            <v>54.893385826771585</v>
          </cell>
          <cell r="H720">
            <v>54.893385826771585</v>
          </cell>
          <cell r="I720" t="e">
            <v>#N/A</v>
          </cell>
          <cell r="J720" t="e">
            <v>#N/A</v>
          </cell>
          <cell r="K720" t="e">
            <v>#N/A</v>
          </cell>
          <cell r="L720" t="e">
            <v>#N/A</v>
          </cell>
          <cell r="M720" t="e">
            <v>#N/A</v>
          </cell>
          <cell r="N720" t="e">
            <v>#N/A</v>
          </cell>
          <cell r="O720" t="e">
            <v>#N/A</v>
          </cell>
          <cell r="P720">
            <v>63.51</v>
          </cell>
          <cell r="Q720" t="str">
            <v/>
          </cell>
          <cell r="R720" t="e">
            <v>#N/A</v>
          </cell>
        </row>
        <row r="721">
          <cell r="A721">
            <v>40512</v>
          </cell>
          <cell r="B721">
            <v>40512</v>
          </cell>
          <cell r="C721" t="str">
            <v>Future</v>
          </cell>
          <cell r="D721" t="e">
            <v>#N/A</v>
          </cell>
          <cell r="E721">
            <v>22.753582677165632</v>
          </cell>
          <cell r="F721">
            <v>80.509488188977386</v>
          </cell>
          <cell r="G721">
            <v>54.840196850393632</v>
          </cell>
          <cell r="H721">
            <v>54.840196850393632</v>
          </cell>
          <cell r="I721" t="e">
            <v>#N/A</v>
          </cell>
          <cell r="J721" t="e">
            <v>#N/A</v>
          </cell>
          <cell r="K721" t="e">
            <v>#N/A</v>
          </cell>
          <cell r="L721" t="e">
            <v>#N/A</v>
          </cell>
          <cell r="M721" t="e">
            <v>#N/A</v>
          </cell>
          <cell r="N721" t="e">
            <v>#N/A</v>
          </cell>
          <cell r="O721" t="e">
            <v>#N/A</v>
          </cell>
          <cell r="P721">
            <v>63.51</v>
          </cell>
          <cell r="Q721" t="str">
            <v/>
          </cell>
          <cell r="R721" t="e">
            <v>#N/A</v>
          </cell>
        </row>
        <row r="722">
          <cell r="A722">
            <v>40513</v>
          </cell>
          <cell r="B722">
            <v>40513</v>
          </cell>
          <cell r="C722" t="str">
            <v>Future</v>
          </cell>
          <cell r="D722" t="e">
            <v>#N/A</v>
          </cell>
          <cell r="E722">
            <v>22.503543307086893</v>
          </cell>
          <cell r="F722">
            <v>80.613779527560069</v>
          </cell>
          <cell r="G722">
            <v>54.787007874015679</v>
          </cell>
          <cell r="H722">
            <v>54.787007874015679</v>
          </cell>
          <cell r="I722" t="e">
            <v>#N/A</v>
          </cell>
          <cell r="J722" t="e">
            <v>#N/A</v>
          </cell>
          <cell r="K722" t="e">
            <v>#N/A</v>
          </cell>
          <cell r="L722" t="e">
            <v>#N/A</v>
          </cell>
          <cell r="M722" t="e">
            <v>#N/A</v>
          </cell>
          <cell r="N722" t="e">
            <v>#N/A</v>
          </cell>
          <cell r="O722" t="e">
            <v>#N/A</v>
          </cell>
          <cell r="P722">
            <v>63.51</v>
          </cell>
          <cell r="Q722" t="str">
            <v/>
          </cell>
          <cell r="R722" t="e">
            <v>#N/A</v>
          </cell>
        </row>
        <row r="723">
          <cell r="A723">
            <v>40514</v>
          </cell>
          <cell r="B723">
            <v>40514</v>
          </cell>
          <cell r="C723" t="str">
            <v>Future</v>
          </cell>
          <cell r="D723" t="e">
            <v>#N/A</v>
          </cell>
          <cell r="E723">
            <v>22.253503937008155</v>
          </cell>
          <cell r="F723">
            <v>80.718070866142753</v>
          </cell>
          <cell r="G723">
            <v>54.733818897637725</v>
          </cell>
          <cell r="H723">
            <v>54.733818897637725</v>
          </cell>
          <cell r="I723" t="e">
            <v>#N/A</v>
          </cell>
          <cell r="J723" t="e">
            <v>#N/A</v>
          </cell>
          <cell r="K723" t="e">
            <v>#N/A</v>
          </cell>
          <cell r="L723" t="e">
            <v>#N/A</v>
          </cell>
          <cell r="M723" t="e">
            <v>#N/A</v>
          </cell>
          <cell r="N723" t="e">
            <v>#N/A</v>
          </cell>
          <cell r="O723" t="e">
            <v>#N/A</v>
          </cell>
          <cell r="P723">
            <v>63.51</v>
          </cell>
          <cell r="Q723" t="str">
            <v/>
          </cell>
          <cell r="R723" t="e">
            <v>#N/A</v>
          </cell>
        </row>
        <row r="724">
          <cell r="A724">
            <v>40515</v>
          </cell>
          <cell r="B724">
            <v>40515</v>
          </cell>
          <cell r="C724" t="str">
            <v>Future</v>
          </cell>
          <cell r="D724" t="e">
            <v>#N/A</v>
          </cell>
          <cell r="E724">
            <v>22.003464566929416</v>
          </cell>
          <cell r="F724">
            <v>80.822362204725437</v>
          </cell>
          <cell r="G724">
            <v>54.680629921259772</v>
          </cell>
          <cell r="H724">
            <v>54.680629921259772</v>
          </cell>
          <cell r="I724" t="e">
            <v>#N/A</v>
          </cell>
          <cell r="J724" t="e">
            <v>#N/A</v>
          </cell>
          <cell r="K724" t="e">
            <v>#N/A</v>
          </cell>
          <cell r="L724" t="e">
            <v>#N/A</v>
          </cell>
          <cell r="M724" t="e">
            <v>#N/A</v>
          </cell>
          <cell r="N724" t="e">
            <v>#N/A</v>
          </cell>
          <cell r="O724" t="e">
            <v>#N/A</v>
          </cell>
          <cell r="P724">
            <v>63.51</v>
          </cell>
          <cell r="Q724" t="str">
            <v/>
          </cell>
          <cell r="R724" t="e">
            <v>#N/A</v>
          </cell>
        </row>
        <row r="725">
          <cell r="A725">
            <v>40518</v>
          </cell>
          <cell r="B725">
            <v>40518</v>
          </cell>
          <cell r="C725" t="str">
            <v>Future</v>
          </cell>
          <cell r="D725" t="e">
            <v>#N/A</v>
          </cell>
          <cell r="E725">
            <v>21.753425196850678</v>
          </cell>
          <cell r="F725">
            <v>80.92665354330812</v>
          </cell>
          <cell r="G725">
            <v>54.627440944881819</v>
          </cell>
          <cell r="H725">
            <v>54.627440944881819</v>
          </cell>
          <cell r="I725" t="e">
            <v>#N/A</v>
          </cell>
          <cell r="J725" t="e">
            <v>#N/A</v>
          </cell>
          <cell r="K725" t="e">
            <v>#N/A</v>
          </cell>
          <cell r="L725" t="e">
            <v>#N/A</v>
          </cell>
          <cell r="M725" t="e">
            <v>#N/A</v>
          </cell>
          <cell r="N725" t="e">
            <v>#N/A</v>
          </cell>
          <cell r="O725" t="e">
            <v>#N/A</v>
          </cell>
          <cell r="P725">
            <v>63.51</v>
          </cell>
          <cell r="Q725" t="str">
            <v/>
          </cell>
          <cell r="R725" t="e">
            <v>#N/A</v>
          </cell>
        </row>
        <row r="726">
          <cell r="A726">
            <v>40519</v>
          </cell>
          <cell r="B726">
            <v>40519</v>
          </cell>
          <cell r="C726" t="str">
            <v>Future</v>
          </cell>
          <cell r="D726" t="e">
            <v>#N/A</v>
          </cell>
          <cell r="E726">
            <v>21.50338582677194</v>
          </cell>
          <cell r="F726">
            <v>81.030944881890804</v>
          </cell>
          <cell r="G726">
            <v>54.574251968503866</v>
          </cell>
          <cell r="H726">
            <v>54.574251968503866</v>
          </cell>
          <cell r="I726" t="e">
            <v>#N/A</v>
          </cell>
          <cell r="J726" t="e">
            <v>#N/A</v>
          </cell>
          <cell r="K726" t="e">
            <v>#N/A</v>
          </cell>
          <cell r="L726" t="e">
            <v>#N/A</v>
          </cell>
          <cell r="M726" t="e">
            <v>#N/A</v>
          </cell>
          <cell r="N726" t="e">
            <v>#N/A</v>
          </cell>
          <cell r="O726" t="e">
            <v>#N/A</v>
          </cell>
          <cell r="P726">
            <v>63.51</v>
          </cell>
          <cell r="Q726" t="str">
            <v/>
          </cell>
          <cell r="R726" t="e">
            <v>#N/A</v>
          </cell>
        </row>
        <row r="727">
          <cell r="A727">
            <v>40520</v>
          </cell>
          <cell r="B727">
            <v>40520</v>
          </cell>
          <cell r="C727" t="str">
            <v>Future</v>
          </cell>
          <cell r="D727" t="e">
            <v>#N/A</v>
          </cell>
          <cell r="E727">
            <v>21.253346456693201</v>
          </cell>
          <cell r="F727">
            <v>81.135236220473487</v>
          </cell>
          <cell r="G727">
            <v>54.521062992125913</v>
          </cell>
          <cell r="H727">
            <v>54.521062992125913</v>
          </cell>
          <cell r="I727" t="e">
            <v>#N/A</v>
          </cell>
          <cell r="J727" t="e">
            <v>#N/A</v>
          </cell>
          <cell r="K727" t="e">
            <v>#N/A</v>
          </cell>
          <cell r="L727" t="e">
            <v>#N/A</v>
          </cell>
          <cell r="M727" t="e">
            <v>#N/A</v>
          </cell>
          <cell r="N727" t="e">
            <v>#N/A</v>
          </cell>
          <cell r="O727" t="e">
            <v>#N/A</v>
          </cell>
          <cell r="P727">
            <v>63.51</v>
          </cell>
          <cell r="Q727" t="str">
            <v/>
          </cell>
          <cell r="R727" t="e">
            <v>#N/A</v>
          </cell>
        </row>
        <row r="728">
          <cell r="A728">
            <v>40521</v>
          </cell>
          <cell r="B728">
            <v>40521</v>
          </cell>
          <cell r="C728" t="str">
            <v>Future</v>
          </cell>
          <cell r="D728" t="e">
            <v>#N/A</v>
          </cell>
          <cell r="E728">
            <v>21.003307086614463</v>
          </cell>
          <cell r="F728">
            <v>81.239527559056171</v>
          </cell>
          <cell r="G728">
            <v>54.46787401574796</v>
          </cell>
          <cell r="H728">
            <v>54.46787401574796</v>
          </cell>
          <cell r="I728" t="e">
            <v>#N/A</v>
          </cell>
          <cell r="J728" t="e">
            <v>#N/A</v>
          </cell>
          <cell r="K728" t="e">
            <v>#N/A</v>
          </cell>
          <cell r="L728" t="e">
            <v>#N/A</v>
          </cell>
          <cell r="M728" t="e">
            <v>#N/A</v>
          </cell>
          <cell r="N728" t="e">
            <v>#N/A</v>
          </cell>
          <cell r="O728" t="e">
            <v>#N/A</v>
          </cell>
          <cell r="P728">
            <v>63.51</v>
          </cell>
          <cell r="Q728" t="str">
            <v/>
          </cell>
          <cell r="R728" t="e">
            <v>#N/A</v>
          </cell>
        </row>
        <row r="729">
          <cell r="A729">
            <v>40522</v>
          </cell>
          <cell r="B729">
            <v>40522</v>
          </cell>
          <cell r="C729" t="str">
            <v>Future</v>
          </cell>
          <cell r="D729" t="e">
            <v>#N/A</v>
          </cell>
          <cell r="E729">
            <v>20.753267716535724</v>
          </cell>
          <cell r="F729">
            <v>81.343818897638855</v>
          </cell>
          <cell r="G729">
            <v>54.414685039370006</v>
          </cell>
          <cell r="H729">
            <v>54.414685039370006</v>
          </cell>
          <cell r="I729" t="e">
            <v>#N/A</v>
          </cell>
          <cell r="J729" t="e">
            <v>#N/A</v>
          </cell>
          <cell r="K729" t="e">
            <v>#N/A</v>
          </cell>
          <cell r="L729" t="e">
            <v>#N/A</v>
          </cell>
          <cell r="M729" t="e">
            <v>#N/A</v>
          </cell>
          <cell r="N729" t="e">
            <v>#N/A</v>
          </cell>
          <cell r="O729" t="e">
            <v>#N/A</v>
          </cell>
          <cell r="P729">
            <v>63.51</v>
          </cell>
          <cell r="Q729" t="str">
            <v/>
          </cell>
          <cell r="R729" t="e">
            <v>#N/A</v>
          </cell>
        </row>
        <row r="730">
          <cell r="A730">
            <v>40525</v>
          </cell>
          <cell r="B730">
            <v>40525</v>
          </cell>
          <cell r="C730" t="str">
            <v>Future</v>
          </cell>
          <cell r="D730" t="e">
            <v>#N/A</v>
          </cell>
          <cell r="E730">
            <v>20.503228346456986</v>
          </cell>
          <cell r="F730">
            <v>81.448110236221538</v>
          </cell>
          <cell r="G730">
            <v>54.361496062992053</v>
          </cell>
          <cell r="H730">
            <v>54.361496062992053</v>
          </cell>
          <cell r="I730" t="e">
            <v>#N/A</v>
          </cell>
          <cell r="J730" t="e">
            <v>#N/A</v>
          </cell>
          <cell r="K730" t="e">
            <v>#N/A</v>
          </cell>
          <cell r="L730" t="e">
            <v>#N/A</v>
          </cell>
          <cell r="M730" t="e">
            <v>#N/A</v>
          </cell>
          <cell r="N730" t="e">
            <v>#N/A</v>
          </cell>
          <cell r="O730" t="e">
            <v>#N/A</v>
          </cell>
          <cell r="P730">
            <v>63.51</v>
          </cell>
          <cell r="Q730" t="str">
            <v/>
          </cell>
          <cell r="R730" t="e">
            <v>#N/A</v>
          </cell>
        </row>
        <row r="731">
          <cell r="A731">
            <v>40526</v>
          </cell>
          <cell r="B731">
            <v>40526</v>
          </cell>
          <cell r="C731" t="str">
            <v>Future</v>
          </cell>
          <cell r="D731" t="e">
            <v>#N/A</v>
          </cell>
          <cell r="E731">
            <v>20.253188976378247</v>
          </cell>
          <cell r="F731">
            <v>81.552401574804222</v>
          </cell>
          <cell r="G731">
            <v>54.3083070866141</v>
          </cell>
          <cell r="H731">
            <v>54.3083070866141</v>
          </cell>
          <cell r="I731" t="e">
            <v>#N/A</v>
          </cell>
          <cell r="J731" t="e">
            <v>#N/A</v>
          </cell>
          <cell r="K731" t="e">
            <v>#N/A</v>
          </cell>
          <cell r="L731" t="e">
            <v>#N/A</v>
          </cell>
          <cell r="M731" t="e">
            <v>#N/A</v>
          </cell>
          <cell r="N731" t="e">
            <v>#N/A</v>
          </cell>
          <cell r="O731" t="e">
            <v>#N/A</v>
          </cell>
          <cell r="P731">
            <v>63.51</v>
          </cell>
          <cell r="Q731" t="str">
            <v/>
          </cell>
          <cell r="R731" t="e">
            <v>#N/A</v>
          </cell>
        </row>
        <row r="732">
          <cell r="A732">
            <v>40527</v>
          </cell>
          <cell r="B732">
            <v>40527</v>
          </cell>
          <cell r="C732" t="str">
            <v>Future</v>
          </cell>
          <cell r="D732" t="e">
            <v>#N/A</v>
          </cell>
          <cell r="E732">
            <v>20.003149606299509</v>
          </cell>
          <cell r="F732">
            <v>81.656692913386905</v>
          </cell>
          <cell r="G732">
            <v>54.255118110236147</v>
          </cell>
          <cell r="H732">
            <v>54.255118110236147</v>
          </cell>
          <cell r="I732" t="e">
            <v>#N/A</v>
          </cell>
          <cell r="J732" t="e">
            <v>#N/A</v>
          </cell>
          <cell r="K732" t="e">
            <v>#N/A</v>
          </cell>
          <cell r="L732" t="e">
            <v>#N/A</v>
          </cell>
          <cell r="M732" t="e">
            <v>#N/A</v>
          </cell>
          <cell r="N732" t="e">
            <v>#N/A</v>
          </cell>
          <cell r="O732" t="e">
            <v>#N/A</v>
          </cell>
          <cell r="P732">
            <v>63.51</v>
          </cell>
          <cell r="Q732" t="str">
            <v/>
          </cell>
          <cell r="R732" t="e">
            <v>#N/A</v>
          </cell>
        </row>
        <row r="733">
          <cell r="A733">
            <v>40528</v>
          </cell>
          <cell r="B733">
            <v>40528</v>
          </cell>
          <cell r="C733" t="str">
            <v>Future</v>
          </cell>
          <cell r="D733" t="e">
            <v>#N/A</v>
          </cell>
          <cell r="E733">
            <v>19.75311023622077</v>
          </cell>
          <cell r="F733">
            <v>81.760984251969589</v>
          </cell>
          <cell r="G733">
            <v>54.201929133858194</v>
          </cell>
          <cell r="H733">
            <v>54.201929133858194</v>
          </cell>
          <cell r="I733" t="e">
            <v>#N/A</v>
          </cell>
          <cell r="J733" t="e">
            <v>#N/A</v>
          </cell>
          <cell r="K733" t="e">
            <v>#N/A</v>
          </cell>
          <cell r="L733" t="e">
            <v>#N/A</v>
          </cell>
          <cell r="M733" t="e">
            <v>#N/A</v>
          </cell>
          <cell r="N733" t="e">
            <v>#N/A</v>
          </cell>
          <cell r="O733" t="e">
            <v>#N/A</v>
          </cell>
          <cell r="P733">
            <v>63.51</v>
          </cell>
          <cell r="Q733" t="str">
            <v/>
          </cell>
          <cell r="R733" t="e">
            <v>#N/A</v>
          </cell>
        </row>
        <row r="734">
          <cell r="A734">
            <v>40529</v>
          </cell>
          <cell r="B734">
            <v>40529</v>
          </cell>
          <cell r="C734" t="str">
            <v>Future</v>
          </cell>
          <cell r="D734" t="e">
            <v>#N/A</v>
          </cell>
          <cell r="E734">
            <v>19.503070866142032</v>
          </cell>
          <cell r="F734">
            <v>81.865275590552272</v>
          </cell>
          <cell r="G734">
            <v>54.14874015748024</v>
          </cell>
          <cell r="H734">
            <v>54.14874015748024</v>
          </cell>
          <cell r="I734" t="e">
            <v>#N/A</v>
          </cell>
          <cell r="J734" t="e">
            <v>#N/A</v>
          </cell>
          <cell r="K734" t="e">
            <v>#N/A</v>
          </cell>
          <cell r="L734" t="e">
            <v>#N/A</v>
          </cell>
          <cell r="M734" t="e">
            <v>#N/A</v>
          </cell>
          <cell r="N734" t="e">
            <v>#N/A</v>
          </cell>
          <cell r="O734" t="e">
            <v>#N/A</v>
          </cell>
          <cell r="P734">
            <v>63.51</v>
          </cell>
          <cell r="Q734" t="str">
            <v/>
          </cell>
          <cell r="R734" t="e">
            <v>#N/A</v>
          </cell>
        </row>
        <row r="735">
          <cell r="A735">
            <v>40532</v>
          </cell>
          <cell r="B735">
            <v>40532</v>
          </cell>
          <cell r="C735" t="str">
            <v>Future</v>
          </cell>
          <cell r="D735" t="e">
            <v>#N/A</v>
          </cell>
          <cell r="E735">
            <v>19.253031496063294</v>
          </cell>
          <cell r="F735">
            <v>81.969566929134956</v>
          </cell>
          <cell r="G735">
            <v>54.095551181102287</v>
          </cell>
          <cell r="H735">
            <v>54.095551181102287</v>
          </cell>
          <cell r="I735" t="e">
            <v>#N/A</v>
          </cell>
          <cell r="J735" t="e">
            <v>#N/A</v>
          </cell>
          <cell r="K735" t="e">
            <v>#N/A</v>
          </cell>
          <cell r="L735" t="e">
            <v>#N/A</v>
          </cell>
          <cell r="M735" t="e">
            <v>#N/A</v>
          </cell>
          <cell r="N735" t="e">
            <v>#N/A</v>
          </cell>
          <cell r="O735" t="e">
            <v>#N/A</v>
          </cell>
          <cell r="P735">
            <v>63.51</v>
          </cell>
          <cell r="Q735" t="str">
            <v/>
          </cell>
          <cell r="R735" t="e">
            <v>#N/A</v>
          </cell>
        </row>
        <row r="736">
          <cell r="A736">
            <v>40533</v>
          </cell>
          <cell r="B736">
            <v>40533</v>
          </cell>
          <cell r="C736" t="str">
            <v>Future</v>
          </cell>
          <cell r="D736" t="e">
            <v>#N/A</v>
          </cell>
          <cell r="E736">
            <v>19.002992125984555</v>
          </cell>
          <cell r="F736">
            <v>82.07385826771764</v>
          </cell>
          <cell r="G736">
            <v>54.042362204724334</v>
          </cell>
          <cell r="H736">
            <v>54.042362204724334</v>
          </cell>
          <cell r="I736" t="e">
            <v>#N/A</v>
          </cell>
          <cell r="J736" t="e">
            <v>#N/A</v>
          </cell>
          <cell r="K736" t="e">
            <v>#N/A</v>
          </cell>
          <cell r="L736" t="e">
            <v>#N/A</v>
          </cell>
          <cell r="M736" t="e">
            <v>#N/A</v>
          </cell>
          <cell r="N736" t="e">
            <v>#N/A</v>
          </cell>
          <cell r="O736" t="e">
            <v>#N/A</v>
          </cell>
          <cell r="P736">
            <v>63.51</v>
          </cell>
          <cell r="Q736" t="str">
            <v/>
          </cell>
          <cell r="R736" t="e">
            <v>#N/A</v>
          </cell>
        </row>
        <row r="737">
          <cell r="A737">
            <v>40534</v>
          </cell>
          <cell r="B737">
            <v>40534</v>
          </cell>
          <cell r="C737" t="str">
            <v>Future</v>
          </cell>
          <cell r="D737" t="e">
            <v>#N/A</v>
          </cell>
          <cell r="E737">
            <v>18.752952755905817</v>
          </cell>
          <cell r="F737">
            <v>82.178149606300323</v>
          </cell>
          <cell r="G737">
            <v>53.989173228346381</v>
          </cell>
          <cell r="H737">
            <v>53.989173228346381</v>
          </cell>
          <cell r="I737" t="e">
            <v>#N/A</v>
          </cell>
          <cell r="J737" t="e">
            <v>#N/A</v>
          </cell>
          <cell r="K737" t="e">
            <v>#N/A</v>
          </cell>
          <cell r="L737" t="e">
            <v>#N/A</v>
          </cell>
          <cell r="M737" t="e">
            <v>#N/A</v>
          </cell>
          <cell r="N737" t="e">
            <v>#N/A</v>
          </cell>
          <cell r="O737" t="e">
            <v>#N/A</v>
          </cell>
          <cell r="P737">
            <v>63.51</v>
          </cell>
          <cell r="Q737" t="str">
            <v/>
          </cell>
          <cell r="R737" t="e">
            <v>#N/A</v>
          </cell>
        </row>
        <row r="738">
          <cell r="A738">
            <v>40535</v>
          </cell>
          <cell r="B738">
            <v>40535</v>
          </cell>
          <cell r="C738" t="str">
            <v>Future</v>
          </cell>
          <cell r="D738" t="e">
            <v>#N/A</v>
          </cell>
          <cell r="E738">
            <v>18.502913385827078</v>
          </cell>
          <cell r="F738">
            <v>82.282440944883007</v>
          </cell>
          <cell r="G738">
            <v>53.935984251968428</v>
          </cell>
          <cell r="H738">
            <v>53.935984251968428</v>
          </cell>
          <cell r="I738" t="e">
            <v>#N/A</v>
          </cell>
          <cell r="J738" t="e">
            <v>#N/A</v>
          </cell>
          <cell r="K738" t="e">
            <v>#N/A</v>
          </cell>
          <cell r="L738" t="e">
            <v>#N/A</v>
          </cell>
          <cell r="M738" t="e">
            <v>#N/A</v>
          </cell>
          <cell r="N738" t="e">
            <v>#N/A</v>
          </cell>
          <cell r="O738" t="e">
            <v>#N/A</v>
          </cell>
          <cell r="P738">
            <v>63.51</v>
          </cell>
          <cell r="Q738" t="str">
            <v/>
          </cell>
          <cell r="R738" t="e">
            <v>#N/A</v>
          </cell>
        </row>
        <row r="739">
          <cell r="A739">
            <v>40539</v>
          </cell>
          <cell r="B739">
            <v>40539</v>
          </cell>
          <cell r="C739" t="str">
            <v>Future</v>
          </cell>
          <cell r="D739" t="e">
            <v>#N/A</v>
          </cell>
          <cell r="E739">
            <v>18.25287401574834</v>
          </cell>
          <cell r="F739">
            <v>82.38673228346569</v>
          </cell>
          <cell r="G739">
            <v>53.882795275590475</v>
          </cell>
          <cell r="H739">
            <v>53.882795275590475</v>
          </cell>
          <cell r="I739" t="e">
            <v>#N/A</v>
          </cell>
          <cell r="J739" t="e">
            <v>#N/A</v>
          </cell>
          <cell r="K739" t="e">
            <v>#N/A</v>
          </cell>
          <cell r="L739" t="e">
            <v>#N/A</v>
          </cell>
          <cell r="M739" t="e">
            <v>#N/A</v>
          </cell>
          <cell r="N739" t="e">
            <v>#N/A</v>
          </cell>
          <cell r="O739" t="e">
            <v>#N/A</v>
          </cell>
          <cell r="P739">
            <v>63.51</v>
          </cell>
          <cell r="Q739" t="str">
            <v/>
          </cell>
          <cell r="R739" t="e">
            <v>#N/A</v>
          </cell>
        </row>
        <row r="740">
          <cell r="A740">
            <v>40540</v>
          </cell>
          <cell r="B740">
            <v>40540</v>
          </cell>
          <cell r="C740" t="str">
            <v>Future</v>
          </cell>
          <cell r="D740" t="e">
            <v>#N/A</v>
          </cell>
          <cell r="E740">
            <v>18.002834645669601</v>
          </cell>
          <cell r="F740">
            <v>82.491023622048374</v>
          </cell>
          <cell r="G740">
            <v>53.829606299212521</v>
          </cell>
          <cell r="H740">
            <v>53.829606299212521</v>
          </cell>
          <cell r="I740" t="e">
            <v>#N/A</v>
          </cell>
          <cell r="J740" t="e">
            <v>#N/A</v>
          </cell>
          <cell r="K740" t="e">
            <v>#N/A</v>
          </cell>
          <cell r="L740" t="e">
            <v>#N/A</v>
          </cell>
          <cell r="M740" t="e">
            <v>#N/A</v>
          </cell>
          <cell r="N740" t="e">
            <v>#N/A</v>
          </cell>
          <cell r="O740" t="e">
            <v>#N/A</v>
          </cell>
          <cell r="P740">
            <v>63.51</v>
          </cell>
          <cell r="Q740" t="str">
            <v/>
          </cell>
          <cell r="R740" t="e">
            <v>#N/A</v>
          </cell>
        </row>
        <row r="741">
          <cell r="A741">
            <v>40541</v>
          </cell>
          <cell r="B741">
            <v>40541</v>
          </cell>
          <cell r="C741" t="str">
            <v>Future</v>
          </cell>
          <cell r="D741" t="e">
            <v>#N/A</v>
          </cell>
          <cell r="E741">
            <v>17.752795275590863</v>
          </cell>
          <cell r="F741">
            <v>82.595314960631057</v>
          </cell>
          <cell r="G741">
            <v>53.776417322834568</v>
          </cell>
          <cell r="H741">
            <v>53.776417322834568</v>
          </cell>
          <cell r="I741" t="e">
            <v>#N/A</v>
          </cell>
          <cell r="J741" t="e">
            <v>#N/A</v>
          </cell>
          <cell r="K741" t="e">
            <v>#N/A</v>
          </cell>
          <cell r="L741" t="e">
            <v>#N/A</v>
          </cell>
          <cell r="M741" t="e">
            <v>#N/A</v>
          </cell>
          <cell r="N741" t="e">
            <v>#N/A</v>
          </cell>
          <cell r="O741" t="e">
            <v>#N/A</v>
          </cell>
          <cell r="P741">
            <v>63.51</v>
          </cell>
          <cell r="Q741" t="str">
            <v/>
          </cell>
          <cell r="R741" t="e">
            <v>#N/A</v>
          </cell>
        </row>
        <row r="742">
          <cell r="A742">
            <v>40542</v>
          </cell>
          <cell r="B742">
            <v>40542</v>
          </cell>
          <cell r="C742" t="str">
            <v>Future</v>
          </cell>
          <cell r="D742" t="e">
            <v>#N/A</v>
          </cell>
          <cell r="E742">
            <v>17.502755905512124</v>
          </cell>
          <cell r="F742">
            <v>82.699606299213741</v>
          </cell>
          <cell r="G742">
            <v>53.723228346456615</v>
          </cell>
          <cell r="H742">
            <v>53.723228346456615</v>
          </cell>
          <cell r="I742" t="e">
            <v>#N/A</v>
          </cell>
          <cell r="J742" t="e">
            <v>#N/A</v>
          </cell>
          <cell r="K742" t="e">
            <v>#N/A</v>
          </cell>
          <cell r="L742" t="e">
            <v>#N/A</v>
          </cell>
          <cell r="M742" t="e">
            <v>#N/A</v>
          </cell>
          <cell r="N742" t="e">
            <v>#N/A</v>
          </cell>
          <cell r="O742" t="e">
            <v>#N/A</v>
          </cell>
          <cell r="P742">
            <v>63.51</v>
          </cell>
          <cell r="Q742" t="str">
            <v/>
          </cell>
          <cell r="R742" t="e">
            <v>#N/A</v>
          </cell>
        </row>
        <row r="743">
          <cell r="A743">
            <v>40543</v>
          </cell>
          <cell r="B743">
            <v>40543</v>
          </cell>
          <cell r="C743" t="str">
            <v>Future</v>
          </cell>
          <cell r="D743" t="e">
            <v>#N/A</v>
          </cell>
          <cell r="E743">
            <v>17.252716535433386</v>
          </cell>
          <cell r="F743">
            <v>82.803897637796425</v>
          </cell>
          <cell r="G743">
            <v>53.670039370078662</v>
          </cell>
          <cell r="H743">
            <v>53.670039370078662</v>
          </cell>
          <cell r="I743" t="e">
            <v>#N/A</v>
          </cell>
          <cell r="J743" t="e">
            <v>#N/A</v>
          </cell>
          <cell r="K743" t="e">
            <v>#N/A</v>
          </cell>
          <cell r="L743" t="e">
            <v>#N/A</v>
          </cell>
          <cell r="M743" t="e">
            <v>#N/A</v>
          </cell>
          <cell r="N743" t="e">
            <v>#N/A</v>
          </cell>
          <cell r="O743" t="e">
            <v>#N/A</v>
          </cell>
          <cell r="P743">
            <v>63.51</v>
          </cell>
          <cell r="Q743" t="str">
            <v/>
          </cell>
          <cell r="R743" t="e">
            <v>#N/A</v>
          </cell>
        </row>
        <row r="744">
          <cell r="A744">
            <v>40546</v>
          </cell>
          <cell r="B744">
            <v>40546</v>
          </cell>
          <cell r="C744" t="str">
            <v>Future</v>
          </cell>
          <cell r="D744" t="e">
            <v>#N/A</v>
          </cell>
          <cell r="E744">
            <v>17.002677165354648</v>
          </cell>
          <cell r="F744">
            <v>82.908188976379108</v>
          </cell>
          <cell r="G744">
            <v>53.616850393700709</v>
          </cell>
          <cell r="H744">
            <v>53.616850393700709</v>
          </cell>
          <cell r="I744" t="e">
            <v>#N/A</v>
          </cell>
          <cell r="J744" t="e">
            <v>#N/A</v>
          </cell>
          <cell r="K744" t="e">
            <v>#N/A</v>
          </cell>
          <cell r="L744" t="e">
            <v>#N/A</v>
          </cell>
          <cell r="M744" t="e">
            <v>#N/A</v>
          </cell>
          <cell r="N744" t="e">
            <v>#N/A</v>
          </cell>
          <cell r="O744" t="e">
            <v>#N/A</v>
          </cell>
          <cell r="P744">
            <v>63.51</v>
          </cell>
          <cell r="Q744" t="str">
            <v/>
          </cell>
          <cell r="R744" t="e">
            <v>#N/A</v>
          </cell>
        </row>
        <row r="745">
          <cell r="A745">
            <v>40547</v>
          </cell>
          <cell r="B745">
            <v>40547</v>
          </cell>
          <cell r="C745" t="str">
            <v>Future</v>
          </cell>
          <cell r="D745" t="e">
            <v>#N/A</v>
          </cell>
          <cell r="E745">
            <v>16.752637795275909</v>
          </cell>
          <cell r="F745">
            <v>83.012480314961792</v>
          </cell>
          <cell r="G745">
            <v>53.563661417322756</v>
          </cell>
          <cell r="H745">
            <v>53.563661417322756</v>
          </cell>
          <cell r="I745" t="e">
            <v>#N/A</v>
          </cell>
          <cell r="J745" t="e">
            <v>#N/A</v>
          </cell>
          <cell r="K745" t="e">
            <v>#N/A</v>
          </cell>
          <cell r="L745" t="e">
            <v>#N/A</v>
          </cell>
          <cell r="M745" t="e">
            <v>#N/A</v>
          </cell>
          <cell r="N745" t="e">
            <v>#N/A</v>
          </cell>
          <cell r="O745" t="e">
            <v>#N/A</v>
          </cell>
          <cell r="P745">
            <v>63.51</v>
          </cell>
          <cell r="Q745" t="str">
            <v/>
          </cell>
          <cell r="R745" t="e">
            <v>#N/A</v>
          </cell>
        </row>
        <row r="746">
          <cell r="A746">
            <v>40548</v>
          </cell>
          <cell r="B746">
            <v>40548</v>
          </cell>
          <cell r="C746" t="str">
            <v>Future</v>
          </cell>
          <cell r="D746" t="e">
            <v>#N/A</v>
          </cell>
          <cell r="E746">
            <v>16.502598425197171</v>
          </cell>
          <cell r="F746">
            <v>83.116771653544475</v>
          </cell>
          <cell r="G746">
            <v>53.510472440944802</v>
          </cell>
          <cell r="H746">
            <v>53.510472440944802</v>
          </cell>
          <cell r="I746" t="e">
            <v>#N/A</v>
          </cell>
          <cell r="J746" t="e">
            <v>#N/A</v>
          </cell>
          <cell r="K746" t="e">
            <v>#N/A</v>
          </cell>
          <cell r="L746" t="e">
            <v>#N/A</v>
          </cell>
          <cell r="M746" t="e">
            <v>#N/A</v>
          </cell>
          <cell r="N746" t="e">
            <v>#N/A</v>
          </cell>
          <cell r="O746" t="e">
            <v>#N/A</v>
          </cell>
          <cell r="P746">
            <v>63.51</v>
          </cell>
          <cell r="Q746" t="str">
            <v/>
          </cell>
          <cell r="R746" t="e">
            <v>#N/A</v>
          </cell>
        </row>
        <row r="747">
          <cell r="A747">
            <v>40549</v>
          </cell>
          <cell r="B747">
            <v>40549</v>
          </cell>
          <cell r="C747" t="str">
            <v>Future</v>
          </cell>
          <cell r="D747" t="e">
            <v>#N/A</v>
          </cell>
          <cell r="E747">
            <v>16.252559055118432</v>
          </cell>
          <cell r="F747">
            <v>83.221062992127159</v>
          </cell>
          <cell r="G747">
            <v>53.457283464566849</v>
          </cell>
          <cell r="H747">
            <v>53.457283464566849</v>
          </cell>
          <cell r="I747" t="e">
            <v>#N/A</v>
          </cell>
          <cell r="J747" t="e">
            <v>#N/A</v>
          </cell>
          <cell r="K747" t="e">
            <v>#N/A</v>
          </cell>
          <cell r="L747" t="e">
            <v>#N/A</v>
          </cell>
          <cell r="M747" t="e">
            <v>#N/A</v>
          </cell>
          <cell r="N747" t="e">
            <v>#N/A</v>
          </cell>
          <cell r="O747" t="e">
            <v>#N/A</v>
          </cell>
          <cell r="P747">
            <v>63.51</v>
          </cell>
          <cell r="Q747" t="str">
            <v/>
          </cell>
          <cell r="R747" t="e">
            <v>#N/A</v>
          </cell>
        </row>
        <row r="748">
          <cell r="A748">
            <v>40550</v>
          </cell>
          <cell r="B748">
            <v>40550</v>
          </cell>
          <cell r="C748" t="str">
            <v>Future</v>
          </cell>
          <cell r="D748" t="e">
            <v>#N/A</v>
          </cell>
          <cell r="E748">
            <v>16.002519685039694</v>
          </cell>
          <cell r="F748">
            <v>83.325354330709843</v>
          </cell>
          <cell r="G748">
            <v>53.404094488188896</v>
          </cell>
          <cell r="H748">
            <v>53.404094488188896</v>
          </cell>
          <cell r="I748" t="e">
            <v>#N/A</v>
          </cell>
          <cell r="J748" t="e">
            <v>#N/A</v>
          </cell>
          <cell r="K748" t="e">
            <v>#N/A</v>
          </cell>
          <cell r="L748" t="e">
            <v>#N/A</v>
          </cell>
          <cell r="M748" t="e">
            <v>#N/A</v>
          </cell>
          <cell r="N748" t="e">
            <v>#N/A</v>
          </cell>
          <cell r="O748" t="e">
            <v>#N/A</v>
          </cell>
          <cell r="P748">
            <v>63.51</v>
          </cell>
          <cell r="Q748" t="str">
            <v/>
          </cell>
          <cell r="R748" t="e">
            <v>#N/A</v>
          </cell>
        </row>
        <row r="749">
          <cell r="A749">
            <v>40553</v>
          </cell>
          <cell r="B749">
            <v>40553</v>
          </cell>
          <cell r="C749" t="str">
            <v>Future</v>
          </cell>
          <cell r="D749" t="e">
            <v>#N/A</v>
          </cell>
          <cell r="E749">
            <v>15.752480314960954</v>
          </cell>
          <cell r="F749">
            <v>83.429645669292526</v>
          </cell>
          <cell r="G749">
            <v>53.350905511810943</v>
          </cell>
          <cell r="H749">
            <v>53.350905511810943</v>
          </cell>
          <cell r="I749" t="e">
            <v>#N/A</v>
          </cell>
          <cell r="J749" t="e">
            <v>#N/A</v>
          </cell>
          <cell r="K749" t="e">
            <v>#N/A</v>
          </cell>
          <cell r="L749" t="e">
            <v>#N/A</v>
          </cell>
          <cell r="M749" t="e">
            <v>#N/A</v>
          </cell>
          <cell r="N749" t="e">
            <v>#N/A</v>
          </cell>
          <cell r="O749" t="e">
            <v>#N/A</v>
          </cell>
          <cell r="P749">
            <v>63.51</v>
          </cell>
          <cell r="Q749" t="str">
            <v/>
          </cell>
          <cell r="R749" t="e">
            <v>#N/A</v>
          </cell>
        </row>
        <row r="750">
          <cell r="A750">
            <v>40554</v>
          </cell>
          <cell r="B750">
            <v>40554</v>
          </cell>
          <cell r="C750" t="str">
            <v>Future</v>
          </cell>
          <cell r="D750" t="e">
            <v>#N/A</v>
          </cell>
          <cell r="E750">
            <v>15.502440944882213</v>
          </cell>
          <cell r="F750">
            <v>83.53393700787521</v>
          </cell>
          <cell r="G750">
            <v>53.29771653543299</v>
          </cell>
          <cell r="H750">
            <v>53.29771653543299</v>
          </cell>
          <cell r="I750" t="e">
            <v>#N/A</v>
          </cell>
          <cell r="J750" t="e">
            <v>#N/A</v>
          </cell>
          <cell r="K750" t="e">
            <v>#N/A</v>
          </cell>
          <cell r="L750" t="e">
            <v>#N/A</v>
          </cell>
          <cell r="M750" t="e">
            <v>#N/A</v>
          </cell>
          <cell r="N750" t="e">
            <v>#N/A</v>
          </cell>
          <cell r="O750" t="e">
            <v>#N/A</v>
          </cell>
          <cell r="P750">
            <v>63.51</v>
          </cell>
          <cell r="Q750" t="str">
            <v/>
          </cell>
          <cell r="R750" t="e">
            <v>#N/A</v>
          </cell>
        </row>
        <row r="751">
          <cell r="A751">
            <v>40555</v>
          </cell>
          <cell r="B751">
            <v>40555</v>
          </cell>
          <cell r="C751" t="str">
            <v>Future</v>
          </cell>
          <cell r="D751" t="e">
            <v>#N/A</v>
          </cell>
          <cell r="E751">
            <v>15.252401574803473</v>
          </cell>
          <cell r="F751">
            <v>83.638228346457893</v>
          </cell>
          <cell r="G751">
            <v>53.244527559055037</v>
          </cell>
          <cell r="H751">
            <v>53.244527559055037</v>
          </cell>
          <cell r="I751" t="e">
            <v>#N/A</v>
          </cell>
          <cell r="J751" t="e">
            <v>#N/A</v>
          </cell>
          <cell r="K751" t="e">
            <v>#N/A</v>
          </cell>
          <cell r="L751" t="e">
            <v>#N/A</v>
          </cell>
          <cell r="M751" t="e">
            <v>#N/A</v>
          </cell>
          <cell r="N751" t="e">
            <v>#N/A</v>
          </cell>
          <cell r="O751" t="e">
            <v>#N/A</v>
          </cell>
          <cell r="P751">
            <v>63.51</v>
          </cell>
          <cell r="Q751" t="str">
            <v/>
          </cell>
          <cell r="R751" t="e">
            <v>#N/A</v>
          </cell>
        </row>
        <row r="752">
          <cell r="A752">
            <v>40556</v>
          </cell>
          <cell r="B752">
            <v>40556</v>
          </cell>
          <cell r="C752" t="str">
            <v>Future</v>
          </cell>
          <cell r="D752" t="e">
            <v>#N/A</v>
          </cell>
          <cell r="E752">
            <v>15.002362204724733</v>
          </cell>
          <cell r="F752">
            <v>83.742519685040577</v>
          </cell>
          <cell r="G752">
            <v>53.191338582677083</v>
          </cell>
          <cell r="H752">
            <v>53.191338582677083</v>
          </cell>
          <cell r="I752" t="e">
            <v>#N/A</v>
          </cell>
          <cell r="J752" t="e">
            <v>#N/A</v>
          </cell>
          <cell r="K752" t="e">
            <v>#N/A</v>
          </cell>
          <cell r="L752" t="e">
            <v>#N/A</v>
          </cell>
          <cell r="M752" t="e">
            <v>#N/A</v>
          </cell>
          <cell r="N752" t="e">
            <v>#N/A</v>
          </cell>
          <cell r="O752" t="e">
            <v>#N/A</v>
          </cell>
          <cell r="P752">
            <v>63.51</v>
          </cell>
          <cell r="Q752" t="str">
            <v/>
          </cell>
          <cell r="R752" t="e">
            <v>#N/A</v>
          </cell>
        </row>
        <row r="753">
          <cell r="A753">
            <v>40557</v>
          </cell>
          <cell r="B753">
            <v>40557</v>
          </cell>
          <cell r="C753" t="str">
            <v>Future</v>
          </cell>
          <cell r="D753" t="e">
            <v>#N/A</v>
          </cell>
          <cell r="E753">
            <v>14.752322834645993</v>
          </cell>
          <cell r="F753">
            <v>83.84681102362326</v>
          </cell>
          <cell r="G753">
            <v>53.13814960629913</v>
          </cell>
          <cell r="H753">
            <v>53.13814960629913</v>
          </cell>
          <cell r="I753" t="e">
            <v>#N/A</v>
          </cell>
          <cell r="J753" t="e">
            <v>#N/A</v>
          </cell>
          <cell r="K753" t="e">
            <v>#N/A</v>
          </cell>
          <cell r="L753" t="e">
            <v>#N/A</v>
          </cell>
          <cell r="M753" t="e">
            <v>#N/A</v>
          </cell>
          <cell r="N753" t="e">
            <v>#N/A</v>
          </cell>
          <cell r="O753" t="e">
            <v>#N/A</v>
          </cell>
          <cell r="P753">
            <v>63.51</v>
          </cell>
          <cell r="Q753" t="str">
            <v/>
          </cell>
          <cell r="R753" t="e">
            <v>#N/A</v>
          </cell>
        </row>
        <row r="754">
          <cell r="A754">
            <v>40561</v>
          </cell>
          <cell r="B754">
            <v>40561</v>
          </cell>
          <cell r="C754" t="str">
            <v>Future</v>
          </cell>
          <cell r="D754" t="e">
            <v>#N/A</v>
          </cell>
          <cell r="E754">
            <v>14.502283464567252</v>
          </cell>
          <cell r="F754">
            <v>83.951102362205944</v>
          </cell>
          <cell r="G754">
            <v>53.084960629921177</v>
          </cell>
          <cell r="H754">
            <v>53.084960629921177</v>
          </cell>
          <cell r="I754" t="e">
            <v>#N/A</v>
          </cell>
          <cell r="J754" t="e">
            <v>#N/A</v>
          </cell>
          <cell r="K754" t="e">
            <v>#N/A</v>
          </cell>
          <cell r="L754" t="e">
            <v>#N/A</v>
          </cell>
          <cell r="M754" t="e">
            <v>#N/A</v>
          </cell>
          <cell r="N754" t="e">
            <v>#N/A</v>
          </cell>
          <cell r="O754" t="e">
            <v>#N/A</v>
          </cell>
          <cell r="P754">
            <v>63.51</v>
          </cell>
          <cell r="Q754" t="str">
            <v/>
          </cell>
          <cell r="R754" t="e">
            <v>#N/A</v>
          </cell>
        </row>
        <row r="755">
          <cell r="A755">
            <v>40562</v>
          </cell>
          <cell r="B755">
            <v>40562</v>
          </cell>
          <cell r="C755" t="str">
            <v>Future</v>
          </cell>
          <cell r="D755" t="e">
            <v>#N/A</v>
          </cell>
          <cell r="E755">
            <v>14.252244094488512</v>
          </cell>
          <cell r="F755">
            <v>84.055393700788628</v>
          </cell>
          <cell r="G755">
            <v>53.031771653543224</v>
          </cell>
          <cell r="H755">
            <v>53.031771653543224</v>
          </cell>
          <cell r="I755" t="e">
            <v>#N/A</v>
          </cell>
          <cell r="J755" t="e">
            <v>#N/A</v>
          </cell>
          <cell r="K755" t="e">
            <v>#N/A</v>
          </cell>
          <cell r="L755" t="e">
            <v>#N/A</v>
          </cell>
          <cell r="M755" t="e">
            <v>#N/A</v>
          </cell>
          <cell r="N755" t="e">
            <v>#N/A</v>
          </cell>
          <cell r="O755" t="e">
            <v>#N/A</v>
          </cell>
          <cell r="P755">
            <v>63.51</v>
          </cell>
          <cell r="Q755" t="str">
            <v/>
          </cell>
          <cell r="R755" t="e">
            <v>#N/A</v>
          </cell>
        </row>
        <row r="756">
          <cell r="A756">
            <v>40563</v>
          </cell>
          <cell r="B756">
            <v>40563</v>
          </cell>
          <cell r="C756" t="str">
            <v>Future</v>
          </cell>
          <cell r="D756" t="e">
            <v>#N/A</v>
          </cell>
          <cell r="E756">
            <v>14.002204724409772</v>
          </cell>
          <cell r="F756">
            <v>84.159685039371311</v>
          </cell>
          <cell r="G756">
            <v>52.978582677165271</v>
          </cell>
          <cell r="H756">
            <v>52.978582677165271</v>
          </cell>
          <cell r="I756" t="e">
            <v>#N/A</v>
          </cell>
          <cell r="J756" t="e">
            <v>#N/A</v>
          </cell>
          <cell r="K756" t="e">
            <v>#N/A</v>
          </cell>
          <cell r="L756" t="e">
            <v>#N/A</v>
          </cell>
          <cell r="M756" t="e">
            <v>#N/A</v>
          </cell>
          <cell r="N756" t="e">
            <v>#N/A</v>
          </cell>
          <cell r="O756" t="e">
            <v>#N/A</v>
          </cell>
          <cell r="P756">
            <v>63.51</v>
          </cell>
          <cell r="Q756" t="str">
            <v/>
          </cell>
          <cell r="R756" t="e">
            <v>#N/A</v>
          </cell>
        </row>
        <row r="757">
          <cell r="A757">
            <v>40564</v>
          </cell>
          <cell r="B757">
            <v>40564</v>
          </cell>
          <cell r="C757" t="str">
            <v>Future</v>
          </cell>
          <cell r="D757" t="e">
            <v>#N/A</v>
          </cell>
          <cell r="E757">
            <v>13.752165354331032</v>
          </cell>
          <cell r="F757">
            <v>84.263976377953995</v>
          </cell>
          <cell r="G757">
            <v>52.925393700787318</v>
          </cell>
          <cell r="H757">
            <v>52.925393700787318</v>
          </cell>
          <cell r="I757" t="e">
            <v>#N/A</v>
          </cell>
          <cell r="J757" t="e">
            <v>#N/A</v>
          </cell>
          <cell r="K757" t="e">
            <v>#N/A</v>
          </cell>
          <cell r="L757" t="e">
            <v>#N/A</v>
          </cell>
          <cell r="M757" t="e">
            <v>#N/A</v>
          </cell>
          <cell r="N757" t="e">
            <v>#N/A</v>
          </cell>
          <cell r="O757" t="e">
            <v>#N/A</v>
          </cell>
          <cell r="P757">
            <v>63.51</v>
          </cell>
          <cell r="Q757" t="str">
            <v/>
          </cell>
          <cell r="R757" t="e">
            <v>#N/A</v>
          </cell>
        </row>
        <row r="758">
          <cell r="A758">
            <v>40567</v>
          </cell>
          <cell r="B758">
            <v>40567</v>
          </cell>
          <cell r="C758" t="str">
            <v>Future</v>
          </cell>
          <cell r="D758" t="e">
            <v>#N/A</v>
          </cell>
          <cell r="E758">
            <v>13.502125984252292</v>
          </cell>
          <cell r="F758">
            <v>84.368267716536678</v>
          </cell>
          <cell r="G758">
            <v>52.872204724409364</v>
          </cell>
          <cell r="H758">
            <v>52.872204724409364</v>
          </cell>
          <cell r="I758" t="e">
            <v>#N/A</v>
          </cell>
          <cell r="J758" t="e">
            <v>#N/A</v>
          </cell>
          <cell r="K758" t="e">
            <v>#N/A</v>
          </cell>
          <cell r="L758" t="e">
            <v>#N/A</v>
          </cell>
          <cell r="M758" t="e">
            <v>#N/A</v>
          </cell>
          <cell r="N758" t="e">
            <v>#N/A</v>
          </cell>
          <cell r="O758" t="e">
            <v>#N/A</v>
          </cell>
          <cell r="P758">
            <v>63.51</v>
          </cell>
          <cell r="Q758" t="str">
            <v/>
          </cell>
          <cell r="R758" t="e">
            <v>#N/A</v>
          </cell>
        </row>
        <row r="759">
          <cell r="A759">
            <v>40568</v>
          </cell>
          <cell r="B759">
            <v>40568</v>
          </cell>
          <cell r="C759" t="str">
            <v>Future</v>
          </cell>
          <cell r="D759" t="e">
            <v>#N/A</v>
          </cell>
          <cell r="E759">
            <v>13.252086614173551</v>
          </cell>
          <cell r="F759">
            <v>84.472559055119362</v>
          </cell>
          <cell r="G759">
            <v>52.819015748031411</v>
          </cell>
          <cell r="H759">
            <v>52.819015748031411</v>
          </cell>
          <cell r="I759" t="e">
            <v>#N/A</v>
          </cell>
          <cell r="J759" t="e">
            <v>#N/A</v>
          </cell>
          <cell r="K759" t="e">
            <v>#N/A</v>
          </cell>
          <cell r="L759" t="e">
            <v>#N/A</v>
          </cell>
          <cell r="M759" t="e">
            <v>#N/A</v>
          </cell>
          <cell r="N759" t="e">
            <v>#N/A</v>
          </cell>
          <cell r="O759" t="e">
            <v>#N/A</v>
          </cell>
          <cell r="P759">
            <v>63.51</v>
          </cell>
          <cell r="Q759" t="str">
            <v/>
          </cell>
          <cell r="R759" t="e">
            <v>#N/A</v>
          </cell>
        </row>
        <row r="760">
          <cell r="A760">
            <v>40569</v>
          </cell>
          <cell r="B760">
            <v>40569</v>
          </cell>
          <cell r="C760" t="str">
            <v>Future</v>
          </cell>
          <cell r="D760" t="e">
            <v>#N/A</v>
          </cell>
          <cell r="E760">
            <v>13.002047244094811</v>
          </cell>
          <cell r="F760">
            <v>84.576850393702045</v>
          </cell>
          <cell r="G760">
            <v>52.765826771653458</v>
          </cell>
          <cell r="H760">
            <v>52.765826771653458</v>
          </cell>
          <cell r="I760" t="e">
            <v>#N/A</v>
          </cell>
          <cell r="J760" t="e">
            <v>#N/A</v>
          </cell>
          <cell r="K760" t="e">
            <v>#N/A</v>
          </cell>
          <cell r="L760" t="e">
            <v>#N/A</v>
          </cell>
          <cell r="M760" t="e">
            <v>#N/A</v>
          </cell>
          <cell r="N760" t="e">
            <v>#N/A</v>
          </cell>
          <cell r="O760" t="e">
            <v>#N/A</v>
          </cell>
          <cell r="P760">
            <v>63.51</v>
          </cell>
          <cell r="Q760" t="str">
            <v/>
          </cell>
          <cell r="R760" t="e">
            <v>#N/A</v>
          </cell>
        </row>
        <row r="761">
          <cell r="A761">
            <v>40570</v>
          </cell>
          <cell r="B761">
            <v>40570</v>
          </cell>
          <cell r="C761" t="str">
            <v>Future</v>
          </cell>
          <cell r="D761" t="e">
            <v>#N/A</v>
          </cell>
          <cell r="E761">
            <v>12.752007874016071</v>
          </cell>
          <cell r="F761">
            <v>84.681141732284729</v>
          </cell>
          <cell r="G761">
            <v>52.712637795275505</v>
          </cell>
          <cell r="H761">
            <v>52.712637795275505</v>
          </cell>
          <cell r="I761" t="e">
            <v>#N/A</v>
          </cell>
          <cell r="J761" t="e">
            <v>#N/A</v>
          </cell>
          <cell r="K761" t="e">
            <v>#N/A</v>
          </cell>
          <cell r="L761" t="e">
            <v>#N/A</v>
          </cell>
          <cell r="M761" t="e">
            <v>#N/A</v>
          </cell>
          <cell r="N761" t="e">
            <v>#N/A</v>
          </cell>
          <cell r="O761" t="e">
            <v>#N/A</v>
          </cell>
          <cell r="P761">
            <v>63.51</v>
          </cell>
          <cell r="Q761" t="str">
            <v/>
          </cell>
          <cell r="R761" t="e">
            <v>#N/A</v>
          </cell>
        </row>
        <row r="762">
          <cell r="A762">
            <v>40571</v>
          </cell>
          <cell r="B762">
            <v>40571</v>
          </cell>
          <cell r="C762" t="str">
            <v>Future</v>
          </cell>
          <cell r="D762" t="e">
            <v>#N/A</v>
          </cell>
          <cell r="E762">
            <v>12.501968503937331</v>
          </cell>
          <cell r="F762">
            <v>84.785433070867413</v>
          </cell>
          <cell r="G762">
            <v>52.659448818897552</v>
          </cell>
          <cell r="H762">
            <v>52.659448818897552</v>
          </cell>
          <cell r="I762" t="e">
            <v>#N/A</v>
          </cell>
          <cell r="J762" t="e">
            <v>#N/A</v>
          </cell>
          <cell r="K762" t="e">
            <v>#N/A</v>
          </cell>
          <cell r="L762" t="e">
            <v>#N/A</v>
          </cell>
          <cell r="M762" t="e">
            <v>#N/A</v>
          </cell>
          <cell r="N762" t="e">
            <v>#N/A</v>
          </cell>
          <cell r="O762" t="e">
            <v>#N/A</v>
          </cell>
          <cell r="P762">
            <v>63.51</v>
          </cell>
          <cell r="Q762" t="str">
            <v/>
          </cell>
          <cell r="R762" t="e">
            <v>#N/A</v>
          </cell>
        </row>
        <row r="763">
          <cell r="A763">
            <v>40574</v>
          </cell>
          <cell r="B763">
            <v>40574</v>
          </cell>
          <cell r="C763" t="str">
            <v>Future</v>
          </cell>
          <cell r="D763" t="e">
            <v>#N/A</v>
          </cell>
          <cell r="E763">
            <v>12.251929133858591</v>
          </cell>
          <cell r="F763">
            <v>84.889724409450096</v>
          </cell>
          <cell r="G763">
            <v>52.606259842519599</v>
          </cell>
          <cell r="H763">
            <v>52.606259842519599</v>
          </cell>
          <cell r="I763" t="e">
            <v>#N/A</v>
          </cell>
          <cell r="J763" t="e">
            <v>#N/A</v>
          </cell>
          <cell r="K763" t="e">
            <v>#N/A</v>
          </cell>
          <cell r="L763" t="e">
            <v>#N/A</v>
          </cell>
          <cell r="M763" t="e">
            <v>#N/A</v>
          </cell>
          <cell r="N763" t="e">
            <v>#N/A</v>
          </cell>
          <cell r="O763" t="e">
            <v>#N/A</v>
          </cell>
          <cell r="P763">
            <v>63.51</v>
          </cell>
          <cell r="Q763" t="str">
            <v/>
          </cell>
          <cell r="R763" t="e">
            <v>#N/A</v>
          </cell>
        </row>
        <row r="764">
          <cell r="A764">
            <v>40575</v>
          </cell>
          <cell r="B764">
            <v>40575</v>
          </cell>
          <cell r="C764" t="str">
            <v>Future</v>
          </cell>
          <cell r="D764" t="e">
            <v>#N/A</v>
          </cell>
          <cell r="E764">
            <v>12.00188976377985</v>
          </cell>
          <cell r="F764">
            <v>84.99401574803278</v>
          </cell>
          <cell r="G764">
            <v>52.553070866141645</v>
          </cell>
          <cell r="H764">
            <v>52.553070866141645</v>
          </cell>
          <cell r="I764" t="e">
            <v>#N/A</v>
          </cell>
          <cell r="J764" t="e">
            <v>#N/A</v>
          </cell>
          <cell r="K764" t="e">
            <v>#N/A</v>
          </cell>
          <cell r="L764" t="e">
            <v>#N/A</v>
          </cell>
          <cell r="M764" t="e">
            <v>#N/A</v>
          </cell>
          <cell r="N764" t="e">
            <v>#N/A</v>
          </cell>
          <cell r="O764" t="e">
            <v>#N/A</v>
          </cell>
          <cell r="P764">
            <v>63.51</v>
          </cell>
          <cell r="Q764" t="str">
            <v/>
          </cell>
          <cell r="R764" t="e">
            <v>#N/A</v>
          </cell>
        </row>
        <row r="765">
          <cell r="A765">
            <v>40576</v>
          </cell>
          <cell r="B765">
            <v>40576</v>
          </cell>
          <cell r="C765" t="str">
            <v>Future</v>
          </cell>
          <cell r="D765" t="e">
            <v>#N/A</v>
          </cell>
          <cell r="E765">
            <v>11.75185039370111</v>
          </cell>
          <cell r="F765">
            <v>85.098307086615463</v>
          </cell>
          <cell r="G765">
            <v>52.499881889763692</v>
          </cell>
          <cell r="H765">
            <v>52.499881889763692</v>
          </cell>
          <cell r="I765" t="e">
            <v>#N/A</v>
          </cell>
          <cell r="J765" t="e">
            <v>#N/A</v>
          </cell>
          <cell r="K765" t="e">
            <v>#N/A</v>
          </cell>
          <cell r="L765" t="e">
            <v>#N/A</v>
          </cell>
          <cell r="M765" t="e">
            <v>#N/A</v>
          </cell>
          <cell r="N765" t="e">
            <v>#N/A</v>
          </cell>
          <cell r="O765" t="e">
            <v>#N/A</v>
          </cell>
          <cell r="P765">
            <v>63.51</v>
          </cell>
          <cell r="Q765" t="str">
            <v/>
          </cell>
          <cell r="R765" t="e">
            <v>#N/A</v>
          </cell>
        </row>
        <row r="766">
          <cell r="A766">
            <v>40577</v>
          </cell>
          <cell r="B766">
            <v>40577</v>
          </cell>
          <cell r="C766" t="str">
            <v>Future</v>
          </cell>
          <cell r="D766" t="e">
            <v>#N/A</v>
          </cell>
          <cell r="E766">
            <v>11.50181102362237</v>
          </cell>
          <cell r="F766">
            <v>85.202598425198147</v>
          </cell>
          <cell r="G766">
            <v>52.446692913385739</v>
          </cell>
          <cell r="H766">
            <v>52.446692913385739</v>
          </cell>
          <cell r="I766" t="e">
            <v>#N/A</v>
          </cell>
          <cell r="J766" t="e">
            <v>#N/A</v>
          </cell>
          <cell r="K766" t="e">
            <v>#N/A</v>
          </cell>
          <cell r="L766" t="e">
            <v>#N/A</v>
          </cell>
          <cell r="M766" t="e">
            <v>#N/A</v>
          </cell>
          <cell r="N766" t="e">
            <v>#N/A</v>
          </cell>
          <cell r="O766" t="e">
            <v>#N/A</v>
          </cell>
          <cell r="P766">
            <v>63.51</v>
          </cell>
          <cell r="Q766" t="str">
            <v/>
          </cell>
          <cell r="R766" t="e">
            <v>#N/A</v>
          </cell>
        </row>
        <row r="767">
          <cell r="A767">
            <v>40578</v>
          </cell>
          <cell r="B767">
            <v>40578</v>
          </cell>
          <cell r="C767" t="str">
            <v>Future</v>
          </cell>
          <cell r="D767" t="e">
            <v>#N/A</v>
          </cell>
          <cell r="E767">
            <v>11.25177165354363</v>
          </cell>
          <cell r="F767">
            <v>85.306889763780831</v>
          </cell>
          <cell r="G767">
            <v>52.393503937007786</v>
          </cell>
          <cell r="H767">
            <v>52.393503937007786</v>
          </cell>
          <cell r="I767" t="e">
            <v>#N/A</v>
          </cell>
          <cell r="J767" t="e">
            <v>#N/A</v>
          </cell>
          <cell r="K767" t="e">
            <v>#N/A</v>
          </cell>
          <cell r="L767" t="e">
            <v>#N/A</v>
          </cell>
          <cell r="M767" t="e">
            <v>#N/A</v>
          </cell>
          <cell r="N767" t="e">
            <v>#N/A</v>
          </cell>
          <cell r="O767" t="e">
            <v>#N/A</v>
          </cell>
          <cell r="P767">
            <v>63.51</v>
          </cell>
          <cell r="Q767" t="str">
            <v/>
          </cell>
          <cell r="R767" t="e">
            <v>#N/A</v>
          </cell>
        </row>
        <row r="768">
          <cell r="A768">
            <v>40581</v>
          </cell>
          <cell r="B768">
            <v>40581</v>
          </cell>
          <cell r="C768" t="str">
            <v>Future</v>
          </cell>
          <cell r="D768" t="e">
            <v>#N/A</v>
          </cell>
          <cell r="E768">
            <v>11.001732283464889</v>
          </cell>
          <cell r="F768">
            <v>85.411181102363514</v>
          </cell>
          <cell r="G768">
            <v>52.340314960629833</v>
          </cell>
          <cell r="H768">
            <v>52.340314960629833</v>
          </cell>
          <cell r="I768" t="e">
            <v>#N/A</v>
          </cell>
          <cell r="J768" t="e">
            <v>#N/A</v>
          </cell>
          <cell r="K768" t="e">
            <v>#N/A</v>
          </cell>
          <cell r="L768" t="e">
            <v>#N/A</v>
          </cell>
          <cell r="M768" t="e">
            <v>#N/A</v>
          </cell>
          <cell r="N768" t="e">
            <v>#N/A</v>
          </cell>
          <cell r="O768" t="e">
            <v>#N/A</v>
          </cell>
          <cell r="P768">
            <v>63.51</v>
          </cell>
          <cell r="Q768" t="str">
            <v/>
          </cell>
          <cell r="R768" t="e">
            <v>#N/A</v>
          </cell>
        </row>
        <row r="769">
          <cell r="A769">
            <v>40582</v>
          </cell>
          <cell r="B769">
            <v>40582</v>
          </cell>
          <cell r="C769" t="str">
            <v>Future</v>
          </cell>
          <cell r="D769" t="e">
            <v>#N/A</v>
          </cell>
          <cell r="E769">
            <v>10.751692913386149</v>
          </cell>
          <cell r="F769">
            <v>85.515472440946198</v>
          </cell>
          <cell r="G769">
            <v>52.28712598425188</v>
          </cell>
          <cell r="H769">
            <v>52.28712598425188</v>
          </cell>
          <cell r="I769" t="e">
            <v>#N/A</v>
          </cell>
          <cell r="J769" t="e">
            <v>#N/A</v>
          </cell>
          <cell r="K769" t="e">
            <v>#N/A</v>
          </cell>
          <cell r="L769" t="e">
            <v>#N/A</v>
          </cell>
          <cell r="M769" t="e">
            <v>#N/A</v>
          </cell>
          <cell r="N769" t="e">
            <v>#N/A</v>
          </cell>
          <cell r="O769" t="e">
            <v>#N/A</v>
          </cell>
          <cell r="P769">
            <v>63.51</v>
          </cell>
          <cell r="Q769" t="str">
            <v/>
          </cell>
          <cell r="R769" t="e">
            <v>#N/A</v>
          </cell>
        </row>
        <row r="770">
          <cell r="A770">
            <v>40583</v>
          </cell>
          <cell r="B770">
            <v>40583</v>
          </cell>
          <cell r="C770" t="str">
            <v>Future</v>
          </cell>
          <cell r="D770" t="e">
            <v>#N/A</v>
          </cell>
          <cell r="E770">
            <v>10.501653543307409</v>
          </cell>
          <cell r="F770">
            <v>85.619763779528881</v>
          </cell>
          <cell r="G770">
            <v>52.233937007873926</v>
          </cell>
          <cell r="H770">
            <v>52.233937007873926</v>
          </cell>
          <cell r="I770" t="e">
            <v>#N/A</v>
          </cell>
          <cell r="J770" t="e">
            <v>#N/A</v>
          </cell>
          <cell r="K770" t="e">
            <v>#N/A</v>
          </cell>
          <cell r="L770" t="e">
            <v>#N/A</v>
          </cell>
          <cell r="M770" t="e">
            <v>#N/A</v>
          </cell>
          <cell r="N770" t="e">
            <v>#N/A</v>
          </cell>
          <cell r="O770" t="e">
            <v>#N/A</v>
          </cell>
          <cell r="P770">
            <v>63.51</v>
          </cell>
          <cell r="Q770" t="str">
            <v/>
          </cell>
          <cell r="R770" t="e">
            <v>#N/A</v>
          </cell>
        </row>
        <row r="771">
          <cell r="A771">
            <v>40584</v>
          </cell>
          <cell r="B771">
            <v>40584</v>
          </cell>
          <cell r="C771" t="str">
            <v>Future</v>
          </cell>
          <cell r="D771" t="e">
            <v>#N/A</v>
          </cell>
          <cell r="E771">
            <v>10.251614173228669</v>
          </cell>
          <cell r="F771">
            <v>85.724055118111565</v>
          </cell>
          <cell r="G771">
            <v>52.180748031495973</v>
          </cell>
          <cell r="H771">
            <v>52.180748031495973</v>
          </cell>
          <cell r="I771" t="e">
            <v>#N/A</v>
          </cell>
          <cell r="J771" t="e">
            <v>#N/A</v>
          </cell>
          <cell r="K771" t="e">
            <v>#N/A</v>
          </cell>
          <cell r="L771" t="e">
            <v>#N/A</v>
          </cell>
          <cell r="M771" t="e">
            <v>#N/A</v>
          </cell>
          <cell r="N771" t="e">
            <v>#N/A</v>
          </cell>
          <cell r="O771" t="e">
            <v>#N/A</v>
          </cell>
          <cell r="P771">
            <v>63.51</v>
          </cell>
          <cell r="Q771" t="str">
            <v/>
          </cell>
          <cell r="R771" t="e">
            <v>#N/A</v>
          </cell>
        </row>
        <row r="772">
          <cell r="A772">
            <v>40585</v>
          </cell>
          <cell r="B772">
            <v>40585</v>
          </cell>
          <cell r="C772" t="str">
            <v>Future</v>
          </cell>
          <cell r="D772" t="e">
            <v>#N/A</v>
          </cell>
          <cell r="E772">
            <v>10.001574803149929</v>
          </cell>
          <cell r="F772">
            <v>85.828346456694248</v>
          </cell>
          <cell r="G772">
            <v>52.12755905511802</v>
          </cell>
          <cell r="H772">
            <v>52.12755905511802</v>
          </cell>
          <cell r="I772" t="e">
            <v>#N/A</v>
          </cell>
          <cell r="J772" t="e">
            <v>#N/A</v>
          </cell>
          <cell r="K772" t="e">
            <v>#N/A</v>
          </cell>
          <cell r="L772" t="e">
            <v>#N/A</v>
          </cell>
          <cell r="M772" t="e">
            <v>#N/A</v>
          </cell>
          <cell r="N772" t="e">
            <v>#N/A</v>
          </cell>
          <cell r="O772" t="e">
            <v>#N/A</v>
          </cell>
          <cell r="P772">
            <v>63.51</v>
          </cell>
          <cell r="Q772" t="str">
            <v/>
          </cell>
          <cell r="R772" t="e">
            <v>#N/A</v>
          </cell>
        </row>
        <row r="773">
          <cell r="A773">
            <v>40588</v>
          </cell>
          <cell r="B773">
            <v>40588</v>
          </cell>
          <cell r="C773" t="str">
            <v>Future</v>
          </cell>
          <cell r="D773" t="e">
            <v>#N/A</v>
          </cell>
          <cell r="E773">
            <v>9.7515354330711883</v>
          </cell>
          <cell r="F773">
            <v>85.932637795276932</v>
          </cell>
          <cell r="G773">
            <v>52.074370078740067</v>
          </cell>
          <cell r="H773">
            <v>52.074370078740067</v>
          </cell>
          <cell r="I773" t="e">
            <v>#N/A</v>
          </cell>
          <cell r="J773" t="e">
            <v>#N/A</v>
          </cell>
          <cell r="K773" t="e">
            <v>#N/A</v>
          </cell>
          <cell r="L773" t="e">
            <v>#N/A</v>
          </cell>
          <cell r="M773" t="e">
            <v>#N/A</v>
          </cell>
          <cell r="N773" t="e">
            <v>#N/A</v>
          </cell>
          <cell r="O773" t="e">
            <v>#N/A</v>
          </cell>
          <cell r="P773">
            <v>63.51</v>
          </cell>
          <cell r="Q773" t="str">
            <v/>
          </cell>
          <cell r="R773" t="e">
            <v>#N/A</v>
          </cell>
        </row>
        <row r="774">
          <cell r="A774">
            <v>40589</v>
          </cell>
          <cell r="B774">
            <v>40589</v>
          </cell>
          <cell r="C774" t="str">
            <v>Future</v>
          </cell>
          <cell r="D774" t="e">
            <v>#N/A</v>
          </cell>
          <cell r="E774">
            <v>9.5014960629924481</v>
          </cell>
          <cell r="F774">
            <v>86.036929133859616</v>
          </cell>
          <cell r="G774">
            <v>52.021181102362114</v>
          </cell>
          <cell r="H774">
            <v>52.021181102362114</v>
          </cell>
          <cell r="I774" t="e">
            <v>#N/A</v>
          </cell>
          <cell r="J774" t="e">
            <v>#N/A</v>
          </cell>
          <cell r="K774" t="e">
            <v>#N/A</v>
          </cell>
          <cell r="L774" t="e">
            <v>#N/A</v>
          </cell>
          <cell r="M774" t="e">
            <v>#N/A</v>
          </cell>
          <cell r="N774" t="e">
            <v>#N/A</v>
          </cell>
          <cell r="O774" t="e">
            <v>#N/A</v>
          </cell>
          <cell r="P774">
            <v>63.51</v>
          </cell>
          <cell r="Q774" t="str">
            <v/>
          </cell>
          <cell r="R774" t="e">
            <v>#N/A</v>
          </cell>
        </row>
        <row r="775">
          <cell r="A775">
            <v>40590</v>
          </cell>
          <cell r="B775">
            <v>40590</v>
          </cell>
          <cell r="C775" t="str">
            <v>Future</v>
          </cell>
          <cell r="D775" t="e">
            <v>#N/A</v>
          </cell>
          <cell r="E775">
            <v>9.2514566929137079</v>
          </cell>
          <cell r="F775">
            <v>86.141220472442299</v>
          </cell>
          <cell r="G775">
            <v>51.967992125984161</v>
          </cell>
          <cell r="H775">
            <v>51.967992125984161</v>
          </cell>
          <cell r="I775" t="e">
            <v>#N/A</v>
          </cell>
          <cell r="J775" t="e">
            <v>#N/A</v>
          </cell>
          <cell r="K775" t="e">
            <v>#N/A</v>
          </cell>
          <cell r="L775" t="e">
            <v>#N/A</v>
          </cell>
          <cell r="M775" t="e">
            <v>#N/A</v>
          </cell>
          <cell r="N775" t="e">
            <v>#N/A</v>
          </cell>
          <cell r="O775" t="e">
            <v>#N/A</v>
          </cell>
          <cell r="P775">
            <v>63.51</v>
          </cell>
          <cell r="Q775" t="str">
            <v/>
          </cell>
          <cell r="R775" t="e">
            <v>#N/A</v>
          </cell>
        </row>
        <row r="776">
          <cell r="A776">
            <v>40591</v>
          </cell>
          <cell r="B776">
            <v>40591</v>
          </cell>
          <cell r="C776" t="str">
            <v>Future</v>
          </cell>
          <cell r="D776" t="e">
            <v>#N/A</v>
          </cell>
          <cell r="E776">
            <v>9.0014173228349676</v>
          </cell>
          <cell r="F776">
            <v>86.245511811024983</v>
          </cell>
          <cell r="G776">
            <v>51.914803149606207</v>
          </cell>
          <cell r="H776">
            <v>51.914803149606207</v>
          </cell>
          <cell r="I776" t="e">
            <v>#N/A</v>
          </cell>
          <cell r="J776" t="e">
            <v>#N/A</v>
          </cell>
          <cell r="K776" t="e">
            <v>#N/A</v>
          </cell>
          <cell r="L776" t="e">
            <v>#N/A</v>
          </cell>
          <cell r="M776" t="e">
            <v>#N/A</v>
          </cell>
          <cell r="N776" t="e">
            <v>#N/A</v>
          </cell>
          <cell r="O776" t="e">
            <v>#N/A</v>
          </cell>
          <cell r="P776">
            <v>63.51</v>
          </cell>
          <cell r="Q776" t="str">
            <v/>
          </cell>
          <cell r="R776" t="e">
            <v>#N/A</v>
          </cell>
        </row>
        <row r="777">
          <cell r="A777">
            <v>40592</v>
          </cell>
          <cell r="B777">
            <v>40592</v>
          </cell>
          <cell r="C777" t="str">
            <v>Future</v>
          </cell>
          <cell r="D777" t="e">
            <v>#N/A</v>
          </cell>
          <cell r="E777">
            <v>8.7513779527562274</v>
          </cell>
          <cell r="F777">
            <v>86.349803149607666</v>
          </cell>
          <cell r="G777">
            <v>51.861614173228254</v>
          </cell>
          <cell r="H777">
            <v>51.861614173228254</v>
          </cell>
          <cell r="I777" t="e">
            <v>#N/A</v>
          </cell>
          <cell r="J777" t="e">
            <v>#N/A</v>
          </cell>
          <cell r="K777" t="e">
            <v>#N/A</v>
          </cell>
          <cell r="L777" t="e">
            <v>#N/A</v>
          </cell>
          <cell r="M777" t="e">
            <v>#N/A</v>
          </cell>
          <cell r="N777" t="e">
            <v>#N/A</v>
          </cell>
          <cell r="O777" t="e">
            <v>#N/A</v>
          </cell>
          <cell r="P777">
            <v>63.51</v>
          </cell>
          <cell r="Q777" t="str">
            <v/>
          </cell>
          <cell r="R777" t="e">
            <v>#N/A</v>
          </cell>
        </row>
        <row r="778">
          <cell r="A778">
            <v>40596</v>
          </cell>
          <cell r="B778">
            <v>40596</v>
          </cell>
          <cell r="C778" t="str">
            <v>Future</v>
          </cell>
          <cell r="D778" t="e">
            <v>#N/A</v>
          </cell>
          <cell r="E778">
            <v>8.5013385826774872</v>
          </cell>
          <cell r="F778">
            <v>86.45409448819035</v>
          </cell>
          <cell r="G778">
            <v>51.808425196850301</v>
          </cell>
          <cell r="H778">
            <v>51.808425196850301</v>
          </cell>
          <cell r="I778" t="e">
            <v>#N/A</v>
          </cell>
          <cell r="J778" t="e">
            <v>#N/A</v>
          </cell>
          <cell r="K778" t="e">
            <v>#N/A</v>
          </cell>
          <cell r="L778" t="e">
            <v>#N/A</v>
          </cell>
          <cell r="M778" t="e">
            <v>#N/A</v>
          </cell>
          <cell r="N778" t="e">
            <v>#N/A</v>
          </cell>
          <cell r="O778" t="e">
            <v>#N/A</v>
          </cell>
          <cell r="P778">
            <v>63.51</v>
          </cell>
          <cell r="Q778" t="str">
            <v/>
          </cell>
          <cell r="R778" t="e">
            <v>#N/A</v>
          </cell>
        </row>
        <row r="779">
          <cell r="A779">
            <v>40597</v>
          </cell>
          <cell r="B779">
            <v>40597</v>
          </cell>
          <cell r="C779" t="str">
            <v>Future</v>
          </cell>
          <cell r="D779" t="e">
            <v>#N/A</v>
          </cell>
          <cell r="E779">
            <v>8.251299212598747</v>
          </cell>
          <cell r="F779">
            <v>86.558385826773034</v>
          </cell>
          <cell r="G779">
            <v>51.755236220472348</v>
          </cell>
          <cell r="H779">
            <v>51.755236220472348</v>
          </cell>
          <cell r="I779" t="e">
            <v>#N/A</v>
          </cell>
          <cell r="J779" t="e">
            <v>#N/A</v>
          </cell>
          <cell r="K779" t="e">
            <v>#N/A</v>
          </cell>
          <cell r="L779" t="e">
            <v>#N/A</v>
          </cell>
          <cell r="M779" t="e">
            <v>#N/A</v>
          </cell>
          <cell r="N779" t="e">
            <v>#N/A</v>
          </cell>
          <cell r="O779" t="e">
            <v>#N/A</v>
          </cell>
          <cell r="P779">
            <v>63.51</v>
          </cell>
          <cell r="Q779" t="str">
            <v/>
          </cell>
          <cell r="R779" t="e">
            <v>#N/A</v>
          </cell>
        </row>
        <row r="780">
          <cell r="A780">
            <v>40598</v>
          </cell>
          <cell r="B780">
            <v>40598</v>
          </cell>
          <cell r="C780" t="str">
            <v>Future</v>
          </cell>
          <cell r="D780" t="e">
            <v>#N/A</v>
          </cell>
          <cell r="E780">
            <v>8.0012598425200068</v>
          </cell>
          <cell r="F780">
            <v>86.662677165355717</v>
          </cell>
          <cell r="G780">
            <v>51.702047244094395</v>
          </cell>
          <cell r="H780">
            <v>51.702047244094395</v>
          </cell>
          <cell r="I780" t="e">
            <v>#N/A</v>
          </cell>
          <cell r="J780" t="e">
            <v>#N/A</v>
          </cell>
          <cell r="K780" t="e">
            <v>#N/A</v>
          </cell>
          <cell r="L780" t="e">
            <v>#N/A</v>
          </cell>
          <cell r="M780" t="e">
            <v>#N/A</v>
          </cell>
          <cell r="N780" t="e">
            <v>#N/A</v>
          </cell>
          <cell r="O780" t="e">
            <v>#N/A</v>
          </cell>
          <cell r="P780">
            <v>63.51</v>
          </cell>
          <cell r="Q780" t="str">
            <v/>
          </cell>
          <cell r="R780" t="e">
            <v>#N/A</v>
          </cell>
        </row>
        <row r="781">
          <cell r="A781">
            <v>40599</v>
          </cell>
          <cell r="B781">
            <v>40599</v>
          </cell>
          <cell r="C781" t="str">
            <v>Future</v>
          </cell>
          <cell r="D781" t="e">
            <v>#N/A</v>
          </cell>
          <cell r="E781">
            <v>7.7512204724412666</v>
          </cell>
          <cell r="F781">
            <v>86.766968503938401</v>
          </cell>
          <cell r="G781">
            <v>51.648858267716442</v>
          </cell>
          <cell r="H781">
            <v>51.648858267716442</v>
          </cell>
          <cell r="I781" t="e">
            <v>#N/A</v>
          </cell>
          <cell r="J781" t="e">
            <v>#N/A</v>
          </cell>
          <cell r="K781" t="e">
            <v>#N/A</v>
          </cell>
          <cell r="L781" t="e">
            <v>#N/A</v>
          </cell>
          <cell r="M781" t="e">
            <v>#N/A</v>
          </cell>
          <cell r="N781" t="e">
            <v>#N/A</v>
          </cell>
          <cell r="O781" t="e">
            <v>#N/A</v>
          </cell>
          <cell r="P781">
            <v>63.51</v>
          </cell>
          <cell r="Q781" t="str">
            <v/>
          </cell>
          <cell r="R781" t="e">
            <v>#N/A</v>
          </cell>
        </row>
        <row r="782">
          <cell r="A782">
            <v>40602</v>
          </cell>
          <cell r="B782">
            <v>40602</v>
          </cell>
          <cell r="C782" t="str">
            <v>Future</v>
          </cell>
          <cell r="D782" t="e">
            <v>#N/A</v>
          </cell>
          <cell r="E782">
            <v>7.5011811023625263</v>
          </cell>
          <cell r="F782">
            <v>86.871259842521084</v>
          </cell>
          <cell r="G782">
            <v>51.595669291338488</v>
          </cell>
          <cell r="H782">
            <v>51.595669291338488</v>
          </cell>
          <cell r="I782" t="e">
            <v>#N/A</v>
          </cell>
          <cell r="J782" t="e">
            <v>#N/A</v>
          </cell>
          <cell r="K782" t="e">
            <v>#N/A</v>
          </cell>
          <cell r="L782" t="e">
            <v>#N/A</v>
          </cell>
          <cell r="M782" t="e">
            <v>#N/A</v>
          </cell>
          <cell r="N782" t="e">
            <v>#N/A</v>
          </cell>
          <cell r="O782" t="e">
            <v>#N/A</v>
          </cell>
          <cell r="P782">
            <v>63.51</v>
          </cell>
          <cell r="Q782" t="str">
            <v/>
          </cell>
          <cell r="R782" t="e">
            <v>#N/A</v>
          </cell>
        </row>
        <row r="783">
          <cell r="A783">
            <v>40603</v>
          </cell>
          <cell r="B783">
            <v>40603</v>
          </cell>
          <cell r="C783" t="str">
            <v>Future</v>
          </cell>
          <cell r="D783" t="e">
            <v>#N/A</v>
          </cell>
          <cell r="E783">
            <v>7.2511417322837861</v>
          </cell>
          <cell r="F783">
            <v>86.975551181103768</v>
          </cell>
          <cell r="G783">
            <v>51.542480314960535</v>
          </cell>
          <cell r="H783">
            <v>51.542480314960535</v>
          </cell>
          <cell r="I783" t="e">
            <v>#N/A</v>
          </cell>
          <cell r="J783" t="e">
            <v>#N/A</v>
          </cell>
          <cell r="K783" t="e">
            <v>#N/A</v>
          </cell>
          <cell r="L783" t="e">
            <v>#N/A</v>
          </cell>
          <cell r="M783" t="e">
            <v>#N/A</v>
          </cell>
          <cell r="N783" t="e">
            <v>#N/A</v>
          </cell>
          <cell r="O783" t="e">
            <v>#N/A</v>
          </cell>
          <cell r="P783">
            <v>63.51</v>
          </cell>
          <cell r="Q783" t="str">
            <v/>
          </cell>
          <cell r="R783" t="e">
            <v>#N/A</v>
          </cell>
        </row>
        <row r="784">
          <cell r="A784">
            <v>40604</v>
          </cell>
          <cell r="B784">
            <v>40604</v>
          </cell>
          <cell r="C784" t="str">
            <v>Future</v>
          </cell>
          <cell r="D784" t="e">
            <v>#N/A</v>
          </cell>
          <cell r="E784">
            <v>7.0011023622050459</v>
          </cell>
          <cell r="F784">
            <v>87.079842519686451</v>
          </cell>
          <cell r="G784">
            <v>51.489291338582582</v>
          </cell>
          <cell r="H784">
            <v>51.489291338582582</v>
          </cell>
          <cell r="I784" t="e">
            <v>#N/A</v>
          </cell>
          <cell r="J784" t="e">
            <v>#N/A</v>
          </cell>
          <cell r="K784" t="e">
            <v>#N/A</v>
          </cell>
          <cell r="L784" t="e">
            <v>#N/A</v>
          </cell>
          <cell r="M784" t="e">
            <v>#N/A</v>
          </cell>
          <cell r="N784" t="e">
            <v>#N/A</v>
          </cell>
          <cell r="O784" t="e">
            <v>#N/A</v>
          </cell>
          <cell r="P784">
            <v>63.51</v>
          </cell>
          <cell r="Q784" t="str">
            <v/>
          </cell>
          <cell r="R784" t="e">
            <v>#N/A</v>
          </cell>
        </row>
        <row r="785">
          <cell r="A785">
            <v>40605</v>
          </cell>
          <cell r="B785">
            <v>40605</v>
          </cell>
          <cell r="C785" t="str">
            <v>Future</v>
          </cell>
          <cell r="D785" t="e">
            <v>#N/A</v>
          </cell>
          <cell r="E785">
            <v>6.7510629921263057</v>
          </cell>
          <cell r="F785">
            <v>87.184133858269135</v>
          </cell>
          <cell r="G785">
            <v>51.436102362204629</v>
          </cell>
          <cell r="H785">
            <v>51.436102362204629</v>
          </cell>
          <cell r="I785" t="e">
            <v>#N/A</v>
          </cell>
          <cell r="J785" t="e">
            <v>#N/A</v>
          </cell>
          <cell r="K785" t="e">
            <v>#N/A</v>
          </cell>
          <cell r="L785" t="e">
            <v>#N/A</v>
          </cell>
          <cell r="M785" t="e">
            <v>#N/A</v>
          </cell>
          <cell r="N785" t="e">
            <v>#N/A</v>
          </cell>
          <cell r="O785" t="e">
            <v>#N/A</v>
          </cell>
          <cell r="P785">
            <v>63.51</v>
          </cell>
          <cell r="Q785" t="str">
            <v/>
          </cell>
          <cell r="R785" t="e">
            <v>#N/A</v>
          </cell>
        </row>
        <row r="786">
          <cell r="A786">
            <v>40606</v>
          </cell>
          <cell r="B786">
            <v>40606</v>
          </cell>
          <cell r="C786" t="str">
            <v>Future</v>
          </cell>
          <cell r="D786" t="e">
            <v>#N/A</v>
          </cell>
          <cell r="E786">
            <v>6.5010236220475655</v>
          </cell>
          <cell r="F786">
            <v>87.288425196851819</v>
          </cell>
          <cell r="G786">
            <v>51.382913385826676</v>
          </cell>
          <cell r="H786">
            <v>51.382913385826676</v>
          </cell>
          <cell r="I786" t="e">
            <v>#N/A</v>
          </cell>
          <cell r="J786" t="e">
            <v>#N/A</v>
          </cell>
          <cell r="K786" t="e">
            <v>#N/A</v>
          </cell>
          <cell r="L786" t="e">
            <v>#N/A</v>
          </cell>
          <cell r="M786" t="e">
            <v>#N/A</v>
          </cell>
          <cell r="N786" t="e">
            <v>#N/A</v>
          </cell>
          <cell r="O786" t="e">
            <v>#N/A</v>
          </cell>
          <cell r="P786">
            <v>63.51</v>
          </cell>
          <cell r="Q786" t="str">
            <v/>
          </cell>
          <cell r="R786" t="e">
            <v>#N/A</v>
          </cell>
        </row>
        <row r="787">
          <cell r="A787">
            <v>40609</v>
          </cell>
          <cell r="B787">
            <v>40609</v>
          </cell>
          <cell r="C787" t="str">
            <v>Future</v>
          </cell>
          <cell r="D787" t="e">
            <v>#N/A</v>
          </cell>
          <cell r="E787">
            <v>6.2509842519688252</v>
          </cell>
          <cell r="F787">
            <v>87.392716535434502</v>
          </cell>
          <cell r="G787">
            <v>51.329724409448723</v>
          </cell>
          <cell r="H787">
            <v>51.329724409448723</v>
          </cell>
          <cell r="I787" t="e">
            <v>#N/A</v>
          </cell>
          <cell r="J787" t="e">
            <v>#N/A</v>
          </cell>
          <cell r="K787" t="e">
            <v>#N/A</v>
          </cell>
          <cell r="L787" t="e">
            <v>#N/A</v>
          </cell>
          <cell r="M787" t="e">
            <v>#N/A</v>
          </cell>
          <cell r="N787" t="e">
            <v>#N/A</v>
          </cell>
          <cell r="O787" t="e">
            <v>#N/A</v>
          </cell>
          <cell r="P787">
            <v>63.51</v>
          </cell>
          <cell r="Q787" t="str">
            <v/>
          </cell>
          <cell r="R787" t="e">
            <v>#N/A</v>
          </cell>
        </row>
        <row r="788">
          <cell r="A788">
            <v>40610</v>
          </cell>
          <cell r="B788">
            <v>40610</v>
          </cell>
          <cell r="C788" t="str">
            <v>Future</v>
          </cell>
          <cell r="D788" t="e">
            <v>#N/A</v>
          </cell>
          <cell r="E788">
            <v>6.000944881890085</v>
          </cell>
          <cell r="F788">
            <v>87.497007874017186</v>
          </cell>
          <cell r="G788">
            <v>51.276535433070769</v>
          </cell>
          <cell r="H788">
            <v>51.276535433070769</v>
          </cell>
          <cell r="I788" t="e">
            <v>#N/A</v>
          </cell>
          <cell r="J788" t="e">
            <v>#N/A</v>
          </cell>
          <cell r="K788" t="e">
            <v>#N/A</v>
          </cell>
          <cell r="L788" t="e">
            <v>#N/A</v>
          </cell>
          <cell r="M788" t="e">
            <v>#N/A</v>
          </cell>
          <cell r="N788" t="e">
            <v>#N/A</v>
          </cell>
          <cell r="O788" t="e">
            <v>#N/A</v>
          </cell>
          <cell r="P788">
            <v>63.51</v>
          </cell>
          <cell r="Q788" t="str">
            <v/>
          </cell>
          <cell r="R788" t="e">
            <v>#N/A</v>
          </cell>
        </row>
        <row r="789">
          <cell r="A789">
            <v>40611</v>
          </cell>
          <cell r="B789">
            <v>40611</v>
          </cell>
          <cell r="C789" t="str">
            <v>Future</v>
          </cell>
          <cell r="D789" t="e">
            <v>#N/A</v>
          </cell>
          <cell r="E789">
            <v>5.7509055118113448</v>
          </cell>
          <cell r="F789">
            <v>87.601299212599869</v>
          </cell>
          <cell r="G789">
            <v>51.223346456692816</v>
          </cell>
          <cell r="H789">
            <v>51.223346456692816</v>
          </cell>
          <cell r="I789" t="e">
            <v>#N/A</v>
          </cell>
          <cell r="J789" t="e">
            <v>#N/A</v>
          </cell>
          <cell r="K789" t="e">
            <v>#N/A</v>
          </cell>
          <cell r="L789" t="e">
            <v>#N/A</v>
          </cell>
          <cell r="M789" t="e">
            <v>#N/A</v>
          </cell>
          <cell r="N789" t="e">
            <v>#N/A</v>
          </cell>
          <cell r="O789" t="e">
            <v>#N/A</v>
          </cell>
          <cell r="P789">
            <v>63.51</v>
          </cell>
          <cell r="Q789" t="str">
            <v/>
          </cell>
          <cell r="R789" t="e">
            <v>#N/A</v>
          </cell>
        </row>
        <row r="790">
          <cell r="A790">
            <v>40612</v>
          </cell>
          <cell r="B790">
            <v>40612</v>
          </cell>
          <cell r="C790" t="str">
            <v>Future</v>
          </cell>
          <cell r="D790" t="e">
            <v>#N/A</v>
          </cell>
          <cell r="E790">
            <v>5.5008661417326046</v>
          </cell>
          <cell r="F790">
            <v>87.705590551182553</v>
          </cell>
          <cell r="G790">
            <v>51.170157480314863</v>
          </cell>
          <cell r="H790">
            <v>51.170157480314863</v>
          </cell>
          <cell r="I790" t="e">
            <v>#N/A</v>
          </cell>
          <cell r="J790" t="e">
            <v>#N/A</v>
          </cell>
          <cell r="K790" t="e">
            <v>#N/A</v>
          </cell>
          <cell r="L790" t="e">
            <v>#N/A</v>
          </cell>
          <cell r="M790" t="e">
            <v>#N/A</v>
          </cell>
          <cell r="N790" t="e">
            <v>#N/A</v>
          </cell>
          <cell r="O790" t="e">
            <v>#N/A</v>
          </cell>
          <cell r="P790">
            <v>63.51</v>
          </cell>
          <cell r="Q790" t="str">
            <v/>
          </cell>
          <cell r="R790" t="e">
            <v>#N/A</v>
          </cell>
        </row>
        <row r="791">
          <cell r="A791">
            <v>40613</v>
          </cell>
          <cell r="B791">
            <v>40613</v>
          </cell>
          <cell r="C791" t="str">
            <v>Future</v>
          </cell>
          <cell r="D791" t="e">
            <v>#N/A</v>
          </cell>
          <cell r="E791">
            <v>5.2508267716538644</v>
          </cell>
          <cell r="F791">
            <v>87.809881889765236</v>
          </cell>
          <cell r="G791">
            <v>51.11696850393691</v>
          </cell>
          <cell r="H791">
            <v>51.11696850393691</v>
          </cell>
          <cell r="I791" t="e">
            <v>#N/A</v>
          </cell>
          <cell r="J791" t="e">
            <v>#N/A</v>
          </cell>
          <cell r="K791" t="e">
            <v>#N/A</v>
          </cell>
          <cell r="L791" t="e">
            <v>#N/A</v>
          </cell>
          <cell r="M791" t="e">
            <v>#N/A</v>
          </cell>
          <cell r="N791" t="e">
            <v>#N/A</v>
          </cell>
          <cell r="O791" t="e">
            <v>#N/A</v>
          </cell>
          <cell r="P791">
            <v>63.51</v>
          </cell>
          <cell r="Q791" t="str">
            <v/>
          </cell>
          <cell r="R791" t="e">
            <v>#N/A</v>
          </cell>
        </row>
        <row r="792">
          <cell r="A792">
            <v>40616</v>
          </cell>
          <cell r="B792">
            <v>40616</v>
          </cell>
          <cell r="C792" t="str">
            <v>Future</v>
          </cell>
          <cell r="D792" t="e">
            <v>#N/A</v>
          </cell>
          <cell r="E792">
            <v>5.0007874015751241</v>
          </cell>
          <cell r="F792">
            <v>87.91417322834792</v>
          </cell>
          <cell r="G792">
            <v>51.063779527558957</v>
          </cell>
          <cell r="H792">
            <v>51.063779527558957</v>
          </cell>
          <cell r="I792" t="e">
            <v>#N/A</v>
          </cell>
          <cell r="J792" t="e">
            <v>#N/A</v>
          </cell>
          <cell r="K792" t="e">
            <v>#N/A</v>
          </cell>
          <cell r="L792" t="e">
            <v>#N/A</v>
          </cell>
          <cell r="M792" t="e">
            <v>#N/A</v>
          </cell>
          <cell r="N792" t="e">
            <v>#N/A</v>
          </cell>
          <cell r="O792" t="e">
            <v>#N/A</v>
          </cell>
          <cell r="P792">
            <v>63.51</v>
          </cell>
          <cell r="Q792" t="str">
            <v/>
          </cell>
          <cell r="R792" t="e">
            <v>#N/A</v>
          </cell>
        </row>
        <row r="793">
          <cell r="A793">
            <v>40617</v>
          </cell>
          <cell r="B793">
            <v>40617</v>
          </cell>
          <cell r="C793" t="str">
            <v>Future</v>
          </cell>
          <cell r="D793" t="e">
            <v>#N/A</v>
          </cell>
          <cell r="E793">
            <v>4.7507480314963839</v>
          </cell>
          <cell r="F793">
            <v>88.018464566930604</v>
          </cell>
          <cell r="G793">
            <v>51.010590551181004</v>
          </cell>
          <cell r="H793">
            <v>51.010590551181004</v>
          </cell>
          <cell r="I793" t="e">
            <v>#N/A</v>
          </cell>
          <cell r="J793" t="e">
            <v>#N/A</v>
          </cell>
          <cell r="K793" t="e">
            <v>#N/A</v>
          </cell>
          <cell r="L793" t="e">
            <v>#N/A</v>
          </cell>
          <cell r="M793" t="e">
            <v>#N/A</v>
          </cell>
          <cell r="N793" t="e">
            <v>#N/A</v>
          </cell>
          <cell r="O793" t="e">
            <v>#N/A</v>
          </cell>
          <cell r="P793">
            <v>63.51</v>
          </cell>
          <cell r="Q793" t="str">
            <v/>
          </cell>
          <cell r="R793" t="e">
            <v>#N/A</v>
          </cell>
        </row>
        <row r="794">
          <cell r="A794">
            <v>40618</v>
          </cell>
          <cell r="B794">
            <v>40618</v>
          </cell>
          <cell r="C794" t="str">
            <v>Future</v>
          </cell>
          <cell r="D794" t="e">
            <v>#N/A</v>
          </cell>
          <cell r="E794">
            <v>4.5007086614176437</v>
          </cell>
          <cell r="F794">
            <v>88.122755905513287</v>
          </cell>
          <cell r="G794">
            <v>50.95740157480305</v>
          </cell>
          <cell r="H794">
            <v>50.95740157480305</v>
          </cell>
          <cell r="I794" t="e">
            <v>#N/A</v>
          </cell>
          <cell r="J794" t="e">
            <v>#N/A</v>
          </cell>
          <cell r="K794" t="e">
            <v>#N/A</v>
          </cell>
          <cell r="L794" t="e">
            <v>#N/A</v>
          </cell>
          <cell r="M794" t="e">
            <v>#N/A</v>
          </cell>
          <cell r="N794" t="e">
            <v>#N/A</v>
          </cell>
          <cell r="O794" t="e">
            <v>#N/A</v>
          </cell>
          <cell r="P794">
            <v>63.51</v>
          </cell>
          <cell r="Q794" t="str">
            <v/>
          </cell>
          <cell r="R794" t="e">
            <v>#N/A</v>
          </cell>
        </row>
        <row r="795">
          <cell r="A795">
            <v>40619</v>
          </cell>
          <cell r="B795">
            <v>40619</v>
          </cell>
          <cell r="C795" t="str">
            <v>Future</v>
          </cell>
          <cell r="D795" t="e">
            <v>#N/A</v>
          </cell>
          <cell r="E795">
            <v>4.2506692913389035</v>
          </cell>
          <cell r="F795">
            <v>88.227047244095971</v>
          </cell>
          <cell r="G795">
            <v>50.904212598425097</v>
          </cell>
          <cell r="H795">
            <v>50.904212598425097</v>
          </cell>
          <cell r="I795" t="e">
            <v>#N/A</v>
          </cell>
          <cell r="J795" t="e">
            <v>#N/A</v>
          </cell>
          <cell r="K795" t="e">
            <v>#N/A</v>
          </cell>
          <cell r="L795" t="e">
            <v>#N/A</v>
          </cell>
          <cell r="M795" t="e">
            <v>#N/A</v>
          </cell>
          <cell r="N795" t="e">
            <v>#N/A</v>
          </cell>
          <cell r="O795" t="e">
            <v>#N/A</v>
          </cell>
          <cell r="P795">
            <v>63.51</v>
          </cell>
          <cell r="Q795" t="str">
            <v/>
          </cell>
          <cell r="R795" t="e">
            <v>#N/A</v>
          </cell>
        </row>
        <row r="796">
          <cell r="A796">
            <v>40620</v>
          </cell>
          <cell r="B796">
            <v>40620</v>
          </cell>
          <cell r="C796" t="str">
            <v>Future</v>
          </cell>
          <cell r="D796" t="e">
            <v>#N/A</v>
          </cell>
          <cell r="E796">
            <v>4.0006299212601633</v>
          </cell>
          <cell r="F796">
            <v>88.331338582678654</v>
          </cell>
          <cell r="G796">
            <v>50.851023622047144</v>
          </cell>
          <cell r="H796">
            <v>50.851023622047144</v>
          </cell>
          <cell r="I796" t="e">
            <v>#N/A</v>
          </cell>
          <cell r="J796" t="e">
            <v>#N/A</v>
          </cell>
          <cell r="K796" t="e">
            <v>#N/A</v>
          </cell>
          <cell r="L796" t="e">
            <v>#N/A</v>
          </cell>
          <cell r="M796" t="e">
            <v>#N/A</v>
          </cell>
          <cell r="N796" t="e">
            <v>#N/A</v>
          </cell>
          <cell r="O796" t="e">
            <v>#N/A</v>
          </cell>
          <cell r="P796">
            <v>63.51</v>
          </cell>
          <cell r="Q796" t="str">
            <v/>
          </cell>
          <cell r="R796" t="e">
            <v>#N/A</v>
          </cell>
        </row>
        <row r="797">
          <cell r="A797">
            <v>40623</v>
          </cell>
          <cell r="B797">
            <v>40623</v>
          </cell>
          <cell r="C797" t="str">
            <v>Future</v>
          </cell>
          <cell r="D797" t="e">
            <v>#N/A</v>
          </cell>
          <cell r="E797">
            <v>3.750590551181423</v>
          </cell>
          <cell r="F797">
            <v>88.435629921261338</v>
          </cell>
          <cell r="G797">
            <v>50.797834645669191</v>
          </cell>
          <cell r="H797">
            <v>50.797834645669191</v>
          </cell>
          <cell r="I797" t="e">
            <v>#N/A</v>
          </cell>
          <cell r="J797" t="e">
            <v>#N/A</v>
          </cell>
          <cell r="K797" t="e">
            <v>#N/A</v>
          </cell>
          <cell r="L797" t="e">
            <v>#N/A</v>
          </cell>
          <cell r="M797" t="e">
            <v>#N/A</v>
          </cell>
          <cell r="N797" t="e">
            <v>#N/A</v>
          </cell>
          <cell r="O797" t="e">
            <v>#N/A</v>
          </cell>
          <cell r="P797">
            <v>63.51</v>
          </cell>
          <cell r="Q797" t="str">
            <v/>
          </cell>
          <cell r="R797" t="e">
            <v>#N/A</v>
          </cell>
        </row>
        <row r="798">
          <cell r="A798">
            <v>40624</v>
          </cell>
          <cell r="B798">
            <v>40624</v>
          </cell>
          <cell r="C798" t="str">
            <v>Future</v>
          </cell>
          <cell r="D798" t="e">
            <v>#N/A</v>
          </cell>
          <cell r="E798">
            <v>3.5005511811026828</v>
          </cell>
          <cell r="F798">
            <v>88.539921259844022</v>
          </cell>
          <cell r="G798">
            <v>50.744645669291238</v>
          </cell>
          <cell r="H798">
            <v>50.744645669291238</v>
          </cell>
          <cell r="I798" t="e">
            <v>#N/A</v>
          </cell>
          <cell r="J798" t="e">
            <v>#N/A</v>
          </cell>
          <cell r="K798" t="e">
            <v>#N/A</v>
          </cell>
          <cell r="L798" t="e">
            <v>#N/A</v>
          </cell>
          <cell r="M798" t="e">
            <v>#N/A</v>
          </cell>
          <cell r="N798" t="e">
            <v>#N/A</v>
          </cell>
          <cell r="O798" t="e">
            <v>#N/A</v>
          </cell>
          <cell r="P798">
            <v>63.51</v>
          </cell>
          <cell r="Q798" t="str">
            <v/>
          </cell>
          <cell r="R798" t="e">
            <v>#N/A</v>
          </cell>
        </row>
        <row r="799">
          <cell r="A799">
            <v>40625</v>
          </cell>
          <cell r="B799">
            <v>40625</v>
          </cell>
          <cell r="C799" t="str">
            <v>Future</v>
          </cell>
          <cell r="D799" t="e">
            <v>#N/A</v>
          </cell>
          <cell r="E799">
            <v>3.2505118110239426</v>
          </cell>
          <cell r="F799">
            <v>88.644212598426705</v>
          </cell>
          <cell r="G799">
            <v>50.691456692913285</v>
          </cell>
          <cell r="H799">
            <v>50.691456692913285</v>
          </cell>
          <cell r="I799" t="e">
            <v>#N/A</v>
          </cell>
          <cell r="J799" t="e">
            <v>#N/A</v>
          </cell>
          <cell r="K799" t="e">
            <v>#N/A</v>
          </cell>
          <cell r="L799" t="e">
            <v>#N/A</v>
          </cell>
          <cell r="M799" t="e">
            <v>#N/A</v>
          </cell>
          <cell r="N799" t="e">
            <v>#N/A</v>
          </cell>
          <cell r="O799" t="e">
            <v>#N/A</v>
          </cell>
          <cell r="P799">
            <v>63.51</v>
          </cell>
          <cell r="Q799" t="str">
            <v/>
          </cell>
          <cell r="R799" t="e">
            <v>#N/A</v>
          </cell>
        </row>
        <row r="800">
          <cell r="A800">
            <v>40626</v>
          </cell>
          <cell r="B800">
            <v>40626</v>
          </cell>
          <cell r="C800" t="str">
            <v>Future</v>
          </cell>
          <cell r="D800" t="e">
            <v>#N/A</v>
          </cell>
          <cell r="E800">
            <v>3.0004724409452024</v>
          </cell>
          <cell r="F800">
            <v>88.748503937009389</v>
          </cell>
          <cell r="G800">
            <v>50.638267716535331</v>
          </cell>
          <cell r="H800">
            <v>50.638267716535331</v>
          </cell>
          <cell r="I800" t="e">
            <v>#N/A</v>
          </cell>
          <cell r="J800" t="e">
            <v>#N/A</v>
          </cell>
          <cell r="K800" t="e">
            <v>#N/A</v>
          </cell>
          <cell r="L800" t="e">
            <v>#N/A</v>
          </cell>
          <cell r="M800" t="e">
            <v>#N/A</v>
          </cell>
          <cell r="N800" t="e">
            <v>#N/A</v>
          </cell>
          <cell r="O800" t="e">
            <v>#N/A</v>
          </cell>
          <cell r="P800">
            <v>63.51</v>
          </cell>
          <cell r="Q800" t="str">
            <v/>
          </cell>
          <cell r="R800" t="e">
            <v>#N/A</v>
          </cell>
        </row>
        <row r="801">
          <cell r="A801">
            <v>40627</v>
          </cell>
          <cell r="B801">
            <v>40627</v>
          </cell>
          <cell r="C801" t="str">
            <v>Future</v>
          </cell>
          <cell r="D801" t="e">
            <v>#N/A</v>
          </cell>
          <cell r="E801">
            <v>2.7504330708664622</v>
          </cell>
          <cell r="F801">
            <v>88.852795275592072</v>
          </cell>
          <cell r="G801">
            <v>50.585078740157378</v>
          </cell>
          <cell r="H801">
            <v>50.585078740157378</v>
          </cell>
          <cell r="I801" t="e">
            <v>#N/A</v>
          </cell>
          <cell r="J801" t="e">
            <v>#N/A</v>
          </cell>
          <cell r="K801" t="e">
            <v>#N/A</v>
          </cell>
          <cell r="L801" t="e">
            <v>#N/A</v>
          </cell>
          <cell r="M801" t="e">
            <v>#N/A</v>
          </cell>
          <cell r="N801" t="e">
            <v>#N/A</v>
          </cell>
          <cell r="O801" t="e">
            <v>#N/A</v>
          </cell>
          <cell r="P801">
            <v>63.51</v>
          </cell>
          <cell r="Q801" t="str">
            <v/>
          </cell>
          <cell r="R801" t="e">
            <v>#N/A</v>
          </cell>
        </row>
        <row r="802">
          <cell r="A802">
            <v>40630</v>
          </cell>
          <cell r="B802">
            <v>40630</v>
          </cell>
          <cell r="C802" t="str">
            <v>Future</v>
          </cell>
          <cell r="D802" t="e">
            <v>#N/A</v>
          </cell>
          <cell r="E802">
            <v>2.5003937007877219</v>
          </cell>
          <cell r="F802">
            <v>88.957086614174756</v>
          </cell>
          <cell r="G802">
            <v>50.531889763779425</v>
          </cell>
          <cell r="H802">
            <v>50.531889763779425</v>
          </cell>
          <cell r="I802" t="e">
            <v>#N/A</v>
          </cell>
          <cell r="J802" t="e">
            <v>#N/A</v>
          </cell>
          <cell r="K802" t="e">
            <v>#N/A</v>
          </cell>
          <cell r="L802" t="e">
            <v>#N/A</v>
          </cell>
          <cell r="M802" t="e">
            <v>#N/A</v>
          </cell>
          <cell r="N802" t="e">
            <v>#N/A</v>
          </cell>
          <cell r="O802" t="e">
            <v>#N/A</v>
          </cell>
          <cell r="P802">
            <v>63.51</v>
          </cell>
          <cell r="Q802" t="str">
            <v/>
          </cell>
          <cell r="R802" t="e">
            <v>#N/A</v>
          </cell>
        </row>
        <row r="803">
          <cell r="A803">
            <v>40631</v>
          </cell>
          <cell r="B803">
            <v>40631</v>
          </cell>
          <cell r="C803" t="str">
            <v>Future</v>
          </cell>
          <cell r="D803" t="e">
            <v>#N/A</v>
          </cell>
          <cell r="E803">
            <v>2.2503543307089817</v>
          </cell>
          <cell r="F803">
            <v>89.061377952757439</v>
          </cell>
          <cell r="G803">
            <v>50.478700787401472</v>
          </cell>
          <cell r="H803">
            <v>50.478700787401472</v>
          </cell>
          <cell r="I803" t="e">
            <v>#N/A</v>
          </cell>
          <cell r="J803" t="e">
            <v>#N/A</v>
          </cell>
          <cell r="K803" t="e">
            <v>#N/A</v>
          </cell>
          <cell r="L803" t="e">
            <v>#N/A</v>
          </cell>
          <cell r="M803" t="e">
            <v>#N/A</v>
          </cell>
          <cell r="N803" t="e">
            <v>#N/A</v>
          </cell>
          <cell r="O803" t="e">
            <v>#N/A</v>
          </cell>
          <cell r="P803">
            <v>63.51</v>
          </cell>
          <cell r="Q803" t="str">
            <v/>
          </cell>
          <cell r="R803" t="e">
            <v>#N/A</v>
          </cell>
        </row>
        <row r="804">
          <cell r="A804">
            <v>40632</v>
          </cell>
          <cell r="B804">
            <v>40632</v>
          </cell>
          <cell r="C804" t="str">
            <v>Future</v>
          </cell>
          <cell r="D804" t="e">
            <v>#N/A</v>
          </cell>
          <cell r="E804">
            <v>2.0003149606302415</v>
          </cell>
          <cell r="F804">
            <v>89.165669291340123</v>
          </cell>
          <cell r="G804">
            <v>50.425511811023519</v>
          </cell>
          <cell r="H804">
            <v>50.425511811023519</v>
          </cell>
          <cell r="I804" t="e">
            <v>#N/A</v>
          </cell>
          <cell r="J804" t="e">
            <v>#N/A</v>
          </cell>
          <cell r="K804" t="e">
            <v>#N/A</v>
          </cell>
          <cell r="L804" t="e">
            <v>#N/A</v>
          </cell>
          <cell r="M804" t="e">
            <v>#N/A</v>
          </cell>
          <cell r="N804" t="e">
            <v>#N/A</v>
          </cell>
          <cell r="O804" t="e">
            <v>#N/A</v>
          </cell>
          <cell r="P804">
            <v>63.51</v>
          </cell>
          <cell r="Q804" t="str">
            <v/>
          </cell>
          <cell r="R804" t="e">
            <v>#N/A</v>
          </cell>
        </row>
        <row r="805">
          <cell r="A805">
            <v>40633</v>
          </cell>
          <cell r="B805">
            <v>40633</v>
          </cell>
          <cell r="C805" t="str">
            <v>Future</v>
          </cell>
          <cell r="D805" t="e">
            <v>#N/A</v>
          </cell>
          <cell r="E805">
            <v>1.7502755905515013</v>
          </cell>
          <cell r="F805">
            <v>89.269960629922807</v>
          </cell>
          <cell r="G805">
            <v>50.372322834645566</v>
          </cell>
          <cell r="H805">
            <v>50.372322834645566</v>
          </cell>
          <cell r="I805" t="e">
            <v>#N/A</v>
          </cell>
          <cell r="J805" t="e">
            <v>#N/A</v>
          </cell>
          <cell r="K805" t="e">
            <v>#N/A</v>
          </cell>
          <cell r="L805" t="e">
            <v>#N/A</v>
          </cell>
          <cell r="M805" t="e">
            <v>#N/A</v>
          </cell>
          <cell r="N805" t="e">
            <v>#N/A</v>
          </cell>
          <cell r="O805" t="e">
            <v>#N/A</v>
          </cell>
          <cell r="P805">
            <v>63.51</v>
          </cell>
          <cell r="Q805" t="str">
            <v/>
          </cell>
          <cell r="R805" t="e">
            <v>#N/A</v>
          </cell>
        </row>
        <row r="806">
          <cell r="A806">
            <v>40634</v>
          </cell>
          <cell r="B806">
            <v>40634</v>
          </cell>
          <cell r="C806" t="str">
            <v>Future</v>
          </cell>
          <cell r="D806" t="e">
            <v>#N/A</v>
          </cell>
          <cell r="E806">
            <v>1.5002362204727611</v>
          </cell>
          <cell r="F806">
            <v>89.37425196850549</v>
          </cell>
          <cell r="G806">
            <v>50.319133858267612</v>
          </cell>
          <cell r="H806">
            <v>50.319133858267612</v>
          </cell>
          <cell r="I806" t="e">
            <v>#N/A</v>
          </cell>
          <cell r="J806" t="e">
            <v>#N/A</v>
          </cell>
          <cell r="K806" t="e">
            <v>#N/A</v>
          </cell>
          <cell r="L806" t="e">
            <v>#N/A</v>
          </cell>
          <cell r="M806" t="e">
            <v>#N/A</v>
          </cell>
          <cell r="N806" t="e">
            <v>#N/A</v>
          </cell>
          <cell r="O806" t="e">
            <v>#N/A</v>
          </cell>
          <cell r="P806">
            <v>63.51</v>
          </cell>
          <cell r="Q806" t="str">
            <v/>
          </cell>
          <cell r="R806" t="e">
            <v>#N/A</v>
          </cell>
        </row>
        <row r="807">
          <cell r="A807">
            <v>40637</v>
          </cell>
          <cell r="B807">
            <v>40637</v>
          </cell>
          <cell r="C807" t="str">
            <v>Future</v>
          </cell>
          <cell r="D807" t="e">
            <v>#N/A</v>
          </cell>
          <cell r="E807">
            <v>1.2501968503940208</v>
          </cell>
          <cell r="F807">
            <v>89.478543307088174</v>
          </cell>
          <cell r="G807">
            <v>50.265944881889659</v>
          </cell>
          <cell r="H807">
            <v>50.265944881889659</v>
          </cell>
          <cell r="I807" t="e">
            <v>#N/A</v>
          </cell>
          <cell r="J807" t="e">
            <v>#N/A</v>
          </cell>
          <cell r="K807" t="e">
            <v>#N/A</v>
          </cell>
          <cell r="L807" t="e">
            <v>#N/A</v>
          </cell>
          <cell r="M807" t="e">
            <v>#N/A</v>
          </cell>
          <cell r="N807" t="e">
            <v>#N/A</v>
          </cell>
          <cell r="O807" t="e">
            <v>#N/A</v>
          </cell>
          <cell r="P807">
            <v>63.51</v>
          </cell>
          <cell r="Q807" t="str">
            <v/>
          </cell>
          <cell r="R807" t="e">
            <v>#N/A</v>
          </cell>
        </row>
        <row r="808">
          <cell r="A808">
            <v>40638</v>
          </cell>
          <cell r="B808">
            <v>40638</v>
          </cell>
          <cell r="C808" t="str">
            <v>Future</v>
          </cell>
          <cell r="D808" t="e">
            <v>#N/A</v>
          </cell>
          <cell r="E808">
            <v>1.0001574803152806</v>
          </cell>
          <cell r="F808">
            <v>89.582834645670857</v>
          </cell>
          <cell r="G808">
            <v>50.212755905511706</v>
          </cell>
          <cell r="H808">
            <v>50.212755905511706</v>
          </cell>
          <cell r="I808" t="e">
            <v>#N/A</v>
          </cell>
          <cell r="J808" t="e">
            <v>#N/A</v>
          </cell>
          <cell r="K808" t="e">
            <v>#N/A</v>
          </cell>
          <cell r="L808" t="e">
            <v>#N/A</v>
          </cell>
          <cell r="M808" t="e">
            <v>#N/A</v>
          </cell>
          <cell r="N808" t="e">
            <v>#N/A</v>
          </cell>
          <cell r="O808" t="e">
            <v>#N/A</v>
          </cell>
          <cell r="P808">
            <v>63.51</v>
          </cell>
          <cell r="Q808" t="str">
            <v/>
          </cell>
          <cell r="R808" t="e">
            <v>#N/A</v>
          </cell>
        </row>
        <row r="809">
          <cell r="A809">
            <v>40639</v>
          </cell>
          <cell r="B809">
            <v>40639</v>
          </cell>
          <cell r="C809" t="str">
            <v>Future</v>
          </cell>
          <cell r="D809" t="e">
            <v>#N/A</v>
          </cell>
          <cell r="E809">
            <v>0.7501181102365404</v>
          </cell>
          <cell r="F809">
            <v>89.687125984253541</v>
          </cell>
          <cell r="G809">
            <v>50.159566929133753</v>
          </cell>
          <cell r="H809">
            <v>50.159566929133753</v>
          </cell>
          <cell r="I809" t="e">
            <v>#N/A</v>
          </cell>
          <cell r="J809" t="e">
            <v>#N/A</v>
          </cell>
          <cell r="K809" t="e">
            <v>#N/A</v>
          </cell>
          <cell r="L809" t="e">
            <v>#N/A</v>
          </cell>
          <cell r="M809" t="e">
            <v>#N/A</v>
          </cell>
          <cell r="N809" t="e">
            <v>#N/A</v>
          </cell>
          <cell r="O809" t="e">
            <v>#N/A</v>
          </cell>
          <cell r="P809">
            <v>63.51</v>
          </cell>
          <cell r="Q809" t="str">
            <v/>
          </cell>
          <cell r="R809" t="e">
            <v>#N/A</v>
          </cell>
        </row>
        <row r="810">
          <cell r="A810">
            <v>40640</v>
          </cell>
          <cell r="B810">
            <v>40640</v>
          </cell>
          <cell r="C810" t="str">
            <v>Future</v>
          </cell>
          <cell r="D810" t="e">
            <v>#N/A</v>
          </cell>
          <cell r="E810">
            <v>0.50007874015780018</v>
          </cell>
          <cell r="F810">
            <v>89.791417322836224</v>
          </cell>
          <cell r="G810">
            <v>50.1063779527558</v>
          </cell>
          <cell r="H810">
            <v>50.1063779527558</v>
          </cell>
          <cell r="I810" t="e">
            <v>#N/A</v>
          </cell>
          <cell r="J810" t="e">
            <v>#N/A</v>
          </cell>
          <cell r="K810" t="e">
            <v>#N/A</v>
          </cell>
          <cell r="L810" t="e">
            <v>#N/A</v>
          </cell>
          <cell r="M810" t="e">
            <v>#N/A</v>
          </cell>
          <cell r="N810" t="e">
            <v>#N/A</v>
          </cell>
          <cell r="O810" t="e">
            <v>#N/A</v>
          </cell>
          <cell r="P810">
            <v>63.51</v>
          </cell>
          <cell r="Q810" t="str">
            <v/>
          </cell>
          <cell r="R810" t="e">
            <v>#N/A</v>
          </cell>
        </row>
        <row r="811">
          <cell r="A811">
            <v>40641</v>
          </cell>
          <cell r="B811">
            <v>40641</v>
          </cell>
          <cell r="C811" t="str">
            <v>Future</v>
          </cell>
          <cell r="D811" t="e">
            <v>#N/A</v>
          </cell>
          <cell r="E811">
            <v>0.25003937007906002</v>
          </cell>
          <cell r="F811">
            <v>89.895708661418908</v>
          </cell>
          <cell r="G811">
            <v>50.053188976377847</v>
          </cell>
          <cell r="H811">
            <v>50.053188976377847</v>
          </cell>
          <cell r="I811" t="e">
            <v>#N/A</v>
          </cell>
          <cell r="J811" t="e">
            <v>#N/A</v>
          </cell>
          <cell r="K811">
            <v>90</v>
          </cell>
          <cell r="L811">
            <v>50</v>
          </cell>
          <cell r="M811" t="e">
            <v>#N/A</v>
          </cell>
          <cell r="N811">
            <v>80</v>
          </cell>
          <cell r="O811" t="e">
            <v>#N/A</v>
          </cell>
          <cell r="P811">
            <v>63.51</v>
          </cell>
          <cell r="Q811" t="str">
            <v/>
          </cell>
          <cell r="R811" t="e">
            <v>#N/A</v>
          </cell>
        </row>
        <row r="812">
          <cell r="A812" t="str">
            <v/>
          </cell>
          <cell r="B812" t="str">
            <v/>
          </cell>
          <cell r="C812" t="str">
            <v>Future</v>
          </cell>
          <cell r="D812" t="e">
            <v>#N/A</v>
          </cell>
          <cell r="E812">
            <v>3.198552533945076E-13</v>
          </cell>
          <cell r="F812">
            <v>90.000000000001592</v>
          </cell>
          <cell r="G812">
            <v>49.999999999999893</v>
          </cell>
          <cell r="H812">
            <v>49.999999999999893</v>
          </cell>
          <cell r="I812" t="e">
            <v>#N/A</v>
          </cell>
          <cell r="J812" t="e">
            <v>#N/A</v>
          </cell>
          <cell r="K812">
            <v>90</v>
          </cell>
          <cell r="L812">
            <v>50</v>
          </cell>
          <cell r="M812" t="e">
            <v>#N/A</v>
          </cell>
          <cell r="N812">
            <v>80</v>
          </cell>
          <cell r="O812" t="e">
            <v>#N/A</v>
          </cell>
          <cell r="P812" t="str">
            <v/>
          </cell>
          <cell r="Q812" t="str">
            <v/>
          </cell>
          <cell r="R812" t="e">
            <v>#N/A</v>
          </cell>
        </row>
        <row r="813">
          <cell r="A813" t="str">
            <v/>
          </cell>
          <cell r="B813" t="str">
            <v/>
          </cell>
          <cell r="C813" t="str">
            <v>Future</v>
          </cell>
          <cell r="D813" t="e">
            <v>#N/A</v>
          </cell>
          <cell r="E813">
            <v>-0.25003937007842031</v>
          </cell>
          <cell r="F813">
            <v>90.104291338584275</v>
          </cell>
          <cell r="G813">
            <v>49.94681102362194</v>
          </cell>
          <cell r="H813">
            <v>49.94681102362194</v>
          </cell>
          <cell r="I813" t="e">
            <v>#N/A</v>
          </cell>
          <cell r="J813" t="e">
            <v>#N/A</v>
          </cell>
          <cell r="K813">
            <v>90</v>
          </cell>
          <cell r="L813">
            <v>50</v>
          </cell>
          <cell r="M813" t="e">
            <v>#N/A</v>
          </cell>
          <cell r="N813">
            <v>80</v>
          </cell>
          <cell r="O813" t="e">
            <v>#N/A</v>
          </cell>
          <cell r="P813" t="str">
            <v/>
          </cell>
          <cell r="Q813" t="str">
            <v/>
          </cell>
          <cell r="R813" t="e">
            <v>#N/A</v>
          </cell>
        </row>
        <row r="814">
          <cell r="A814" t="str">
            <v/>
          </cell>
          <cell r="B814" t="str">
            <v/>
          </cell>
          <cell r="C814" t="str">
            <v>Future</v>
          </cell>
          <cell r="D814" t="e">
            <v>#N/A</v>
          </cell>
          <cell r="E814">
            <v>-0.50007874015716047</v>
          </cell>
          <cell r="F814">
            <v>90.208582677166959</v>
          </cell>
          <cell r="G814">
            <v>49.893622047243987</v>
          </cell>
          <cell r="H814">
            <v>49.893622047243987</v>
          </cell>
          <cell r="I814" t="e">
            <v>#N/A</v>
          </cell>
          <cell r="J814" t="e">
            <v>#N/A</v>
          </cell>
          <cell r="K814">
            <v>90</v>
          </cell>
          <cell r="L814">
            <v>50</v>
          </cell>
          <cell r="M814" t="e">
            <v>#N/A</v>
          </cell>
          <cell r="N814">
            <v>80</v>
          </cell>
          <cell r="O814" t="e">
            <v>#N/A</v>
          </cell>
          <cell r="P814" t="str">
            <v/>
          </cell>
          <cell r="Q814" t="str">
            <v/>
          </cell>
          <cell r="R814" t="e">
            <v>#N/A</v>
          </cell>
        </row>
        <row r="815">
          <cell r="A815" t="str">
            <v/>
          </cell>
          <cell r="B815" t="str">
            <v/>
          </cell>
          <cell r="C815" t="str">
            <v>Future</v>
          </cell>
          <cell r="D815" t="e">
            <v>#N/A</v>
          </cell>
          <cell r="E815">
            <v>-0.75011811023590069</v>
          </cell>
          <cell r="F815">
            <v>90.312874015749642</v>
          </cell>
          <cell r="G815">
            <v>49.840433070866034</v>
          </cell>
          <cell r="H815">
            <v>49.840433070866034</v>
          </cell>
          <cell r="I815" t="e">
            <v>#N/A</v>
          </cell>
          <cell r="J815" t="e">
            <v>#N/A</v>
          </cell>
          <cell r="K815">
            <v>90</v>
          </cell>
          <cell r="L815">
            <v>50</v>
          </cell>
          <cell r="M815" t="e">
            <v>#N/A</v>
          </cell>
          <cell r="N815">
            <v>80</v>
          </cell>
          <cell r="O815" t="e">
            <v>#N/A</v>
          </cell>
          <cell r="P815" t="str">
            <v/>
          </cell>
          <cell r="Q815" t="str">
            <v/>
          </cell>
          <cell r="R815" t="e">
            <v>#N/A</v>
          </cell>
        </row>
        <row r="816">
          <cell r="A816" t="str">
            <v/>
          </cell>
          <cell r="B816" t="str">
            <v/>
          </cell>
          <cell r="C816" t="str">
            <v>Future</v>
          </cell>
          <cell r="D816" t="e">
            <v>#N/A</v>
          </cell>
          <cell r="E816">
            <v>-1.0001574803146409</v>
          </cell>
          <cell r="F816">
            <v>90.417165354332326</v>
          </cell>
          <cell r="G816">
            <v>49.787244094488081</v>
          </cell>
          <cell r="H816">
            <v>49.787244094488081</v>
          </cell>
          <cell r="I816" t="e">
            <v>#N/A</v>
          </cell>
          <cell r="J816" t="e">
            <v>#N/A</v>
          </cell>
          <cell r="K816">
            <v>90</v>
          </cell>
          <cell r="L816">
            <v>50</v>
          </cell>
          <cell r="M816" t="e">
            <v>#N/A</v>
          </cell>
          <cell r="N816">
            <v>80</v>
          </cell>
          <cell r="O816" t="e">
            <v>#N/A</v>
          </cell>
          <cell r="P816" t="str">
            <v/>
          </cell>
          <cell r="Q816" t="str">
            <v/>
          </cell>
          <cell r="R816" t="e">
            <v>#N/A</v>
          </cell>
        </row>
        <row r="817">
          <cell r="A817" t="str">
            <v/>
          </cell>
          <cell r="B817" t="str">
            <v/>
          </cell>
          <cell r="C817" t="str">
            <v>Future</v>
          </cell>
          <cell r="D817" t="e">
            <v>#N/A</v>
          </cell>
          <cell r="E817">
            <v>-1.2501968503933811</v>
          </cell>
          <cell r="F817">
            <v>90.52145669291501</v>
          </cell>
          <cell r="G817">
            <v>49.734055118110128</v>
          </cell>
          <cell r="H817">
            <v>49.734055118110128</v>
          </cell>
          <cell r="I817" t="e">
            <v>#N/A</v>
          </cell>
          <cell r="J817" t="e">
            <v>#N/A</v>
          </cell>
          <cell r="K817">
            <v>90</v>
          </cell>
          <cell r="L817">
            <v>50</v>
          </cell>
          <cell r="M817" t="e">
            <v>#N/A</v>
          </cell>
          <cell r="N817">
            <v>80</v>
          </cell>
          <cell r="O817" t="e">
            <v>#N/A</v>
          </cell>
          <cell r="P817" t="str">
            <v/>
          </cell>
          <cell r="Q817" t="str">
            <v/>
          </cell>
          <cell r="R817" t="e">
            <v>#N/A</v>
          </cell>
        </row>
        <row r="818">
          <cell r="A818" t="str">
            <v/>
          </cell>
          <cell r="B818" t="str">
            <v/>
          </cell>
          <cell r="C818" t="str">
            <v>Future</v>
          </cell>
          <cell r="D818" t="e">
            <v>#N/A</v>
          </cell>
          <cell r="E818">
            <v>-1.5002362204721214</v>
          </cell>
          <cell r="F818">
            <v>90.625748031497693</v>
          </cell>
          <cell r="G818">
            <v>49.680866141732174</v>
          </cell>
          <cell r="H818">
            <v>49.680866141732174</v>
          </cell>
          <cell r="I818" t="e">
            <v>#N/A</v>
          </cell>
          <cell r="J818" t="e">
            <v>#N/A</v>
          </cell>
          <cell r="K818">
            <v>90</v>
          </cell>
          <cell r="L818">
            <v>50</v>
          </cell>
          <cell r="M818" t="e">
            <v>#N/A</v>
          </cell>
          <cell r="N818">
            <v>80</v>
          </cell>
          <cell r="O818" t="e">
            <v>#N/A</v>
          </cell>
          <cell r="P818" t="str">
            <v/>
          </cell>
          <cell r="Q818" t="str">
            <v/>
          </cell>
          <cell r="R818" t="e">
            <v>#N/A</v>
          </cell>
        </row>
        <row r="819">
          <cell r="A819" t="str">
            <v/>
          </cell>
          <cell r="B819" t="str">
            <v/>
          </cell>
          <cell r="C819" t="str">
            <v>Future</v>
          </cell>
          <cell r="D819" t="e">
            <v>#N/A</v>
          </cell>
          <cell r="E819">
            <v>-1.7502755905508616</v>
          </cell>
          <cell r="F819">
            <v>90.730039370080377</v>
          </cell>
          <cell r="G819">
            <v>49.627677165354221</v>
          </cell>
          <cell r="H819">
            <v>49.627677165354221</v>
          </cell>
          <cell r="I819" t="e">
            <v>#N/A</v>
          </cell>
          <cell r="J819" t="e">
            <v>#N/A</v>
          </cell>
          <cell r="K819">
            <v>90</v>
          </cell>
          <cell r="L819">
            <v>50</v>
          </cell>
          <cell r="M819" t="e">
            <v>#N/A</v>
          </cell>
          <cell r="N819">
            <v>80</v>
          </cell>
          <cell r="O819" t="e">
            <v>#N/A</v>
          </cell>
          <cell r="P819" t="str">
            <v/>
          </cell>
          <cell r="Q819" t="str">
            <v/>
          </cell>
          <cell r="R819" t="e">
            <v>#N/A</v>
          </cell>
        </row>
        <row r="820">
          <cell r="A820" t="str">
            <v/>
          </cell>
          <cell r="B820" t="str">
            <v/>
          </cell>
          <cell r="C820" t="str">
            <v>Future</v>
          </cell>
          <cell r="D820" t="e">
            <v>#N/A</v>
          </cell>
          <cell r="E820">
            <v>-2.0003149606296016</v>
          </cell>
          <cell r="F820">
            <v>90.83433070866306</v>
          </cell>
          <cell r="G820">
            <v>49.574488188976268</v>
          </cell>
          <cell r="H820">
            <v>49.574488188976268</v>
          </cell>
          <cell r="I820" t="e">
            <v>#N/A</v>
          </cell>
          <cell r="J820" t="e">
            <v>#N/A</v>
          </cell>
          <cell r="K820">
            <v>90</v>
          </cell>
          <cell r="L820">
            <v>50</v>
          </cell>
          <cell r="M820" t="e">
            <v>#N/A</v>
          </cell>
          <cell r="N820">
            <v>80</v>
          </cell>
          <cell r="O820" t="e">
            <v>#N/A</v>
          </cell>
          <cell r="P820" t="str">
            <v/>
          </cell>
          <cell r="Q820" t="str">
            <v/>
          </cell>
          <cell r="R820" t="e">
            <v>#N/A</v>
          </cell>
        </row>
        <row r="821">
          <cell r="A821" t="str">
            <v/>
          </cell>
          <cell r="B821" t="str">
            <v/>
          </cell>
          <cell r="C821" t="str">
            <v>Future</v>
          </cell>
          <cell r="D821" t="e">
            <v>#N/A</v>
          </cell>
          <cell r="E821">
            <v>-2.2503543307083418</v>
          </cell>
          <cell r="F821">
            <v>90.938622047245744</v>
          </cell>
          <cell r="G821">
            <v>49.521299212598315</v>
          </cell>
          <cell r="H821">
            <v>49.521299212598315</v>
          </cell>
          <cell r="I821" t="e">
            <v>#N/A</v>
          </cell>
          <cell r="J821" t="e">
            <v>#N/A</v>
          </cell>
          <cell r="K821">
            <v>90</v>
          </cell>
          <cell r="L821">
            <v>50</v>
          </cell>
          <cell r="M821" t="e">
            <v>#N/A</v>
          </cell>
          <cell r="N821">
            <v>80</v>
          </cell>
          <cell r="O821" t="e">
            <v>#N/A</v>
          </cell>
          <cell r="P821" t="str">
            <v/>
          </cell>
          <cell r="Q821" t="str">
            <v/>
          </cell>
          <cell r="R821" t="e">
            <v>#N/A</v>
          </cell>
        </row>
        <row r="822">
          <cell r="A822" t="str">
            <v/>
          </cell>
          <cell r="B822" t="str">
            <v/>
          </cell>
          <cell r="C822" t="str">
            <v>Future</v>
          </cell>
          <cell r="D822" t="e">
            <v>#N/A</v>
          </cell>
          <cell r="E822">
            <v>-2.500393700787082</v>
          </cell>
          <cell r="F822">
            <v>91.042913385828427</v>
          </cell>
          <cell r="G822">
            <v>49.468110236220362</v>
          </cell>
          <cell r="H822">
            <v>49.468110236220362</v>
          </cell>
          <cell r="I822" t="e">
            <v>#N/A</v>
          </cell>
          <cell r="J822" t="e">
            <v>#N/A</v>
          </cell>
          <cell r="K822">
            <v>90</v>
          </cell>
          <cell r="L822">
            <v>50</v>
          </cell>
          <cell r="M822" t="e">
            <v>#N/A</v>
          </cell>
          <cell r="N822">
            <v>80</v>
          </cell>
          <cell r="O822" t="e">
            <v>#N/A</v>
          </cell>
          <cell r="P822" t="str">
            <v/>
          </cell>
          <cell r="Q822" t="str">
            <v/>
          </cell>
          <cell r="R822" t="e">
            <v>#N/A</v>
          </cell>
        </row>
        <row r="823">
          <cell r="A823" t="str">
            <v/>
          </cell>
          <cell r="B823" t="str">
            <v/>
          </cell>
          <cell r="C823" t="str">
            <v>Future</v>
          </cell>
          <cell r="D823" t="e">
            <v>#N/A</v>
          </cell>
          <cell r="E823">
            <v>-2.7504330708658222</v>
          </cell>
          <cell r="F823">
            <v>91.147204724411111</v>
          </cell>
          <cell r="G823">
            <v>49.414921259842409</v>
          </cell>
          <cell r="H823">
            <v>49.414921259842409</v>
          </cell>
          <cell r="I823" t="e">
            <v>#N/A</v>
          </cell>
          <cell r="J823" t="e">
            <v>#N/A</v>
          </cell>
          <cell r="K823">
            <v>90</v>
          </cell>
          <cell r="L823">
            <v>50</v>
          </cell>
          <cell r="M823" t="e">
            <v>#N/A</v>
          </cell>
          <cell r="N823">
            <v>80</v>
          </cell>
          <cell r="O823" t="e">
            <v>#N/A</v>
          </cell>
          <cell r="P823" t="str">
            <v/>
          </cell>
          <cell r="Q823" t="str">
            <v/>
          </cell>
          <cell r="R823" t="e">
            <v>#N/A</v>
          </cell>
        </row>
        <row r="824">
          <cell r="A824" t="str">
            <v/>
          </cell>
          <cell r="B824" t="str">
            <v/>
          </cell>
          <cell r="C824" t="str">
            <v>Future</v>
          </cell>
          <cell r="D824" t="e">
            <v>#N/A</v>
          </cell>
          <cell r="E824">
            <v>-3.0004724409445624</v>
          </cell>
          <cell r="F824">
            <v>91.251496062993795</v>
          </cell>
          <cell r="G824">
            <v>49.361732283464455</v>
          </cell>
          <cell r="H824">
            <v>49.361732283464455</v>
          </cell>
          <cell r="I824" t="e">
            <v>#N/A</v>
          </cell>
          <cell r="J824" t="e">
            <v>#N/A</v>
          </cell>
          <cell r="K824">
            <v>90</v>
          </cell>
          <cell r="L824">
            <v>50</v>
          </cell>
          <cell r="M824" t="e">
            <v>#N/A</v>
          </cell>
          <cell r="N824">
            <v>80</v>
          </cell>
          <cell r="O824" t="e">
            <v>#N/A</v>
          </cell>
          <cell r="P824" t="str">
            <v/>
          </cell>
          <cell r="Q824" t="str">
            <v/>
          </cell>
          <cell r="R824" t="e">
            <v>#N/A</v>
          </cell>
        </row>
        <row r="825">
          <cell r="A825" t="str">
            <v/>
          </cell>
          <cell r="B825" t="str">
            <v/>
          </cell>
          <cell r="C825" t="str">
            <v>Future</v>
          </cell>
          <cell r="D825" t="e">
            <v>#N/A</v>
          </cell>
          <cell r="E825">
            <v>-3.2505118110233027</v>
          </cell>
          <cell r="F825">
            <v>91.355787401576478</v>
          </cell>
          <cell r="G825">
            <v>49.308543307086502</v>
          </cell>
          <cell r="H825">
            <v>49.308543307086502</v>
          </cell>
          <cell r="I825" t="e">
            <v>#N/A</v>
          </cell>
          <cell r="J825" t="e">
            <v>#N/A</v>
          </cell>
          <cell r="K825">
            <v>90</v>
          </cell>
          <cell r="L825">
            <v>50</v>
          </cell>
          <cell r="M825" t="e">
            <v>#N/A</v>
          </cell>
          <cell r="N825">
            <v>80</v>
          </cell>
          <cell r="O825" t="e">
            <v>#N/A</v>
          </cell>
          <cell r="P825" t="str">
            <v/>
          </cell>
          <cell r="Q825" t="str">
            <v/>
          </cell>
          <cell r="R825" t="e">
            <v>#N/A</v>
          </cell>
        </row>
        <row r="826">
          <cell r="A826" t="str">
            <v/>
          </cell>
          <cell r="B826" t="str">
            <v/>
          </cell>
          <cell r="C826" t="str">
            <v>Future</v>
          </cell>
          <cell r="D826" t="e">
            <v>#N/A</v>
          </cell>
          <cell r="E826">
            <v>-3.5005511811020429</v>
          </cell>
          <cell r="F826">
            <v>91.460078740159162</v>
          </cell>
          <cell r="G826">
            <v>49.255354330708549</v>
          </cell>
          <cell r="H826">
            <v>49.255354330708549</v>
          </cell>
          <cell r="I826" t="e">
            <v>#N/A</v>
          </cell>
          <cell r="J826" t="e">
            <v>#N/A</v>
          </cell>
          <cell r="K826">
            <v>90</v>
          </cell>
          <cell r="L826">
            <v>50</v>
          </cell>
          <cell r="M826" t="e">
            <v>#N/A</v>
          </cell>
          <cell r="N826">
            <v>80</v>
          </cell>
          <cell r="O826" t="e">
            <v>#N/A</v>
          </cell>
          <cell r="P826" t="str">
            <v/>
          </cell>
          <cell r="Q826" t="str">
            <v/>
          </cell>
          <cell r="R826" t="e">
            <v>#N/A</v>
          </cell>
        </row>
        <row r="827">
          <cell r="A827" t="str">
            <v/>
          </cell>
          <cell r="B827" t="str">
            <v/>
          </cell>
          <cell r="C827" t="str">
            <v>Future</v>
          </cell>
          <cell r="D827" t="e">
            <v>#N/A</v>
          </cell>
          <cell r="E827">
            <v>-3.7505905511807831</v>
          </cell>
          <cell r="F827">
            <v>91.564370078741845</v>
          </cell>
          <cell r="G827">
            <v>49.202165354330596</v>
          </cell>
          <cell r="H827">
            <v>49.202165354330596</v>
          </cell>
          <cell r="I827" t="e">
            <v>#N/A</v>
          </cell>
          <cell r="J827" t="e">
            <v>#N/A</v>
          </cell>
          <cell r="K827">
            <v>90</v>
          </cell>
          <cell r="L827">
            <v>50</v>
          </cell>
          <cell r="M827" t="e">
            <v>#N/A</v>
          </cell>
          <cell r="N827">
            <v>80</v>
          </cell>
          <cell r="O827" t="e">
            <v>#N/A</v>
          </cell>
          <cell r="P827" t="str">
            <v/>
          </cell>
          <cell r="Q827" t="str">
            <v/>
          </cell>
          <cell r="R827" t="e">
            <v>#N/A</v>
          </cell>
        </row>
        <row r="828">
          <cell r="A828" t="str">
            <v/>
          </cell>
          <cell r="B828" t="str">
            <v/>
          </cell>
          <cell r="C828" t="str">
            <v>Future</v>
          </cell>
          <cell r="D828" t="e">
            <v>#N/A</v>
          </cell>
          <cell r="E828">
            <v>-4.0006299212595229</v>
          </cell>
          <cell r="F828">
            <v>91.668661417324529</v>
          </cell>
          <cell r="G828">
            <v>49.148976377952643</v>
          </cell>
          <cell r="H828">
            <v>49.148976377952643</v>
          </cell>
          <cell r="I828" t="e">
            <v>#N/A</v>
          </cell>
          <cell r="J828" t="e">
            <v>#N/A</v>
          </cell>
          <cell r="K828">
            <v>90</v>
          </cell>
          <cell r="L828">
            <v>50</v>
          </cell>
          <cell r="M828" t="e">
            <v>#N/A</v>
          </cell>
          <cell r="N828">
            <v>80</v>
          </cell>
          <cell r="O828" t="e">
            <v>#N/A</v>
          </cell>
          <cell r="P828" t="str">
            <v/>
          </cell>
          <cell r="Q828" t="str">
            <v/>
          </cell>
          <cell r="R828" t="e">
            <v>#N/A</v>
          </cell>
        </row>
        <row r="829">
          <cell r="A829" t="str">
            <v/>
          </cell>
          <cell r="B829" t="str">
            <v/>
          </cell>
          <cell r="C829" t="str">
            <v>Future</v>
          </cell>
          <cell r="D829" t="e">
            <v>#N/A</v>
          </cell>
          <cell r="E829">
            <v>-4.2506692913382631</v>
          </cell>
          <cell r="F829">
            <v>91.772952755907212</v>
          </cell>
          <cell r="G829">
            <v>49.09578740157469</v>
          </cell>
          <cell r="H829">
            <v>49.09578740157469</v>
          </cell>
          <cell r="I829" t="e">
            <v>#N/A</v>
          </cell>
          <cell r="J829" t="e">
            <v>#N/A</v>
          </cell>
          <cell r="K829">
            <v>90</v>
          </cell>
          <cell r="L829">
            <v>50</v>
          </cell>
          <cell r="M829" t="e">
            <v>#N/A</v>
          </cell>
          <cell r="N829">
            <v>80</v>
          </cell>
          <cell r="O829" t="e">
            <v>#N/A</v>
          </cell>
          <cell r="P829" t="str">
            <v/>
          </cell>
          <cell r="Q829" t="str">
            <v/>
          </cell>
          <cell r="R829" t="e">
            <v>#N/A</v>
          </cell>
        </row>
        <row r="830">
          <cell r="A830" t="str">
            <v/>
          </cell>
          <cell r="B830" t="str">
            <v/>
          </cell>
          <cell r="C830" t="str">
            <v>Future</v>
          </cell>
          <cell r="D830" t="e">
            <v>#N/A</v>
          </cell>
          <cell r="E830">
            <v>-4.5007086614170033</v>
          </cell>
          <cell r="F830">
            <v>91.877244094489896</v>
          </cell>
          <cell r="G830">
            <v>49.042598425196736</v>
          </cell>
          <cell r="H830">
            <v>49.042598425196736</v>
          </cell>
          <cell r="I830" t="e">
            <v>#N/A</v>
          </cell>
          <cell r="J830" t="e">
            <v>#N/A</v>
          </cell>
          <cell r="K830">
            <v>90</v>
          </cell>
          <cell r="L830">
            <v>50</v>
          </cell>
          <cell r="M830" t="e">
            <v>#N/A</v>
          </cell>
          <cell r="N830">
            <v>80</v>
          </cell>
          <cell r="O830" t="e">
            <v>#N/A</v>
          </cell>
          <cell r="P830" t="str">
            <v/>
          </cell>
          <cell r="Q830" t="str">
            <v/>
          </cell>
          <cell r="R830" t="e">
            <v>#N/A</v>
          </cell>
        </row>
        <row r="831">
          <cell r="A831" t="str">
            <v/>
          </cell>
          <cell r="B831" t="str">
            <v/>
          </cell>
          <cell r="C831" t="str">
            <v>Future</v>
          </cell>
          <cell r="D831" t="e">
            <v>#N/A</v>
          </cell>
          <cell r="E831">
            <v>-4.7507480314957435</v>
          </cell>
          <cell r="F831">
            <v>91.98153543307258</v>
          </cell>
          <cell r="G831">
            <v>48.989409448818783</v>
          </cell>
          <cell r="H831">
            <v>48.989409448818783</v>
          </cell>
          <cell r="I831" t="e">
            <v>#N/A</v>
          </cell>
          <cell r="J831" t="e">
            <v>#N/A</v>
          </cell>
          <cell r="K831">
            <v>90</v>
          </cell>
          <cell r="L831">
            <v>50</v>
          </cell>
          <cell r="M831" t="e">
            <v>#N/A</v>
          </cell>
          <cell r="N831">
            <v>80</v>
          </cell>
          <cell r="O831" t="e">
            <v>#N/A</v>
          </cell>
          <cell r="P831" t="str">
            <v/>
          </cell>
          <cell r="Q831" t="str">
            <v/>
          </cell>
          <cell r="R831" t="e">
            <v>#N/A</v>
          </cell>
        </row>
        <row r="832">
          <cell r="A832" t="str">
            <v/>
          </cell>
          <cell r="B832" t="str">
            <v/>
          </cell>
          <cell r="C832" t="str">
            <v>Future</v>
          </cell>
          <cell r="D832" t="e">
            <v>#N/A</v>
          </cell>
          <cell r="E832">
            <v>-5.0007874015744838</v>
          </cell>
          <cell r="F832">
            <v>92.085826771655263</v>
          </cell>
          <cell r="G832">
            <v>48.93622047244083</v>
          </cell>
          <cell r="H832">
            <v>48.93622047244083</v>
          </cell>
          <cell r="I832" t="e">
            <v>#N/A</v>
          </cell>
          <cell r="J832" t="e">
            <v>#N/A</v>
          </cell>
          <cell r="K832">
            <v>90</v>
          </cell>
          <cell r="L832">
            <v>50</v>
          </cell>
          <cell r="M832" t="e">
            <v>#N/A</v>
          </cell>
          <cell r="N832">
            <v>80</v>
          </cell>
          <cell r="O832" t="e">
            <v>#N/A</v>
          </cell>
          <cell r="P832" t="str">
            <v/>
          </cell>
          <cell r="Q832" t="str">
            <v/>
          </cell>
          <cell r="R832" t="e">
            <v>#N/A</v>
          </cell>
        </row>
        <row r="833">
          <cell r="A833" t="str">
            <v/>
          </cell>
          <cell r="B833" t="str">
            <v/>
          </cell>
          <cell r="C833" t="str">
            <v>Future</v>
          </cell>
          <cell r="D833" t="e">
            <v>#N/A</v>
          </cell>
          <cell r="E833">
            <v>-5.250826771653224</v>
          </cell>
          <cell r="F833">
            <v>92.190118110237947</v>
          </cell>
          <cell r="G833">
            <v>48.883031496062877</v>
          </cell>
          <cell r="H833">
            <v>48.883031496062877</v>
          </cell>
          <cell r="I833" t="e">
            <v>#N/A</v>
          </cell>
          <cell r="J833" t="e">
            <v>#N/A</v>
          </cell>
          <cell r="K833">
            <v>90</v>
          </cell>
          <cell r="L833">
            <v>50</v>
          </cell>
          <cell r="M833" t="e">
            <v>#N/A</v>
          </cell>
          <cell r="N833">
            <v>80</v>
          </cell>
          <cell r="O833" t="e">
            <v>#N/A</v>
          </cell>
          <cell r="P833" t="str">
            <v/>
          </cell>
          <cell r="Q833" t="str">
            <v/>
          </cell>
          <cell r="R833" t="e">
            <v>#N/A</v>
          </cell>
        </row>
        <row r="834">
          <cell r="A834" t="str">
            <v/>
          </cell>
          <cell r="B834" t="str">
            <v/>
          </cell>
          <cell r="C834" t="str">
            <v>Future</v>
          </cell>
          <cell r="D834" t="e">
            <v>#N/A</v>
          </cell>
          <cell r="E834">
            <v>-5.5008661417319642</v>
          </cell>
          <cell r="F834">
            <v>92.29440944882063</v>
          </cell>
          <cell r="G834">
            <v>48.829842519684924</v>
          </cell>
          <cell r="H834">
            <v>48.829842519684924</v>
          </cell>
          <cell r="I834" t="e">
            <v>#N/A</v>
          </cell>
          <cell r="J834" t="e">
            <v>#N/A</v>
          </cell>
          <cell r="K834">
            <v>90</v>
          </cell>
          <cell r="L834">
            <v>50</v>
          </cell>
          <cell r="M834" t="e">
            <v>#N/A</v>
          </cell>
          <cell r="N834">
            <v>80</v>
          </cell>
          <cell r="O834" t="e">
            <v>#N/A</v>
          </cell>
          <cell r="P834" t="str">
            <v/>
          </cell>
          <cell r="Q834" t="str">
            <v/>
          </cell>
          <cell r="R834" t="e">
            <v>#N/A</v>
          </cell>
        </row>
        <row r="835">
          <cell r="A835" t="str">
            <v/>
          </cell>
          <cell r="B835" t="str">
            <v/>
          </cell>
          <cell r="C835" t="str">
            <v>Future</v>
          </cell>
          <cell r="D835" t="e">
            <v>#N/A</v>
          </cell>
          <cell r="E835">
            <v>-5.7509055118107044</v>
          </cell>
          <cell r="F835">
            <v>92.398700787403314</v>
          </cell>
          <cell r="G835">
            <v>48.776653543306971</v>
          </cell>
          <cell r="H835">
            <v>48.776653543306971</v>
          </cell>
          <cell r="I835" t="e">
            <v>#N/A</v>
          </cell>
          <cell r="J835" t="e">
            <v>#N/A</v>
          </cell>
          <cell r="K835">
            <v>90</v>
          </cell>
          <cell r="L835">
            <v>50</v>
          </cell>
          <cell r="M835" t="e">
            <v>#N/A</v>
          </cell>
          <cell r="N835">
            <v>80</v>
          </cell>
          <cell r="O835" t="e">
            <v>#N/A</v>
          </cell>
          <cell r="P835" t="str">
            <v/>
          </cell>
          <cell r="Q835" t="str">
            <v/>
          </cell>
          <cell r="R835" t="e">
            <v>#N/A</v>
          </cell>
        </row>
        <row r="836">
          <cell r="A836" t="str">
            <v/>
          </cell>
          <cell r="B836" t="str">
            <v/>
          </cell>
          <cell r="C836" t="str">
            <v>Future</v>
          </cell>
          <cell r="D836" t="e">
            <v>#N/A</v>
          </cell>
          <cell r="E836">
            <v>-6.0009448818894446</v>
          </cell>
          <cell r="F836">
            <v>92.502992125985998</v>
          </cell>
          <cell r="G836">
            <v>48.723464566929017</v>
          </cell>
          <cell r="H836">
            <v>48.723464566929017</v>
          </cell>
          <cell r="I836" t="e">
            <v>#N/A</v>
          </cell>
          <cell r="J836" t="e">
            <v>#N/A</v>
          </cell>
          <cell r="K836">
            <v>90</v>
          </cell>
          <cell r="L836">
            <v>50</v>
          </cell>
          <cell r="M836" t="e">
            <v>#N/A</v>
          </cell>
          <cell r="N836">
            <v>80</v>
          </cell>
          <cell r="O836" t="e">
            <v>#N/A</v>
          </cell>
          <cell r="P836" t="str">
            <v/>
          </cell>
          <cell r="Q836" t="str">
            <v/>
          </cell>
          <cell r="R836" t="e">
            <v>#N/A</v>
          </cell>
        </row>
        <row r="837">
          <cell r="A837" t="str">
            <v/>
          </cell>
          <cell r="B837" t="str">
            <v/>
          </cell>
          <cell r="C837" t="str">
            <v>Future</v>
          </cell>
          <cell r="D837" t="e">
            <v>#N/A</v>
          </cell>
          <cell r="E837">
            <v>-6.2509842519681849</v>
          </cell>
          <cell r="F837">
            <v>92.607283464568681</v>
          </cell>
          <cell r="G837">
            <v>48.670275590551064</v>
          </cell>
          <cell r="H837">
            <v>48.670275590551064</v>
          </cell>
          <cell r="I837" t="e">
            <v>#N/A</v>
          </cell>
          <cell r="J837" t="e">
            <v>#N/A</v>
          </cell>
          <cell r="K837">
            <v>90</v>
          </cell>
          <cell r="L837">
            <v>50</v>
          </cell>
          <cell r="M837" t="e">
            <v>#N/A</v>
          </cell>
          <cell r="N837">
            <v>80</v>
          </cell>
          <cell r="O837" t="e">
            <v>#N/A</v>
          </cell>
          <cell r="P837" t="str">
            <v/>
          </cell>
          <cell r="Q837" t="str">
            <v/>
          </cell>
          <cell r="R837" t="e">
            <v>#N/A</v>
          </cell>
        </row>
        <row r="838">
          <cell r="A838" t="str">
            <v/>
          </cell>
          <cell r="B838" t="str">
            <v/>
          </cell>
          <cell r="C838" t="str">
            <v>Future</v>
          </cell>
          <cell r="D838" t="e">
            <v>#N/A</v>
          </cell>
          <cell r="E838">
            <v>-6.5010236220469251</v>
          </cell>
          <cell r="F838">
            <v>92.711574803151365</v>
          </cell>
          <cell r="G838">
            <v>48.617086614173111</v>
          </cell>
          <cell r="H838">
            <v>48.617086614173111</v>
          </cell>
          <cell r="I838" t="e">
            <v>#N/A</v>
          </cell>
          <cell r="J838" t="e">
            <v>#N/A</v>
          </cell>
          <cell r="K838">
            <v>90</v>
          </cell>
          <cell r="L838">
            <v>50</v>
          </cell>
          <cell r="M838" t="e">
            <v>#N/A</v>
          </cell>
          <cell r="N838">
            <v>80</v>
          </cell>
          <cell r="O838" t="e">
            <v>#N/A</v>
          </cell>
          <cell r="P838" t="str">
            <v/>
          </cell>
          <cell r="Q838" t="str">
            <v/>
          </cell>
          <cell r="R838" t="e">
            <v>#N/A</v>
          </cell>
        </row>
        <row r="839">
          <cell r="A839" t="str">
            <v/>
          </cell>
          <cell r="B839" t="str">
            <v/>
          </cell>
          <cell r="C839" t="str">
            <v>Future</v>
          </cell>
          <cell r="D839" t="e">
            <v>#N/A</v>
          </cell>
          <cell r="E839">
            <v>-6.7510629921256653</v>
          </cell>
          <cell r="F839">
            <v>92.815866141734048</v>
          </cell>
          <cell r="G839">
            <v>48.563897637795158</v>
          </cell>
          <cell r="H839">
            <v>48.563897637795158</v>
          </cell>
          <cell r="I839" t="e">
            <v>#N/A</v>
          </cell>
          <cell r="J839" t="e">
            <v>#N/A</v>
          </cell>
          <cell r="K839">
            <v>90</v>
          </cell>
          <cell r="L839">
            <v>50</v>
          </cell>
          <cell r="M839" t="e">
            <v>#N/A</v>
          </cell>
          <cell r="N839">
            <v>80</v>
          </cell>
          <cell r="O839" t="e">
            <v>#N/A</v>
          </cell>
          <cell r="P839" t="str">
            <v/>
          </cell>
          <cell r="Q839" t="str">
            <v/>
          </cell>
          <cell r="R839" t="e">
            <v>#N/A</v>
          </cell>
        </row>
        <row r="840">
          <cell r="A840" t="str">
            <v/>
          </cell>
          <cell r="B840" t="str">
            <v/>
          </cell>
          <cell r="C840" t="str">
            <v>Future</v>
          </cell>
          <cell r="D840" t="e">
            <v>#N/A</v>
          </cell>
          <cell r="E840">
            <v>-7.0011023622044055</v>
          </cell>
          <cell r="F840">
            <v>92.920157480316732</v>
          </cell>
          <cell r="G840">
            <v>48.510708661417205</v>
          </cell>
          <cell r="H840">
            <v>48.510708661417205</v>
          </cell>
          <cell r="I840" t="e">
            <v>#N/A</v>
          </cell>
          <cell r="J840" t="e">
            <v>#N/A</v>
          </cell>
          <cell r="K840">
            <v>90</v>
          </cell>
          <cell r="L840">
            <v>50</v>
          </cell>
          <cell r="M840" t="e">
            <v>#N/A</v>
          </cell>
          <cell r="N840">
            <v>80</v>
          </cell>
          <cell r="O840" t="e">
            <v>#N/A</v>
          </cell>
          <cell r="P840" t="str">
            <v/>
          </cell>
          <cell r="Q840" t="str">
            <v/>
          </cell>
          <cell r="R840" t="e">
            <v>#N/A</v>
          </cell>
        </row>
        <row r="841">
          <cell r="A841" t="str">
            <v/>
          </cell>
          <cell r="B841" t="str">
            <v/>
          </cell>
          <cell r="C841" t="str">
            <v>Future</v>
          </cell>
          <cell r="D841" t="e">
            <v>#N/A</v>
          </cell>
          <cell r="E841">
            <v>-7.2511417322831457</v>
          </cell>
          <cell r="F841">
            <v>93.024448818899415</v>
          </cell>
          <cell r="G841">
            <v>48.457519685039252</v>
          </cell>
          <cell r="H841">
            <v>48.457519685039252</v>
          </cell>
          <cell r="I841" t="e">
            <v>#N/A</v>
          </cell>
          <cell r="J841" t="e">
            <v>#N/A</v>
          </cell>
          <cell r="K841">
            <v>90</v>
          </cell>
          <cell r="L841">
            <v>50</v>
          </cell>
          <cell r="M841" t="e">
            <v>#N/A</v>
          </cell>
          <cell r="N841">
            <v>80</v>
          </cell>
          <cell r="O841" t="e">
            <v>#N/A</v>
          </cell>
          <cell r="P841" t="str">
            <v/>
          </cell>
          <cell r="Q841" t="str">
            <v/>
          </cell>
          <cell r="R841" t="e">
            <v>#N/A</v>
          </cell>
        </row>
        <row r="842">
          <cell r="A842" t="str">
            <v/>
          </cell>
          <cell r="B842" t="str">
            <v/>
          </cell>
          <cell r="C842" t="str">
            <v>Future</v>
          </cell>
          <cell r="D842" t="e">
            <v>#N/A</v>
          </cell>
          <cell r="E842">
            <v>-7.501181102361886</v>
          </cell>
          <cell r="F842">
            <v>93.128740157482099</v>
          </cell>
          <cell r="G842">
            <v>48.404330708661298</v>
          </cell>
          <cell r="H842">
            <v>48.404330708661298</v>
          </cell>
          <cell r="I842" t="e">
            <v>#N/A</v>
          </cell>
          <cell r="J842" t="e">
            <v>#N/A</v>
          </cell>
          <cell r="K842">
            <v>90</v>
          </cell>
          <cell r="L842">
            <v>50</v>
          </cell>
          <cell r="M842" t="e">
            <v>#N/A</v>
          </cell>
          <cell r="N842">
            <v>80</v>
          </cell>
          <cell r="O842" t="e">
            <v>#N/A</v>
          </cell>
          <cell r="P842" t="str">
            <v/>
          </cell>
          <cell r="Q842" t="str">
            <v/>
          </cell>
          <cell r="R842" t="e">
            <v>#N/A</v>
          </cell>
        </row>
        <row r="843">
          <cell r="A843" t="str">
            <v/>
          </cell>
          <cell r="B843" t="str">
            <v/>
          </cell>
          <cell r="C843" t="str">
            <v>Future</v>
          </cell>
          <cell r="D843" t="e">
            <v>#N/A</v>
          </cell>
          <cell r="E843">
            <v>-7.7512204724406262</v>
          </cell>
          <cell r="F843">
            <v>93.233031496064783</v>
          </cell>
          <cell r="G843">
            <v>48.351141732283345</v>
          </cell>
          <cell r="H843">
            <v>48.351141732283345</v>
          </cell>
          <cell r="I843" t="e">
            <v>#N/A</v>
          </cell>
          <cell r="J843" t="e">
            <v>#N/A</v>
          </cell>
          <cell r="K843">
            <v>90</v>
          </cell>
          <cell r="L843">
            <v>50</v>
          </cell>
          <cell r="M843" t="e">
            <v>#N/A</v>
          </cell>
          <cell r="N843">
            <v>80</v>
          </cell>
          <cell r="O843" t="e">
            <v>#N/A</v>
          </cell>
          <cell r="P843" t="str">
            <v/>
          </cell>
          <cell r="Q843" t="str">
            <v/>
          </cell>
          <cell r="R843" t="e">
            <v>#N/A</v>
          </cell>
        </row>
        <row r="844">
          <cell r="A844" t="str">
            <v/>
          </cell>
          <cell r="B844" t="str">
            <v/>
          </cell>
          <cell r="C844" t="str">
            <v>Future</v>
          </cell>
          <cell r="D844" t="e">
            <v>#N/A</v>
          </cell>
          <cell r="E844">
            <v>-8.0012598425193655</v>
          </cell>
          <cell r="F844">
            <v>93.337322834647466</v>
          </cell>
          <cell r="G844">
            <v>48.297952755905392</v>
          </cell>
          <cell r="H844">
            <v>48.297952755905392</v>
          </cell>
          <cell r="I844" t="e">
            <v>#N/A</v>
          </cell>
          <cell r="J844" t="e">
            <v>#N/A</v>
          </cell>
          <cell r="K844">
            <v>90</v>
          </cell>
          <cell r="L844">
            <v>50</v>
          </cell>
          <cell r="M844" t="e">
            <v>#N/A</v>
          </cell>
          <cell r="N844">
            <v>80</v>
          </cell>
          <cell r="O844" t="e">
            <v>#N/A</v>
          </cell>
          <cell r="P844" t="str">
            <v/>
          </cell>
          <cell r="Q844" t="str">
            <v/>
          </cell>
          <cell r="R844" t="e">
            <v>#N/A</v>
          </cell>
        </row>
        <row r="845">
          <cell r="A845" t="str">
            <v/>
          </cell>
          <cell r="B845" t="str">
            <v/>
          </cell>
          <cell r="C845" t="str">
            <v>Future</v>
          </cell>
          <cell r="D845" t="e">
            <v>#N/A</v>
          </cell>
          <cell r="E845">
            <v>-8.2512992125981057</v>
          </cell>
          <cell r="F845">
            <v>93.44161417323015</v>
          </cell>
          <cell r="G845">
            <v>48.244763779527439</v>
          </cell>
          <cell r="H845">
            <v>48.244763779527439</v>
          </cell>
          <cell r="I845" t="e">
            <v>#N/A</v>
          </cell>
          <cell r="J845" t="e">
            <v>#N/A</v>
          </cell>
          <cell r="K845">
            <v>90</v>
          </cell>
          <cell r="L845">
            <v>50</v>
          </cell>
          <cell r="M845" t="e">
            <v>#N/A</v>
          </cell>
          <cell r="N845">
            <v>80</v>
          </cell>
          <cell r="O845" t="e">
            <v>#N/A</v>
          </cell>
          <cell r="P845" t="str">
            <v/>
          </cell>
          <cell r="Q845" t="str">
            <v/>
          </cell>
          <cell r="R845" t="e">
            <v>#N/A</v>
          </cell>
        </row>
        <row r="846">
          <cell r="A846" t="str">
            <v/>
          </cell>
          <cell r="B846" t="str">
            <v/>
          </cell>
          <cell r="C846" t="str">
            <v>Future</v>
          </cell>
          <cell r="D846" t="e">
            <v>#N/A</v>
          </cell>
          <cell r="E846">
            <v>-8.5013385826768459</v>
          </cell>
          <cell r="F846">
            <v>93.545905511812833</v>
          </cell>
          <cell r="G846">
            <v>48.191574803149486</v>
          </cell>
          <cell r="H846">
            <v>48.191574803149486</v>
          </cell>
          <cell r="I846" t="e">
            <v>#N/A</v>
          </cell>
          <cell r="J846" t="e">
            <v>#N/A</v>
          </cell>
          <cell r="K846">
            <v>90</v>
          </cell>
          <cell r="L846">
            <v>50</v>
          </cell>
          <cell r="M846" t="e">
            <v>#N/A</v>
          </cell>
          <cell r="N846">
            <v>80</v>
          </cell>
          <cell r="O846" t="e">
            <v>#N/A</v>
          </cell>
          <cell r="P846" t="str">
            <v/>
          </cell>
          <cell r="Q846" t="str">
            <v/>
          </cell>
          <cell r="R846" t="e">
            <v>#N/A</v>
          </cell>
        </row>
        <row r="847">
          <cell r="A847" t="str">
            <v/>
          </cell>
          <cell r="B847" t="str">
            <v/>
          </cell>
          <cell r="C847" t="str">
            <v>Future</v>
          </cell>
          <cell r="D847" t="e">
            <v>#N/A</v>
          </cell>
          <cell r="E847">
            <v>-8.7513779527555862</v>
          </cell>
          <cell r="F847">
            <v>93.650196850395517</v>
          </cell>
          <cell r="G847">
            <v>48.138385826771533</v>
          </cell>
          <cell r="H847">
            <v>48.138385826771533</v>
          </cell>
          <cell r="I847" t="e">
            <v>#N/A</v>
          </cell>
          <cell r="J847" t="e">
            <v>#N/A</v>
          </cell>
          <cell r="K847">
            <v>90</v>
          </cell>
          <cell r="L847">
            <v>50</v>
          </cell>
          <cell r="M847" t="e">
            <v>#N/A</v>
          </cell>
          <cell r="N847">
            <v>80</v>
          </cell>
          <cell r="O847" t="e">
            <v>#N/A</v>
          </cell>
          <cell r="P847" t="str">
            <v/>
          </cell>
          <cell r="Q847" t="str">
            <v/>
          </cell>
          <cell r="R847" t="e">
            <v>#N/A</v>
          </cell>
        </row>
        <row r="848">
          <cell r="A848" t="str">
            <v/>
          </cell>
          <cell r="B848" t="str">
            <v/>
          </cell>
          <cell r="C848" t="str">
            <v>Future</v>
          </cell>
          <cell r="D848" t="e">
            <v>#N/A</v>
          </cell>
          <cell r="E848">
            <v>-9.0014173228343264</v>
          </cell>
          <cell r="F848">
            <v>93.7544881889782</v>
          </cell>
          <cell r="G848">
            <v>48.085196850393579</v>
          </cell>
          <cell r="H848">
            <v>48.085196850393579</v>
          </cell>
          <cell r="I848" t="e">
            <v>#N/A</v>
          </cell>
          <cell r="J848" t="e">
            <v>#N/A</v>
          </cell>
          <cell r="K848">
            <v>90</v>
          </cell>
          <cell r="L848">
            <v>50</v>
          </cell>
          <cell r="M848" t="e">
            <v>#N/A</v>
          </cell>
          <cell r="N848">
            <v>80</v>
          </cell>
          <cell r="O848" t="e">
            <v>#N/A</v>
          </cell>
          <cell r="P848" t="str">
            <v/>
          </cell>
          <cell r="Q848" t="str">
            <v/>
          </cell>
          <cell r="R848" t="e">
            <v>#N/A</v>
          </cell>
        </row>
        <row r="849">
          <cell r="A849" t="str">
            <v/>
          </cell>
          <cell r="B849" t="str">
            <v/>
          </cell>
          <cell r="C849" t="str">
            <v>Future</v>
          </cell>
          <cell r="D849" t="e">
            <v>#N/A</v>
          </cell>
          <cell r="E849">
            <v>-9.2514566929130666</v>
          </cell>
          <cell r="F849">
            <v>93.858779527560884</v>
          </cell>
          <cell r="G849">
            <v>48.032007874015626</v>
          </cell>
          <cell r="H849">
            <v>48.032007874015626</v>
          </cell>
          <cell r="I849" t="e">
            <v>#N/A</v>
          </cell>
          <cell r="J849" t="e">
            <v>#N/A</v>
          </cell>
          <cell r="K849">
            <v>90</v>
          </cell>
          <cell r="L849">
            <v>50</v>
          </cell>
          <cell r="M849" t="e">
            <v>#N/A</v>
          </cell>
          <cell r="N849">
            <v>80</v>
          </cell>
          <cell r="O849" t="e">
            <v>#N/A</v>
          </cell>
          <cell r="P849" t="str">
            <v/>
          </cell>
          <cell r="Q849" t="str">
            <v/>
          </cell>
          <cell r="R849" t="e">
            <v>#N/A</v>
          </cell>
        </row>
        <row r="850">
          <cell r="A850" t="str">
            <v/>
          </cell>
          <cell r="B850" t="str">
            <v/>
          </cell>
          <cell r="C850" t="str">
            <v>Future</v>
          </cell>
          <cell r="D850" t="e">
            <v>#N/A</v>
          </cell>
          <cell r="E850">
            <v>-9.5014960629918068</v>
          </cell>
          <cell r="F850">
            <v>93.963070866143568</v>
          </cell>
          <cell r="G850">
            <v>47.978818897637673</v>
          </cell>
          <cell r="H850">
            <v>47.978818897637673</v>
          </cell>
          <cell r="I850" t="e">
            <v>#N/A</v>
          </cell>
          <cell r="J850" t="e">
            <v>#N/A</v>
          </cell>
          <cell r="K850">
            <v>90</v>
          </cell>
          <cell r="L850">
            <v>50</v>
          </cell>
          <cell r="M850" t="e">
            <v>#N/A</v>
          </cell>
          <cell r="N850">
            <v>80</v>
          </cell>
          <cell r="O850" t="e">
            <v>#N/A</v>
          </cell>
          <cell r="P850" t="str">
            <v/>
          </cell>
          <cell r="Q850" t="str">
            <v/>
          </cell>
          <cell r="R850" t="e">
            <v>#N/A</v>
          </cell>
        </row>
        <row r="851">
          <cell r="A851" t="str">
            <v/>
          </cell>
          <cell r="B851" t="str">
            <v/>
          </cell>
          <cell r="C851" t="str">
            <v>Future</v>
          </cell>
          <cell r="D851" t="e">
            <v>#N/A</v>
          </cell>
          <cell r="E851">
            <v>-9.751535433070547</v>
          </cell>
          <cell r="F851">
            <v>94.067362204726251</v>
          </cell>
          <cell r="G851">
            <v>47.92562992125972</v>
          </cell>
          <cell r="H851">
            <v>47.92562992125972</v>
          </cell>
          <cell r="I851" t="e">
            <v>#N/A</v>
          </cell>
          <cell r="J851" t="e">
            <v>#N/A</v>
          </cell>
          <cell r="K851">
            <v>90</v>
          </cell>
          <cell r="L851">
            <v>50</v>
          </cell>
          <cell r="M851" t="e">
            <v>#N/A</v>
          </cell>
          <cell r="N851">
            <v>80</v>
          </cell>
          <cell r="O851" t="e">
            <v>#N/A</v>
          </cell>
          <cell r="P851" t="str">
            <v/>
          </cell>
          <cell r="Q851" t="str">
            <v/>
          </cell>
          <cell r="R851" t="e">
            <v>#N/A</v>
          </cell>
        </row>
        <row r="852">
          <cell r="A852" t="str">
            <v/>
          </cell>
          <cell r="B852" t="str">
            <v/>
          </cell>
          <cell r="C852" t="str">
            <v>Future</v>
          </cell>
          <cell r="D852" t="e">
            <v>#N/A</v>
          </cell>
          <cell r="E852">
            <v>-10.001574803149287</v>
          </cell>
          <cell r="F852">
            <v>94.171653543308935</v>
          </cell>
          <cell r="G852">
            <v>47.872440944881767</v>
          </cell>
          <cell r="H852">
            <v>47.872440944881767</v>
          </cell>
          <cell r="I852" t="e">
            <v>#N/A</v>
          </cell>
          <cell r="J852" t="e">
            <v>#N/A</v>
          </cell>
          <cell r="K852">
            <v>90</v>
          </cell>
          <cell r="L852">
            <v>50</v>
          </cell>
          <cell r="M852" t="e">
            <v>#N/A</v>
          </cell>
          <cell r="N852">
            <v>80</v>
          </cell>
          <cell r="O852" t="e">
            <v>#N/A</v>
          </cell>
          <cell r="P852" t="str">
            <v/>
          </cell>
          <cell r="Q852" t="str">
            <v/>
          </cell>
          <cell r="R852" t="e">
            <v>#N/A</v>
          </cell>
        </row>
        <row r="853">
          <cell r="A853" t="str">
            <v/>
          </cell>
          <cell r="B853" t="str">
            <v/>
          </cell>
          <cell r="C853" t="str">
            <v>Future</v>
          </cell>
          <cell r="D853" t="e">
            <v>#N/A</v>
          </cell>
          <cell r="E853">
            <v>-10.251614173228027</v>
          </cell>
          <cell r="F853">
            <v>94.275944881891618</v>
          </cell>
          <cell r="G853">
            <v>47.819251968503814</v>
          </cell>
          <cell r="H853">
            <v>47.819251968503814</v>
          </cell>
          <cell r="I853" t="e">
            <v>#N/A</v>
          </cell>
          <cell r="J853" t="e">
            <v>#N/A</v>
          </cell>
          <cell r="K853">
            <v>90</v>
          </cell>
          <cell r="L853">
            <v>50</v>
          </cell>
          <cell r="M853" t="e">
            <v>#N/A</v>
          </cell>
          <cell r="N853">
            <v>80</v>
          </cell>
          <cell r="O853" t="e">
            <v>#N/A</v>
          </cell>
          <cell r="P853" t="str">
            <v/>
          </cell>
          <cell r="Q853" t="str">
            <v/>
          </cell>
          <cell r="R853" t="e">
            <v>#N/A</v>
          </cell>
        </row>
        <row r="854">
          <cell r="A854" t="str">
            <v/>
          </cell>
          <cell r="B854" t="str">
            <v/>
          </cell>
          <cell r="C854" t="str">
            <v>Future</v>
          </cell>
          <cell r="D854" t="e">
            <v>#N/A</v>
          </cell>
          <cell r="E854">
            <v>-10.501653543306768</v>
          </cell>
          <cell r="F854">
            <v>94.380236220474302</v>
          </cell>
          <cell r="G854">
            <v>47.76606299212586</v>
          </cell>
          <cell r="H854">
            <v>47.76606299212586</v>
          </cell>
          <cell r="I854" t="e">
            <v>#N/A</v>
          </cell>
          <cell r="J854" t="e">
            <v>#N/A</v>
          </cell>
          <cell r="K854">
            <v>90</v>
          </cell>
          <cell r="L854">
            <v>50</v>
          </cell>
          <cell r="M854" t="e">
            <v>#N/A</v>
          </cell>
          <cell r="N854">
            <v>80</v>
          </cell>
          <cell r="O854" t="e">
            <v>#N/A</v>
          </cell>
          <cell r="P854" t="str">
            <v/>
          </cell>
          <cell r="Q854" t="str">
            <v/>
          </cell>
          <cell r="R854" t="e">
            <v>#N/A</v>
          </cell>
        </row>
        <row r="855">
          <cell r="A855" t="str">
            <v/>
          </cell>
          <cell r="B855" t="str">
            <v/>
          </cell>
          <cell r="C855" t="str">
            <v>Future</v>
          </cell>
          <cell r="D855" t="e">
            <v>#N/A</v>
          </cell>
          <cell r="E855">
            <v>-10.751692913385508</v>
          </cell>
          <cell r="F855">
            <v>94.484527559056986</v>
          </cell>
          <cell r="G855">
            <v>47.712874015747907</v>
          </cell>
          <cell r="H855">
            <v>47.712874015747907</v>
          </cell>
          <cell r="I855" t="e">
            <v>#N/A</v>
          </cell>
          <cell r="J855" t="e">
            <v>#N/A</v>
          </cell>
          <cell r="K855">
            <v>90</v>
          </cell>
          <cell r="L855">
            <v>50</v>
          </cell>
          <cell r="M855" t="e">
            <v>#N/A</v>
          </cell>
          <cell r="N855">
            <v>80</v>
          </cell>
          <cell r="O855" t="e">
            <v>#N/A</v>
          </cell>
          <cell r="P855" t="str">
            <v/>
          </cell>
          <cell r="Q855" t="str">
            <v/>
          </cell>
          <cell r="R855" t="e">
            <v>#N/A</v>
          </cell>
        </row>
        <row r="856">
          <cell r="A856" t="str">
            <v/>
          </cell>
          <cell r="B856" t="str">
            <v/>
          </cell>
          <cell r="C856" t="str">
            <v>Future</v>
          </cell>
          <cell r="D856" t="e">
            <v>#N/A</v>
          </cell>
          <cell r="E856">
            <v>-11.001732283464248</v>
          </cell>
          <cell r="F856">
            <v>94.588818897639669</v>
          </cell>
          <cell r="G856">
            <v>47.659685039369954</v>
          </cell>
          <cell r="H856">
            <v>47.659685039369954</v>
          </cell>
          <cell r="I856" t="e">
            <v>#N/A</v>
          </cell>
          <cell r="J856" t="e">
            <v>#N/A</v>
          </cell>
          <cell r="K856">
            <v>90</v>
          </cell>
          <cell r="L856">
            <v>50</v>
          </cell>
          <cell r="M856" t="e">
            <v>#N/A</v>
          </cell>
          <cell r="N856">
            <v>80</v>
          </cell>
          <cell r="O856" t="e">
            <v>#N/A</v>
          </cell>
          <cell r="P856" t="str">
            <v/>
          </cell>
          <cell r="Q856" t="str">
            <v/>
          </cell>
          <cell r="R856" t="e">
            <v>#N/A</v>
          </cell>
        </row>
        <row r="857">
          <cell r="A857" t="str">
            <v/>
          </cell>
          <cell r="B857" t="str">
            <v/>
          </cell>
          <cell r="C857" t="str">
            <v>Future</v>
          </cell>
          <cell r="D857" t="e">
            <v>#N/A</v>
          </cell>
          <cell r="E857">
            <v>-11.251771653542988</v>
          </cell>
          <cell r="F857">
            <v>94.693110236222353</v>
          </cell>
          <cell r="G857">
            <v>47.606496062992001</v>
          </cell>
          <cell r="H857">
            <v>47.606496062992001</v>
          </cell>
          <cell r="I857" t="e">
            <v>#N/A</v>
          </cell>
          <cell r="J857" t="e">
            <v>#N/A</v>
          </cell>
          <cell r="K857">
            <v>90</v>
          </cell>
          <cell r="L857">
            <v>50</v>
          </cell>
          <cell r="M857" t="e">
            <v>#N/A</v>
          </cell>
          <cell r="N857">
            <v>80</v>
          </cell>
          <cell r="O857" t="e">
            <v>#N/A</v>
          </cell>
          <cell r="P857" t="str">
            <v/>
          </cell>
          <cell r="Q857" t="str">
            <v/>
          </cell>
          <cell r="R857" t="e">
            <v>#N/A</v>
          </cell>
        </row>
        <row r="858">
          <cell r="A858" t="str">
            <v/>
          </cell>
          <cell r="B858" t="str">
            <v/>
          </cell>
          <cell r="C858" t="str">
            <v>Future</v>
          </cell>
          <cell r="D858" t="e">
            <v>#N/A</v>
          </cell>
          <cell r="E858">
            <v>-11.501811023621729</v>
          </cell>
          <cell r="F858">
            <v>94.797401574805036</v>
          </cell>
          <cell r="G858">
            <v>47.553307086614048</v>
          </cell>
          <cell r="H858">
            <v>47.553307086614048</v>
          </cell>
          <cell r="I858" t="e">
            <v>#N/A</v>
          </cell>
          <cell r="J858" t="e">
            <v>#N/A</v>
          </cell>
          <cell r="K858">
            <v>90</v>
          </cell>
          <cell r="L858">
            <v>50</v>
          </cell>
          <cell r="M858" t="e">
            <v>#N/A</v>
          </cell>
          <cell r="N858">
            <v>80</v>
          </cell>
          <cell r="O858" t="e">
            <v>#N/A</v>
          </cell>
          <cell r="P858" t="str">
            <v/>
          </cell>
          <cell r="Q858" t="str">
            <v/>
          </cell>
          <cell r="R858" t="e">
            <v>#N/A</v>
          </cell>
        </row>
        <row r="859">
          <cell r="A859" t="str">
            <v/>
          </cell>
          <cell r="B859" t="str">
            <v/>
          </cell>
          <cell r="C859" t="str">
            <v>Future</v>
          </cell>
          <cell r="D859" t="e">
            <v>#N/A</v>
          </cell>
          <cell r="E859">
            <v>-11.751850393700469</v>
          </cell>
          <cell r="F859">
            <v>94.90169291338772</v>
          </cell>
          <cell r="G859">
            <v>47.500118110236095</v>
          </cell>
          <cell r="H859">
            <v>47.500118110236095</v>
          </cell>
          <cell r="I859" t="e">
            <v>#N/A</v>
          </cell>
          <cell r="J859" t="e">
            <v>#N/A</v>
          </cell>
          <cell r="K859">
            <v>90</v>
          </cell>
          <cell r="L859">
            <v>50</v>
          </cell>
          <cell r="M859" t="e">
            <v>#N/A</v>
          </cell>
          <cell r="N859">
            <v>80</v>
          </cell>
          <cell r="O859" t="e">
            <v>#N/A</v>
          </cell>
          <cell r="P859" t="str">
            <v/>
          </cell>
          <cell r="Q859" t="str">
            <v/>
          </cell>
          <cell r="R859" t="e">
            <v>#N/A</v>
          </cell>
        </row>
        <row r="860">
          <cell r="A860" t="str">
            <v/>
          </cell>
          <cell r="B860" t="str">
            <v/>
          </cell>
          <cell r="C860" t="str">
            <v>Future</v>
          </cell>
          <cell r="D860" t="e">
            <v>#N/A</v>
          </cell>
          <cell r="E860">
            <v>-12.001889763779209</v>
          </cell>
          <cell r="F860">
            <v>95.005984251970403</v>
          </cell>
          <cell r="G860">
            <v>47.446929133858141</v>
          </cell>
          <cell r="H860">
            <v>47.446929133858141</v>
          </cell>
          <cell r="I860" t="e">
            <v>#N/A</v>
          </cell>
          <cell r="J860" t="e">
            <v>#N/A</v>
          </cell>
          <cell r="K860">
            <v>90</v>
          </cell>
          <cell r="L860">
            <v>50</v>
          </cell>
          <cell r="M860" t="e">
            <v>#N/A</v>
          </cell>
          <cell r="N860">
            <v>80</v>
          </cell>
          <cell r="O860" t="e">
            <v>#N/A</v>
          </cell>
          <cell r="P860" t="str">
            <v/>
          </cell>
          <cell r="Q860" t="str">
            <v/>
          </cell>
          <cell r="R860" t="e">
            <v>#N/A</v>
          </cell>
        </row>
        <row r="861">
          <cell r="A861" t="str">
            <v/>
          </cell>
          <cell r="B861" t="str">
            <v/>
          </cell>
          <cell r="C861" t="str">
            <v>Future</v>
          </cell>
          <cell r="D861" t="e">
            <v>#N/A</v>
          </cell>
          <cell r="E861">
            <v>-12.251929133857949</v>
          </cell>
          <cell r="F861">
            <v>95.110275590553087</v>
          </cell>
          <cell r="G861">
            <v>47.393740157480188</v>
          </cell>
          <cell r="H861">
            <v>47.393740157480188</v>
          </cell>
          <cell r="I861" t="e">
            <v>#N/A</v>
          </cell>
          <cell r="J861" t="e">
            <v>#N/A</v>
          </cell>
          <cell r="K861">
            <v>90</v>
          </cell>
          <cell r="L861">
            <v>50</v>
          </cell>
          <cell r="M861" t="e">
            <v>#N/A</v>
          </cell>
          <cell r="N861">
            <v>80</v>
          </cell>
          <cell r="O861" t="e">
            <v>#N/A</v>
          </cell>
          <cell r="P861" t="str">
            <v/>
          </cell>
          <cell r="Q861" t="str">
            <v/>
          </cell>
          <cell r="R861" t="e">
            <v>#N/A</v>
          </cell>
        </row>
        <row r="862">
          <cell r="A862" t="str">
            <v/>
          </cell>
          <cell r="B862" t="str">
            <v/>
          </cell>
          <cell r="C862" t="str">
            <v>Future</v>
          </cell>
          <cell r="D862" t="e">
            <v>#N/A</v>
          </cell>
          <cell r="E862">
            <v>-12.501968503936689</v>
          </cell>
          <cell r="F862">
            <v>95.214566929135771</v>
          </cell>
          <cell r="G862">
            <v>47.340551181102235</v>
          </cell>
          <cell r="H862">
            <v>47.340551181102235</v>
          </cell>
          <cell r="I862" t="e">
            <v>#N/A</v>
          </cell>
          <cell r="J862" t="e">
            <v>#N/A</v>
          </cell>
          <cell r="K862">
            <v>90</v>
          </cell>
          <cell r="L862">
            <v>50</v>
          </cell>
          <cell r="M862" t="e">
            <v>#N/A</v>
          </cell>
          <cell r="N862">
            <v>80</v>
          </cell>
          <cell r="O862" t="e">
            <v>#N/A</v>
          </cell>
          <cell r="P862" t="str">
            <v/>
          </cell>
          <cell r="Q862" t="str">
            <v/>
          </cell>
          <cell r="R862" t="e">
            <v>#N/A</v>
          </cell>
        </row>
        <row r="863">
          <cell r="A863" t="str">
            <v/>
          </cell>
          <cell r="B863" t="str">
            <v/>
          </cell>
          <cell r="C863" t="str">
            <v>Future</v>
          </cell>
          <cell r="D863" t="e">
            <v>#N/A</v>
          </cell>
          <cell r="E863">
            <v>-12.75200787401543</v>
          </cell>
          <cell r="F863">
            <v>95.318858267718454</v>
          </cell>
          <cell r="G863">
            <v>47.287362204724282</v>
          </cell>
          <cell r="H863">
            <v>47.287362204724282</v>
          </cell>
          <cell r="I863" t="e">
            <v>#N/A</v>
          </cell>
          <cell r="J863" t="e">
            <v>#N/A</v>
          </cell>
          <cell r="K863">
            <v>90</v>
          </cell>
          <cell r="L863">
            <v>50</v>
          </cell>
          <cell r="M863" t="e">
            <v>#N/A</v>
          </cell>
          <cell r="N863">
            <v>80</v>
          </cell>
          <cell r="O863" t="e">
            <v>#N/A</v>
          </cell>
          <cell r="P863" t="str">
            <v/>
          </cell>
          <cell r="Q863" t="str">
            <v/>
          </cell>
          <cell r="R863" t="e">
            <v>#N/A</v>
          </cell>
        </row>
        <row r="864">
          <cell r="A864" t="str">
            <v/>
          </cell>
          <cell r="B864" t="str">
            <v/>
          </cell>
          <cell r="C864" t="str">
            <v>Future</v>
          </cell>
          <cell r="D864" t="e">
            <v>#N/A</v>
          </cell>
          <cell r="E864">
            <v>-13.00204724409417</v>
          </cell>
          <cell r="F864">
            <v>95.423149606301138</v>
          </cell>
          <cell r="G864">
            <v>47.234173228346329</v>
          </cell>
          <cell r="H864">
            <v>47.234173228346329</v>
          </cell>
          <cell r="I864" t="e">
            <v>#N/A</v>
          </cell>
          <cell r="J864" t="e">
            <v>#N/A</v>
          </cell>
          <cell r="K864">
            <v>90</v>
          </cell>
          <cell r="L864">
            <v>50</v>
          </cell>
          <cell r="M864" t="e">
            <v>#N/A</v>
          </cell>
          <cell r="N864">
            <v>80</v>
          </cell>
          <cell r="O864" t="e">
            <v>#N/A</v>
          </cell>
          <cell r="P864" t="str">
            <v/>
          </cell>
          <cell r="Q864" t="str">
            <v/>
          </cell>
          <cell r="R864" t="e">
            <v>#N/A</v>
          </cell>
        </row>
        <row r="865">
          <cell r="A865" t="str">
            <v/>
          </cell>
          <cell r="B865" t="str">
            <v/>
          </cell>
          <cell r="C865" t="str">
            <v>Future</v>
          </cell>
          <cell r="D865" t="e">
            <v>#N/A</v>
          </cell>
          <cell r="E865">
            <v>-13.25208661417291</v>
          </cell>
          <cell r="F865">
            <v>95.527440944883821</v>
          </cell>
          <cell r="G865">
            <v>47.180984251968376</v>
          </cell>
          <cell r="H865">
            <v>47.180984251968376</v>
          </cell>
          <cell r="I865" t="e">
            <v>#N/A</v>
          </cell>
          <cell r="J865" t="e">
            <v>#N/A</v>
          </cell>
          <cell r="K865">
            <v>90</v>
          </cell>
          <cell r="L865">
            <v>50</v>
          </cell>
          <cell r="M865" t="e">
            <v>#N/A</v>
          </cell>
          <cell r="N865">
            <v>80</v>
          </cell>
          <cell r="O865" t="e">
            <v>#N/A</v>
          </cell>
          <cell r="P865" t="str">
            <v/>
          </cell>
          <cell r="Q865" t="str">
            <v/>
          </cell>
          <cell r="R865" t="e">
            <v>#N/A</v>
          </cell>
        </row>
        <row r="866">
          <cell r="A866" t="str">
            <v/>
          </cell>
          <cell r="B866" t="str">
            <v/>
          </cell>
          <cell r="C866" t="str">
            <v>Future</v>
          </cell>
          <cell r="D866" t="e">
            <v>#N/A</v>
          </cell>
          <cell r="E866">
            <v>-13.50212598425165</v>
          </cell>
          <cell r="F866">
            <v>95.631732283466505</v>
          </cell>
          <cell r="G866">
            <v>47.127795275590422</v>
          </cell>
          <cell r="H866">
            <v>47.127795275590422</v>
          </cell>
          <cell r="I866" t="e">
            <v>#N/A</v>
          </cell>
          <cell r="J866" t="e">
            <v>#N/A</v>
          </cell>
          <cell r="K866">
            <v>90</v>
          </cell>
          <cell r="L866">
            <v>50</v>
          </cell>
          <cell r="M866" t="e">
            <v>#N/A</v>
          </cell>
          <cell r="N866">
            <v>80</v>
          </cell>
          <cell r="O866" t="e">
            <v>#N/A</v>
          </cell>
          <cell r="P866" t="str">
            <v/>
          </cell>
          <cell r="Q866" t="str">
            <v/>
          </cell>
          <cell r="R866" t="e">
            <v>#N/A</v>
          </cell>
        </row>
        <row r="867">
          <cell r="A867" t="str">
            <v/>
          </cell>
          <cell r="B867" t="str">
            <v/>
          </cell>
          <cell r="C867" t="str">
            <v>Future</v>
          </cell>
          <cell r="D867" t="e">
            <v>#N/A</v>
          </cell>
          <cell r="E867">
            <v>-13.752165354330391</v>
          </cell>
          <cell r="F867">
            <v>95.736023622049188</v>
          </cell>
          <cell r="G867">
            <v>47.074606299212469</v>
          </cell>
          <cell r="H867">
            <v>47.074606299212469</v>
          </cell>
          <cell r="I867" t="e">
            <v>#N/A</v>
          </cell>
          <cell r="J867" t="e">
            <v>#N/A</v>
          </cell>
          <cell r="K867">
            <v>90</v>
          </cell>
          <cell r="L867">
            <v>50</v>
          </cell>
          <cell r="M867" t="e">
            <v>#N/A</v>
          </cell>
          <cell r="N867">
            <v>80</v>
          </cell>
          <cell r="O867" t="e">
            <v>#N/A</v>
          </cell>
          <cell r="P867" t="str">
            <v/>
          </cell>
          <cell r="Q867" t="str">
            <v/>
          </cell>
          <cell r="R867" t="e">
            <v>#N/A</v>
          </cell>
        </row>
        <row r="868">
          <cell r="A868" t="str">
            <v/>
          </cell>
          <cell r="B868" t="str">
            <v/>
          </cell>
          <cell r="C868" t="str">
            <v>Future</v>
          </cell>
          <cell r="D868" t="e">
            <v>#N/A</v>
          </cell>
          <cell r="E868">
            <v>-14.002204724409131</v>
          </cell>
          <cell r="F868">
            <v>95.840314960631872</v>
          </cell>
          <cell r="G868">
            <v>47.021417322834516</v>
          </cell>
          <cell r="H868">
            <v>47.021417322834516</v>
          </cell>
          <cell r="I868" t="e">
            <v>#N/A</v>
          </cell>
          <cell r="J868" t="e">
            <v>#N/A</v>
          </cell>
          <cell r="K868">
            <v>90</v>
          </cell>
          <cell r="L868">
            <v>50</v>
          </cell>
          <cell r="M868" t="e">
            <v>#N/A</v>
          </cell>
          <cell r="N868">
            <v>80</v>
          </cell>
          <cell r="O868" t="e">
            <v>#N/A</v>
          </cell>
          <cell r="P868" t="str">
            <v/>
          </cell>
          <cell r="Q868" t="str">
            <v/>
          </cell>
          <cell r="R868" t="e">
            <v>#N/A</v>
          </cell>
        </row>
        <row r="869">
          <cell r="A869" t="str">
            <v/>
          </cell>
          <cell r="B869" t="str">
            <v/>
          </cell>
          <cell r="C869" t="str">
            <v>Future</v>
          </cell>
          <cell r="D869" t="e">
            <v>#N/A</v>
          </cell>
          <cell r="E869">
            <v>-14.252244094487871</v>
          </cell>
          <cell r="F869">
            <v>95.944606299214556</v>
          </cell>
          <cell r="G869">
            <v>46.968228346456563</v>
          </cell>
          <cell r="H869">
            <v>46.968228346456563</v>
          </cell>
          <cell r="I869" t="e">
            <v>#N/A</v>
          </cell>
          <cell r="J869" t="e">
            <v>#N/A</v>
          </cell>
          <cell r="K869">
            <v>90</v>
          </cell>
          <cell r="L869">
            <v>50</v>
          </cell>
          <cell r="M869" t="e">
            <v>#N/A</v>
          </cell>
          <cell r="N869">
            <v>80</v>
          </cell>
          <cell r="O869" t="e">
            <v>#N/A</v>
          </cell>
          <cell r="P869" t="str">
            <v/>
          </cell>
          <cell r="Q869" t="str">
            <v/>
          </cell>
          <cell r="R869" t="e">
            <v>#N/A</v>
          </cell>
        </row>
        <row r="870">
          <cell r="A870" t="str">
            <v/>
          </cell>
          <cell r="B870" t="str">
            <v/>
          </cell>
          <cell r="C870" t="str">
            <v>Future</v>
          </cell>
          <cell r="D870" t="e">
            <v>#N/A</v>
          </cell>
          <cell r="E870">
            <v>-14.502283464566611</v>
          </cell>
          <cell r="F870">
            <v>96.048897637797239</v>
          </cell>
          <cell r="G870">
            <v>46.91503937007861</v>
          </cell>
          <cell r="H870">
            <v>46.91503937007861</v>
          </cell>
          <cell r="I870" t="e">
            <v>#N/A</v>
          </cell>
          <cell r="J870" t="e">
            <v>#N/A</v>
          </cell>
          <cell r="K870">
            <v>90</v>
          </cell>
          <cell r="L870">
            <v>50</v>
          </cell>
          <cell r="M870" t="e">
            <v>#N/A</v>
          </cell>
          <cell r="N870">
            <v>80</v>
          </cell>
          <cell r="O870" t="e">
            <v>#N/A</v>
          </cell>
          <cell r="P870" t="str">
            <v/>
          </cell>
          <cell r="Q870" t="str">
            <v/>
          </cell>
          <cell r="R870" t="e">
            <v>#N/A</v>
          </cell>
        </row>
        <row r="871">
          <cell r="A871" t="str">
            <v/>
          </cell>
          <cell r="B871" t="str">
            <v/>
          </cell>
          <cell r="C871" t="str">
            <v>Future</v>
          </cell>
          <cell r="D871" t="e">
            <v>#N/A</v>
          </cell>
          <cell r="E871">
            <v>-14.752322834645351</v>
          </cell>
          <cell r="F871">
            <v>96.153188976379923</v>
          </cell>
          <cell r="G871">
            <v>46.861850393700657</v>
          </cell>
          <cell r="H871">
            <v>46.861850393700657</v>
          </cell>
          <cell r="I871" t="e">
            <v>#N/A</v>
          </cell>
          <cell r="J871" t="e">
            <v>#N/A</v>
          </cell>
          <cell r="K871">
            <v>90</v>
          </cell>
          <cell r="L871">
            <v>50</v>
          </cell>
          <cell r="M871" t="e">
            <v>#N/A</v>
          </cell>
          <cell r="N871">
            <v>80</v>
          </cell>
          <cell r="O871" t="e">
            <v>#N/A</v>
          </cell>
          <cell r="P871" t="str">
            <v/>
          </cell>
          <cell r="Q871" t="str">
            <v/>
          </cell>
          <cell r="R871" t="e">
            <v>#N/A</v>
          </cell>
        </row>
        <row r="872">
          <cell r="A872" t="str">
            <v/>
          </cell>
          <cell r="B872" t="str">
            <v/>
          </cell>
          <cell r="C872" t="str">
            <v>Future</v>
          </cell>
          <cell r="D872" t="e">
            <v>#N/A</v>
          </cell>
          <cell r="E872">
            <v>-15.002362204724092</v>
          </cell>
          <cell r="F872">
            <v>96.257480314962606</v>
          </cell>
          <cell r="G872">
            <v>46.808661417322703</v>
          </cell>
          <cell r="H872">
            <v>46.808661417322703</v>
          </cell>
          <cell r="I872" t="e">
            <v>#N/A</v>
          </cell>
          <cell r="J872" t="e">
            <v>#N/A</v>
          </cell>
          <cell r="K872">
            <v>90</v>
          </cell>
          <cell r="L872">
            <v>50</v>
          </cell>
          <cell r="M872" t="e">
            <v>#N/A</v>
          </cell>
          <cell r="N872">
            <v>80</v>
          </cell>
          <cell r="O872" t="e">
            <v>#N/A</v>
          </cell>
          <cell r="P872" t="str">
            <v/>
          </cell>
          <cell r="Q872" t="str">
            <v/>
          </cell>
          <cell r="R872" t="e">
            <v>#N/A</v>
          </cell>
        </row>
        <row r="873">
          <cell r="A873" t="str">
            <v/>
          </cell>
          <cell r="B873" t="str">
            <v/>
          </cell>
          <cell r="C873" t="str">
            <v>Future</v>
          </cell>
          <cell r="D873" t="e">
            <v>#N/A</v>
          </cell>
          <cell r="E873">
            <v>-15.252401574802832</v>
          </cell>
          <cell r="F873">
            <v>96.36177165354529</v>
          </cell>
          <cell r="G873">
            <v>46.75547244094475</v>
          </cell>
          <cell r="H873">
            <v>46.75547244094475</v>
          </cell>
          <cell r="I873" t="e">
            <v>#N/A</v>
          </cell>
          <cell r="J873" t="e">
            <v>#N/A</v>
          </cell>
          <cell r="K873">
            <v>90</v>
          </cell>
          <cell r="L873">
            <v>50</v>
          </cell>
          <cell r="M873" t="e">
            <v>#N/A</v>
          </cell>
          <cell r="N873">
            <v>80</v>
          </cell>
          <cell r="O873" t="e">
            <v>#N/A</v>
          </cell>
          <cell r="P873" t="str">
            <v/>
          </cell>
          <cell r="Q873" t="str">
            <v/>
          </cell>
          <cell r="R873" t="e">
            <v>#N/A</v>
          </cell>
        </row>
        <row r="874">
          <cell r="A874" t="str">
            <v/>
          </cell>
          <cell r="B874" t="str">
            <v/>
          </cell>
          <cell r="C874" t="str">
            <v>Future</v>
          </cell>
          <cell r="D874" t="e">
            <v>#N/A</v>
          </cell>
          <cell r="E874">
            <v>-15.502440944881572</v>
          </cell>
          <cell r="F874">
            <v>96.466062992127974</v>
          </cell>
          <cell r="G874">
            <v>46.702283464566797</v>
          </cell>
          <cell r="H874">
            <v>46.702283464566797</v>
          </cell>
          <cell r="I874" t="e">
            <v>#N/A</v>
          </cell>
          <cell r="J874" t="e">
            <v>#N/A</v>
          </cell>
          <cell r="K874">
            <v>90</v>
          </cell>
          <cell r="L874">
            <v>50</v>
          </cell>
          <cell r="M874" t="e">
            <v>#N/A</v>
          </cell>
          <cell r="N874">
            <v>80</v>
          </cell>
          <cell r="O874" t="e">
            <v>#N/A</v>
          </cell>
          <cell r="P874" t="str">
            <v/>
          </cell>
          <cell r="Q874" t="str">
            <v/>
          </cell>
          <cell r="R874" t="e">
            <v>#N/A</v>
          </cell>
        </row>
        <row r="875">
          <cell r="A875" t="str">
            <v/>
          </cell>
          <cell r="B875" t="str">
            <v/>
          </cell>
          <cell r="C875" t="str">
            <v>Future</v>
          </cell>
          <cell r="D875" t="e">
            <v>#N/A</v>
          </cell>
          <cell r="E875">
            <v>-15.752480314960312</v>
          </cell>
          <cell r="F875">
            <v>96.570354330710657</v>
          </cell>
          <cell r="G875">
            <v>46.649094488188844</v>
          </cell>
          <cell r="H875">
            <v>46.649094488188844</v>
          </cell>
          <cell r="I875" t="e">
            <v>#N/A</v>
          </cell>
          <cell r="J875" t="e">
            <v>#N/A</v>
          </cell>
          <cell r="K875">
            <v>90</v>
          </cell>
          <cell r="L875">
            <v>50</v>
          </cell>
          <cell r="M875" t="e">
            <v>#N/A</v>
          </cell>
          <cell r="N875">
            <v>80</v>
          </cell>
          <cell r="O875" t="e">
            <v>#N/A</v>
          </cell>
          <cell r="P875" t="str">
            <v/>
          </cell>
          <cell r="Q875" t="str">
            <v/>
          </cell>
          <cell r="R875" t="e">
            <v>#N/A</v>
          </cell>
        </row>
        <row r="876">
          <cell r="A876" t="str">
            <v/>
          </cell>
          <cell r="B876" t="str">
            <v/>
          </cell>
          <cell r="C876" t="str">
            <v>Future</v>
          </cell>
          <cell r="D876" t="e">
            <v>#N/A</v>
          </cell>
          <cell r="E876">
            <v>-16.002519685039051</v>
          </cell>
          <cell r="F876">
            <v>96.674645669293341</v>
          </cell>
          <cell r="G876">
            <v>46.595905511810891</v>
          </cell>
          <cell r="H876">
            <v>46.595905511810891</v>
          </cell>
          <cell r="I876" t="e">
            <v>#N/A</v>
          </cell>
          <cell r="J876" t="e">
            <v>#N/A</v>
          </cell>
          <cell r="K876">
            <v>90</v>
          </cell>
          <cell r="L876">
            <v>50</v>
          </cell>
          <cell r="M876" t="e">
            <v>#N/A</v>
          </cell>
          <cell r="N876">
            <v>80</v>
          </cell>
          <cell r="O876" t="e">
            <v>#N/A</v>
          </cell>
          <cell r="P876" t="str">
            <v/>
          </cell>
          <cell r="Q876" t="str">
            <v/>
          </cell>
          <cell r="R876" t="e">
            <v>#N/A</v>
          </cell>
        </row>
        <row r="877">
          <cell r="A877" t="str">
            <v/>
          </cell>
          <cell r="B877" t="str">
            <v/>
          </cell>
          <cell r="C877" t="str">
            <v>Future</v>
          </cell>
          <cell r="D877" t="e">
            <v>#N/A</v>
          </cell>
          <cell r="E877">
            <v>-16.252559055117789</v>
          </cell>
          <cell r="F877">
            <v>96.778937007876024</v>
          </cell>
          <cell r="G877">
            <v>46.542716535432938</v>
          </cell>
          <cell r="H877">
            <v>46.542716535432938</v>
          </cell>
          <cell r="I877" t="e">
            <v>#N/A</v>
          </cell>
          <cell r="J877" t="e">
            <v>#N/A</v>
          </cell>
          <cell r="K877">
            <v>90</v>
          </cell>
          <cell r="L877">
            <v>50</v>
          </cell>
          <cell r="M877" t="e">
            <v>#N/A</v>
          </cell>
          <cell r="N877">
            <v>80</v>
          </cell>
          <cell r="O877" t="e">
            <v>#N/A</v>
          </cell>
          <cell r="P877" t="str">
            <v/>
          </cell>
          <cell r="Q877" t="str">
            <v/>
          </cell>
          <cell r="R877" t="e">
            <v>#N/A</v>
          </cell>
        </row>
        <row r="878">
          <cell r="A878" t="str">
            <v/>
          </cell>
          <cell r="B878" t="str">
            <v/>
          </cell>
          <cell r="C878" t="str">
            <v>Future</v>
          </cell>
          <cell r="D878" t="e">
            <v>#N/A</v>
          </cell>
          <cell r="E878">
            <v>-16.502598425196528</v>
          </cell>
          <cell r="F878">
            <v>96.883228346458708</v>
          </cell>
          <cell r="G878">
            <v>46.489527559054984</v>
          </cell>
          <cell r="H878">
            <v>46.489527559054984</v>
          </cell>
          <cell r="I878" t="e">
            <v>#N/A</v>
          </cell>
          <cell r="J878" t="e">
            <v>#N/A</v>
          </cell>
          <cell r="K878">
            <v>90</v>
          </cell>
          <cell r="L878">
            <v>50</v>
          </cell>
          <cell r="M878" t="e">
            <v>#N/A</v>
          </cell>
          <cell r="N878">
            <v>80</v>
          </cell>
          <cell r="O878" t="e">
            <v>#N/A</v>
          </cell>
          <cell r="P878" t="str">
            <v/>
          </cell>
          <cell r="Q878" t="str">
            <v/>
          </cell>
          <cell r="R878" t="e">
            <v>#N/A</v>
          </cell>
        </row>
        <row r="879">
          <cell r="A879" t="str">
            <v/>
          </cell>
          <cell r="B879" t="str">
            <v/>
          </cell>
          <cell r="C879" t="str">
            <v>Future</v>
          </cell>
          <cell r="D879" t="e">
            <v>#N/A</v>
          </cell>
          <cell r="E879">
            <v>-16.752637795275266</v>
          </cell>
          <cell r="F879">
            <v>96.987519685041391</v>
          </cell>
          <cell r="G879">
            <v>46.436338582677031</v>
          </cell>
          <cell r="H879">
            <v>46.436338582677031</v>
          </cell>
          <cell r="I879" t="e">
            <v>#N/A</v>
          </cell>
          <cell r="J879" t="e">
            <v>#N/A</v>
          </cell>
          <cell r="K879">
            <v>90</v>
          </cell>
          <cell r="L879">
            <v>50</v>
          </cell>
          <cell r="M879" t="e">
            <v>#N/A</v>
          </cell>
          <cell r="N879">
            <v>80</v>
          </cell>
          <cell r="O879" t="e">
            <v>#N/A</v>
          </cell>
          <cell r="P879" t="str">
            <v/>
          </cell>
          <cell r="Q879" t="str">
            <v/>
          </cell>
          <cell r="R879" t="e">
            <v>#N/A</v>
          </cell>
        </row>
        <row r="880">
          <cell r="A880" t="str">
            <v/>
          </cell>
          <cell r="B880" t="str">
            <v/>
          </cell>
          <cell r="C880" t="str">
            <v>Future</v>
          </cell>
          <cell r="D880" t="e">
            <v>#N/A</v>
          </cell>
          <cell r="E880">
            <v>-17.002677165354005</v>
          </cell>
          <cell r="F880">
            <v>97.091811023624075</v>
          </cell>
          <cell r="G880">
            <v>46.383149606299078</v>
          </cell>
          <cell r="H880">
            <v>46.383149606299078</v>
          </cell>
          <cell r="I880" t="e">
            <v>#N/A</v>
          </cell>
          <cell r="J880" t="e">
            <v>#N/A</v>
          </cell>
          <cell r="K880">
            <v>90</v>
          </cell>
          <cell r="L880">
            <v>50</v>
          </cell>
          <cell r="M880" t="e">
            <v>#N/A</v>
          </cell>
          <cell r="N880">
            <v>80</v>
          </cell>
          <cell r="O880" t="e">
            <v>#N/A</v>
          </cell>
          <cell r="P880" t="str">
            <v/>
          </cell>
          <cell r="Q880" t="str">
            <v/>
          </cell>
          <cell r="R880" t="e">
            <v>#N/A</v>
          </cell>
        </row>
        <row r="881">
          <cell r="A881" t="str">
            <v/>
          </cell>
          <cell r="B881" t="str">
            <v/>
          </cell>
          <cell r="C881" t="str">
            <v>Future</v>
          </cell>
          <cell r="D881" t="e">
            <v>#N/A</v>
          </cell>
          <cell r="E881">
            <v>-17.252716535432743</v>
          </cell>
          <cell r="F881">
            <v>97.196102362206759</v>
          </cell>
          <cell r="G881">
            <v>46.329960629921125</v>
          </cell>
          <cell r="H881">
            <v>46.329960629921125</v>
          </cell>
          <cell r="I881" t="e">
            <v>#N/A</v>
          </cell>
          <cell r="J881" t="e">
            <v>#N/A</v>
          </cell>
          <cell r="K881">
            <v>90</v>
          </cell>
          <cell r="L881">
            <v>50</v>
          </cell>
          <cell r="M881" t="e">
            <v>#N/A</v>
          </cell>
          <cell r="N881">
            <v>80</v>
          </cell>
          <cell r="O881" t="e">
            <v>#N/A</v>
          </cell>
          <cell r="P881" t="str">
            <v/>
          </cell>
          <cell r="Q881" t="str">
            <v/>
          </cell>
          <cell r="R881" t="e">
            <v>#N/A</v>
          </cell>
        </row>
        <row r="882">
          <cell r="A882" t="str">
            <v/>
          </cell>
          <cell r="B882" t="str">
            <v/>
          </cell>
          <cell r="C882" t="str">
            <v>Future</v>
          </cell>
          <cell r="D882" t="e">
            <v>#N/A</v>
          </cell>
          <cell r="E882">
            <v>-17.502755905511481</v>
          </cell>
          <cell r="F882">
            <v>97.300393700789442</v>
          </cell>
          <cell r="G882">
            <v>46.276771653543172</v>
          </cell>
          <cell r="H882">
            <v>46.276771653543172</v>
          </cell>
          <cell r="I882" t="e">
            <v>#N/A</v>
          </cell>
          <cell r="J882" t="e">
            <v>#N/A</v>
          </cell>
          <cell r="K882">
            <v>90</v>
          </cell>
          <cell r="L882">
            <v>50</v>
          </cell>
          <cell r="M882" t="e">
            <v>#N/A</v>
          </cell>
          <cell r="N882">
            <v>80</v>
          </cell>
          <cell r="O882" t="e">
            <v>#N/A</v>
          </cell>
          <cell r="P882" t="str">
            <v/>
          </cell>
          <cell r="Q882" t="str">
            <v/>
          </cell>
          <cell r="R882" t="e">
            <v>#N/A</v>
          </cell>
        </row>
        <row r="883">
          <cell r="A883" t="str">
            <v/>
          </cell>
          <cell r="B883" t="str">
            <v/>
          </cell>
          <cell r="C883" t="str">
            <v>Future</v>
          </cell>
          <cell r="D883" t="e">
            <v>#N/A</v>
          </cell>
          <cell r="E883">
            <v>-17.75279527559022</v>
          </cell>
          <cell r="F883">
            <v>97.404685039372126</v>
          </cell>
          <cell r="G883">
            <v>46.223582677165219</v>
          </cell>
          <cell r="H883">
            <v>46.223582677165219</v>
          </cell>
          <cell r="I883" t="e">
            <v>#N/A</v>
          </cell>
          <cell r="J883" t="e">
            <v>#N/A</v>
          </cell>
          <cell r="K883">
            <v>90</v>
          </cell>
          <cell r="L883">
            <v>50</v>
          </cell>
          <cell r="M883" t="e">
            <v>#N/A</v>
          </cell>
          <cell r="N883">
            <v>80</v>
          </cell>
          <cell r="O883" t="e">
            <v>#N/A</v>
          </cell>
          <cell r="P883" t="str">
            <v/>
          </cell>
          <cell r="Q883" t="str">
            <v/>
          </cell>
          <cell r="R883" t="e">
            <v>#N/A</v>
          </cell>
        </row>
        <row r="884">
          <cell r="A884" t="str">
            <v/>
          </cell>
          <cell r="B884" t="str">
            <v/>
          </cell>
          <cell r="C884" t="str">
            <v>Future</v>
          </cell>
          <cell r="D884" t="e">
            <v>#N/A</v>
          </cell>
          <cell r="E884">
            <v>-18.002834645668958</v>
          </cell>
          <cell r="F884">
            <v>97.508976377954809</v>
          </cell>
          <cell r="G884">
            <v>46.170393700787265</v>
          </cell>
          <cell r="H884">
            <v>46.170393700787265</v>
          </cell>
          <cell r="I884" t="e">
            <v>#N/A</v>
          </cell>
          <cell r="J884" t="e">
            <v>#N/A</v>
          </cell>
          <cell r="K884">
            <v>90</v>
          </cell>
          <cell r="L884">
            <v>50</v>
          </cell>
          <cell r="M884" t="e">
            <v>#N/A</v>
          </cell>
          <cell r="N884">
            <v>80</v>
          </cell>
          <cell r="O884" t="e">
            <v>#N/A</v>
          </cell>
          <cell r="P884" t="str">
            <v/>
          </cell>
          <cell r="Q884" t="str">
            <v/>
          </cell>
          <cell r="R884" t="e">
            <v>#N/A</v>
          </cell>
        </row>
        <row r="885">
          <cell r="A885" t="str">
            <v/>
          </cell>
          <cell r="B885" t="str">
            <v/>
          </cell>
          <cell r="C885" t="str">
            <v>Future</v>
          </cell>
          <cell r="D885" t="e">
            <v>#N/A</v>
          </cell>
          <cell r="E885">
            <v>-18.252874015747697</v>
          </cell>
          <cell r="F885">
            <v>97.613267716537493</v>
          </cell>
          <cell r="G885">
            <v>46.117204724409312</v>
          </cell>
          <cell r="H885">
            <v>46.117204724409312</v>
          </cell>
          <cell r="I885" t="e">
            <v>#N/A</v>
          </cell>
          <cell r="J885" t="e">
            <v>#N/A</v>
          </cell>
          <cell r="K885">
            <v>90</v>
          </cell>
          <cell r="L885">
            <v>50</v>
          </cell>
          <cell r="M885" t="e">
            <v>#N/A</v>
          </cell>
          <cell r="N885">
            <v>80</v>
          </cell>
          <cell r="O885" t="e">
            <v>#N/A</v>
          </cell>
          <cell r="P885" t="str">
            <v/>
          </cell>
          <cell r="Q885" t="str">
            <v/>
          </cell>
          <cell r="R885" t="e">
            <v>#N/A</v>
          </cell>
        </row>
        <row r="886">
          <cell r="A886" t="str">
            <v/>
          </cell>
          <cell r="B886" t="str">
            <v/>
          </cell>
          <cell r="C886" t="str">
            <v>Future</v>
          </cell>
          <cell r="D886" t="e">
            <v>#N/A</v>
          </cell>
          <cell r="E886">
            <v>-18.502913385826435</v>
          </cell>
          <cell r="F886">
            <v>97.717559055120176</v>
          </cell>
          <cell r="G886">
            <v>46.064015748031359</v>
          </cell>
          <cell r="H886">
            <v>46.064015748031359</v>
          </cell>
          <cell r="I886" t="e">
            <v>#N/A</v>
          </cell>
          <cell r="J886" t="e">
            <v>#N/A</v>
          </cell>
          <cell r="K886">
            <v>90</v>
          </cell>
          <cell r="L886">
            <v>50</v>
          </cell>
          <cell r="M886" t="e">
            <v>#N/A</v>
          </cell>
          <cell r="N886">
            <v>80</v>
          </cell>
          <cell r="O886" t="e">
            <v>#N/A</v>
          </cell>
          <cell r="P886" t="str">
            <v/>
          </cell>
          <cell r="Q886" t="str">
            <v/>
          </cell>
          <cell r="R886" t="e">
            <v>#N/A</v>
          </cell>
        </row>
        <row r="887">
          <cell r="A887" t="str">
            <v/>
          </cell>
          <cell r="B887" t="str">
            <v/>
          </cell>
          <cell r="C887" t="str">
            <v>Future</v>
          </cell>
          <cell r="D887" t="e">
            <v>#N/A</v>
          </cell>
          <cell r="E887">
            <v>-18.752952755905174</v>
          </cell>
          <cell r="F887">
            <v>97.82185039370286</v>
          </cell>
          <cell r="G887">
            <v>46.010826771653406</v>
          </cell>
          <cell r="H887">
            <v>46.010826771653406</v>
          </cell>
          <cell r="I887" t="e">
            <v>#N/A</v>
          </cell>
          <cell r="J887" t="e">
            <v>#N/A</v>
          </cell>
          <cell r="K887">
            <v>90</v>
          </cell>
          <cell r="L887">
            <v>50</v>
          </cell>
          <cell r="M887" t="e">
            <v>#N/A</v>
          </cell>
          <cell r="N887">
            <v>80</v>
          </cell>
          <cell r="O887" t="e">
            <v>#N/A</v>
          </cell>
          <cell r="P887" t="str">
            <v/>
          </cell>
          <cell r="Q887" t="str">
            <v/>
          </cell>
          <cell r="R887" t="e">
            <v>#N/A</v>
          </cell>
        </row>
        <row r="888">
          <cell r="A888" t="str">
            <v/>
          </cell>
          <cell r="B888" t="str">
            <v/>
          </cell>
          <cell r="C888" t="str">
            <v>Future</v>
          </cell>
          <cell r="D888" t="e">
            <v>#N/A</v>
          </cell>
          <cell r="E888">
            <v>-19.002992125983912</v>
          </cell>
          <cell r="F888">
            <v>97.926141732285544</v>
          </cell>
          <cell r="G888">
            <v>45.957637795275453</v>
          </cell>
          <cell r="H888">
            <v>45.957637795275453</v>
          </cell>
          <cell r="I888" t="e">
            <v>#N/A</v>
          </cell>
          <cell r="J888" t="e">
            <v>#N/A</v>
          </cell>
          <cell r="K888">
            <v>90</v>
          </cell>
          <cell r="L888">
            <v>50</v>
          </cell>
          <cell r="M888" t="e">
            <v>#N/A</v>
          </cell>
          <cell r="N888">
            <v>80</v>
          </cell>
          <cell r="O888" t="e">
            <v>#N/A</v>
          </cell>
          <cell r="P888" t="str">
            <v/>
          </cell>
          <cell r="Q888" t="str">
            <v/>
          </cell>
          <cell r="R888" t="e">
            <v>#N/A</v>
          </cell>
        </row>
        <row r="889">
          <cell r="A889" t="str">
            <v/>
          </cell>
          <cell r="B889" t="str">
            <v/>
          </cell>
          <cell r="C889" t="str">
            <v>Future</v>
          </cell>
          <cell r="D889" t="e">
            <v>#N/A</v>
          </cell>
          <cell r="E889">
            <v>-19.253031496062651</v>
          </cell>
          <cell r="F889">
            <v>98.030433070868227</v>
          </cell>
          <cell r="G889">
            <v>45.9044488188975</v>
          </cell>
          <cell r="H889">
            <v>45.9044488188975</v>
          </cell>
          <cell r="I889" t="e">
            <v>#N/A</v>
          </cell>
          <cell r="J889" t="e">
            <v>#N/A</v>
          </cell>
          <cell r="K889">
            <v>90</v>
          </cell>
          <cell r="L889">
            <v>50</v>
          </cell>
          <cell r="M889" t="e">
            <v>#N/A</v>
          </cell>
          <cell r="N889">
            <v>80</v>
          </cell>
          <cell r="O889" t="e">
            <v>#N/A</v>
          </cell>
          <cell r="P889" t="str">
            <v/>
          </cell>
          <cell r="Q889" t="str">
            <v/>
          </cell>
          <cell r="R889" t="e">
            <v>#N/A</v>
          </cell>
        </row>
        <row r="890">
          <cell r="A890" t="str">
            <v/>
          </cell>
          <cell r="B890" t="str">
            <v/>
          </cell>
          <cell r="C890" t="str">
            <v>Future</v>
          </cell>
          <cell r="D890" t="e">
            <v>#N/A</v>
          </cell>
          <cell r="E890">
            <v>-19.503070866141389</v>
          </cell>
          <cell r="F890">
            <v>98.134724409450911</v>
          </cell>
          <cell r="G890">
            <v>45.851259842519546</v>
          </cell>
          <cell r="H890">
            <v>45.851259842519546</v>
          </cell>
          <cell r="I890" t="e">
            <v>#N/A</v>
          </cell>
          <cell r="J890" t="e">
            <v>#N/A</v>
          </cell>
          <cell r="K890">
            <v>90</v>
          </cell>
          <cell r="L890">
            <v>50</v>
          </cell>
          <cell r="M890" t="e">
            <v>#N/A</v>
          </cell>
          <cell r="N890">
            <v>80</v>
          </cell>
          <cell r="O890" t="e">
            <v>#N/A</v>
          </cell>
          <cell r="P890" t="str">
            <v/>
          </cell>
          <cell r="Q890" t="str">
            <v/>
          </cell>
          <cell r="R890" t="e">
            <v>#N/A</v>
          </cell>
        </row>
        <row r="891">
          <cell r="A891" t="str">
            <v/>
          </cell>
          <cell r="B891" t="str">
            <v/>
          </cell>
          <cell r="C891" t="str">
            <v>Future</v>
          </cell>
          <cell r="D891" t="e">
            <v>#N/A</v>
          </cell>
          <cell r="E891">
            <v>-19.753110236220127</v>
          </cell>
          <cell r="F891">
            <v>98.239015748033594</v>
          </cell>
          <cell r="G891">
            <v>45.798070866141593</v>
          </cell>
          <cell r="H891">
            <v>45.798070866141593</v>
          </cell>
          <cell r="I891" t="e">
            <v>#N/A</v>
          </cell>
          <cell r="J891" t="e">
            <v>#N/A</v>
          </cell>
          <cell r="K891">
            <v>90</v>
          </cell>
          <cell r="L891">
            <v>50</v>
          </cell>
          <cell r="M891" t="e">
            <v>#N/A</v>
          </cell>
          <cell r="N891">
            <v>80</v>
          </cell>
          <cell r="O891" t="e">
            <v>#N/A</v>
          </cell>
          <cell r="P891" t="str">
            <v/>
          </cell>
          <cell r="Q891" t="str">
            <v/>
          </cell>
          <cell r="R891" t="e">
            <v>#N/A</v>
          </cell>
        </row>
        <row r="892">
          <cell r="A892" t="str">
            <v/>
          </cell>
          <cell r="B892" t="str">
            <v/>
          </cell>
          <cell r="C892" t="str">
            <v>Future</v>
          </cell>
          <cell r="D892" t="e">
            <v>#N/A</v>
          </cell>
          <cell r="E892">
            <v>-20.003149606298866</v>
          </cell>
          <cell r="F892">
            <v>98.343307086616278</v>
          </cell>
          <cell r="G892">
            <v>45.74488188976364</v>
          </cell>
          <cell r="H892">
            <v>45.74488188976364</v>
          </cell>
          <cell r="I892" t="e">
            <v>#N/A</v>
          </cell>
          <cell r="J892" t="e">
            <v>#N/A</v>
          </cell>
          <cell r="K892">
            <v>90</v>
          </cell>
          <cell r="L892">
            <v>50</v>
          </cell>
          <cell r="M892" t="e">
            <v>#N/A</v>
          </cell>
          <cell r="N892">
            <v>80</v>
          </cell>
          <cell r="O892" t="e">
            <v>#N/A</v>
          </cell>
          <cell r="P892" t="str">
            <v/>
          </cell>
          <cell r="Q892" t="str">
            <v/>
          </cell>
          <cell r="R892" t="e">
            <v>#N/A</v>
          </cell>
        </row>
        <row r="893">
          <cell r="A893" t="str">
            <v/>
          </cell>
          <cell r="B893" t="str">
            <v/>
          </cell>
          <cell r="C893" t="str">
            <v>Future</v>
          </cell>
          <cell r="D893" t="e">
            <v>#N/A</v>
          </cell>
          <cell r="E893">
            <v>-20.253188976377604</v>
          </cell>
          <cell r="F893">
            <v>98.447598425198962</v>
          </cell>
          <cell r="G893">
            <v>45.691692913385687</v>
          </cell>
          <cell r="H893">
            <v>45.691692913385687</v>
          </cell>
          <cell r="I893" t="e">
            <v>#N/A</v>
          </cell>
          <cell r="J893" t="e">
            <v>#N/A</v>
          </cell>
          <cell r="K893">
            <v>90</v>
          </cell>
          <cell r="L893">
            <v>50</v>
          </cell>
          <cell r="M893" t="e">
            <v>#N/A</v>
          </cell>
          <cell r="N893">
            <v>80</v>
          </cell>
          <cell r="O893" t="e">
            <v>#N/A</v>
          </cell>
          <cell r="P893" t="str">
            <v/>
          </cell>
          <cell r="Q893" t="str">
            <v/>
          </cell>
          <cell r="R893" t="e">
            <v>#N/A</v>
          </cell>
        </row>
        <row r="894">
          <cell r="A894" t="str">
            <v/>
          </cell>
          <cell r="B894" t="str">
            <v/>
          </cell>
          <cell r="C894" t="str">
            <v>Future</v>
          </cell>
          <cell r="D894" t="e">
            <v>#N/A</v>
          </cell>
          <cell r="E894">
            <v>-20.503228346456343</v>
          </cell>
          <cell r="F894">
            <v>98.551889763781645</v>
          </cell>
          <cell r="G894">
            <v>45.638503937007734</v>
          </cell>
          <cell r="H894">
            <v>45.638503937007734</v>
          </cell>
          <cell r="I894" t="e">
            <v>#N/A</v>
          </cell>
          <cell r="J894" t="e">
            <v>#N/A</v>
          </cell>
          <cell r="K894">
            <v>90</v>
          </cell>
          <cell r="L894">
            <v>50</v>
          </cell>
          <cell r="M894" t="e">
            <v>#N/A</v>
          </cell>
          <cell r="N894">
            <v>80</v>
          </cell>
          <cell r="O894" t="e">
            <v>#N/A</v>
          </cell>
          <cell r="P894" t="str">
            <v/>
          </cell>
          <cell r="Q894" t="str">
            <v/>
          </cell>
          <cell r="R894" t="e">
            <v>#N/A</v>
          </cell>
        </row>
        <row r="895">
          <cell r="A895" t="str">
            <v/>
          </cell>
          <cell r="B895" t="str">
            <v/>
          </cell>
          <cell r="C895" t="str">
            <v>Future</v>
          </cell>
          <cell r="D895" t="e">
            <v>#N/A</v>
          </cell>
          <cell r="E895">
            <v>-20.753267716535081</v>
          </cell>
          <cell r="F895">
            <v>98.656181102364329</v>
          </cell>
          <cell r="G895">
            <v>45.585314960629781</v>
          </cell>
          <cell r="H895">
            <v>45.585314960629781</v>
          </cell>
          <cell r="I895" t="e">
            <v>#N/A</v>
          </cell>
          <cell r="J895" t="e">
            <v>#N/A</v>
          </cell>
          <cell r="K895">
            <v>90</v>
          </cell>
          <cell r="L895">
            <v>50</v>
          </cell>
          <cell r="M895" t="e">
            <v>#N/A</v>
          </cell>
          <cell r="N895">
            <v>80</v>
          </cell>
          <cell r="O895" t="e">
            <v>#N/A</v>
          </cell>
          <cell r="P895" t="str">
            <v/>
          </cell>
          <cell r="Q895" t="str">
            <v/>
          </cell>
          <cell r="R895" t="e">
            <v>#N/A</v>
          </cell>
        </row>
        <row r="896">
          <cell r="A896" t="str">
            <v/>
          </cell>
          <cell r="B896" t="str">
            <v/>
          </cell>
          <cell r="C896" t="str">
            <v>Future</v>
          </cell>
          <cell r="D896" t="e">
            <v>#N/A</v>
          </cell>
          <cell r="E896">
            <v>-21.00330708661382</v>
          </cell>
          <cell r="F896">
            <v>98.760472440947012</v>
          </cell>
          <cell r="G896">
            <v>45.532125984251827</v>
          </cell>
          <cell r="H896">
            <v>45.532125984251827</v>
          </cell>
          <cell r="I896" t="e">
            <v>#N/A</v>
          </cell>
          <cell r="J896" t="e">
            <v>#N/A</v>
          </cell>
          <cell r="K896">
            <v>90</v>
          </cell>
          <cell r="L896">
            <v>50</v>
          </cell>
          <cell r="M896" t="e">
            <v>#N/A</v>
          </cell>
          <cell r="N896">
            <v>80</v>
          </cell>
          <cell r="O896" t="e">
            <v>#N/A</v>
          </cell>
          <cell r="P896" t="str">
            <v/>
          </cell>
          <cell r="Q896" t="str">
            <v/>
          </cell>
          <cell r="R896" t="e">
            <v>#N/A</v>
          </cell>
        </row>
        <row r="897">
          <cell r="A897" t="str">
            <v/>
          </cell>
          <cell r="B897" t="str">
            <v/>
          </cell>
          <cell r="C897" t="str">
            <v>Future</v>
          </cell>
          <cell r="D897" t="e">
            <v>#N/A</v>
          </cell>
          <cell r="E897">
            <v>-21.253346456692558</v>
          </cell>
          <cell r="F897">
            <v>98.864763779529696</v>
          </cell>
          <cell r="G897">
            <v>45.478937007873874</v>
          </cell>
          <cell r="H897">
            <v>45.478937007873874</v>
          </cell>
          <cell r="I897" t="e">
            <v>#N/A</v>
          </cell>
          <cell r="J897" t="e">
            <v>#N/A</v>
          </cell>
          <cell r="K897">
            <v>90</v>
          </cell>
          <cell r="L897">
            <v>50</v>
          </cell>
          <cell r="M897" t="e">
            <v>#N/A</v>
          </cell>
          <cell r="N897">
            <v>80</v>
          </cell>
          <cell r="O897" t="e">
            <v>#N/A</v>
          </cell>
          <cell r="P897" t="str">
            <v/>
          </cell>
          <cell r="Q897" t="str">
            <v/>
          </cell>
          <cell r="R897" t="e">
            <v>#N/A</v>
          </cell>
        </row>
        <row r="898">
          <cell r="A898" t="str">
            <v/>
          </cell>
          <cell r="B898" t="str">
            <v/>
          </cell>
          <cell r="C898" t="str">
            <v>Future</v>
          </cell>
          <cell r="D898" t="e">
            <v>#N/A</v>
          </cell>
          <cell r="E898">
            <v>-21.503385826771297</v>
          </cell>
          <cell r="F898">
            <v>98.969055118112379</v>
          </cell>
          <cell r="G898">
            <v>45.425748031495921</v>
          </cell>
          <cell r="H898">
            <v>45.425748031495921</v>
          </cell>
          <cell r="I898" t="e">
            <v>#N/A</v>
          </cell>
          <cell r="J898" t="e">
            <v>#N/A</v>
          </cell>
          <cell r="K898">
            <v>90</v>
          </cell>
          <cell r="L898">
            <v>50</v>
          </cell>
          <cell r="M898" t="e">
            <v>#N/A</v>
          </cell>
          <cell r="N898">
            <v>80</v>
          </cell>
          <cell r="O898" t="e">
            <v>#N/A</v>
          </cell>
          <cell r="P898" t="str">
            <v/>
          </cell>
          <cell r="Q898" t="str">
            <v/>
          </cell>
          <cell r="R898" t="e">
            <v>#N/A</v>
          </cell>
        </row>
        <row r="899">
          <cell r="A899" t="str">
            <v/>
          </cell>
          <cell r="B899" t="str">
            <v/>
          </cell>
          <cell r="C899" t="str">
            <v>Future</v>
          </cell>
          <cell r="D899" t="e">
            <v>#N/A</v>
          </cell>
          <cell r="E899">
            <v>-21.753425196850035</v>
          </cell>
          <cell r="F899">
            <v>99.073346456695063</v>
          </cell>
          <cell r="G899">
            <v>45.372559055117968</v>
          </cell>
          <cell r="H899">
            <v>45.372559055117968</v>
          </cell>
          <cell r="I899" t="e">
            <v>#N/A</v>
          </cell>
          <cell r="J899" t="e">
            <v>#N/A</v>
          </cell>
          <cell r="K899">
            <v>90</v>
          </cell>
          <cell r="L899">
            <v>50</v>
          </cell>
          <cell r="M899" t="e">
            <v>#N/A</v>
          </cell>
          <cell r="N899">
            <v>80</v>
          </cell>
          <cell r="O899" t="e">
            <v>#N/A</v>
          </cell>
          <cell r="P899" t="str">
            <v/>
          </cell>
          <cell r="Q899" t="str">
            <v/>
          </cell>
          <cell r="R899" t="e">
            <v>#N/A</v>
          </cell>
        </row>
        <row r="900">
          <cell r="A900" t="str">
            <v/>
          </cell>
          <cell r="B900" t="str">
            <v/>
          </cell>
          <cell r="C900" t="str">
            <v>Future</v>
          </cell>
          <cell r="D900" t="e">
            <v>#N/A</v>
          </cell>
          <cell r="E900">
            <v>-22.003464566928773</v>
          </cell>
          <cell r="F900">
            <v>99.177637795277747</v>
          </cell>
          <cell r="G900">
            <v>45.319370078740015</v>
          </cell>
          <cell r="H900">
            <v>45.319370078740015</v>
          </cell>
          <cell r="I900" t="e">
            <v>#N/A</v>
          </cell>
          <cell r="J900" t="e">
            <v>#N/A</v>
          </cell>
          <cell r="K900">
            <v>90</v>
          </cell>
          <cell r="L900">
            <v>50</v>
          </cell>
          <cell r="M900" t="e">
            <v>#N/A</v>
          </cell>
          <cell r="N900">
            <v>80</v>
          </cell>
          <cell r="O900" t="e">
            <v>#N/A</v>
          </cell>
          <cell r="P900" t="str">
            <v/>
          </cell>
          <cell r="Q900" t="str">
            <v/>
          </cell>
          <cell r="R900" t="e">
            <v>#N/A</v>
          </cell>
        </row>
        <row r="901">
          <cell r="A901" t="str">
            <v/>
          </cell>
          <cell r="B901" t="str">
            <v/>
          </cell>
          <cell r="C901" t="str">
            <v>Future</v>
          </cell>
          <cell r="D901" t="e">
            <v>#N/A</v>
          </cell>
          <cell r="E901">
            <v>-22.253503937007512</v>
          </cell>
          <cell r="F901">
            <v>99.28192913386043</v>
          </cell>
          <cell r="G901">
            <v>45.266181102362061</v>
          </cell>
          <cell r="H901">
            <v>45.266181102362061</v>
          </cell>
          <cell r="I901" t="e">
            <v>#N/A</v>
          </cell>
          <cell r="J901" t="e">
            <v>#N/A</v>
          </cell>
          <cell r="K901">
            <v>90</v>
          </cell>
          <cell r="L901">
            <v>50</v>
          </cell>
          <cell r="M901" t="e">
            <v>#N/A</v>
          </cell>
          <cell r="N901">
            <v>80</v>
          </cell>
          <cell r="O901" t="e">
            <v>#N/A</v>
          </cell>
          <cell r="P901" t="str">
            <v/>
          </cell>
          <cell r="Q901" t="str">
            <v/>
          </cell>
          <cell r="R901" t="e">
            <v>#N/A</v>
          </cell>
        </row>
        <row r="902">
          <cell r="A902" t="str">
            <v/>
          </cell>
          <cell r="B902" t="str">
            <v/>
          </cell>
          <cell r="C902" t="str">
            <v>Future</v>
          </cell>
          <cell r="D902" t="e">
            <v>#N/A</v>
          </cell>
          <cell r="E902">
            <v>-22.50354330708625</v>
          </cell>
          <cell r="F902">
            <v>99.386220472443114</v>
          </cell>
          <cell r="G902">
            <v>45.212992125984108</v>
          </cell>
          <cell r="H902">
            <v>45.212992125984108</v>
          </cell>
          <cell r="I902" t="e">
            <v>#N/A</v>
          </cell>
          <cell r="J902" t="e">
            <v>#N/A</v>
          </cell>
          <cell r="K902">
            <v>90</v>
          </cell>
          <cell r="L902">
            <v>50</v>
          </cell>
          <cell r="M902" t="e">
            <v>#N/A</v>
          </cell>
          <cell r="N902">
            <v>80</v>
          </cell>
          <cell r="O902" t="e">
            <v>#N/A</v>
          </cell>
          <cell r="P902" t="str">
            <v/>
          </cell>
          <cell r="Q902" t="str">
            <v/>
          </cell>
          <cell r="R902" t="e">
            <v>#N/A</v>
          </cell>
        </row>
        <row r="903">
          <cell r="A903" t="str">
            <v/>
          </cell>
          <cell r="B903" t="str">
            <v/>
          </cell>
          <cell r="C903" t="str">
            <v>Future</v>
          </cell>
          <cell r="D903" t="e">
            <v>#N/A</v>
          </cell>
          <cell r="E903">
            <v>-22.753582677164989</v>
          </cell>
          <cell r="F903">
            <v>99.490511811025797</v>
          </cell>
          <cell r="G903">
            <v>45.159803149606155</v>
          </cell>
          <cell r="H903">
            <v>45.159803149606155</v>
          </cell>
          <cell r="I903" t="e">
            <v>#N/A</v>
          </cell>
          <cell r="J903" t="e">
            <v>#N/A</v>
          </cell>
          <cell r="K903">
            <v>90</v>
          </cell>
          <cell r="L903">
            <v>50</v>
          </cell>
          <cell r="M903" t="e">
            <v>#N/A</v>
          </cell>
          <cell r="N903">
            <v>80</v>
          </cell>
          <cell r="O903" t="e">
            <v>#N/A</v>
          </cell>
          <cell r="P903" t="str">
            <v/>
          </cell>
          <cell r="Q903" t="str">
            <v/>
          </cell>
          <cell r="R903" t="e">
            <v>#N/A</v>
          </cell>
        </row>
        <row r="904">
          <cell r="A904" t="str">
            <v/>
          </cell>
          <cell r="B904" t="str">
            <v/>
          </cell>
          <cell r="C904" t="str">
            <v>Future</v>
          </cell>
          <cell r="D904" t="e">
            <v>#N/A</v>
          </cell>
          <cell r="E904">
            <v>-23.003622047243727</v>
          </cell>
          <cell r="F904">
            <v>99.594803149608481</v>
          </cell>
          <cell r="G904">
            <v>45.106614173228202</v>
          </cell>
          <cell r="H904">
            <v>45.106614173228202</v>
          </cell>
          <cell r="I904" t="e">
            <v>#N/A</v>
          </cell>
          <cell r="J904" t="e">
            <v>#N/A</v>
          </cell>
          <cell r="K904">
            <v>90</v>
          </cell>
          <cell r="L904">
            <v>50</v>
          </cell>
          <cell r="M904" t="e">
            <v>#N/A</v>
          </cell>
          <cell r="N904">
            <v>80</v>
          </cell>
          <cell r="O904" t="e">
            <v>#N/A</v>
          </cell>
          <cell r="P904" t="str">
            <v/>
          </cell>
          <cell r="Q904" t="str">
            <v/>
          </cell>
          <cell r="R904" t="e">
            <v>#N/A</v>
          </cell>
        </row>
        <row r="905">
          <cell r="A905" t="str">
            <v/>
          </cell>
          <cell r="B905" t="str">
            <v/>
          </cell>
          <cell r="C905" t="str">
            <v>Future</v>
          </cell>
          <cell r="D905" t="e">
            <v>#N/A</v>
          </cell>
          <cell r="E905">
            <v>-23.253661417322466</v>
          </cell>
          <cell r="F905">
            <v>99.699094488191164</v>
          </cell>
          <cell r="G905">
            <v>45.053425196850249</v>
          </cell>
          <cell r="H905">
            <v>45.053425196850249</v>
          </cell>
          <cell r="I905" t="e">
            <v>#N/A</v>
          </cell>
          <cell r="J905" t="e">
            <v>#N/A</v>
          </cell>
          <cell r="K905">
            <v>90</v>
          </cell>
          <cell r="L905">
            <v>50</v>
          </cell>
          <cell r="M905" t="e">
            <v>#N/A</v>
          </cell>
          <cell r="N905">
            <v>80</v>
          </cell>
          <cell r="O905" t="e">
            <v>#N/A</v>
          </cell>
          <cell r="P905" t="str">
            <v/>
          </cell>
          <cell r="Q905" t="str">
            <v/>
          </cell>
          <cell r="R905" t="e">
            <v>#N/A</v>
          </cell>
        </row>
        <row r="906">
          <cell r="A906" t="str">
            <v/>
          </cell>
          <cell r="B906" t="str">
            <v/>
          </cell>
          <cell r="C906" t="str">
            <v>Future</v>
          </cell>
          <cell r="D906" t="e">
            <v>#N/A</v>
          </cell>
          <cell r="E906">
            <v>-23.503700787401204</v>
          </cell>
          <cell r="F906">
            <v>99.803385826773848</v>
          </cell>
          <cell r="G906">
            <v>45.000236220472296</v>
          </cell>
          <cell r="H906">
            <v>45.000236220472296</v>
          </cell>
          <cell r="I906" t="e">
            <v>#N/A</v>
          </cell>
          <cell r="J906" t="e">
            <v>#N/A</v>
          </cell>
          <cell r="K906">
            <v>90</v>
          </cell>
          <cell r="L906">
            <v>50</v>
          </cell>
          <cell r="M906" t="e">
            <v>#N/A</v>
          </cell>
          <cell r="N906">
            <v>80</v>
          </cell>
          <cell r="O906" t="e">
            <v>#N/A</v>
          </cell>
          <cell r="P906" t="str">
            <v/>
          </cell>
          <cell r="Q906" t="str">
            <v/>
          </cell>
          <cell r="R906" t="e">
            <v>#N/A</v>
          </cell>
        </row>
        <row r="907">
          <cell r="A907" t="str">
            <v/>
          </cell>
          <cell r="B907" t="str">
            <v/>
          </cell>
          <cell r="C907" t="str">
            <v>Future</v>
          </cell>
          <cell r="D907" t="e">
            <v>#N/A</v>
          </cell>
          <cell r="E907">
            <v>-23.753740157479942</v>
          </cell>
          <cell r="F907">
            <v>99.907677165356532</v>
          </cell>
          <cell r="G907">
            <v>44.947047244094342</v>
          </cell>
          <cell r="H907">
            <v>44.947047244094342</v>
          </cell>
          <cell r="I907" t="e">
            <v>#N/A</v>
          </cell>
          <cell r="J907" t="e">
            <v>#N/A</v>
          </cell>
          <cell r="K907">
            <v>90</v>
          </cell>
          <cell r="L907">
            <v>50</v>
          </cell>
          <cell r="M907" t="e">
            <v>#N/A</v>
          </cell>
          <cell r="N907">
            <v>80</v>
          </cell>
          <cell r="O907" t="e">
            <v>#N/A</v>
          </cell>
          <cell r="P907" t="str">
            <v/>
          </cell>
          <cell r="Q907" t="str">
            <v/>
          </cell>
          <cell r="R907" t="e">
            <v>#N/A</v>
          </cell>
        </row>
        <row r="908">
          <cell r="A908" t="str">
            <v/>
          </cell>
          <cell r="B908" t="str">
            <v/>
          </cell>
          <cell r="C908" t="str">
            <v>Future</v>
          </cell>
          <cell r="D908" t="e">
            <v>#N/A</v>
          </cell>
          <cell r="E908">
            <v>-24.003779527558681</v>
          </cell>
          <cell r="F908">
            <v>100.01196850393922</v>
          </cell>
          <cell r="G908">
            <v>44.893858267716389</v>
          </cell>
          <cell r="H908">
            <v>44.893858267716389</v>
          </cell>
          <cell r="I908" t="e">
            <v>#N/A</v>
          </cell>
          <cell r="J908" t="e">
            <v>#N/A</v>
          </cell>
          <cell r="K908">
            <v>90</v>
          </cell>
          <cell r="L908">
            <v>50</v>
          </cell>
          <cell r="M908" t="e">
            <v>#N/A</v>
          </cell>
          <cell r="N908">
            <v>80</v>
          </cell>
          <cell r="O908" t="e">
            <v>#N/A</v>
          </cell>
          <cell r="P908" t="str">
            <v/>
          </cell>
          <cell r="Q908" t="str">
            <v/>
          </cell>
          <cell r="R908" t="e">
            <v>#N/A</v>
          </cell>
        </row>
        <row r="909">
          <cell r="A909" t="str">
            <v/>
          </cell>
          <cell r="B909" t="str">
            <v/>
          </cell>
          <cell r="C909" t="str">
            <v>Future</v>
          </cell>
          <cell r="D909" t="e">
            <v>#N/A</v>
          </cell>
          <cell r="E909">
            <v>-24.253818897637419</v>
          </cell>
          <cell r="F909">
            <v>100.1162598425219</v>
          </cell>
          <cell r="G909">
            <v>44.840669291338436</v>
          </cell>
          <cell r="H909">
            <v>44.840669291338436</v>
          </cell>
          <cell r="I909" t="e">
            <v>#N/A</v>
          </cell>
          <cell r="J909" t="e">
            <v>#N/A</v>
          </cell>
          <cell r="K909">
            <v>90</v>
          </cell>
          <cell r="L909">
            <v>50</v>
          </cell>
          <cell r="M909" t="e">
            <v>#N/A</v>
          </cell>
          <cell r="N909">
            <v>80</v>
          </cell>
          <cell r="O909" t="e">
            <v>#N/A</v>
          </cell>
          <cell r="P909" t="str">
            <v/>
          </cell>
          <cell r="Q909" t="str">
            <v/>
          </cell>
          <cell r="R909" t="e">
            <v>#N/A</v>
          </cell>
        </row>
        <row r="910">
          <cell r="A910" t="str">
            <v/>
          </cell>
          <cell r="B910" t="str">
            <v/>
          </cell>
          <cell r="C910" t="str">
            <v>Future</v>
          </cell>
          <cell r="D910" t="e">
            <v>#N/A</v>
          </cell>
          <cell r="E910">
            <v>-24.503858267716158</v>
          </cell>
          <cell r="F910">
            <v>100.22055118110458</v>
          </cell>
          <cell r="G910">
            <v>44.787480314960483</v>
          </cell>
          <cell r="H910">
            <v>44.787480314960483</v>
          </cell>
          <cell r="I910" t="e">
            <v>#N/A</v>
          </cell>
          <cell r="J910" t="e">
            <v>#N/A</v>
          </cell>
          <cell r="K910">
            <v>90</v>
          </cell>
          <cell r="L910">
            <v>50</v>
          </cell>
          <cell r="M910" t="e">
            <v>#N/A</v>
          </cell>
          <cell r="N910">
            <v>80</v>
          </cell>
          <cell r="O910" t="e">
            <v>#N/A</v>
          </cell>
          <cell r="P910" t="str">
            <v/>
          </cell>
          <cell r="Q910" t="str">
            <v/>
          </cell>
          <cell r="R910" t="e">
            <v>#N/A</v>
          </cell>
        </row>
        <row r="911">
          <cell r="A911" t="str">
            <v/>
          </cell>
          <cell r="B911" t="str">
            <v/>
          </cell>
          <cell r="C911" t="str">
            <v>Future</v>
          </cell>
          <cell r="D911" t="e">
            <v>#N/A</v>
          </cell>
          <cell r="E911">
            <v>-24.753897637794896</v>
          </cell>
          <cell r="F911">
            <v>100.32484251968727</v>
          </cell>
          <cell r="G911">
            <v>44.73429133858253</v>
          </cell>
          <cell r="H911">
            <v>44.73429133858253</v>
          </cell>
          <cell r="I911" t="e">
            <v>#N/A</v>
          </cell>
          <cell r="J911" t="e">
            <v>#N/A</v>
          </cell>
          <cell r="K911">
            <v>90</v>
          </cell>
          <cell r="L911">
            <v>50</v>
          </cell>
          <cell r="M911" t="e">
            <v>#N/A</v>
          </cell>
          <cell r="N911">
            <v>80</v>
          </cell>
          <cell r="O911" t="e">
            <v>#N/A</v>
          </cell>
          <cell r="P911" t="str">
            <v/>
          </cell>
          <cell r="Q911" t="str">
            <v/>
          </cell>
          <cell r="R911" t="e">
            <v>#N/A</v>
          </cell>
        </row>
        <row r="912">
          <cell r="A912" t="str">
            <v/>
          </cell>
          <cell r="B912" t="str">
            <v/>
          </cell>
          <cell r="C912" t="str">
            <v>Future</v>
          </cell>
          <cell r="D912" t="e">
            <v>#N/A</v>
          </cell>
          <cell r="E912">
            <v>-25.003937007873635</v>
          </cell>
          <cell r="F912">
            <v>100.42913385826995</v>
          </cell>
          <cell r="G912">
            <v>44.681102362204577</v>
          </cell>
          <cell r="H912">
            <v>44.681102362204577</v>
          </cell>
          <cell r="I912" t="e">
            <v>#N/A</v>
          </cell>
          <cell r="J912" t="e">
            <v>#N/A</v>
          </cell>
          <cell r="K912">
            <v>90</v>
          </cell>
          <cell r="L912">
            <v>50</v>
          </cell>
          <cell r="M912" t="e">
            <v>#N/A</v>
          </cell>
          <cell r="N912">
            <v>80</v>
          </cell>
          <cell r="O912" t="e">
            <v>#N/A</v>
          </cell>
          <cell r="P912" t="str">
            <v/>
          </cell>
          <cell r="Q912" t="str">
            <v/>
          </cell>
          <cell r="R912" t="e">
            <v>#N/A</v>
          </cell>
        </row>
        <row r="913">
          <cell r="A913" t="str">
            <v/>
          </cell>
          <cell r="B913" t="str">
            <v/>
          </cell>
          <cell r="C913" t="str">
            <v>Future</v>
          </cell>
          <cell r="D913" t="e">
            <v>#N/A</v>
          </cell>
          <cell r="E913">
            <v>-25.253976377952373</v>
          </cell>
          <cell r="F913">
            <v>100.53342519685263</v>
          </cell>
          <cell r="G913">
            <v>44.627913385826623</v>
          </cell>
          <cell r="H913">
            <v>44.627913385826623</v>
          </cell>
          <cell r="I913" t="e">
            <v>#N/A</v>
          </cell>
          <cell r="J913" t="e">
            <v>#N/A</v>
          </cell>
          <cell r="K913">
            <v>90</v>
          </cell>
          <cell r="L913">
            <v>50</v>
          </cell>
          <cell r="M913" t="e">
            <v>#N/A</v>
          </cell>
          <cell r="N913">
            <v>80</v>
          </cell>
          <cell r="O913" t="e">
            <v>#N/A</v>
          </cell>
          <cell r="P913" t="str">
            <v/>
          </cell>
          <cell r="Q913" t="str">
            <v/>
          </cell>
          <cell r="R913" t="e">
            <v>#N/A</v>
          </cell>
        </row>
        <row r="914">
          <cell r="A914" t="str">
            <v/>
          </cell>
          <cell r="B914" t="str">
            <v/>
          </cell>
          <cell r="C914" t="str">
            <v>Future</v>
          </cell>
          <cell r="D914" t="e">
            <v>#N/A</v>
          </cell>
          <cell r="E914">
            <v>-25.504015748031112</v>
          </cell>
          <cell r="F914">
            <v>100.63771653543532</v>
          </cell>
          <cell r="G914">
            <v>44.57472440944867</v>
          </cell>
          <cell r="H914">
            <v>44.57472440944867</v>
          </cell>
          <cell r="I914" t="e">
            <v>#N/A</v>
          </cell>
          <cell r="J914" t="e">
            <v>#N/A</v>
          </cell>
          <cell r="K914">
            <v>90</v>
          </cell>
          <cell r="L914">
            <v>50</v>
          </cell>
          <cell r="M914" t="e">
            <v>#N/A</v>
          </cell>
          <cell r="N914">
            <v>80</v>
          </cell>
          <cell r="O914" t="e">
            <v>#N/A</v>
          </cell>
          <cell r="P914" t="str">
            <v/>
          </cell>
          <cell r="Q914" t="str">
            <v/>
          </cell>
          <cell r="R914" t="e">
            <v>#N/A</v>
          </cell>
        </row>
        <row r="915">
          <cell r="A915" t="str">
            <v/>
          </cell>
          <cell r="B915" t="str">
            <v/>
          </cell>
          <cell r="C915" t="str">
            <v>Future</v>
          </cell>
          <cell r="D915" t="e">
            <v>#N/A</v>
          </cell>
          <cell r="E915">
            <v>-25.75405511810985</v>
          </cell>
          <cell r="F915">
            <v>100.742007874018</v>
          </cell>
          <cell r="G915">
            <v>44.521535433070717</v>
          </cell>
          <cell r="H915">
            <v>44.521535433070717</v>
          </cell>
          <cell r="I915" t="e">
            <v>#N/A</v>
          </cell>
          <cell r="J915" t="e">
            <v>#N/A</v>
          </cell>
          <cell r="K915">
            <v>90</v>
          </cell>
          <cell r="L915">
            <v>50</v>
          </cell>
          <cell r="M915" t="e">
            <v>#N/A</v>
          </cell>
          <cell r="N915">
            <v>80</v>
          </cell>
          <cell r="O915" t="e">
            <v>#N/A</v>
          </cell>
          <cell r="P915" t="str">
            <v/>
          </cell>
          <cell r="Q915" t="str">
            <v/>
          </cell>
          <cell r="R915" t="e">
            <v>#N/A</v>
          </cell>
        </row>
        <row r="916">
          <cell r="A916" t="str">
            <v/>
          </cell>
          <cell r="B916" t="str">
            <v/>
          </cell>
          <cell r="C916" t="str">
            <v>Future</v>
          </cell>
          <cell r="D916" t="e">
            <v>#N/A</v>
          </cell>
          <cell r="E916">
            <v>-26.004094488188588</v>
          </cell>
          <cell r="F916">
            <v>100.84629921260068</v>
          </cell>
          <cell r="G916">
            <v>44.468346456692764</v>
          </cell>
          <cell r="H916">
            <v>44.468346456692764</v>
          </cell>
          <cell r="I916" t="e">
            <v>#N/A</v>
          </cell>
          <cell r="J916" t="e">
            <v>#N/A</v>
          </cell>
          <cell r="K916">
            <v>90</v>
          </cell>
          <cell r="L916">
            <v>50</v>
          </cell>
          <cell r="M916" t="e">
            <v>#N/A</v>
          </cell>
          <cell r="N916">
            <v>80</v>
          </cell>
          <cell r="O916" t="e">
            <v>#N/A</v>
          </cell>
          <cell r="P916" t="str">
            <v/>
          </cell>
          <cell r="Q916" t="str">
            <v/>
          </cell>
          <cell r="R916" t="e">
            <v>#N/A</v>
          </cell>
        </row>
        <row r="917">
          <cell r="A917" t="str">
            <v/>
          </cell>
          <cell r="B917" t="str">
            <v/>
          </cell>
          <cell r="C917" t="str">
            <v>Future</v>
          </cell>
          <cell r="D917" t="e">
            <v>#N/A</v>
          </cell>
          <cell r="E917">
            <v>-26.254133858267327</v>
          </cell>
          <cell r="F917">
            <v>100.95059055118337</v>
          </cell>
          <cell r="G917">
            <v>44.415157480314811</v>
          </cell>
          <cell r="H917">
            <v>44.415157480314811</v>
          </cell>
          <cell r="I917" t="e">
            <v>#N/A</v>
          </cell>
          <cell r="J917" t="e">
            <v>#N/A</v>
          </cell>
          <cell r="K917">
            <v>90</v>
          </cell>
          <cell r="L917">
            <v>50</v>
          </cell>
          <cell r="M917" t="e">
            <v>#N/A</v>
          </cell>
          <cell r="N917">
            <v>80</v>
          </cell>
          <cell r="O917" t="e">
            <v>#N/A</v>
          </cell>
          <cell r="P917" t="str">
            <v/>
          </cell>
          <cell r="Q917" t="str">
            <v/>
          </cell>
          <cell r="R917" t="e">
            <v>#N/A</v>
          </cell>
        </row>
        <row r="918">
          <cell r="A918" t="str">
            <v/>
          </cell>
          <cell r="B918" t="str">
            <v/>
          </cell>
          <cell r="C918" t="str">
            <v>Future</v>
          </cell>
          <cell r="D918" t="e">
            <v>#N/A</v>
          </cell>
          <cell r="E918">
            <v>-26.504173228346065</v>
          </cell>
          <cell r="F918">
            <v>101.05488188976605</v>
          </cell>
          <cell r="G918">
            <v>44.361968503936858</v>
          </cell>
          <cell r="H918">
            <v>44.361968503936858</v>
          </cell>
          <cell r="I918" t="e">
            <v>#N/A</v>
          </cell>
          <cell r="J918" t="e">
            <v>#N/A</v>
          </cell>
          <cell r="K918">
            <v>90</v>
          </cell>
          <cell r="L918">
            <v>50</v>
          </cell>
          <cell r="M918" t="e">
            <v>#N/A</v>
          </cell>
          <cell r="N918">
            <v>80</v>
          </cell>
          <cell r="O918" t="e">
            <v>#N/A</v>
          </cell>
          <cell r="P918" t="str">
            <v/>
          </cell>
          <cell r="Q918" t="str">
            <v/>
          </cell>
          <cell r="R918" t="e">
            <v>#N/A</v>
          </cell>
        </row>
        <row r="919">
          <cell r="A919" t="str">
            <v/>
          </cell>
          <cell r="B919" t="str">
            <v/>
          </cell>
          <cell r="C919" t="str">
            <v>Future</v>
          </cell>
          <cell r="D919" t="e">
            <v>#N/A</v>
          </cell>
          <cell r="E919">
            <v>-26.754212598424804</v>
          </cell>
          <cell r="F919">
            <v>101.15917322834873</v>
          </cell>
          <cell r="G919">
            <v>44.308779527558904</v>
          </cell>
          <cell r="H919">
            <v>44.308779527558904</v>
          </cell>
          <cell r="I919" t="e">
            <v>#N/A</v>
          </cell>
          <cell r="J919" t="e">
            <v>#N/A</v>
          </cell>
          <cell r="K919">
            <v>90</v>
          </cell>
          <cell r="L919">
            <v>50</v>
          </cell>
          <cell r="M919" t="e">
            <v>#N/A</v>
          </cell>
          <cell r="N919">
            <v>80</v>
          </cell>
          <cell r="O919" t="e">
            <v>#N/A</v>
          </cell>
          <cell r="P919" t="str">
            <v/>
          </cell>
          <cell r="Q919" t="str">
            <v/>
          </cell>
          <cell r="R919" t="e">
            <v>#N/A</v>
          </cell>
        </row>
        <row r="920">
          <cell r="A920" t="str">
            <v/>
          </cell>
          <cell r="B920" t="str">
            <v/>
          </cell>
          <cell r="C920" t="str">
            <v>Future</v>
          </cell>
          <cell r="D920" t="e">
            <v>#N/A</v>
          </cell>
          <cell r="E920">
            <v>-27.004251968503542</v>
          </cell>
          <cell r="F920">
            <v>101.26346456693142</v>
          </cell>
          <cell r="G920">
            <v>44.255590551180951</v>
          </cell>
          <cell r="H920">
            <v>44.255590551180951</v>
          </cell>
          <cell r="I920" t="e">
            <v>#N/A</v>
          </cell>
          <cell r="J920" t="e">
            <v>#N/A</v>
          </cell>
          <cell r="K920">
            <v>90</v>
          </cell>
          <cell r="L920">
            <v>50</v>
          </cell>
          <cell r="M920" t="e">
            <v>#N/A</v>
          </cell>
          <cell r="N920">
            <v>80</v>
          </cell>
          <cell r="O920" t="e">
            <v>#N/A</v>
          </cell>
          <cell r="P920" t="str">
            <v/>
          </cell>
          <cell r="Q920" t="str">
            <v/>
          </cell>
          <cell r="R920" t="e">
            <v>#N/A</v>
          </cell>
        </row>
        <row r="921">
          <cell r="A921" t="str">
            <v/>
          </cell>
          <cell r="B921" t="str">
            <v/>
          </cell>
          <cell r="C921" t="str">
            <v>Future</v>
          </cell>
          <cell r="D921" t="e">
            <v>#N/A</v>
          </cell>
          <cell r="E921">
            <v>-27.254291338582281</v>
          </cell>
          <cell r="F921">
            <v>101.3677559055141</v>
          </cell>
          <cell r="G921">
            <v>44.202401574802998</v>
          </cell>
          <cell r="H921">
            <v>44.202401574802998</v>
          </cell>
          <cell r="I921" t="e">
            <v>#N/A</v>
          </cell>
          <cell r="J921" t="e">
            <v>#N/A</v>
          </cell>
          <cell r="K921">
            <v>90</v>
          </cell>
          <cell r="L921">
            <v>50</v>
          </cell>
          <cell r="M921" t="e">
            <v>#N/A</v>
          </cell>
          <cell r="N921">
            <v>80</v>
          </cell>
          <cell r="O921" t="e">
            <v>#N/A</v>
          </cell>
          <cell r="P921" t="str">
            <v/>
          </cell>
          <cell r="Q921" t="str">
            <v/>
          </cell>
          <cell r="R921" t="e">
            <v>#N/A</v>
          </cell>
        </row>
        <row r="922">
          <cell r="A922" t="str">
            <v/>
          </cell>
          <cell r="B922" t="str">
            <v/>
          </cell>
          <cell r="C922" t="str">
            <v>Future</v>
          </cell>
          <cell r="D922" t="e">
            <v>#N/A</v>
          </cell>
          <cell r="E922">
            <v>-27.504330708661019</v>
          </cell>
          <cell r="F922">
            <v>101.47204724409679</v>
          </cell>
          <cell r="G922">
            <v>44.149212598425045</v>
          </cell>
          <cell r="H922">
            <v>44.149212598425045</v>
          </cell>
          <cell r="I922" t="e">
            <v>#N/A</v>
          </cell>
          <cell r="J922" t="e">
            <v>#N/A</v>
          </cell>
          <cell r="K922">
            <v>90</v>
          </cell>
          <cell r="L922">
            <v>50</v>
          </cell>
          <cell r="M922" t="e">
            <v>#N/A</v>
          </cell>
          <cell r="N922">
            <v>80</v>
          </cell>
          <cell r="O922" t="e">
            <v>#N/A</v>
          </cell>
          <cell r="P922" t="str">
            <v/>
          </cell>
          <cell r="Q922" t="str">
            <v/>
          </cell>
          <cell r="R922" t="e">
            <v>#N/A</v>
          </cell>
        </row>
        <row r="923">
          <cell r="A923" t="str">
            <v/>
          </cell>
          <cell r="B923" t="str">
            <v/>
          </cell>
          <cell r="C923" t="str">
            <v>Future</v>
          </cell>
          <cell r="D923" t="e">
            <v>#N/A</v>
          </cell>
          <cell r="E923">
            <v>-27.754370078739758</v>
          </cell>
          <cell r="F923">
            <v>101.57633858267947</v>
          </cell>
          <cell r="G923">
            <v>44.096023622047092</v>
          </cell>
          <cell r="H923">
            <v>44.096023622047092</v>
          </cell>
          <cell r="I923" t="e">
            <v>#N/A</v>
          </cell>
          <cell r="J923" t="e">
            <v>#N/A</v>
          </cell>
          <cell r="K923">
            <v>90</v>
          </cell>
          <cell r="L923">
            <v>50</v>
          </cell>
          <cell r="M923" t="e">
            <v>#N/A</v>
          </cell>
          <cell r="N923">
            <v>80</v>
          </cell>
          <cell r="O923" t="e">
            <v>#N/A</v>
          </cell>
          <cell r="P923" t="str">
            <v/>
          </cell>
          <cell r="Q923" t="str">
            <v/>
          </cell>
          <cell r="R923" t="e">
            <v>#N/A</v>
          </cell>
        </row>
        <row r="924">
          <cell r="A924" t="str">
            <v/>
          </cell>
          <cell r="B924" t="str">
            <v/>
          </cell>
          <cell r="C924" t="str">
            <v>Future</v>
          </cell>
          <cell r="D924" t="e">
            <v>#N/A</v>
          </cell>
          <cell r="E924">
            <v>-28.004409448818496</v>
          </cell>
          <cell r="F924">
            <v>101.68062992126215</v>
          </cell>
          <cell r="G924">
            <v>44.042834645669139</v>
          </cell>
          <cell r="H924">
            <v>44.042834645669139</v>
          </cell>
          <cell r="I924" t="e">
            <v>#N/A</v>
          </cell>
          <cell r="J924" t="e">
            <v>#N/A</v>
          </cell>
          <cell r="K924">
            <v>90</v>
          </cell>
          <cell r="L924">
            <v>50</v>
          </cell>
          <cell r="M924" t="e">
            <v>#N/A</v>
          </cell>
          <cell r="N924">
            <v>80</v>
          </cell>
          <cell r="O924" t="e">
            <v>#N/A</v>
          </cell>
          <cell r="P924" t="str">
            <v/>
          </cell>
          <cell r="Q924" t="str">
            <v/>
          </cell>
          <cell r="R924" t="e">
            <v>#N/A</v>
          </cell>
        </row>
        <row r="925">
          <cell r="A925" t="str">
            <v/>
          </cell>
          <cell r="B925" t="str">
            <v/>
          </cell>
          <cell r="C925" t="str">
            <v>Future</v>
          </cell>
          <cell r="D925" t="e">
            <v>#N/A</v>
          </cell>
          <cell r="E925">
            <v>-28.254448818897234</v>
          </cell>
          <cell r="F925">
            <v>101.78492125984484</v>
          </cell>
          <cell r="G925">
            <v>43.989645669291185</v>
          </cell>
          <cell r="H925">
            <v>43.989645669291185</v>
          </cell>
          <cell r="I925" t="e">
            <v>#N/A</v>
          </cell>
          <cell r="J925" t="e">
            <v>#N/A</v>
          </cell>
          <cell r="K925">
            <v>90</v>
          </cell>
          <cell r="L925">
            <v>50</v>
          </cell>
          <cell r="M925" t="e">
            <v>#N/A</v>
          </cell>
          <cell r="N925">
            <v>80</v>
          </cell>
          <cell r="O925" t="e">
            <v>#N/A</v>
          </cell>
          <cell r="P925" t="str">
            <v/>
          </cell>
          <cell r="Q925" t="str">
            <v/>
          </cell>
          <cell r="R925" t="e">
            <v>#N/A</v>
          </cell>
        </row>
        <row r="926">
          <cell r="A926" t="str">
            <v/>
          </cell>
          <cell r="B926" t="str">
            <v/>
          </cell>
          <cell r="C926" t="str">
            <v>Future</v>
          </cell>
          <cell r="D926" t="e">
            <v>#N/A</v>
          </cell>
          <cell r="E926">
            <v>-28.504488188975973</v>
          </cell>
          <cell r="F926">
            <v>101.88921259842752</v>
          </cell>
          <cell r="G926">
            <v>43.936456692913232</v>
          </cell>
          <cell r="H926">
            <v>43.936456692913232</v>
          </cell>
          <cell r="I926" t="e">
            <v>#N/A</v>
          </cell>
          <cell r="J926" t="e">
            <v>#N/A</v>
          </cell>
          <cell r="K926">
            <v>90</v>
          </cell>
          <cell r="L926">
            <v>50</v>
          </cell>
          <cell r="M926" t="e">
            <v>#N/A</v>
          </cell>
          <cell r="N926">
            <v>80</v>
          </cell>
          <cell r="O926" t="e">
            <v>#N/A</v>
          </cell>
          <cell r="P926" t="str">
            <v/>
          </cell>
          <cell r="Q926" t="str">
            <v/>
          </cell>
          <cell r="R926" t="e">
            <v>#N/A</v>
          </cell>
        </row>
        <row r="927">
          <cell r="A927" t="str">
            <v/>
          </cell>
          <cell r="B927" t="str">
            <v/>
          </cell>
          <cell r="C927" t="str">
            <v>Future</v>
          </cell>
          <cell r="D927" t="e">
            <v>#N/A</v>
          </cell>
          <cell r="E927">
            <v>-28.754527559054711</v>
          </cell>
          <cell r="F927">
            <v>101.9935039370102</v>
          </cell>
          <cell r="G927">
            <v>43.883267716535279</v>
          </cell>
          <cell r="H927">
            <v>43.883267716535279</v>
          </cell>
          <cell r="I927" t="e">
            <v>#N/A</v>
          </cell>
          <cell r="J927" t="e">
            <v>#N/A</v>
          </cell>
          <cell r="K927">
            <v>90</v>
          </cell>
          <cell r="L927">
            <v>50</v>
          </cell>
          <cell r="M927" t="e">
            <v>#N/A</v>
          </cell>
          <cell r="N927">
            <v>80</v>
          </cell>
          <cell r="O927" t="e">
            <v>#N/A</v>
          </cell>
          <cell r="P927" t="str">
            <v/>
          </cell>
          <cell r="Q927" t="str">
            <v/>
          </cell>
          <cell r="R927" t="e">
            <v>#N/A</v>
          </cell>
        </row>
        <row r="928">
          <cell r="A928" t="str">
            <v/>
          </cell>
          <cell r="B928" t="str">
            <v/>
          </cell>
          <cell r="C928" t="str">
            <v>Future</v>
          </cell>
          <cell r="D928" t="e">
            <v>#N/A</v>
          </cell>
          <cell r="E928">
            <v>-29.00456692913345</v>
          </cell>
          <cell r="F928">
            <v>102.09779527559289</v>
          </cell>
          <cell r="G928">
            <v>43.830078740157326</v>
          </cell>
          <cell r="H928">
            <v>43.830078740157326</v>
          </cell>
          <cell r="I928" t="e">
            <v>#N/A</v>
          </cell>
          <cell r="J928" t="e">
            <v>#N/A</v>
          </cell>
          <cell r="K928">
            <v>90</v>
          </cell>
          <cell r="L928">
            <v>50</v>
          </cell>
          <cell r="M928" t="e">
            <v>#N/A</v>
          </cell>
          <cell r="N928">
            <v>80</v>
          </cell>
          <cell r="O928" t="e">
            <v>#N/A</v>
          </cell>
          <cell r="P928" t="str">
            <v/>
          </cell>
          <cell r="Q928" t="str">
            <v/>
          </cell>
          <cell r="R928" t="e">
            <v>#N/A</v>
          </cell>
        </row>
        <row r="929">
          <cell r="A929" t="str">
            <v/>
          </cell>
          <cell r="B929" t="str">
            <v/>
          </cell>
          <cell r="C929" t="str">
            <v>Future</v>
          </cell>
          <cell r="D929" t="e">
            <v>#N/A</v>
          </cell>
          <cell r="E929">
            <v>-29.254606299212188</v>
          </cell>
          <cell r="F929">
            <v>102.20208661417557</v>
          </cell>
          <cell r="G929">
            <v>43.776889763779373</v>
          </cell>
          <cell r="H929">
            <v>43.776889763779373</v>
          </cell>
          <cell r="I929" t="e">
            <v>#N/A</v>
          </cell>
          <cell r="J929" t="e">
            <v>#N/A</v>
          </cell>
          <cell r="K929">
            <v>90</v>
          </cell>
          <cell r="L929">
            <v>50</v>
          </cell>
          <cell r="M929" t="e">
            <v>#N/A</v>
          </cell>
          <cell r="N929">
            <v>80</v>
          </cell>
          <cell r="O929" t="e">
            <v>#N/A</v>
          </cell>
          <cell r="P929" t="str">
            <v/>
          </cell>
          <cell r="Q929" t="str">
            <v/>
          </cell>
          <cell r="R929" t="e">
            <v>#N/A</v>
          </cell>
        </row>
        <row r="930">
          <cell r="A930" t="str">
            <v/>
          </cell>
          <cell r="B930" t="str">
            <v/>
          </cell>
          <cell r="C930" t="str">
            <v>Future</v>
          </cell>
          <cell r="D930" t="e">
            <v>#N/A</v>
          </cell>
          <cell r="E930">
            <v>-29.504645669290927</v>
          </cell>
          <cell r="F930">
            <v>102.30637795275825</v>
          </cell>
          <cell r="G930">
            <v>43.72370078740142</v>
          </cell>
          <cell r="H930">
            <v>43.72370078740142</v>
          </cell>
          <cell r="I930" t="e">
            <v>#N/A</v>
          </cell>
          <cell r="J930" t="e">
            <v>#N/A</v>
          </cell>
          <cell r="K930">
            <v>90</v>
          </cell>
          <cell r="L930">
            <v>50</v>
          </cell>
          <cell r="M930" t="e">
            <v>#N/A</v>
          </cell>
          <cell r="N930">
            <v>80</v>
          </cell>
          <cell r="O930" t="e">
            <v>#N/A</v>
          </cell>
          <cell r="P930" t="str">
            <v/>
          </cell>
          <cell r="Q930" t="str">
            <v/>
          </cell>
          <cell r="R930" t="e">
            <v>#N/A</v>
          </cell>
        </row>
        <row r="931">
          <cell r="A931" t="str">
            <v/>
          </cell>
          <cell r="B931" t="str">
            <v/>
          </cell>
          <cell r="C931" t="str">
            <v>Future</v>
          </cell>
          <cell r="D931" t="e">
            <v>#N/A</v>
          </cell>
          <cell r="E931">
            <v>-29.754685039369665</v>
          </cell>
          <cell r="F931">
            <v>102.41066929134094</v>
          </cell>
          <cell r="G931">
            <v>43.670511811023466</v>
          </cell>
          <cell r="H931">
            <v>43.670511811023466</v>
          </cell>
          <cell r="I931" t="e">
            <v>#N/A</v>
          </cell>
          <cell r="J931" t="e">
            <v>#N/A</v>
          </cell>
          <cell r="K931">
            <v>90</v>
          </cell>
          <cell r="L931">
            <v>50</v>
          </cell>
          <cell r="M931" t="e">
            <v>#N/A</v>
          </cell>
          <cell r="N931">
            <v>80</v>
          </cell>
          <cell r="O931" t="e">
            <v>#N/A</v>
          </cell>
          <cell r="P931" t="str">
            <v/>
          </cell>
          <cell r="Q931" t="str">
            <v/>
          </cell>
          <cell r="R931" t="e">
            <v>#N/A</v>
          </cell>
        </row>
        <row r="932">
          <cell r="A932" t="str">
            <v/>
          </cell>
          <cell r="B932" t="str">
            <v/>
          </cell>
          <cell r="C932" t="str">
            <v>Future</v>
          </cell>
          <cell r="D932" t="e">
            <v>#N/A</v>
          </cell>
          <cell r="E932">
            <v>-30.004724409448404</v>
          </cell>
          <cell r="F932">
            <v>102.51496062992362</v>
          </cell>
          <cell r="G932">
            <v>43.617322834645513</v>
          </cell>
          <cell r="H932">
            <v>43.617322834645513</v>
          </cell>
          <cell r="I932" t="e">
            <v>#N/A</v>
          </cell>
          <cell r="J932" t="e">
            <v>#N/A</v>
          </cell>
          <cell r="K932">
            <v>90</v>
          </cell>
          <cell r="L932">
            <v>50</v>
          </cell>
          <cell r="M932" t="e">
            <v>#N/A</v>
          </cell>
          <cell r="N932">
            <v>80</v>
          </cell>
          <cell r="O932" t="e">
            <v>#N/A</v>
          </cell>
          <cell r="P932" t="str">
            <v/>
          </cell>
          <cell r="Q932" t="str">
            <v/>
          </cell>
          <cell r="R932" t="e">
            <v>#N/A</v>
          </cell>
        </row>
        <row r="933">
          <cell r="A933" t="str">
            <v/>
          </cell>
          <cell r="B933" t="str">
            <v/>
          </cell>
          <cell r="C933" t="str">
            <v>Future</v>
          </cell>
          <cell r="D933" t="e">
            <v>#N/A</v>
          </cell>
          <cell r="E933">
            <v>-30.254763779527142</v>
          </cell>
          <cell r="F933">
            <v>102.6192519685063</v>
          </cell>
          <cell r="G933">
            <v>43.56413385826756</v>
          </cell>
          <cell r="H933">
            <v>43.56413385826756</v>
          </cell>
          <cell r="I933" t="e">
            <v>#N/A</v>
          </cell>
          <cell r="J933" t="e">
            <v>#N/A</v>
          </cell>
          <cell r="K933">
            <v>90</v>
          </cell>
          <cell r="L933">
            <v>50</v>
          </cell>
          <cell r="M933" t="e">
            <v>#N/A</v>
          </cell>
          <cell r="N933">
            <v>80</v>
          </cell>
          <cell r="O933" t="e">
            <v>#N/A</v>
          </cell>
          <cell r="P933" t="str">
            <v/>
          </cell>
          <cell r="Q933" t="str">
            <v/>
          </cell>
          <cell r="R933" t="e">
            <v>#N/A</v>
          </cell>
        </row>
        <row r="934">
          <cell r="A934" t="str">
            <v/>
          </cell>
          <cell r="B934" t="str">
            <v/>
          </cell>
          <cell r="C934" t="str">
            <v>Future</v>
          </cell>
          <cell r="D934" t="e">
            <v>#N/A</v>
          </cell>
          <cell r="E934">
            <v>-30.50480314960588</v>
          </cell>
          <cell r="F934">
            <v>102.72354330708899</v>
          </cell>
          <cell r="G934">
            <v>43.510944881889607</v>
          </cell>
          <cell r="H934">
            <v>43.510944881889607</v>
          </cell>
          <cell r="I934" t="e">
            <v>#N/A</v>
          </cell>
          <cell r="J934" t="e">
            <v>#N/A</v>
          </cell>
          <cell r="K934">
            <v>90</v>
          </cell>
          <cell r="L934">
            <v>50</v>
          </cell>
          <cell r="M934" t="e">
            <v>#N/A</v>
          </cell>
          <cell r="N934">
            <v>80</v>
          </cell>
          <cell r="O934" t="e">
            <v>#N/A</v>
          </cell>
          <cell r="P934" t="str">
            <v/>
          </cell>
          <cell r="Q934" t="str">
            <v/>
          </cell>
          <cell r="R934" t="e">
            <v>#N/A</v>
          </cell>
        </row>
        <row r="935">
          <cell r="A935" t="str">
            <v/>
          </cell>
          <cell r="B935" t="str">
            <v/>
          </cell>
          <cell r="C935" t="str">
            <v>Future</v>
          </cell>
          <cell r="D935" t="e">
            <v>#N/A</v>
          </cell>
          <cell r="E935">
            <v>-30.754842519684619</v>
          </cell>
          <cell r="F935">
            <v>102.82783464567167</v>
          </cell>
          <cell r="G935">
            <v>43.457755905511654</v>
          </cell>
          <cell r="H935">
            <v>43.457755905511654</v>
          </cell>
          <cell r="I935" t="e">
            <v>#N/A</v>
          </cell>
          <cell r="J935" t="e">
            <v>#N/A</v>
          </cell>
          <cell r="K935">
            <v>90</v>
          </cell>
          <cell r="L935">
            <v>50</v>
          </cell>
          <cell r="M935" t="e">
            <v>#N/A</v>
          </cell>
          <cell r="N935">
            <v>80</v>
          </cell>
          <cell r="O935" t="e">
            <v>#N/A</v>
          </cell>
          <cell r="P935" t="str">
            <v/>
          </cell>
          <cell r="Q935" t="str">
            <v/>
          </cell>
          <cell r="R935" t="e">
            <v>#N/A</v>
          </cell>
        </row>
        <row r="936">
          <cell r="A936" t="str">
            <v/>
          </cell>
          <cell r="B936" t="str">
            <v/>
          </cell>
          <cell r="C936" t="str">
            <v>Future</v>
          </cell>
          <cell r="D936" t="e">
            <v>#N/A</v>
          </cell>
          <cell r="E936">
            <v>-31.004881889763357</v>
          </cell>
          <cell r="F936">
            <v>102.93212598425436</v>
          </cell>
          <cell r="G936">
            <v>43.404566929133701</v>
          </cell>
          <cell r="H936">
            <v>43.404566929133701</v>
          </cell>
          <cell r="I936" t="e">
            <v>#N/A</v>
          </cell>
          <cell r="J936" t="e">
            <v>#N/A</v>
          </cell>
          <cell r="K936">
            <v>90</v>
          </cell>
          <cell r="L936">
            <v>50</v>
          </cell>
          <cell r="M936" t="e">
            <v>#N/A</v>
          </cell>
          <cell r="N936">
            <v>80</v>
          </cell>
          <cell r="O936" t="e">
            <v>#N/A</v>
          </cell>
          <cell r="P936" t="str">
            <v/>
          </cell>
          <cell r="Q936" t="str">
            <v/>
          </cell>
          <cell r="R936" t="e">
            <v>#N/A</v>
          </cell>
        </row>
        <row r="937">
          <cell r="A937" t="str">
            <v/>
          </cell>
          <cell r="B937" t="str">
            <v/>
          </cell>
          <cell r="C937" t="str">
            <v>Future</v>
          </cell>
          <cell r="D937" t="e">
            <v>#N/A</v>
          </cell>
          <cell r="E937">
            <v>-31.254921259842096</v>
          </cell>
          <cell r="F937">
            <v>103.03641732283704</v>
          </cell>
          <cell r="G937">
            <v>43.351377952755747</v>
          </cell>
          <cell r="H937">
            <v>43.351377952755747</v>
          </cell>
          <cell r="I937" t="e">
            <v>#N/A</v>
          </cell>
          <cell r="J937" t="e">
            <v>#N/A</v>
          </cell>
          <cell r="K937">
            <v>90</v>
          </cell>
          <cell r="L937">
            <v>50</v>
          </cell>
          <cell r="M937" t="e">
            <v>#N/A</v>
          </cell>
          <cell r="N937">
            <v>80</v>
          </cell>
          <cell r="O937" t="e">
            <v>#N/A</v>
          </cell>
          <cell r="P937" t="str">
            <v/>
          </cell>
          <cell r="Q937" t="str">
            <v/>
          </cell>
          <cell r="R937" t="e">
            <v>#N/A</v>
          </cell>
        </row>
        <row r="938">
          <cell r="A938" t="str">
            <v/>
          </cell>
          <cell r="B938" t="str">
            <v/>
          </cell>
          <cell r="C938" t="str">
            <v>Future</v>
          </cell>
          <cell r="D938" t="e">
            <v>#N/A</v>
          </cell>
          <cell r="E938">
            <v>-31.504960629920834</v>
          </cell>
          <cell r="F938">
            <v>103.14070866141972</v>
          </cell>
          <cell r="G938">
            <v>43.298188976377794</v>
          </cell>
          <cell r="H938">
            <v>43.298188976377794</v>
          </cell>
          <cell r="I938" t="e">
            <v>#N/A</v>
          </cell>
          <cell r="J938" t="e">
            <v>#N/A</v>
          </cell>
          <cell r="K938">
            <v>90</v>
          </cell>
          <cell r="L938">
            <v>50</v>
          </cell>
          <cell r="M938" t="e">
            <v>#N/A</v>
          </cell>
          <cell r="N938">
            <v>80</v>
          </cell>
          <cell r="O938" t="e">
            <v>#N/A</v>
          </cell>
          <cell r="P938" t="str">
            <v/>
          </cell>
          <cell r="Q938" t="str">
            <v/>
          </cell>
          <cell r="R938" t="e">
            <v>#N/A</v>
          </cell>
        </row>
        <row r="939">
          <cell r="A939" t="str">
            <v/>
          </cell>
          <cell r="B939" t="str">
            <v/>
          </cell>
          <cell r="C939" t="str">
            <v>Future</v>
          </cell>
          <cell r="D939" t="e">
            <v>#N/A</v>
          </cell>
          <cell r="E939">
            <v>-31.754999999999573</v>
          </cell>
          <cell r="F939">
            <v>103.24500000000241</v>
          </cell>
          <cell r="G939">
            <v>43.244999999999841</v>
          </cell>
          <cell r="H939">
            <v>43.244999999999841</v>
          </cell>
          <cell r="I939" t="e">
            <v>#N/A</v>
          </cell>
          <cell r="J939" t="e">
            <v>#N/A</v>
          </cell>
          <cell r="K939">
            <v>90</v>
          </cell>
          <cell r="L939">
            <v>50</v>
          </cell>
          <cell r="M939" t="e">
            <v>#N/A</v>
          </cell>
          <cell r="N939">
            <v>80</v>
          </cell>
          <cell r="O939" t="e">
            <v>#N/A</v>
          </cell>
          <cell r="P939" t="str">
            <v/>
          </cell>
          <cell r="Q939" t="str">
            <v/>
          </cell>
          <cell r="R939" t="e">
            <v>#N/A</v>
          </cell>
        </row>
        <row r="940">
          <cell r="A940" t="str">
            <v/>
          </cell>
          <cell r="B940" t="str">
            <v/>
          </cell>
          <cell r="C940" t="str">
            <v>Future</v>
          </cell>
          <cell r="D940" t="e">
            <v>#N/A</v>
          </cell>
          <cell r="E940">
            <v>-32.005039370078315</v>
          </cell>
          <cell r="F940">
            <v>103.34929133858509</v>
          </cell>
          <cell r="G940">
            <v>43.191811023621888</v>
          </cell>
          <cell r="H940">
            <v>43.191811023621888</v>
          </cell>
          <cell r="I940" t="e">
            <v>#N/A</v>
          </cell>
          <cell r="J940" t="e">
            <v>#N/A</v>
          </cell>
          <cell r="K940">
            <v>90</v>
          </cell>
          <cell r="L940">
            <v>50</v>
          </cell>
          <cell r="M940" t="e">
            <v>#N/A</v>
          </cell>
          <cell r="N940">
            <v>80</v>
          </cell>
          <cell r="O940" t="e">
            <v>#N/A</v>
          </cell>
          <cell r="P940" t="str">
            <v/>
          </cell>
          <cell r="Q940" t="str">
            <v/>
          </cell>
          <cell r="R940" t="e">
            <v>#N/A</v>
          </cell>
        </row>
        <row r="941">
          <cell r="A941" t="str">
            <v/>
          </cell>
          <cell r="B941" t="str">
            <v/>
          </cell>
          <cell r="C941" t="str">
            <v>Future</v>
          </cell>
          <cell r="D941" t="e">
            <v>#N/A</v>
          </cell>
          <cell r="E941">
            <v>-32.255078740157053</v>
          </cell>
          <cell r="F941">
            <v>103.45358267716777</v>
          </cell>
          <cell r="G941">
            <v>43.138622047243935</v>
          </cell>
          <cell r="H941">
            <v>43.138622047243935</v>
          </cell>
          <cell r="I941" t="e">
            <v>#N/A</v>
          </cell>
          <cell r="J941" t="e">
            <v>#N/A</v>
          </cell>
          <cell r="K941">
            <v>90</v>
          </cell>
          <cell r="L941">
            <v>50</v>
          </cell>
          <cell r="M941" t="e">
            <v>#N/A</v>
          </cell>
          <cell r="N941">
            <v>80</v>
          </cell>
          <cell r="O941" t="e">
            <v>#N/A</v>
          </cell>
          <cell r="P941" t="str">
            <v/>
          </cell>
          <cell r="Q941" t="str">
            <v/>
          </cell>
          <cell r="R941" t="e">
            <v>#N/A</v>
          </cell>
        </row>
        <row r="942">
          <cell r="A942" t="str">
            <v/>
          </cell>
          <cell r="B942" t="str">
            <v/>
          </cell>
          <cell r="C942" t="str">
            <v>Future</v>
          </cell>
          <cell r="D942" t="e">
            <v>#N/A</v>
          </cell>
          <cell r="E942">
            <v>-32.505118110235792</v>
          </cell>
          <cell r="F942">
            <v>103.55787401575046</v>
          </cell>
          <cell r="G942">
            <v>43.085433070865982</v>
          </cell>
          <cell r="H942">
            <v>43.085433070865982</v>
          </cell>
          <cell r="I942" t="e">
            <v>#N/A</v>
          </cell>
          <cell r="J942" t="e">
            <v>#N/A</v>
          </cell>
          <cell r="K942">
            <v>90</v>
          </cell>
          <cell r="L942">
            <v>50</v>
          </cell>
          <cell r="M942" t="e">
            <v>#N/A</v>
          </cell>
          <cell r="N942">
            <v>80</v>
          </cell>
          <cell r="O942" t="e">
            <v>#N/A</v>
          </cell>
          <cell r="P942" t="str">
            <v/>
          </cell>
          <cell r="Q942" t="str">
            <v/>
          </cell>
          <cell r="R942" t="e">
            <v>#N/A</v>
          </cell>
        </row>
        <row r="943">
          <cell r="A943" t="str">
            <v/>
          </cell>
          <cell r="B943" t="str">
            <v/>
          </cell>
          <cell r="C943" t="str">
            <v>Future</v>
          </cell>
          <cell r="D943" t="e">
            <v>#N/A</v>
          </cell>
          <cell r="E943">
            <v>-32.75515748031453</v>
          </cell>
          <cell r="F943">
            <v>103.66216535433314</v>
          </cell>
          <cell r="G943">
            <v>43.032244094488028</v>
          </cell>
          <cell r="H943">
            <v>43.032244094488028</v>
          </cell>
          <cell r="I943" t="e">
            <v>#N/A</v>
          </cell>
          <cell r="J943" t="e">
            <v>#N/A</v>
          </cell>
          <cell r="K943">
            <v>90</v>
          </cell>
          <cell r="L943">
            <v>50</v>
          </cell>
          <cell r="M943" t="e">
            <v>#N/A</v>
          </cell>
          <cell r="N943">
            <v>80</v>
          </cell>
          <cell r="O943" t="e">
            <v>#N/A</v>
          </cell>
          <cell r="P943" t="str">
            <v/>
          </cell>
          <cell r="Q943" t="str">
            <v/>
          </cell>
          <cell r="R943" t="e">
            <v>#N/A</v>
          </cell>
        </row>
        <row r="944">
          <cell r="A944" t="str">
            <v/>
          </cell>
          <cell r="B944" t="str">
            <v/>
          </cell>
          <cell r="C944" t="str">
            <v>Future</v>
          </cell>
          <cell r="D944" t="e">
            <v>#N/A</v>
          </cell>
          <cell r="E944">
            <v>-33.005196850393268</v>
          </cell>
          <cell r="F944">
            <v>103.76645669291582</v>
          </cell>
          <cell r="G944">
            <v>42.979055118110075</v>
          </cell>
          <cell r="H944">
            <v>42.979055118110075</v>
          </cell>
          <cell r="I944" t="e">
            <v>#N/A</v>
          </cell>
          <cell r="J944" t="e">
            <v>#N/A</v>
          </cell>
          <cell r="K944">
            <v>90</v>
          </cell>
          <cell r="L944">
            <v>50</v>
          </cell>
          <cell r="M944" t="e">
            <v>#N/A</v>
          </cell>
          <cell r="N944">
            <v>80</v>
          </cell>
          <cell r="O944" t="e">
            <v>#N/A</v>
          </cell>
          <cell r="P944" t="str">
            <v/>
          </cell>
          <cell r="Q944" t="str">
            <v/>
          </cell>
          <cell r="R944" t="e">
            <v>#N/A</v>
          </cell>
        </row>
        <row r="945">
          <cell r="A945" t="str">
            <v/>
          </cell>
          <cell r="B945" t="str">
            <v/>
          </cell>
          <cell r="C945" t="str">
            <v>Future</v>
          </cell>
          <cell r="D945" t="e">
            <v>#N/A</v>
          </cell>
          <cell r="E945">
            <v>-33.255236220472007</v>
          </cell>
          <cell r="F945">
            <v>103.87074803149851</v>
          </cell>
          <cell r="G945">
            <v>42.925866141732122</v>
          </cell>
          <cell r="H945">
            <v>42.925866141732122</v>
          </cell>
          <cell r="I945" t="e">
            <v>#N/A</v>
          </cell>
          <cell r="J945" t="e">
            <v>#N/A</v>
          </cell>
          <cell r="K945">
            <v>90</v>
          </cell>
          <cell r="L945">
            <v>50</v>
          </cell>
          <cell r="M945" t="e">
            <v>#N/A</v>
          </cell>
          <cell r="N945">
            <v>80</v>
          </cell>
          <cell r="O945" t="e">
            <v>#N/A</v>
          </cell>
          <cell r="P945" t="str">
            <v/>
          </cell>
          <cell r="Q945" t="str">
            <v/>
          </cell>
          <cell r="R945" t="e">
            <v>#N/A</v>
          </cell>
        </row>
        <row r="946">
          <cell r="A946" t="str">
            <v/>
          </cell>
          <cell r="B946" t="str">
            <v/>
          </cell>
          <cell r="C946" t="str">
            <v>Future</v>
          </cell>
          <cell r="D946" t="e">
            <v>#N/A</v>
          </cell>
          <cell r="E946">
            <v>-33.505275590550745</v>
          </cell>
          <cell r="F946">
            <v>103.97503937008119</v>
          </cell>
          <cell r="G946">
            <v>42.872677165354169</v>
          </cell>
          <cell r="H946">
            <v>42.872677165354169</v>
          </cell>
          <cell r="I946" t="e">
            <v>#N/A</v>
          </cell>
          <cell r="J946" t="e">
            <v>#N/A</v>
          </cell>
          <cell r="K946">
            <v>90</v>
          </cell>
          <cell r="L946">
            <v>50</v>
          </cell>
          <cell r="M946" t="e">
            <v>#N/A</v>
          </cell>
          <cell r="N946">
            <v>80</v>
          </cell>
          <cell r="O946" t="e">
            <v>#N/A</v>
          </cell>
          <cell r="P946" t="str">
            <v/>
          </cell>
          <cell r="Q946" t="str">
            <v/>
          </cell>
          <cell r="R946" t="e">
            <v>#N/A</v>
          </cell>
        </row>
        <row r="947">
          <cell r="A947" t="str">
            <v/>
          </cell>
          <cell r="B947" t="str">
            <v/>
          </cell>
          <cell r="C947" t="str">
            <v>Future</v>
          </cell>
          <cell r="D947" t="e">
            <v>#N/A</v>
          </cell>
          <cell r="E947">
            <v>-33.755314960629484</v>
          </cell>
          <cell r="F947">
            <v>104.07933070866387</v>
          </cell>
          <cell r="G947">
            <v>42.819488188976216</v>
          </cell>
          <cell r="H947">
            <v>42.819488188976216</v>
          </cell>
          <cell r="I947" t="e">
            <v>#N/A</v>
          </cell>
          <cell r="J947" t="e">
            <v>#N/A</v>
          </cell>
          <cell r="K947">
            <v>90</v>
          </cell>
          <cell r="L947">
            <v>50</v>
          </cell>
          <cell r="M947" t="e">
            <v>#N/A</v>
          </cell>
          <cell r="N947">
            <v>80</v>
          </cell>
          <cell r="O947" t="e">
            <v>#N/A</v>
          </cell>
          <cell r="P947" t="str">
            <v/>
          </cell>
          <cell r="Q947" t="str">
            <v/>
          </cell>
          <cell r="R947" t="e">
            <v>#N/A</v>
          </cell>
        </row>
        <row r="948">
          <cell r="A948" t="str">
            <v/>
          </cell>
          <cell r="B948" t="str">
            <v/>
          </cell>
          <cell r="C948" t="str">
            <v>Future</v>
          </cell>
          <cell r="D948" t="e">
            <v>#N/A</v>
          </cell>
          <cell r="E948">
            <v>-34.005354330708222</v>
          </cell>
          <cell r="F948">
            <v>104.18362204724656</v>
          </cell>
          <cell r="G948">
            <v>42.766299212598263</v>
          </cell>
          <cell r="H948">
            <v>42.766299212598263</v>
          </cell>
          <cell r="I948" t="e">
            <v>#N/A</v>
          </cell>
          <cell r="J948" t="e">
            <v>#N/A</v>
          </cell>
          <cell r="K948">
            <v>90</v>
          </cell>
          <cell r="L948">
            <v>50</v>
          </cell>
          <cell r="M948" t="e">
            <v>#N/A</v>
          </cell>
          <cell r="N948">
            <v>80</v>
          </cell>
          <cell r="O948" t="e">
            <v>#N/A</v>
          </cell>
          <cell r="P948" t="str">
            <v/>
          </cell>
          <cell r="Q948" t="str">
            <v/>
          </cell>
          <cell r="R948" t="e">
            <v>#N/A</v>
          </cell>
        </row>
        <row r="949">
          <cell r="A949" t="str">
            <v/>
          </cell>
          <cell r="B949" t="str">
            <v/>
          </cell>
          <cell r="C949" t="str">
            <v>Future</v>
          </cell>
          <cell r="D949" t="e">
            <v>#N/A</v>
          </cell>
          <cell r="E949">
            <v>-34.255393700786961</v>
          </cell>
          <cell r="F949">
            <v>104.28791338582924</v>
          </cell>
          <cell r="G949">
            <v>42.713110236220309</v>
          </cell>
          <cell r="H949">
            <v>42.713110236220309</v>
          </cell>
          <cell r="I949" t="e">
            <v>#N/A</v>
          </cell>
          <cell r="J949" t="e">
            <v>#N/A</v>
          </cell>
          <cell r="K949">
            <v>90</v>
          </cell>
          <cell r="L949">
            <v>50</v>
          </cell>
          <cell r="M949" t="e">
            <v>#N/A</v>
          </cell>
          <cell r="N949">
            <v>80</v>
          </cell>
          <cell r="O949" t="e">
            <v>#N/A</v>
          </cell>
          <cell r="P949" t="str">
            <v/>
          </cell>
          <cell r="Q949" t="str">
            <v/>
          </cell>
          <cell r="R949" t="e">
            <v>#N/A</v>
          </cell>
        </row>
        <row r="950">
          <cell r="A950" t="str">
            <v/>
          </cell>
          <cell r="B950" t="str">
            <v/>
          </cell>
          <cell r="C950" t="str">
            <v>Future</v>
          </cell>
          <cell r="D950" t="e">
            <v>#N/A</v>
          </cell>
          <cell r="E950">
            <v>-34.505433070865699</v>
          </cell>
          <cell r="F950">
            <v>104.39220472441193</v>
          </cell>
          <cell r="G950">
            <v>42.659921259842356</v>
          </cell>
          <cell r="H950">
            <v>42.659921259842356</v>
          </cell>
          <cell r="I950" t="e">
            <v>#N/A</v>
          </cell>
          <cell r="J950" t="e">
            <v>#N/A</v>
          </cell>
          <cell r="K950">
            <v>90</v>
          </cell>
          <cell r="L950">
            <v>50</v>
          </cell>
          <cell r="M950" t="e">
            <v>#N/A</v>
          </cell>
          <cell r="N950">
            <v>80</v>
          </cell>
          <cell r="O950" t="e">
            <v>#N/A</v>
          </cell>
          <cell r="P950" t="str">
            <v/>
          </cell>
          <cell r="Q950" t="str">
            <v/>
          </cell>
          <cell r="R950" t="e">
            <v>#N/A</v>
          </cell>
        </row>
        <row r="951">
          <cell r="A951" t="str">
            <v/>
          </cell>
          <cell r="B951" t="str">
            <v/>
          </cell>
          <cell r="C951" t="str">
            <v>Future</v>
          </cell>
          <cell r="D951" t="e">
            <v>#N/A</v>
          </cell>
          <cell r="E951">
            <v>-34.755472440944438</v>
          </cell>
          <cell r="F951">
            <v>104.49649606299461</v>
          </cell>
          <cell r="G951">
            <v>42.606732283464403</v>
          </cell>
          <cell r="H951">
            <v>42.606732283464403</v>
          </cell>
          <cell r="I951" t="e">
            <v>#N/A</v>
          </cell>
          <cell r="J951" t="e">
            <v>#N/A</v>
          </cell>
          <cell r="K951">
            <v>90</v>
          </cell>
          <cell r="L951">
            <v>50</v>
          </cell>
          <cell r="M951" t="e">
            <v>#N/A</v>
          </cell>
          <cell r="N951">
            <v>80</v>
          </cell>
          <cell r="O951" t="e">
            <v>#N/A</v>
          </cell>
          <cell r="P951" t="str">
            <v/>
          </cell>
          <cell r="Q951" t="str">
            <v/>
          </cell>
          <cell r="R951" t="e">
            <v>#N/A</v>
          </cell>
        </row>
        <row r="952">
          <cell r="A952" t="str">
            <v/>
          </cell>
          <cell r="B952" t="str">
            <v/>
          </cell>
          <cell r="C952" t="str">
            <v>Future</v>
          </cell>
          <cell r="D952" t="e">
            <v>#N/A</v>
          </cell>
          <cell r="E952">
            <v>-35.005511811023176</v>
          </cell>
          <cell r="F952">
            <v>104.60078740157729</v>
          </cell>
          <cell r="G952">
            <v>42.55354330708645</v>
          </cell>
          <cell r="H952">
            <v>42.55354330708645</v>
          </cell>
          <cell r="I952" t="e">
            <v>#N/A</v>
          </cell>
          <cell r="J952" t="e">
            <v>#N/A</v>
          </cell>
          <cell r="K952">
            <v>90</v>
          </cell>
          <cell r="L952">
            <v>50</v>
          </cell>
          <cell r="M952" t="e">
            <v>#N/A</v>
          </cell>
          <cell r="N952">
            <v>80</v>
          </cell>
          <cell r="O952" t="e">
            <v>#N/A</v>
          </cell>
          <cell r="P952" t="str">
            <v/>
          </cell>
          <cell r="Q952" t="str">
            <v/>
          </cell>
          <cell r="R952" t="e">
            <v>#N/A</v>
          </cell>
        </row>
        <row r="953">
          <cell r="A953" t="str">
            <v/>
          </cell>
          <cell r="B953" t="str">
            <v/>
          </cell>
          <cell r="C953" t="str">
            <v>Future</v>
          </cell>
          <cell r="D953" t="e">
            <v>#N/A</v>
          </cell>
          <cell r="E953">
            <v>-35.255551181101914</v>
          </cell>
          <cell r="F953">
            <v>104.70507874015998</v>
          </cell>
          <cell r="G953">
            <v>42.500354330708497</v>
          </cell>
          <cell r="H953">
            <v>42.500354330708497</v>
          </cell>
          <cell r="I953" t="e">
            <v>#N/A</v>
          </cell>
          <cell r="J953" t="e">
            <v>#N/A</v>
          </cell>
          <cell r="K953">
            <v>90</v>
          </cell>
          <cell r="L953">
            <v>50</v>
          </cell>
          <cell r="M953" t="e">
            <v>#N/A</v>
          </cell>
          <cell r="N953">
            <v>80</v>
          </cell>
          <cell r="O953" t="e">
            <v>#N/A</v>
          </cell>
          <cell r="P953" t="str">
            <v/>
          </cell>
          <cell r="Q953" t="str">
            <v/>
          </cell>
          <cell r="R953" t="e">
            <v>#N/A</v>
          </cell>
        </row>
        <row r="954">
          <cell r="A954" t="str">
            <v/>
          </cell>
          <cell r="B954" t="str">
            <v/>
          </cell>
          <cell r="C954" t="str">
            <v>Future</v>
          </cell>
          <cell r="D954" t="e">
            <v>#N/A</v>
          </cell>
          <cell r="E954">
            <v>-35.505590551180653</v>
          </cell>
          <cell r="F954">
            <v>104.80937007874266</v>
          </cell>
          <cell r="G954">
            <v>42.447165354330544</v>
          </cell>
          <cell r="H954">
            <v>42.447165354330544</v>
          </cell>
          <cell r="I954" t="e">
            <v>#N/A</v>
          </cell>
          <cell r="J954" t="e">
            <v>#N/A</v>
          </cell>
          <cell r="K954">
            <v>90</v>
          </cell>
          <cell r="L954">
            <v>50</v>
          </cell>
          <cell r="M954" t="e">
            <v>#N/A</v>
          </cell>
          <cell r="N954">
            <v>80</v>
          </cell>
          <cell r="O954" t="e">
            <v>#N/A</v>
          </cell>
          <cell r="P954" t="str">
            <v/>
          </cell>
          <cell r="Q954" t="str">
            <v/>
          </cell>
          <cell r="R954" t="e">
            <v>#N/A</v>
          </cell>
        </row>
        <row r="955">
          <cell r="A955" t="str">
            <v/>
          </cell>
          <cell r="B955" t="str">
            <v/>
          </cell>
          <cell r="C955" t="str">
            <v>Future</v>
          </cell>
          <cell r="D955" t="e">
            <v>#N/A</v>
          </cell>
          <cell r="E955">
            <v>-35.755629921259391</v>
          </cell>
          <cell r="F955">
            <v>104.91366141732534</v>
          </cell>
          <cell r="G955">
            <v>42.39397637795259</v>
          </cell>
          <cell r="H955">
            <v>42.39397637795259</v>
          </cell>
          <cell r="I955" t="e">
            <v>#N/A</v>
          </cell>
          <cell r="J955" t="e">
            <v>#N/A</v>
          </cell>
          <cell r="K955">
            <v>90</v>
          </cell>
          <cell r="L955">
            <v>50</v>
          </cell>
          <cell r="M955" t="e">
            <v>#N/A</v>
          </cell>
          <cell r="N955">
            <v>80</v>
          </cell>
          <cell r="O955" t="e">
            <v>#N/A</v>
          </cell>
          <cell r="P955" t="str">
            <v/>
          </cell>
          <cell r="Q955" t="str">
            <v/>
          </cell>
          <cell r="R955" t="e">
            <v>#N/A</v>
          </cell>
        </row>
        <row r="956">
          <cell r="A956" t="str">
            <v/>
          </cell>
          <cell r="B956" t="str">
            <v/>
          </cell>
          <cell r="C956" t="str">
            <v>Future</v>
          </cell>
          <cell r="D956" t="e">
            <v>#N/A</v>
          </cell>
          <cell r="E956">
            <v>-36.00566929133813</v>
          </cell>
          <cell r="F956">
            <v>105.01795275590803</v>
          </cell>
          <cell r="G956">
            <v>42.340787401574637</v>
          </cell>
          <cell r="H956">
            <v>42.340787401574637</v>
          </cell>
          <cell r="I956" t="e">
            <v>#N/A</v>
          </cell>
          <cell r="J956" t="e">
            <v>#N/A</v>
          </cell>
          <cell r="K956">
            <v>90</v>
          </cell>
          <cell r="L956">
            <v>50</v>
          </cell>
          <cell r="M956" t="e">
            <v>#N/A</v>
          </cell>
          <cell r="N956">
            <v>80</v>
          </cell>
          <cell r="O956" t="e">
            <v>#N/A</v>
          </cell>
          <cell r="P956" t="str">
            <v/>
          </cell>
          <cell r="Q956" t="str">
            <v/>
          </cell>
          <cell r="R956" t="e">
            <v>#N/A</v>
          </cell>
        </row>
        <row r="957">
          <cell r="A957" t="str">
            <v/>
          </cell>
          <cell r="B957" t="str">
            <v/>
          </cell>
          <cell r="C957" t="str">
            <v>Future</v>
          </cell>
          <cell r="D957" t="e">
            <v>#N/A</v>
          </cell>
          <cell r="E957">
            <v>-36.255708661416868</v>
          </cell>
          <cell r="F957">
            <v>105.12224409449071</v>
          </cell>
          <cell r="G957">
            <v>42.287598425196684</v>
          </cell>
          <cell r="H957">
            <v>42.287598425196684</v>
          </cell>
          <cell r="I957" t="e">
            <v>#N/A</v>
          </cell>
          <cell r="J957" t="e">
            <v>#N/A</v>
          </cell>
          <cell r="K957">
            <v>90</v>
          </cell>
          <cell r="L957">
            <v>50</v>
          </cell>
          <cell r="M957" t="e">
            <v>#N/A</v>
          </cell>
          <cell r="N957">
            <v>80</v>
          </cell>
          <cell r="O957" t="e">
            <v>#N/A</v>
          </cell>
          <cell r="P957" t="str">
            <v/>
          </cell>
          <cell r="Q957" t="str">
            <v/>
          </cell>
          <cell r="R957" t="e">
            <v>#N/A</v>
          </cell>
        </row>
        <row r="958">
          <cell r="A958" t="str">
            <v/>
          </cell>
          <cell r="B958" t="str">
            <v/>
          </cell>
          <cell r="C958" t="str">
            <v>Future</v>
          </cell>
          <cell r="D958" t="e">
            <v>#N/A</v>
          </cell>
          <cell r="E958">
            <v>-36.505748031495607</v>
          </cell>
          <cell r="F958">
            <v>105.22653543307339</v>
          </cell>
          <cell r="G958">
            <v>42.234409448818731</v>
          </cell>
          <cell r="H958">
            <v>42.234409448818731</v>
          </cell>
          <cell r="I958" t="e">
            <v>#N/A</v>
          </cell>
          <cell r="J958" t="e">
            <v>#N/A</v>
          </cell>
          <cell r="K958">
            <v>90</v>
          </cell>
          <cell r="L958">
            <v>50</v>
          </cell>
          <cell r="M958" t="e">
            <v>#N/A</v>
          </cell>
          <cell r="N958">
            <v>80</v>
          </cell>
          <cell r="O958" t="e">
            <v>#N/A</v>
          </cell>
          <cell r="P958" t="str">
            <v/>
          </cell>
          <cell r="Q958" t="str">
            <v/>
          </cell>
          <cell r="R958" t="e">
            <v>#N/A</v>
          </cell>
        </row>
        <row r="959">
          <cell r="A959" t="str">
            <v/>
          </cell>
          <cell r="B959" t="str">
            <v/>
          </cell>
          <cell r="C959" t="str">
            <v>Future</v>
          </cell>
          <cell r="D959" t="e">
            <v>#N/A</v>
          </cell>
          <cell r="E959">
            <v>-36.755787401574345</v>
          </cell>
          <cell r="F959">
            <v>105.33082677165608</v>
          </cell>
          <cell r="G959">
            <v>42.181220472440778</v>
          </cell>
          <cell r="H959">
            <v>42.181220472440778</v>
          </cell>
          <cell r="I959" t="e">
            <v>#N/A</v>
          </cell>
          <cell r="J959" t="e">
            <v>#N/A</v>
          </cell>
          <cell r="K959">
            <v>90</v>
          </cell>
          <cell r="L959">
            <v>50</v>
          </cell>
          <cell r="M959" t="e">
            <v>#N/A</v>
          </cell>
          <cell r="N959">
            <v>80</v>
          </cell>
          <cell r="O959" t="e">
            <v>#N/A</v>
          </cell>
          <cell r="P959" t="str">
            <v/>
          </cell>
          <cell r="Q959" t="str">
            <v/>
          </cell>
          <cell r="R959" t="e">
            <v>#N/A</v>
          </cell>
        </row>
        <row r="960">
          <cell r="A960" t="str">
            <v/>
          </cell>
          <cell r="B960" t="str">
            <v/>
          </cell>
          <cell r="C960" t="str">
            <v>Future</v>
          </cell>
          <cell r="D960" t="e">
            <v>#N/A</v>
          </cell>
          <cell r="E960">
            <v>-37.005826771653084</v>
          </cell>
          <cell r="F960">
            <v>105.43511811023876</v>
          </cell>
          <cell r="G960">
            <v>42.128031496062825</v>
          </cell>
          <cell r="H960">
            <v>42.128031496062825</v>
          </cell>
          <cell r="I960" t="e">
            <v>#N/A</v>
          </cell>
          <cell r="J960" t="e">
            <v>#N/A</v>
          </cell>
          <cell r="K960">
            <v>90</v>
          </cell>
          <cell r="L960">
            <v>50</v>
          </cell>
          <cell r="M960" t="e">
            <v>#N/A</v>
          </cell>
          <cell r="N960">
            <v>80</v>
          </cell>
          <cell r="O960" t="e">
            <v>#N/A</v>
          </cell>
          <cell r="P960" t="str">
            <v/>
          </cell>
          <cell r="Q960" t="str">
            <v/>
          </cell>
          <cell r="R960" t="e">
            <v>#N/A</v>
          </cell>
        </row>
        <row r="961">
          <cell r="A961" t="str">
            <v/>
          </cell>
          <cell r="B961" t="str">
            <v/>
          </cell>
          <cell r="C961" t="str">
            <v>Future</v>
          </cell>
          <cell r="D961" t="e">
            <v>#N/A</v>
          </cell>
          <cell r="E961">
            <v>-37.255866141731822</v>
          </cell>
          <cell r="F961">
            <v>105.53940944882144</v>
          </cell>
          <cell r="G961">
            <v>42.074842519684871</v>
          </cell>
          <cell r="H961">
            <v>42.074842519684871</v>
          </cell>
          <cell r="I961" t="e">
            <v>#N/A</v>
          </cell>
          <cell r="J961" t="e">
            <v>#N/A</v>
          </cell>
          <cell r="K961">
            <v>90</v>
          </cell>
          <cell r="L961">
            <v>50</v>
          </cell>
          <cell r="M961" t="e">
            <v>#N/A</v>
          </cell>
          <cell r="N961">
            <v>80</v>
          </cell>
          <cell r="O961" t="e">
            <v>#N/A</v>
          </cell>
          <cell r="P961" t="str">
            <v/>
          </cell>
          <cell r="Q961" t="str">
            <v/>
          </cell>
          <cell r="R961" t="e">
            <v>#N/A</v>
          </cell>
        </row>
        <row r="962">
          <cell r="A962" t="str">
            <v/>
          </cell>
          <cell r="B962" t="str">
            <v/>
          </cell>
          <cell r="C962" t="str">
            <v>Future</v>
          </cell>
          <cell r="D962" t="e">
            <v>#N/A</v>
          </cell>
          <cell r="E962">
            <v>-37.50590551181056</v>
          </cell>
          <cell r="F962">
            <v>105.64370078740413</v>
          </cell>
          <cell r="G962">
            <v>42.021653543306918</v>
          </cell>
          <cell r="H962">
            <v>42.021653543306918</v>
          </cell>
          <cell r="I962" t="e">
            <v>#N/A</v>
          </cell>
          <cell r="J962" t="e">
            <v>#N/A</v>
          </cell>
          <cell r="K962">
            <v>90</v>
          </cell>
          <cell r="L962">
            <v>50</v>
          </cell>
          <cell r="M962" t="e">
            <v>#N/A</v>
          </cell>
          <cell r="N962">
            <v>80</v>
          </cell>
          <cell r="O962" t="e">
            <v>#N/A</v>
          </cell>
          <cell r="P962" t="str">
            <v/>
          </cell>
          <cell r="Q962" t="str">
            <v/>
          </cell>
          <cell r="R962" t="e">
            <v>#N/A</v>
          </cell>
        </row>
        <row r="963">
          <cell r="A963" t="str">
            <v/>
          </cell>
          <cell r="B963" t="str">
            <v/>
          </cell>
          <cell r="C963" t="str">
            <v>Future</v>
          </cell>
          <cell r="D963" t="e">
            <v>#N/A</v>
          </cell>
          <cell r="E963">
            <v>-37.755944881889299</v>
          </cell>
          <cell r="F963">
            <v>105.74799212598681</v>
          </cell>
          <cell r="G963">
            <v>41.968464566928965</v>
          </cell>
          <cell r="H963">
            <v>41.968464566928965</v>
          </cell>
          <cell r="I963" t="e">
            <v>#N/A</v>
          </cell>
          <cell r="J963" t="e">
            <v>#N/A</v>
          </cell>
          <cell r="K963">
            <v>90</v>
          </cell>
          <cell r="L963">
            <v>50</v>
          </cell>
          <cell r="M963" t="e">
            <v>#N/A</v>
          </cell>
          <cell r="N963">
            <v>80</v>
          </cell>
          <cell r="O963" t="e">
            <v>#N/A</v>
          </cell>
          <cell r="P963" t="str">
            <v/>
          </cell>
          <cell r="Q963" t="str">
            <v/>
          </cell>
          <cell r="R963" t="e">
            <v>#N/A</v>
          </cell>
        </row>
        <row r="964">
          <cell r="A964" t="str">
            <v/>
          </cell>
          <cell r="B964" t="str">
            <v/>
          </cell>
          <cell r="C964" t="str">
            <v>Future</v>
          </cell>
          <cell r="D964" t="e">
            <v>#N/A</v>
          </cell>
          <cell r="E964">
            <v>-38.005984251968037</v>
          </cell>
          <cell r="F964">
            <v>105.8522834645695</v>
          </cell>
          <cell r="G964">
            <v>41.915275590551012</v>
          </cell>
          <cell r="H964">
            <v>41.915275590551012</v>
          </cell>
          <cell r="I964" t="e">
            <v>#N/A</v>
          </cell>
          <cell r="J964" t="e">
            <v>#N/A</v>
          </cell>
          <cell r="K964">
            <v>90</v>
          </cell>
          <cell r="L964">
            <v>50</v>
          </cell>
          <cell r="M964" t="e">
            <v>#N/A</v>
          </cell>
          <cell r="N964">
            <v>80</v>
          </cell>
          <cell r="O964" t="e">
            <v>#N/A</v>
          </cell>
          <cell r="P964" t="str">
            <v/>
          </cell>
          <cell r="Q964" t="str">
            <v/>
          </cell>
          <cell r="R964" t="e">
            <v>#N/A</v>
          </cell>
        </row>
        <row r="965">
          <cell r="A965" t="str">
            <v/>
          </cell>
          <cell r="B965" t="str">
            <v/>
          </cell>
          <cell r="C965" t="str">
            <v>Future</v>
          </cell>
          <cell r="D965" t="e">
            <v>#N/A</v>
          </cell>
          <cell r="E965">
            <v>-38.256023622046776</v>
          </cell>
          <cell r="F965">
            <v>105.95657480315218</v>
          </cell>
          <cell r="G965">
            <v>41.862086614173059</v>
          </cell>
          <cell r="H965">
            <v>41.862086614173059</v>
          </cell>
          <cell r="I965" t="e">
            <v>#N/A</v>
          </cell>
          <cell r="J965" t="e">
            <v>#N/A</v>
          </cell>
          <cell r="K965">
            <v>90</v>
          </cell>
          <cell r="L965">
            <v>50</v>
          </cell>
          <cell r="M965" t="e">
            <v>#N/A</v>
          </cell>
          <cell r="N965">
            <v>80</v>
          </cell>
          <cell r="O965" t="e">
            <v>#N/A</v>
          </cell>
          <cell r="P965" t="str">
            <v/>
          </cell>
          <cell r="Q965" t="str">
            <v/>
          </cell>
          <cell r="R965" t="e">
            <v>#N/A</v>
          </cell>
        </row>
        <row r="966">
          <cell r="A966" t="str">
            <v/>
          </cell>
          <cell r="B966" t="str">
            <v/>
          </cell>
          <cell r="C966" t="str">
            <v>Future</v>
          </cell>
          <cell r="D966" t="e">
            <v>#N/A</v>
          </cell>
          <cell r="E966">
            <v>-38.506062992125514</v>
          </cell>
          <cell r="F966">
            <v>106.06086614173486</v>
          </cell>
          <cell r="G966">
            <v>41.808897637795106</v>
          </cell>
          <cell r="H966">
            <v>41.808897637795106</v>
          </cell>
          <cell r="I966" t="e">
            <v>#N/A</v>
          </cell>
          <cell r="J966" t="e">
            <v>#N/A</v>
          </cell>
          <cell r="K966">
            <v>90</v>
          </cell>
          <cell r="L966">
            <v>50</v>
          </cell>
          <cell r="M966" t="e">
            <v>#N/A</v>
          </cell>
          <cell r="N966">
            <v>80</v>
          </cell>
          <cell r="O966" t="e">
            <v>#N/A</v>
          </cell>
          <cell r="P966" t="str">
            <v/>
          </cell>
          <cell r="Q966" t="str">
            <v/>
          </cell>
          <cell r="R966" t="e">
            <v>#N/A</v>
          </cell>
        </row>
        <row r="967">
          <cell r="A967" t="str">
            <v/>
          </cell>
          <cell r="B967" t="str">
            <v/>
          </cell>
          <cell r="C967" t="str">
            <v>Future</v>
          </cell>
          <cell r="D967" t="e">
            <v>#N/A</v>
          </cell>
          <cell r="E967">
            <v>-38.756102362204253</v>
          </cell>
          <cell r="F967">
            <v>106.16515748031755</v>
          </cell>
          <cell r="G967">
            <v>41.755708661417152</v>
          </cell>
          <cell r="H967">
            <v>41.755708661417152</v>
          </cell>
          <cell r="I967" t="e">
            <v>#N/A</v>
          </cell>
          <cell r="J967" t="e">
            <v>#N/A</v>
          </cell>
          <cell r="K967">
            <v>90</v>
          </cell>
          <cell r="L967">
            <v>50</v>
          </cell>
          <cell r="M967" t="e">
            <v>#N/A</v>
          </cell>
          <cell r="N967">
            <v>80</v>
          </cell>
          <cell r="O967" t="e">
            <v>#N/A</v>
          </cell>
          <cell r="P967" t="str">
            <v/>
          </cell>
          <cell r="Q967" t="str">
            <v/>
          </cell>
          <cell r="R967" t="e">
            <v>#N/A</v>
          </cell>
        </row>
        <row r="968">
          <cell r="A968" t="str">
            <v/>
          </cell>
          <cell r="B968" t="str">
            <v/>
          </cell>
          <cell r="C968" t="str">
            <v>Future</v>
          </cell>
          <cell r="D968" t="e">
            <v>#N/A</v>
          </cell>
          <cell r="E968">
            <v>-39.006141732282991</v>
          </cell>
          <cell r="F968">
            <v>106.26944881890023</v>
          </cell>
          <cell r="G968">
            <v>41.702519685039199</v>
          </cell>
          <cell r="H968">
            <v>41.702519685039199</v>
          </cell>
          <cell r="I968" t="e">
            <v>#N/A</v>
          </cell>
          <cell r="J968" t="e">
            <v>#N/A</v>
          </cell>
          <cell r="K968">
            <v>90</v>
          </cell>
          <cell r="L968">
            <v>50</v>
          </cell>
          <cell r="M968" t="e">
            <v>#N/A</v>
          </cell>
          <cell r="N968">
            <v>80</v>
          </cell>
          <cell r="O968" t="e">
            <v>#N/A</v>
          </cell>
          <cell r="P968" t="str">
            <v/>
          </cell>
          <cell r="Q968" t="str">
            <v/>
          </cell>
          <cell r="R968" t="e">
            <v>#N/A</v>
          </cell>
        </row>
        <row r="969">
          <cell r="A969" t="str">
            <v/>
          </cell>
          <cell r="B969" t="str">
            <v/>
          </cell>
          <cell r="C969" t="str">
            <v>Future</v>
          </cell>
          <cell r="D969" t="e">
            <v>#N/A</v>
          </cell>
          <cell r="E969">
            <v>-39.25618110236173</v>
          </cell>
          <cell r="F969">
            <v>106.37374015748291</v>
          </cell>
          <cell r="G969">
            <v>41.649330708661246</v>
          </cell>
          <cell r="H969">
            <v>41.649330708661246</v>
          </cell>
          <cell r="I969" t="e">
            <v>#N/A</v>
          </cell>
          <cell r="J969" t="e">
            <v>#N/A</v>
          </cell>
          <cell r="K969">
            <v>90</v>
          </cell>
          <cell r="L969">
            <v>50</v>
          </cell>
          <cell r="M969" t="e">
            <v>#N/A</v>
          </cell>
          <cell r="N969">
            <v>80</v>
          </cell>
          <cell r="O969" t="e">
            <v>#N/A</v>
          </cell>
          <cell r="P969" t="str">
            <v/>
          </cell>
          <cell r="Q969" t="str">
            <v/>
          </cell>
          <cell r="R969" t="e">
            <v>#N/A</v>
          </cell>
        </row>
        <row r="970">
          <cell r="A970" t="str">
            <v/>
          </cell>
          <cell r="B970" t="str">
            <v/>
          </cell>
          <cell r="C970" t="str">
            <v>Future</v>
          </cell>
          <cell r="D970" t="e">
            <v>#N/A</v>
          </cell>
          <cell r="E970">
            <v>-39.506220472440468</v>
          </cell>
          <cell r="F970">
            <v>106.4780314960656</v>
          </cell>
          <cell r="G970">
            <v>41.596141732283293</v>
          </cell>
          <cell r="H970">
            <v>41.596141732283293</v>
          </cell>
          <cell r="I970" t="e">
            <v>#N/A</v>
          </cell>
          <cell r="J970" t="e">
            <v>#N/A</v>
          </cell>
          <cell r="K970">
            <v>90</v>
          </cell>
          <cell r="L970">
            <v>50</v>
          </cell>
          <cell r="M970" t="e">
            <v>#N/A</v>
          </cell>
          <cell r="N970">
            <v>80</v>
          </cell>
          <cell r="O970" t="e">
            <v>#N/A</v>
          </cell>
          <cell r="P970" t="str">
            <v/>
          </cell>
          <cell r="Q970" t="str">
            <v/>
          </cell>
          <cell r="R970" t="e">
            <v>#N/A</v>
          </cell>
        </row>
        <row r="971">
          <cell r="A971" t="str">
            <v/>
          </cell>
          <cell r="B971" t="str">
            <v/>
          </cell>
          <cell r="C971" t="str">
            <v>Future</v>
          </cell>
          <cell r="D971" t="e">
            <v>#N/A</v>
          </cell>
          <cell r="E971">
            <v>-39.756259842519206</v>
          </cell>
          <cell r="F971">
            <v>106.58232283464828</v>
          </cell>
          <cell r="G971">
            <v>41.54295275590534</v>
          </cell>
          <cell r="H971">
            <v>41.54295275590534</v>
          </cell>
          <cell r="I971" t="e">
            <v>#N/A</v>
          </cell>
          <cell r="J971" t="e">
            <v>#N/A</v>
          </cell>
          <cell r="K971">
            <v>90</v>
          </cell>
          <cell r="L971">
            <v>50</v>
          </cell>
          <cell r="M971" t="e">
            <v>#N/A</v>
          </cell>
          <cell r="N971">
            <v>80</v>
          </cell>
          <cell r="O971" t="e">
            <v>#N/A</v>
          </cell>
          <cell r="P971" t="str">
            <v/>
          </cell>
          <cell r="Q971" t="str">
            <v/>
          </cell>
          <cell r="R971" t="e">
            <v>#N/A</v>
          </cell>
        </row>
        <row r="972">
          <cell r="A972" t="str">
            <v/>
          </cell>
          <cell r="B972" t="str">
            <v/>
          </cell>
          <cell r="C972" t="str">
            <v>Future</v>
          </cell>
          <cell r="D972" t="e">
            <v>#N/A</v>
          </cell>
          <cell r="E972">
            <v>-40.006299212597945</v>
          </cell>
          <cell r="F972">
            <v>106.68661417323096</v>
          </cell>
          <cell r="G972">
            <v>41.489763779527387</v>
          </cell>
          <cell r="H972">
            <v>41.489763779527387</v>
          </cell>
          <cell r="I972" t="e">
            <v>#N/A</v>
          </cell>
          <cell r="J972" t="e">
            <v>#N/A</v>
          </cell>
          <cell r="K972">
            <v>90</v>
          </cell>
          <cell r="L972">
            <v>50</v>
          </cell>
          <cell r="M972" t="e">
            <v>#N/A</v>
          </cell>
          <cell r="N972">
            <v>80</v>
          </cell>
          <cell r="O972" t="e">
            <v>#N/A</v>
          </cell>
          <cell r="P972" t="str">
            <v/>
          </cell>
          <cell r="Q972" t="str">
            <v/>
          </cell>
          <cell r="R972" t="e">
            <v>#N/A</v>
          </cell>
        </row>
        <row r="973">
          <cell r="A973" t="str">
            <v/>
          </cell>
          <cell r="B973" t="str">
            <v/>
          </cell>
          <cell r="C973" t="str">
            <v>Future</v>
          </cell>
          <cell r="D973" t="e">
            <v>#N/A</v>
          </cell>
          <cell r="E973">
            <v>-40.256338582676683</v>
          </cell>
          <cell r="F973">
            <v>106.79090551181365</v>
          </cell>
          <cell r="G973">
            <v>41.436574803149433</v>
          </cell>
          <cell r="H973">
            <v>41.436574803149433</v>
          </cell>
          <cell r="I973" t="e">
            <v>#N/A</v>
          </cell>
          <cell r="J973" t="e">
            <v>#N/A</v>
          </cell>
          <cell r="K973">
            <v>90</v>
          </cell>
          <cell r="L973">
            <v>50</v>
          </cell>
          <cell r="M973" t="e">
            <v>#N/A</v>
          </cell>
          <cell r="N973">
            <v>80</v>
          </cell>
          <cell r="O973" t="e">
            <v>#N/A</v>
          </cell>
          <cell r="P973" t="str">
            <v/>
          </cell>
          <cell r="Q973" t="str">
            <v/>
          </cell>
          <cell r="R973" t="e">
            <v>#N/A</v>
          </cell>
        </row>
        <row r="974">
          <cell r="A974" t="str">
            <v/>
          </cell>
          <cell r="B974" t="str">
            <v/>
          </cell>
          <cell r="C974" t="str">
            <v>Future</v>
          </cell>
          <cell r="D974" t="e">
            <v>#N/A</v>
          </cell>
          <cell r="E974">
            <v>-40.506377952755422</v>
          </cell>
          <cell r="F974">
            <v>106.89519685039633</v>
          </cell>
          <cell r="G974">
            <v>41.38338582677148</v>
          </cell>
          <cell r="H974">
            <v>41.38338582677148</v>
          </cell>
          <cell r="I974" t="e">
            <v>#N/A</v>
          </cell>
          <cell r="J974" t="e">
            <v>#N/A</v>
          </cell>
          <cell r="K974">
            <v>90</v>
          </cell>
          <cell r="L974">
            <v>50</v>
          </cell>
          <cell r="M974" t="e">
            <v>#N/A</v>
          </cell>
          <cell r="N974">
            <v>80</v>
          </cell>
          <cell r="O974" t="e">
            <v>#N/A</v>
          </cell>
          <cell r="P974" t="str">
            <v/>
          </cell>
          <cell r="Q974" t="str">
            <v/>
          </cell>
          <cell r="R974" t="e">
            <v>#N/A</v>
          </cell>
        </row>
        <row r="975">
          <cell r="A975" t="str">
            <v/>
          </cell>
          <cell r="B975" t="str">
            <v/>
          </cell>
          <cell r="C975" t="str">
            <v>Future</v>
          </cell>
          <cell r="D975" t="e">
            <v>#N/A</v>
          </cell>
          <cell r="E975">
            <v>-40.75641732283416</v>
          </cell>
          <cell r="F975">
            <v>106.99948818897902</v>
          </cell>
          <cell r="G975">
            <v>41.330196850393527</v>
          </cell>
          <cell r="H975">
            <v>41.330196850393527</v>
          </cell>
          <cell r="I975" t="e">
            <v>#N/A</v>
          </cell>
          <cell r="J975" t="e">
            <v>#N/A</v>
          </cell>
          <cell r="K975">
            <v>90</v>
          </cell>
          <cell r="L975">
            <v>50</v>
          </cell>
          <cell r="M975" t="e">
            <v>#N/A</v>
          </cell>
          <cell r="N975">
            <v>80</v>
          </cell>
          <cell r="O975" t="e">
            <v>#N/A</v>
          </cell>
          <cell r="P975" t="str">
            <v/>
          </cell>
          <cell r="Q975" t="str">
            <v/>
          </cell>
          <cell r="R975" t="e">
            <v>#N/A</v>
          </cell>
        </row>
        <row r="976">
          <cell r="A976" t="str">
            <v/>
          </cell>
          <cell r="B976" t="str">
            <v/>
          </cell>
          <cell r="C976" t="str">
            <v>Future</v>
          </cell>
          <cell r="D976" t="e">
            <v>#N/A</v>
          </cell>
          <cell r="E976">
            <v>-41.006456692912899</v>
          </cell>
          <cell r="F976">
            <v>107.1037795275617</v>
          </cell>
          <cell r="G976">
            <v>41.277007874015574</v>
          </cell>
          <cell r="H976">
            <v>41.277007874015574</v>
          </cell>
          <cell r="I976" t="e">
            <v>#N/A</v>
          </cell>
          <cell r="J976" t="e">
            <v>#N/A</v>
          </cell>
          <cell r="K976">
            <v>90</v>
          </cell>
          <cell r="L976">
            <v>50</v>
          </cell>
          <cell r="M976" t="e">
            <v>#N/A</v>
          </cell>
          <cell r="N976">
            <v>80</v>
          </cell>
          <cell r="O976" t="e">
            <v>#N/A</v>
          </cell>
          <cell r="P976" t="str">
            <v/>
          </cell>
          <cell r="Q976" t="str">
            <v/>
          </cell>
          <cell r="R976" t="e">
            <v>#N/A</v>
          </cell>
        </row>
        <row r="977">
          <cell r="A977" t="str">
            <v/>
          </cell>
          <cell r="B977" t="str">
            <v/>
          </cell>
          <cell r="C977" t="str">
            <v>Future</v>
          </cell>
          <cell r="D977" t="e">
            <v>#N/A</v>
          </cell>
          <cell r="E977">
            <v>-41.256496062991637</v>
          </cell>
          <cell r="F977">
            <v>107.20807086614438</v>
          </cell>
          <cell r="G977">
            <v>41.223818897637621</v>
          </cell>
          <cell r="H977">
            <v>41.223818897637621</v>
          </cell>
          <cell r="I977" t="e">
            <v>#N/A</v>
          </cell>
          <cell r="J977" t="e">
            <v>#N/A</v>
          </cell>
          <cell r="K977">
            <v>90</v>
          </cell>
          <cell r="L977">
            <v>50</v>
          </cell>
          <cell r="M977" t="e">
            <v>#N/A</v>
          </cell>
          <cell r="N977">
            <v>80</v>
          </cell>
          <cell r="O977" t="e">
            <v>#N/A</v>
          </cell>
          <cell r="P977" t="str">
            <v/>
          </cell>
          <cell r="Q977" t="str">
            <v/>
          </cell>
          <cell r="R977" t="e">
            <v>#N/A</v>
          </cell>
        </row>
        <row r="978">
          <cell r="A978" t="str">
            <v/>
          </cell>
          <cell r="B978" t="str">
            <v/>
          </cell>
          <cell r="C978" t="str">
            <v>Future</v>
          </cell>
          <cell r="D978" t="e">
            <v>#N/A</v>
          </cell>
          <cell r="E978">
            <v>-41.506535433070376</v>
          </cell>
          <cell r="F978">
            <v>107.31236220472707</v>
          </cell>
          <cell r="G978">
            <v>41.170629921259668</v>
          </cell>
          <cell r="H978">
            <v>41.170629921259668</v>
          </cell>
          <cell r="I978" t="e">
            <v>#N/A</v>
          </cell>
          <cell r="J978" t="e">
            <v>#N/A</v>
          </cell>
          <cell r="K978">
            <v>90</v>
          </cell>
          <cell r="L978">
            <v>50</v>
          </cell>
          <cell r="M978" t="e">
            <v>#N/A</v>
          </cell>
          <cell r="N978">
            <v>80</v>
          </cell>
          <cell r="O978" t="e">
            <v>#N/A</v>
          </cell>
          <cell r="P978" t="str">
            <v/>
          </cell>
          <cell r="Q978" t="str">
            <v/>
          </cell>
          <cell r="R978" t="e">
            <v>#N/A</v>
          </cell>
        </row>
        <row r="979">
          <cell r="A979" t="str">
            <v/>
          </cell>
          <cell r="B979" t="str">
            <v/>
          </cell>
          <cell r="C979" t="str">
            <v>Future</v>
          </cell>
          <cell r="D979" t="e">
            <v>#N/A</v>
          </cell>
          <cell r="E979">
            <v>-41.756574803149114</v>
          </cell>
          <cell r="F979">
            <v>107.41665354330975</v>
          </cell>
          <cell r="G979">
            <v>41.117440944881714</v>
          </cell>
          <cell r="H979">
            <v>41.117440944881714</v>
          </cell>
          <cell r="I979" t="e">
            <v>#N/A</v>
          </cell>
          <cell r="J979" t="e">
            <v>#N/A</v>
          </cell>
          <cell r="K979">
            <v>90</v>
          </cell>
          <cell r="L979">
            <v>50</v>
          </cell>
          <cell r="M979" t="e">
            <v>#N/A</v>
          </cell>
          <cell r="N979">
            <v>80</v>
          </cell>
          <cell r="O979" t="e">
            <v>#N/A</v>
          </cell>
          <cell r="P979" t="str">
            <v/>
          </cell>
          <cell r="Q979" t="str">
            <v/>
          </cell>
          <cell r="R979" t="e">
            <v>#N/A</v>
          </cell>
        </row>
        <row r="980">
          <cell r="A980" t="str">
            <v/>
          </cell>
          <cell r="B980" t="str">
            <v/>
          </cell>
          <cell r="C980" t="str">
            <v>Future</v>
          </cell>
          <cell r="D980" t="e">
            <v>#N/A</v>
          </cell>
          <cell r="E980">
            <v>-42.006614173227852</v>
          </cell>
          <cell r="F980">
            <v>107.52094488189243</v>
          </cell>
          <cell r="G980">
            <v>41.064251968503761</v>
          </cell>
          <cell r="H980">
            <v>41.064251968503761</v>
          </cell>
          <cell r="I980" t="e">
            <v>#N/A</v>
          </cell>
          <cell r="J980" t="e">
            <v>#N/A</v>
          </cell>
          <cell r="K980">
            <v>90</v>
          </cell>
          <cell r="L980">
            <v>50</v>
          </cell>
          <cell r="M980" t="e">
            <v>#N/A</v>
          </cell>
          <cell r="N980">
            <v>80</v>
          </cell>
          <cell r="O980" t="e">
            <v>#N/A</v>
          </cell>
          <cell r="P980" t="str">
            <v/>
          </cell>
          <cell r="Q980" t="str">
            <v/>
          </cell>
          <cell r="R980" t="e">
            <v>#N/A</v>
          </cell>
        </row>
        <row r="981">
          <cell r="A981" t="str">
            <v/>
          </cell>
          <cell r="B981" t="str">
            <v/>
          </cell>
          <cell r="C981" t="str">
            <v>Future</v>
          </cell>
          <cell r="D981" t="e">
            <v>#N/A</v>
          </cell>
          <cell r="E981">
            <v>-42.256653543306591</v>
          </cell>
          <cell r="F981">
            <v>107.62523622047512</v>
          </cell>
          <cell r="G981">
            <v>41.011062992125808</v>
          </cell>
          <cell r="H981">
            <v>41.011062992125808</v>
          </cell>
          <cell r="I981" t="e">
            <v>#N/A</v>
          </cell>
          <cell r="J981" t="e">
            <v>#N/A</v>
          </cell>
          <cell r="K981">
            <v>90</v>
          </cell>
          <cell r="L981">
            <v>50</v>
          </cell>
          <cell r="M981" t="e">
            <v>#N/A</v>
          </cell>
          <cell r="N981">
            <v>80</v>
          </cell>
          <cell r="O981" t="e">
            <v>#N/A</v>
          </cell>
          <cell r="P981" t="str">
            <v/>
          </cell>
          <cell r="Q981" t="str">
            <v/>
          </cell>
          <cell r="R981" t="e">
            <v>#N/A</v>
          </cell>
        </row>
        <row r="982">
          <cell r="A982" t="str">
            <v/>
          </cell>
          <cell r="B982" t="str">
            <v/>
          </cell>
          <cell r="C982" t="str">
            <v>Future</v>
          </cell>
          <cell r="D982" t="e">
            <v>#N/A</v>
          </cell>
          <cell r="E982">
            <v>-42.506692913385329</v>
          </cell>
          <cell r="F982">
            <v>107.7295275590578</v>
          </cell>
          <cell r="G982">
            <v>40.957874015747855</v>
          </cell>
          <cell r="H982">
            <v>40.957874015747855</v>
          </cell>
          <cell r="I982" t="e">
            <v>#N/A</v>
          </cell>
          <cell r="J982" t="e">
            <v>#N/A</v>
          </cell>
          <cell r="K982">
            <v>90</v>
          </cell>
          <cell r="L982">
            <v>50</v>
          </cell>
          <cell r="M982" t="e">
            <v>#N/A</v>
          </cell>
          <cell r="N982">
            <v>80</v>
          </cell>
          <cell r="O982" t="e">
            <v>#N/A</v>
          </cell>
          <cell r="P982" t="str">
            <v/>
          </cell>
          <cell r="Q982" t="str">
            <v/>
          </cell>
          <cell r="R982" t="e">
            <v>#N/A</v>
          </cell>
        </row>
        <row r="983">
          <cell r="A983" t="str">
            <v/>
          </cell>
          <cell r="B983" t="str">
            <v/>
          </cell>
          <cell r="C983" t="str">
            <v>Future</v>
          </cell>
          <cell r="D983" t="e">
            <v>#N/A</v>
          </cell>
          <cell r="E983">
            <v>-42.756732283464068</v>
          </cell>
          <cell r="F983">
            <v>107.83381889764048</v>
          </cell>
          <cell r="G983">
            <v>40.904685039369902</v>
          </cell>
          <cell r="H983">
            <v>40.904685039369902</v>
          </cell>
          <cell r="I983" t="e">
            <v>#N/A</v>
          </cell>
          <cell r="J983" t="e">
            <v>#N/A</v>
          </cell>
          <cell r="K983">
            <v>90</v>
          </cell>
          <cell r="L983">
            <v>50</v>
          </cell>
          <cell r="M983" t="e">
            <v>#N/A</v>
          </cell>
          <cell r="N983">
            <v>80</v>
          </cell>
          <cell r="O983" t="e">
            <v>#N/A</v>
          </cell>
          <cell r="P983" t="str">
            <v/>
          </cell>
          <cell r="Q983" t="str">
            <v/>
          </cell>
          <cell r="R983" t="e">
            <v>#N/A</v>
          </cell>
        </row>
        <row r="984">
          <cell r="A984" t="str">
            <v/>
          </cell>
          <cell r="B984" t="str">
            <v/>
          </cell>
          <cell r="C984" t="str">
            <v>Future</v>
          </cell>
          <cell r="D984" t="e">
            <v>#N/A</v>
          </cell>
          <cell r="E984">
            <v>-43.006771653542806</v>
          </cell>
          <cell r="F984">
            <v>107.93811023622317</v>
          </cell>
          <cell r="G984">
            <v>40.851496062991949</v>
          </cell>
          <cell r="H984">
            <v>40.851496062991949</v>
          </cell>
          <cell r="I984" t="e">
            <v>#N/A</v>
          </cell>
          <cell r="J984" t="e">
            <v>#N/A</v>
          </cell>
          <cell r="K984">
            <v>90</v>
          </cell>
          <cell r="L984">
            <v>50</v>
          </cell>
          <cell r="M984" t="e">
            <v>#N/A</v>
          </cell>
          <cell r="N984">
            <v>80</v>
          </cell>
          <cell r="O984" t="e">
            <v>#N/A</v>
          </cell>
          <cell r="P984" t="str">
            <v/>
          </cell>
          <cell r="Q984" t="str">
            <v/>
          </cell>
          <cell r="R984" t="e">
            <v>#N/A</v>
          </cell>
        </row>
        <row r="985">
          <cell r="A985" t="str">
            <v/>
          </cell>
          <cell r="B985" t="str">
            <v/>
          </cell>
          <cell r="C985" t="str">
            <v>Future</v>
          </cell>
          <cell r="D985" t="e">
            <v>#N/A</v>
          </cell>
          <cell r="E985">
            <v>-43.256811023621545</v>
          </cell>
          <cell r="F985">
            <v>108.04240157480585</v>
          </cell>
          <cell r="G985">
            <v>40.798307086613995</v>
          </cell>
          <cell r="H985">
            <v>40.798307086613995</v>
          </cell>
          <cell r="I985" t="e">
            <v>#N/A</v>
          </cell>
          <cell r="J985" t="e">
            <v>#N/A</v>
          </cell>
          <cell r="K985">
            <v>90</v>
          </cell>
          <cell r="L985">
            <v>50</v>
          </cell>
          <cell r="M985" t="e">
            <v>#N/A</v>
          </cell>
          <cell r="N985">
            <v>80</v>
          </cell>
          <cell r="O985" t="e">
            <v>#N/A</v>
          </cell>
          <cell r="P985" t="str">
            <v/>
          </cell>
          <cell r="Q985" t="str">
            <v/>
          </cell>
          <cell r="R985" t="e">
            <v>#N/A</v>
          </cell>
        </row>
        <row r="986">
          <cell r="A986" t="str">
            <v/>
          </cell>
          <cell r="B986" t="str">
            <v/>
          </cell>
          <cell r="C986" t="str">
            <v>Future</v>
          </cell>
          <cell r="D986" t="e">
            <v>#N/A</v>
          </cell>
          <cell r="E986">
            <v>-43.506850393700283</v>
          </cell>
          <cell r="F986">
            <v>108.14669291338853</v>
          </cell>
          <cell r="G986">
            <v>40.745118110236042</v>
          </cell>
          <cell r="H986">
            <v>40.745118110236042</v>
          </cell>
          <cell r="I986" t="e">
            <v>#N/A</v>
          </cell>
          <cell r="J986" t="e">
            <v>#N/A</v>
          </cell>
          <cell r="K986">
            <v>90</v>
          </cell>
          <cell r="L986">
            <v>50</v>
          </cell>
          <cell r="M986" t="e">
            <v>#N/A</v>
          </cell>
          <cell r="N986">
            <v>80</v>
          </cell>
          <cell r="O986" t="e">
            <v>#N/A</v>
          </cell>
          <cell r="P986" t="str">
            <v/>
          </cell>
          <cell r="Q986" t="str">
            <v/>
          </cell>
          <cell r="R986" t="e">
            <v>#N/A</v>
          </cell>
        </row>
        <row r="987">
          <cell r="A987" t="str">
            <v/>
          </cell>
          <cell r="B987" t="str">
            <v/>
          </cell>
          <cell r="C987" t="str">
            <v>Future</v>
          </cell>
          <cell r="D987" t="e">
            <v>#N/A</v>
          </cell>
          <cell r="E987">
            <v>-43.756889763779022</v>
          </cell>
          <cell r="F987">
            <v>108.25098425197122</v>
          </cell>
          <cell r="G987">
            <v>40.691929133858089</v>
          </cell>
          <cell r="H987">
            <v>40.691929133858089</v>
          </cell>
          <cell r="I987" t="e">
            <v>#N/A</v>
          </cell>
          <cell r="J987" t="e">
            <v>#N/A</v>
          </cell>
          <cell r="K987">
            <v>90</v>
          </cell>
          <cell r="L987">
            <v>50</v>
          </cell>
          <cell r="M987" t="e">
            <v>#N/A</v>
          </cell>
          <cell r="N987">
            <v>80</v>
          </cell>
          <cell r="O987" t="e">
            <v>#N/A</v>
          </cell>
          <cell r="P987" t="str">
            <v/>
          </cell>
          <cell r="Q987" t="str">
            <v/>
          </cell>
          <cell r="R987" t="e">
            <v>#N/A</v>
          </cell>
        </row>
        <row r="988">
          <cell r="A988" t="str">
            <v/>
          </cell>
          <cell r="B988" t="str">
            <v/>
          </cell>
          <cell r="C988" t="str">
            <v>Future</v>
          </cell>
          <cell r="D988" t="e">
            <v>#N/A</v>
          </cell>
          <cell r="E988">
            <v>-44.00692913385776</v>
          </cell>
          <cell r="F988">
            <v>108.3552755905539</v>
          </cell>
          <cell r="G988">
            <v>40.638740157480136</v>
          </cell>
          <cell r="H988">
            <v>40.638740157480136</v>
          </cell>
          <cell r="I988" t="e">
            <v>#N/A</v>
          </cell>
          <cell r="J988" t="e">
            <v>#N/A</v>
          </cell>
          <cell r="K988">
            <v>90</v>
          </cell>
          <cell r="L988">
            <v>50</v>
          </cell>
          <cell r="M988" t="e">
            <v>#N/A</v>
          </cell>
          <cell r="N988">
            <v>80</v>
          </cell>
          <cell r="O988" t="e">
            <v>#N/A</v>
          </cell>
          <cell r="P988" t="str">
            <v/>
          </cell>
          <cell r="Q988" t="str">
            <v/>
          </cell>
          <cell r="R988" t="e">
            <v>#N/A</v>
          </cell>
        </row>
        <row r="989">
          <cell r="A989" t="str">
            <v/>
          </cell>
          <cell r="B989" t="str">
            <v/>
          </cell>
          <cell r="C989" t="str">
            <v>Future</v>
          </cell>
          <cell r="D989" t="e">
            <v>#N/A</v>
          </cell>
          <cell r="E989">
            <v>-44.256968503936498</v>
          </cell>
          <cell r="F989">
            <v>108.45956692913659</v>
          </cell>
          <cell r="G989">
            <v>40.585551181102183</v>
          </cell>
          <cell r="H989">
            <v>40.585551181102183</v>
          </cell>
          <cell r="I989" t="e">
            <v>#N/A</v>
          </cell>
          <cell r="J989" t="e">
            <v>#N/A</v>
          </cell>
          <cell r="K989">
            <v>90</v>
          </cell>
          <cell r="L989">
            <v>50</v>
          </cell>
          <cell r="M989" t="e">
            <v>#N/A</v>
          </cell>
          <cell r="N989">
            <v>80</v>
          </cell>
          <cell r="O989" t="e">
            <v>#N/A</v>
          </cell>
          <cell r="P989" t="str">
            <v/>
          </cell>
          <cell r="Q989" t="str">
            <v/>
          </cell>
          <cell r="R989" t="e">
            <v>#N/A</v>
          </cell>
        </row>
        <row r="990">
          <cell r="A990" t="str">
            <v/>
          </cell>
          <cell r="B990" t="str">
            <v/>
          </cell>
          <cell r="C990" t="str">
            <v>Future</v>
          </cell>
          <cell r="D990" t="e">
            <v>#N/A</v>
          </cell>
          <cell r="E990">
            <v>-44.507007874015237</v>
          </cell>
          <cell r="F990">
            <v>108.56385826771927</v>
          </cell>
          <cell r="G990">
            <v>40.53236220472423</v>
          </cell>
          <cell r="H990">
            <v>40.53236220472423</v>
          </cell>
          <cell r="I990" t="e">
            <v>#N/A</v>
          </cell>
          <cell r="J990" t="e">
            <v>#N/A</v>
          </cell>
          <cell r="K990">
            <v>90</v>
          </cell>
          <cell r="L990">
            <v>50</v>
          </cell>
          <cell r="M990" t="e">
            <v>#N/A</v>
          </cell>
          <cell r="N990">
            <v>80</v>
          </cell>
          <cell r="O990" t="e">
            <v>#N/A</v>
          </cell>
          <cell r="P990" t="str">
            <v/>
          </cell>
          <cell r="Q990" t="str">
            <v/>
          </cell>
          <cell r="R990" t="e">
            <v>#N/A</v>
          </cell>
        </row>
        <row r="991">
          <cell r="A991" t="str">
            <v/>
          </cell>
          <cell r="B991" t="str">
            <v/>
          </cell>
          <cell r="C991" t="str">
            <v>Future</v>
          </cell>
          <cell r="D991" t="e">
            <v>#N/A</v>
          </cell>
          <cell r="E991">
            <v>-44.757047244093975</v>
          </cell>
          <cell r="F991">
            <v>108.66814960630195</v>
          </cell>
          <cell r="G991">
            <v>40.479173228346276</v>
          </cell>
          <cell r="H991">
            <v>40.479173228346276</v>
          </cell>
          <cell r="I991" t="e">
            <v>#N/A</v>
          </cell>
          <cell r="J991" t="e">
            <v>#N/A</v>
          </cell>
          <cell r="K991">
            <v>90</v>
          </cell>
          <cell r="L991">
            <v>50</v>
          </cell>
          <cell r="M991" t="e">
            <v>#N/A</v>
          </cell>
          <cell r="N991">
            <v>80</v>
          </cell>
          <cell r="O991" t="e">
            <v>#N/A</v>
          </cell>
          <cell r="P991" t="str">
            <v/>
          </cell>
          <cell r="Q991" t="str">
            <v/>
          </cell>
          <cell r="R991" t="e">
            <v>#N/A</v>
          </cell>
        </row>
        <row r="992">
          <cell r="A992" t="str">
            <v/>
          </cell>
          <cell r="B992" t="str">
            <v/>
          </cell>
          <cell r="C992" t="str">
            <v>Future</v>
          </cell>
          <cell r="D992" t="e">
            <v>#N/A</v>
          </cell>
          <cell r="E992">
            <v>-45.007086614172714</v>
          </cell>
          <cell r="F992">
            <v>108.77244094488464</v>
          </cell>
          <cell r="G992">
            <v>40.425984251968323</v>
          </cell>
          <cell r="H992">
            <v>40.425984251968323</v>
          </cell>
          <cell r="I992" t="e">
            <v>#N/A</v>
          </cell>
          <cell r="J992" t="e">
            <v>#N/A</v>
          </cell>
          <cell r="K992">
            <v>90</v>
          </cell>
          <cell r="L992">
            <v>50</v>
          </cell>
          <cell r="M992" t="e">
            <v>#N/A</v>
          </cell>
          <cell r="N992">
            <v>80</v>
          </cell>
          <cell r="O992" t="e">
            <v>#N/A</v>
          </cell>
          <cell r="P992" t="str">
            <v/>
          </cell>
          <cell r="Q992" t="str">
            <v/>
          </cell>
          <cell r="R992" t="e">
            <v>#N/A</v>
          </cell>
        </row>
        <row r="993">
          <cell r="A993" t="str">
            <v/>
          </cell>
          <cell r="B993" t="str">
            <v/>
          </cell>
          <cell r="C993" t="str">
            <v>Future</v>
          </cell>
          <cell r="D993" t="e">
            <v>#N/A</v>
          </cell>
          <cell r="E993">
            <v>-45.257125984251452</v>
          </cell>
          <cell r="F993">
            <v>108.87673228346732</v>
          </cell>
          <cell r="G993">
            <v>40.37279527559037</v>
          </cell>
          <cell r="H993">
            <v>40.37279527559037</v>
          </cell>
          <cell r="I993" t="e">
            <v>#N/A</v>
          </cell>
          <cell r="J993" t="e">
            <v>#N/A</v>
          </cell>
          <cell r="K993">
            <v>90</v>
          </cell>
          <cell r="L993">
            <v>50</v>
          </cell>
          <cell r="M993" t="e">
            <v>#N/A</v>
          </cell>
          <cell r="N993">
            <v>80</v>
          </cell>
          <cell r="O993" t="e">
            <v>#N/A</v>
          </cell>
          <cell r="P993" t="str">
            <v/>
          </cell>
          <cell r="Q993" t="str">
            <v/>
          </cell>
          <cell r="R993" t="e">
            <v>#N/A</v>
          </cell>
        </row>
        <row r="994">
          <cell r="A994" t="str">
            <v/>
          </cell>
          <cell r="B994" t="str">
            <v/>
          </cell>
          <cell r="C994" t="str">
            <v>Future</v>
          </cell>
          <cell r="D994" t="e">
            <v>#N/A</v>
          </cell>
          <cell r="E994">
            <v>-45.507165354330191</v>
          </cell>
          <cell r="F994">
            <v>108.98102362205</v>
          </cell>
          <cell r="G994">
            <v>40.319606299212417</v>
          </cell>
          <cell r="H994">
            <v>40.319606299212417</v>
          </cell>
          <cell r="I994" t="e">
            <v>#N/A</v>
          </cell>
          <cell r="J994" t="e">
            <v>#N/A</v>
          </cell>
          <cell r="K994">
            <v>90</v>
          </cell>
          <cell r="L994">
            <v>50</v>
          </cell>
          <cell r="M994" t="e">
            <v>#N/A</v>
          </cell>
          <cell r="N994">
            <v>80</v>
          </cell>
          <cell r="O994" t="e">
            <v>#N/A</v>
          </cell>
          <cell r="P994" t="str">
            <v/>
          </cell>
          <cell r="Q994" t="str">
            <v/>
          </cell>
          <cell r="R994" t="e">
            <v>#N/A</v>
          </cell>
        </row>
        <row r="995">
          <cell r="A995" t="str">
            <v/>
          </cell>
          <cell r="B995" t="str">
            <v/>
          </cell>
          <cell r="C995" t="str">
            <v>Future</v>
          </cell>
          <cell r="D995" t="e">
            <v>#N/A</v>
          </cell>
          <cell r="E995">
            <v>-45.757204724408929</v>
          </cell>
          <cell r="F995">
            <v>109.08531496063269</v>
          </cell>
          <cell r="G995">
            <v>40.266417322834464</v>
          </cell>
          <cell r="H995">
            <v>40.266417322834464</v>
          </cell>
          <cell r="I995" t="e">
            <v>#N/A</v>
          </cell>
          <cell r="J995" t="e">
            <v>#N/A</v>
          </cell>
          <cell r="K995">
            <v>90</v>
          </cell>
          <cell r="L995">
            <v>50</v>
          </cell>
          <cell r="M995" t="e">
            <v>#N/A</v>
          </cell>
          <cell r="N995">
            <v>80</v>
          </cell>
          <cell r="O995" t="e">
            <v>#N/A</v>
          </cell>
          <cell r="P995" t="str">
            <v/>
          </cell>
          <cell r="Q995" t="str">
            <v/>
          </cell>
          <cell r="R995" t="e">
            <v>#N/A</v>
          </cell>
        </row>
        <row r="996">
          <cell r="A996" t="str">
            <v/>
          </cell>
          <cell r="B996" t="str">
            <v/>
          </cell>
          <cell r="C996" t="str">
            <v>Future</v>
          </cell>
          <cell r="D996" t="e">
            <v>#N/A</v>
          </cell>
          <cell r="E996">
            <v>-46.007244094487667</v>
          </cell>
          <cell r="F996">
            <v>109.18960629921537</v>
          </cell>
          <cell r="G996">
            <v>40.213228346456511</v>
          </cell>
          <cell r="H996">
            <v>40.213228346456511</v>
          </cell>
          <cell r="I996" t="e">
            <v>#N/A</v>
          </cell>
          <cell r="J996" t="e">
            <v>#N/A</v>
          </cell>
          <cell r="K996">
            <v>90</v>
          </cell>
          <cell r="L996">
            <v>50</v>
          </cell>
          <cell r="M996" t="e">
            <v>#N/A</v>
          </cell>
          <cell r="N996">
            <v>80</v>
          </cell>
          <cell r="O996" t="e">
            <v>#N/A</v>
          </cell>
          <cell r="P996" t="str">
            <v/>
          </cell>
          <cell r="Q996" t="str">
            <v/>
          </cell>
          <cell r="R996" t="e">
            <v>#N/A</v>
          </cell>
        </row>
        <row r="997">
          <cell r="A997" t="str">
            <v/>
          </cell>
          <cell r="B997" t="str">
            <v/>
          </cell>
          <cell r="C997" t="str">
            <v>Future</v>
          </cell>
          <cell r="D997" t="e">
            <v>#N/A</v>
          </cell>
          <cell r="E997">
            <v>-46.257283464566406</v>
          </cell>
          <cell r="F997">
            <v>109.29389763779805</v>
          </cell>
          <cell r="G997">
            <v>40.160039370078557</v>
          </cell>
          <cell r="H997">
            <v>40.160039370078557</v>
          </cell>
          <cell r="I997" t="e">
            <v>#N/A</v>
          </cell>
          <cell r="J997" t="e">
            <v>#N/A</v>
          </cell>
          <cell r="K997">
            <v>90</v>
          </cell>
          <cell r="L997">
            <v>50</v>
          </cell>
          <cell r="M997" t="e">
            <v>#N/A</v>
          </cell>
          <cell r="N997">
            <v>80</v>
          </cell>
          <cell r="O997" t="e">
            <v>#N/A</v>
          </cell>
          <cell r="P997" t="str">
            <v/>
          </cell>
          <cell r="Q997" t="str">
            <v/>
          </cell>
          <cell r="R997" t="e">
            <v>#N/A</v>
          </cell>
        </row>
        <row r="998">
          <cell r="A998" t="str">
            <v/>
          </cell>
          <cell r="B998" t="str">
            <v/>
          </cell>
          <cell r="C998" t="str">
            <v>Future</v>
          </cell>
          <cell r="D998" t="e">
            <v>#N/A</v>
          </cell>
          <cell r="E998">
            <v>-46.507322834645144</v>
          </cell>
          <cell r="F998">
            <v>109.39818897638074</v>
          </cell>
          <cell r="G998">
            <v>40.106850393700604</v>
          </cell>
          <cell r="H998">
            <v>40.106850393700604</v>
          </cell>
          <cell r="I998" t="e">
            <v>#N/A</v>
          </cell>
          <cell r="J998" t="e">
            <v>#N/A</v>
          </cell>
          <cell r="K998">
            <v>90</v>
          </cell>
          <cell r="L998">
            <v>50</v>
          </cell>
          <cell r="M998" t="e">
            <v>#N/A</v>
          </cell>
          <cell r="N998">
            <v>80</v>
          </cell>
          <cell r="O998" t="e">
            <v>#N/A</v>
          </cell>
          <cell r="P998" t="str">
            <v/>
          </cell>
          <cell r="Q998" t="str">
            <v/>
          </cell>
          <cell r="R998" t="e">
            <v>#N/A</v>
          </cell>
        </row>
        <row r="999">
          <cell r="A999" t="str">
            <v/>
          </cell>
          <cell r="B999" t="str">
            <v/>
          </cell>
          <cell r="C999" t="str">
            <v>Future</v>
          </cell>
          <cell r="D999" t="e">
            <v>#N/A</v>
          </cell>
          <cell r="E999">
            <v>-46.757362204723883</v>
          </cell>
          <cell r="F999">
            <v>109.50248031496342</v>
          </cell>
          <cell r="G999">
            <v>40.053661417322651</v>
          </cell>
          <cell r="H999">
            <v>40.053661417322651</v>
          </cell>
          <cell r="I999" t="e">
            <v>#N/A</v>
          </cell>
          <cell r="J999" t="e">
            <v>#N/A</v>
          </cell>
          <cell r="K999">
            <v>90</v>
          </cell>
          <cell r="L999">
            <v>50</v>
          </cell>
          <cell r="M999" t="e">
            <v>#N/A</v>
          </cell>
          <cell r="N999">
            <v>80</v>
          </cell>
          <cell r="O999" t="e">
            <v>#N/A</v>
          </cell>
          <cell r="P999" t="str">
            <v/>
          </cell>
          <cell r="Q999" t="str">
            <v/>
          </cell>
          <cell r="R999" t="e">
            <v>#N/A</v>
          </cell>
        </row>
        <row r="1000">
          <cell r="A1000" t="str">
            <v/>
          </cell>
          <cell r="B1000" t="str">
            <v/>
          </cell>
          <cell r="C1000" t="str">
            <v>Future</v>
          </cell>
          <cell r="D1000" t="e">
            <v>#N/A</v>
          </cell>
          <cell r="E1000">
            <v>-47.007401574802621</v>
          </cell>
          <cell r="F1000">
            <v>109.6067716535461</v>
          </cell>
          <cell r="G1000">
            <v>40.000472440944698</v>
          </cell>
          <cell r="H1000">
            <v>40.000472440944698</v>
          </cell>
          <cell r="I1000" t="e">
            <v>#N/A</v>
          </cell>
          <cell r="J1000" t="e">
            <v>#N/A</v>
          </cell>
          <cell r="K1000">
            <v>90</v>
          </cell>
          <cell r="L1000">
            <v>50</v>
          </cell>
          <cell r="M1000" t="e">
            <v>#N/A</v>
          </cell>
          <cell r="N1000">
            <v>80</v>
          </cell>
          <cell r="O1000" t="e">
            <v>#N/A</v>
          </cell>
          <cell r="P1000" t="str">
            <v/>
          </cell>
          <cell r="Q1000" t="str">
            <v/>
          </cell>
          <cell r="R1000" t="e">
            <v>#N/A</v>
          </cell>
        </row>
        <row r="1001">
          <cell r="A1001" t="str">
            <v/>
          </cell>
          <cell r="B1001" t="str">
            <v/>
          </cell>
          <cell r="C1001" t="str">
            <v>Future</v>
          </cell>
          <cell r="D1001" t="e">
            <v>#N/A</v>
          </cell>
          <cell r="E1001">
            <v>-47.25744094488136</v>
          </cell>
          <cell r="F1001">
            <v>109.71106299212879</v>
          </cell>
          <cell r="G1001">
            <v>39.947283464566745</v>
          </cell>
          <cell r="H1001">
            <v>39.947283464566745</v>
          </cell>
          <cell r="I1001" t="e">
            <v>#N/A</v>
          </cell>
          <cell r="J1001" t="e">
            <v>#N/A</v>
          </cell>
          <cell r="K1001">
            <v>90</v>
          </cell>
          <cell r="L1001">
            <v>50</v>
          </cell>
          <cell r="M1001" t="e">
            <v>#N/A</v>
          </cell>
          <cell r="N1001">
            <v>80</v>
          </cell>
          <cell r="O1001" t="e">
            <v>#N/A</v>
          </cell>
          <cell r="P1001" t="str">
            <v/>
          </cell>
          <cell r="Q1001" t="str">
            <v/>
          </cell>
          <cell r="R1001" t="e">
            <v>#N/A</v>
          </cell>
        </row>
        <row r="1002">
          <cell r="A1002" t="str">
            <v/>
          </cell>
          <cell r="B1002" t="str">
            <v/>
          </cell>
          <cell r="C1002" t="str">
            <v>Future</v>
          </cell>
          <cell r="D1002" t="e">
            <v>#N/A</v>
          </cell>
          <cell r="E1002">
            <v>-47.507480314960098</v>
          </cell>
          <cell r="F1002">
            <v>109.81535433071147</v>
          </cell>
          <cell r="G1002">
            <v>39.894094488188792</v>
          </cell>
          <cell r="H1002">
            <v>39.894094488188792</v>
          </cell>
          <cell r="I1002" t="e">
            <v>#N/A</v>
          </cell>
          <cell r="J1002" t="e">
            <v>#N/A</v>
          </cell>
          <cell r="K1002">
            <v>90</v>
          </cell>
          <cell r="L1002">
            <v>50</v>
          </cell>
          <cell r="M1002" t="e">
            <v>#N/A</v>
          </cell>
          <cell r="N1002">
            <v>80</v>
          </cell>
          <cell r="O1002" t="e">
            <v>#N/A</v>
          </cell>
          <cell r="P1002" t="str">
            <v/>
          </cell>
          <cell r="Q1002" t="str">
            <v/>
          </cell>
          <cell r="R1002" t="e">
            <v>#N/A</v>
          </cell>
        </row>
        <row r="1003">
          <cell r="A1003" t="str">
            <v/>
          </cell>
          <cell r="B1003" t="str">
            <v/>
          </cell>
          <cell r="C1003" t="str">
            <v>Future</v>
          </cell>
          <cell r="D1003" t="e">
            <v>#N/A</v>
          </cell>
          <cell r="E1003">
            <v>-47.757519685038837</v>
          </cell>
          <cell r="F1003">
            <v>109.91964566929416</v>
          </cell>
          <cell r="G1003">
            <v>39.840905511810838</v>
          </cell>
          <cell r="H1003">
            <v>39.840905511810838</v>
          </cell>
          <cell r="I1003" t="e">
            <v>#N/A</v>
          </cell>
          <cell r="J1003" t="e">
            <v>#N/A</v>
          </cell>
          <cell r="K1003">
            <v>90</v>
          </cell>
          <cell r="L1003">
            <v>50</v>
          </cell>
          <cell r="M1003" t="e">
            <v>#N/A</v>
          </cell>
          <cell r="N1003">
            <v>80</v>
          </cell>
          <cell r="O1003" t="e">
            <v>#N/A</v>
          </cell>
          <cell r="P1003" t="str">
            <v/>
          </cell>
          <cell r="Q1003" t="str">
            <v/>
          </cell>
          <cell r="R1003" t="e">
            <v>#N/A</v>
          </cell>
        </row>
        <row r="1004">
          <cell r="A1004" t="str">
            <v/>
          </cell>
          <cell r="B1004" t="str">
            <v/>
          </cell>
          <cell r="C1004" t="str">
            <v>Future</v>
          </cell>
          <cell r="D1004" t="e">
            <v>#N/A</v>
          </cell>
          <cell r="E1004">
            <v>-48.007559055117575</v>
          </cell>
          <cell r="F1004">
            <v>110.02393700787684</v>
          </cell>
          <cell r="G1004">
            <v>39.787716535432885</v>
          </cell>
          <cell r="H1004">
            <v>39.787716535432885</v>
          </cell>
          <cell r="I1004" t="e">
            <v>#N/A</v>
          </cell>
          <cell r="J1004" t="e">
            <v>#N/A</v>
          </cell>
          <cell r="K1004">
            <v>90</v>
          </cell>
          <cell r="L1004">
            <v>50</v>
          </cell>
          <cell r="M1004" t="e">
            <v>#N/A</v>
          </cell>
          <cell r="N1004">
            <v>80</v>
          </cell>
          <cell r="O1004" t="e">
            <v>#N/A</v>
          </cell>
          <cell r="P1004" t="str">
            <v/>
          </cell>
          <cell r="Q1004" t="str">
            <v/>
          </cell>
          <cell r="R1004" t="e">
            <v>#N/A</v>
          </cell>
        </row>
        <row r="1005">
          <cell r="A1005" t="str">
            <v/>
          </cell>
          <cell r="B1005" t="str">
            <v/>
          </cell>
          <cell r="C1005" t="str">
            <v>Future</v>
          </cell>
          <cell r="D1005" t="e">
            <v>#N/A</v>
          </cell>
          <cell r="E1005">
            <v>-48.257598425196313</v>
          </cell>
          <cell r="F1005">
            <v>110.12822834645952</v>
          </cell>
          <cell r="G1005">
            <v>39.734527559054932</v>
          </cell>
          <cell r="H1005">
            <v>39.734527559054932</v>
          </cell>
          <cell r="I1005" t="e">
            <v>#N/A</v>
          </cell>
          <cell r="J1005" t="e">
            <v>#N/A</v>
          </cell>
          <cell r="K1005">
            <v>90</v>
          </cell>
          <cell r="L1005">
            <v>50</v>
          </cell>
          <cell r="M1005" t="e">
            <v>#N/A</v>
          </cell>
          <cell r="N1005">
            <v>80</v>
          </cell>
          <cell r="O1005" t="e">
            <v>#N/A</v>
          </cell>
          <cell r="P1005" t="str">
            <v/>
          </cell>
          <cell r="Q1005" t="str">
            <v/>
          </cell>
          <cell r="R1005" t="e">
            <v>#N/A</v>
          </cell>
        </row>
        <row r="1006">
          <cell r="A1006" t="str">
            <v/>
          </cell>
          <cell r="B1006" t="str">
            <v/>
          </cell>
          <cell r="C1006" t="str">
            <v>Future</v>
          </cell>
          <cell r="D1006" t="e">
            <v>#N/A</v>
          </cell>
          <cell r="E1006">
            <v>-48.507637795275052</v>
          </cell>
          <cell r="F1006">
            <v>110.23251968504221</v>
          </cell>
          <cell r="G1006">
            <v>39.681338582676979</v>
          </cell>
          <cell r="H1006">
            <v>39.681338582676979</v>
          </cell>
          <cell r="I1006" t="e">
            <v>#N/A</v>
          </cell>
          <cell r="J1006" t="e">
            <v>#N/A</v>
          </cell>
          <cell r="K1006">
            <v>90</v>
          </cell>
          <cell r="L1006">
            <v>50</v>
          </cell>
          <cell r="M1006" t="e">
            <v>#N/A</v>
          </cell>
          <cell r="N1006">
            <v>80</v>
          </cell>
          <cell r="O1006" t="e">
            <v>#N/A</v>
          </cell>
          <cell r="P1006" t="str">
            <v/>
          </cell>
          <cell r="Q1006" t="str">
            <v/>
          </cell>
          <cell r="R1006" t="e">
            <v>#N/A</v>
          </cell>
        </row>
        <row r="1007">
          <cell r="A1007" t="str">
            <v/>
          </cell>
          <cell r="B1007" t="str">
            <v/>
          </cell>
          <cell r="C1007" t="str">
            <v>Future</v>
          </cell>
          <cell r="D1007" t="e">
            <v>#N/A</v>
          </cell>
          <cell r="E1007">
            <v>-48.75767716535379</v>
          </cell>
          <cell r="F1007">
            <v>110.33681102362489</v>
          </cell>
          <cell r="G1007">
            <v>39.628149606299026</v>
          </cell>
          <cell r="H1007">
            <v>39.628149606299026</v>
          </cell>
          <cell r="I1007" t="e">
            <v>#N/A</v>
          </cell>
          <cell r="J1007" t="e">
            <v>#N/A</v>
          </cell>
          <cell r="K1007">
            <v>90</v>
          </cell>
          <cell r="L1007">
            <v>50</v>
          </cell>
          <cell r="M1007" t="e">
            <v>#N/A</v>
          </cell>
          <cell r="N1007">
            <v>80</v>
          </cell>
          <cell r="O1007" t="e">
            <v>#N/A</v>
          </cell>
          <cell r="P1007" t="str">
            <v/>
          </cell>
          <cell r="Q1007" t="str">
            <v/>
          </cell>
          <cell r="R1007" t="e">
            <v>#N/A</v>
          </cell>
        </row>
        <row r="1008">
          <cell r="A1008" t="str">
            <v/>
          </cell>
          <cell r="B1008" t="str">
            <v/>
          </cell>
          <cell r="C1008" t="str">
            <v>Future</v>
          </cell>
          <cell r="D1008" t="e">
            <v>#N/A</v>
          </cell>
          <cell r="E1008">
            <v>-49.007716535432529</v>
          </cell>
          <cell r="F1008">
            <v>110.44110236220757</v>
          </cell>
          <cell r="G1008">
            <v>39.574960629921073</v>
          </cell>
          <cell r="H1008">
            <v>39.574960629921073</v>
          </cell>
          <cell r="I1008" t="e">
            <v>#N/A</v>
          </cell>
          <cell r="J1008" t="e">
            <v>#N/A</v>
          </cell>
          <cell r="K1008">
            <v>90</v>
          </cell>
          <cell r="L1008">
            <v>50</v>
          </cell>
          <cell r="M1008" t="e">
            <v>#N/A</v>
          </cell>
          <cell r="N1008">
            <v>80</v>
          </cell>
          <cell r="O1008" t="e">
            <v>#N/A</v>
          </cell>
          <cell r="P1008" t="str">
            <v/>
          </cell>
          <cell r="Q1008" t="str">
            <v/>
          </cell>
          <cell r="R1008" t="e">
            <v>#N/A</v>
          </cell>
        </row>
        <row r="1009">
          <cell r="A1009" t="str">
            <v/>
          </cell>
          <cell r="B1009" t="str">
            <v/>
          </cell>
          <cell r="C1009" t="str">
            <v>Future</v>
          </cell>
          <cell r="D1009" t="e">
            <v>#N/A</v>
          </cell>
          <cell r="E1009">
            <v>-49.257755905511267</v>
          </cell>
          <cell r="F1009">
            <v>110.54539370079026</v>
          </cell>
          <cell r="G1009">
            <v>39.521771653543119</v>
          </cell>
          <cell r="H1009">
            <v>39.521771653543119</v>
          </cell>
          <cell r="I1009" t="e">
            <v>#N/A</v>
          </cell>
          <cell r="J1009" t="e">
            <v>#N/A</v>
          </cell>
          <cell r="K1009">
            <v>90</v>
          </cell>
          <cell r="L1009">
            <v>50</v>
          </cell>
          <cell r="M1009" t="e">
            <v>#N/A</v>
          </cell>
          <cell r="N1009">
            <v>80</v>
          </cell>
          <cell r="O1009" t="e">
            <v>#N/A</v>
          </cell>
          <cell r="P1009" t="str">
            <v/>
          </cell>
          <cell r="Q1009" t="str">
            <v/>
          </cell>
          <cell r="R1009" t="e">
            <v>#N/A</v>
          </cell>
        </row>
        <row r="1010">
          <cell r="A1010" t="str">
            <v/>
          </cell>
          <cell r="B1010" t="str">
            <v/>
          </cell>
          <cell r="C1010" t="str">
            <v>Future</v>
          </cell>
          <cell r="D1010" t="e">
            <v>#N/A</v>
          </cell>
          <cell r="E1010">
            <v>-49.507795275590006</v>
          </cell>
          <cell r="F1010">
            <v>110.64968503937294</v>
          </cell>
          <cell r="G1010">
            <v>39.468582677165166</v>
          </cell>
          <cell r="H1010">
            <v>39.468582677165166</v>
          </cell>
          <cell r="I1010" t="e">
            <v>#N/A</v>
          </cell>
          <cell r="J1010" t="e">
            <v>#N/A</v>
          </cell>
          <cell r="K1010">
            <v>90</v>
          </cell>
          <cell r="L1010">
            <v>50</v>
          </cell>
          <cell r="M1010" t="e">
            <v>#N/A</v>
          </cell>
          <cell r="N1010">
            <v>80</v>
          </cell>
          <cell r="O1010" t="e">
            <v>#N/A</v>
          </cell>
          <cell r="P1010" t="str">
            <v/>
          </cell>
          <cell r="Q1010" t="str">
            <v/>
          </cell>
          <cell r="R1010" t="e">
            <v>#N/A</v>
          </cell>
        </row>
        <row r="1011">
          <cell r="A1011" t="str">
            <v/>
          </cell>
          <cell r="B1011" t="str">
            <v/>
          </cell>
          <cell r="C1011" t="str">
            <v>Future</v>
          </cell>
          <cell r="D1011" t="e">
            <v>#N/A</v>
          </cell>
          <cell r="E1011">
            <v>-49.757834645668744</v>
          </cell>
          <cell r="F1011">
            <v>110.75397637795562</v>
          </cell>
          <cell r="G1011">
            <v>39.415393700787213</v>
          </cell>
          <cell r="H1011">
            <v>39.415393700787213</v>
          </cell>
          <cell r="I1011" t="e">
            <v>#N/A</v>
          </cell>
          <cell r="J1011" t="e">
            <v>#N/A</v>
          </cell>
          <cell r="K1011">
            <v>90</v>
          </cell>
          <cell r="L1011">
            <v>50</v>
          </cell>
          <cell r="M1011" t="e">
            <v>#N/A</v>
          </cell>
          <cell r="N1011">
            <v>80</v>
          </cell>
          <cell r="O1011" t="e">
            <v>#N/A</v>
          </cell>
          <cell r="P1011" t="str">
            <v/>
          </cell>
          <cell r="Q1011" t="str">
            <v/>
          </cell>
          <cell r="R1011" t="e">
            <v>#N/A</v>
          </cell>
        </row>
        <row r="1012">
          <cell r="A1012" t="str">
            <v/>
          </cell>
          <cell r="B1012" t="str">
            <v/>
          </cell>
          <cell r="C1012" t="str">
            <v>Future</v>
          </cell>
          <cell r="D1012" t="e">
            <v>#N/A</v>
          </cell>
          <cell r="E1012">
            <v>-50.007874015747483</v>
          </cell>
          <cell r="F1012">
            <v>110.85826771653831</v>
          </cell>
          <cell r="G1012">
            <v>39.36220472440926</v>
          </cell>
          <cell r="H1012">
            <v>39.36220472440926</v>
          </cell>
          <cell r="I1012" t="e">
            <v>#N/A</v>
          </cell>
          <cell r="J1012" t="e">
            <v>#N/A</v>
          </cell>
          <cell r="K1012">
            <v>90</v>
          </cell>
          <cell r="L1012">
            <v>50</v>
          </cell>
          <cell r="M1012" t="e">
            <v>#N/A</v>
          </cell>
          <cell r="N1012">
            <v>80</v>
          </cell>
          <cell r="O1012" t="e">
            <v>#N/A</v>
          </cell>
          <cell r="P1012" t="str">
            <v/>
          </cell>
          <cell r="Q1012" t="str">
            <v/>
          </cell>
          <cell r="R1012" t="e">
            <v>#N/A</v>
          </cell>
        </row>
        <row r="1013">
          <cell r="A1013" t="str">
            <v/>
          </cell>
          <cell r="B1013" t="str">
            <v/>
          </cell>
          <cell r="C1013" t="str">
            <v>Future</v>
          </cell>
          <cell r="D1013" t="e">
            <v>#N/A</v>
          </cell>
          <cell r="E1013">
            <v>-50.257913385826221</v>
          </cell>
          <cell r="F1013">
            <v>110.96255905512099</v>
          </cell>
          <cell r="G1013">
            <v>39.309015748031307</v>
          </cell>
          <cell r="H1013">
            <v>39.309015748031307</v>
          </cell>
          <cell r="I1013" t="e">
            <v>#N/A</v>
          </cell>
          <cell r="J1013" t="e">
            <v>#N/A</v>
          </cell>
          <cell r="K1013">
            <v>90</v>
          </cell>
          <cell r="L1013">
            <v>50</v>
          </cell>
          <cell r="M1013" t="e">
            <v>#N/A</v>
          </cell>
          <cell r="N1013">
            <v>80</v>
          </cell>
          <cell r="O1013" t="e">
            <v>#N/A</v>
          </cell>
          <cell r="P1013" t="str">
            <v/>
          </cell>
          <cell r="Q1013" t="str">
            <v/>
          </cell>
          <cell r="R1013" t="e">
            <v>#N/A</v>
          </cell>
        </row>
        <row r="1014">
          <cell r="A1014" t="str">
            <v/>
          </cell>
          <cell r="B1014" t="str">
            <v/>
          </cell>
          <cell r="C1014" t="str">
            <v>Future</v>
          </cell>
          <cell r="D1014" t="e">
            <v>#N/A</v>
          </cell>
          <cell r="E1014">
            <v>-50.507952755904959</v>
          </cell>
          <cell r="F1014">
            <v>111.06685039370367</v>
          </cell>
          <cell r="G1014">
            <v>39.255826771653354</v>
          </cell>
          <cell r="H1014">
            <v>39.255826771653354</v>
          </cell>
          <cell r="I1014" t="e">
            <v>#N/A</v>
          </cell>
          <cell r="J1014" t="e">
            <v>#N/A</v>
          </cell>
          <cell r="K1014">
            <v>90</v>
          </cell>
          <cell r="L1014">
            <v>50</v>
          </cell>
          <cell r="M1014" t="e">
            <v>#N/A</v>
          </cell>
          <cell r="N1014">
            <v>80</v>
          </cell>
          <cell r="O1014" t="e">
            <v>#N/A</v>
          </cell>
          <cell r="P1014" t="str">
            <v/>
          </cell>
          <cell r="Q1014" t="str">
            <v/>
          </cell>
          <cell r="R1014" t="e">
            <v>#N/A</v>
          </cell>
        </row>
        <row r="1015">
          <cell r="A1015" t="str">
            <v/>
          </cell>
          <cell r="B1015" t="str">
            <v/>
          </cell>
          <cell r="C1015" t="str">
            <v>Future</v>
          </cell>
          <cell r="D1015" t="e">
            <v>#N/A</v>
          </cell>
          <cell r="E1015">
            <v>-50.757992125983698</v>
          </cell>
          <cell r="F1015">
            <v>111.17114173228636</v>
          </cell>
          <cell r="G1015">
            <v>39.2026377952754</v>
          </cell>
          <cell r="H1015">
            <v>39.2026377952754</v>
          </cell>
          <cell r="I1015" t="e">
            <v>#N/A</v>
          </cell>
          <cell r="J1015" t="e">
            <v>#N/A</v>
          </cell>
          <cell r="K1015">
            <v>90</v>
          </cell>
          <cell r="L1015">
            <v>50</v>
          </cell>
          <cell r="M1015" t="e">
            <v>#N/A</v>
          </cell>
          <cell r="N1015">
            <v>80</v>
          </cell>
          <cell r="O1015" t="e">
            <v>#N/A</v>
          </cell>
          <cell r="P1015" t="str">
            <v/>
          </cell>
          <cell r="Q1015" t="str">
            <v/>
          </cell>
          <cell r="R1015" t="e">
            <v>#N/A</v>
          </cell>
        </row>
        <row r="1016">
          <cell r="A1016" t="str">
            <v/>
          </cell>
          <cell r="B1016" t="str">
            <v/>
          </cell>
          <cell r="C1016" t="str">
            <v>Future</v>
          </cell>
          <cell r="D1016" t="e">
            <v>#N/A</v>
          </cell>
          <cell r="E1016">
            <v>-51.008031496062436</v>
          </cell>
          <cell r="F1016">
            <v>111.27543307086904</v>
          </cell>
          <cell r="G1016">
            <v>39.149448818897447</v>
          </cell>
          <cell r="H1016">
            <v>39.149448818897447</v>
          </cell>
          <cell r="I1016" t="e">
            <v>#N/A</v>
          </cell>
          <cell r="J1016" t="e">
            <v>#N/A</v>
          </cell>
          <cell r="K1016">
            <v>90</v>
          </cell>
          <cell r="L1016">
            <v>50</v>
          </cell>
          <cell r="M1016" t="e">
            <v>#N/A</v>
          </cell>
          <cell r="N1016">
            <v>80</v>
          </cell>
          <cell r="O1016" t="e">
            <v>#N/A</v>
          </cell>
          <cell r="P1016" t="str">
            <v/>
          </cell>
          <cell r="Q1016" t="str">
            <v/>
          </cell>
          <cell r="R1016" t="e">
            <v>#N/A</v>
          </cell>
        </row>
        <row r="1017">
          <cell r="A1017" t="str">
            <v/>
          </cell>
          <cell r="B1017" t="str">
            <v/>
          </cell>
          <cell r="C1017" t="str">
            <v>Future</v>
          </cell>
          <cell r="D1017" t="e">
            <v>#N/A</v>
          </cell>
          <cell r="E1017">
            <v>-51.258070866141175</v>
          </cell>
          <cell r="F1017">
            <v>111.37972440945173</v>
          </cell>
          <cell r="G1017">
            <v>39.096259842519494</v>
          </cell>
          <cell r="H1017">
            <v>39.096259842519494</v>
          </cell>
          <cell r="I1017" t="e">
            <v>#N/A</v>
          </cell>
          <cell r="J1017" t="e">
            <v>#N/A</v>
          </cell>
          <cell r="K1017">
            <v>90</v>
          </cell>
          <cell r="L1017">
            <v>50</v>
          </cell>
          <cell r="M1017" t="e">
            <v>#N/A</v>
          </cell>
          <cell r="N1017">
            <v>80</v>
          </cell>
          <cell r="O1017" t="e">
            <v>#N/A</v>
          </cell>
          <cell r="P1017" t="str">
            <v/>
          </cell>
          <cell r="Q1017" t="str">
            <v/>
          </cell>
          <cell r="R1017" t="e">
            <v>#N/A</v>
          </cell>
        </row>
        <row r="1018">
          <cell r="A1018" t="str">
            <v/>
          </cell>
          <cell r="B1018" t="str">
            <v/>
          </cell>
          <cell r="C1018" t="str">
            <v>Future</v>
          </cell>
          <cell r="D1018" t="e">
            <v>#N/A</v>
          </cell>
          <cell r="E1018">
            <v>-51.508110236219913</v>
          </cell>
          <cell r="F1018">
            <v>111.48401574803441</v>
          </cell>
          <cell r="G1018">
            <v>39.043070866141541</v>
          </cell>
          <cell r="H1018">
            <v>39.043070866141541</v>
          </cell>
          <cell r="I1018" t="e">
            <v>#N/A</v>
          </cell>
          <cell r="J1018" t="e">
            <v>#N/A</v>
          </cell>
          <cell r="K1018">
            <v>90</v>
          </cell>
          <cell r="L1018">
            <v>50</v>
          </cell>
          <cell r="M1018" t="e">
            <v>#N/A</v>
          </cell>
          <cell r="N1018">
            <v>80</v>
          </cell>
          <cell r="O1018" t="e">
            <v>#N/A</v>
          </cell>
          <cell r="P1018" t="str">
            <v/>
          </cell>
          <cell r="Q1018" t="str">
            <v/>
          </cell>
          <cell r="R1018" t="e">
            <v>#N/A</v>
          </cell>
        </row>
        <row r="1019">
          <cell r="A1019" t="str">
            <v/>
          </cell>
          <cell r="B1019" t="str">
            <v/>
          </cell>
          <cell r="C1019" t="str">
            <v>Future</v>
          </cell>
          <cell r="D1019" t="e">
            <v>#N/A</v>
          </cell>
          <cell r="E1019">
            <v>-51.758149606298652</v>
          </cell>
          <cell r="F1019">
            <v>111.58830708661709</v>
          </cell>
          <cell r="G1019">
            <v>38.989881889763588</v>
          </cell>
          <cell r="H1019">
            <v>38.989881889763588</v>
          </cell>
          <cell r="I1019" t="e">
            <v>#N/A</v>
          </cell>
          <cell r="J1019" t="e">
            <v>#N/A</v>
          </cell>
          <cell r="K1019">
            <v>90</v>
          </cell>
          <cell r="L1019">
            <v>50</v>
          </cell>
          <cell r="M1019" t="e">
            <v>#N/A</v>
          </cell>
          <cell r="N1019">
            <v>80</v>
          </cell>
          <cell r="O1019" t="e">
            <v>#N/A</v>
          </cell>
          <cell r="P1019" t="str">
            <v/>
          </cell>
          <cell r="Q1019" t="str">
            <v/>
          </cell>
          <cell r="R1019" t="e">
            <v>#N/A</v>
          </cell>
        </row>
        <row r="1020">
          <cell r="A1020" t="str">
            <v/>
          </cell>
          <cell r="B1020" t="str">
            <v/>
          </cell>
          <cell r="C1020" t="str">
            <v>Future</v>
          </cell>
          <cell r="D1020" t="e">
            <v>#N/A</v>
          </cell>
          <cell r="E1020">
            <v>-52.00818897637739</v>
          </cell>
          <cell r="F1020">
            <v>111.69259842519978</v>
          </cell>
          <cell r="G1020">
            <v>38.936692913385635</v>
          </cell>
          <cell r="H1020">
            <v>38.936692913385635</v>
          </cell>
          <cell r="I1020" t="e">
            <v>#N/A</v>
          </cell>
          <cell r="J1020" t="e">
            <v>#N/A</v>
          </cell>
          <cell r="K1020">
            <v>90</v>
          </cell>
          <cell r="L1020">
            <v>50</v>
          </cell>
          <cell r="M1020" t="e">
            <v>#N/A</v>
          </cell>
          <cell r="N1020">
            <v>80</v>
          </cell>
          <cell r="O1020" t="e">
            <v>#N/A</v>
          </cell>
          <cell r="P1020" t="str">
            <v/>
          </cell>
          <cell r="Q1020" t="str">
            <v/>
          </cell>
          <cell r="R1020" t="e">
            <v>#N/A</v>
          </cell>
        </row>
        <row r="1021">
          <cell r="A1021" t="str">
            <v/>
          </cell>
          <cell r="B1021" t="str">
            <v/>
          </cell>
          <cell r="C1021" t="str">
            <v>Future</v>
          </cell>
          <cell r="D1021" t="e">
            <v>#N/A</v>
          </cell>
          <cell r="E1021">
            <v>-52.258228346456129</v>
          </cell>
          <cell r="F1021">
            <v>111.79688976378246</v>
          </cell>
          <cell r="G1021">
            <v>38.883503937007681</v>
          </cell>
          <cell r="H1021">
            <v>38.883503937007681</v>
          </cell>
          <cell r="I1021" t="e">
            <v>#N/A</v>
          </cell>
          <cell r="J1021" t="e">
            <v>#N/A</v>
          </cell>
          <cell r="K1021">
            <v>90</v>
          </cell>
          <cell r="L1021">
            <v>50</v>
          </cell>
          <cell r="M1021" t="e">
            <v>#N/A</v>
          </cell>
          <cell r="N1021">
            <v>80</v>
          </cell>
          <cell r="O1021" t="e">
            <v>#N/A</v>
          </cell>
          <cell r="P1021" t="str">
            <v/>
          </cell>
          <cell r="Q1021" t="str">
            <v/>
          </cell>
          <cell r="R1021" t="e">
            <v>#N/A</v>
          </cell>
        </row>
        <row r="1022">
          <cell r="A1022" t="str">
            <v/>
          </cell>
          <cell r="B1022" t="str">
            <v/>
          </cell>
          <cell r="C1022" t="str">
            <v>Future</v>
          </cell>
          <cell r="D1022" t="e">
            <v>#N/A</v>
          </cell>
          <cell r="E1022">
            <v>-52.508267716534867</v>
          </cell>
          <cell r="F1022">
            <v>111.90118110236514</v>
          </cell>
          <cell r="G1022">
            <v>38.830314960629728</v>
          </cell>
          <cell r="H1022">
            <v>38.830314960629728</v>
          </cell>
          <cell r="I1022" t="e">
            <v>#N/A</v>
          </cell>
          <cell r="J1022" t="e">
            <v>#N/A</v>
          </cell>
          <cell r="K1022">
            <v>90</v>
          </cell>
          <cell r="L1022">
            <v>50</v>
          </cell>
          <cell r="M1022" t="e">
            <v>#N/A</v>
          </cell>
          <cell r="N1022">
            <v>80</v>
          </cell>
          <cell r="O1022" t="e">
            <v>#N/A</v>
          </cell>
          <cell r="P1022" t="str">
            <v/>
          </cell>
          <cell r="Q1022" t="str">
            <v/>
          </cell>
          <cell r="R1022" t="e">
            <v>#N/A</v>
          </cell>
        </row>
        <row r="1023">
          <cell r="A1023" t="str">
            <v/>
          </cell>
          <cell r="B1023" t="str">
            <v/>
          </cell>
          <cell r="C1023" t="str">
            <v>Future</v>
          </cell>
          <cell r="D1023" t="e">
            <v>#N/A</v>
          </cell>
          <cell r="E1023">
            <v>-52.758307086613605</v>
          </cell>
          <cell r="F1023">
            <v>112.00547244094783</v>
          </cell>
          <cell r="G1023">
            <v>38.777125984251775</v>
          </cell>
          <cell r="H1023">
            <v>38.777125984251775</v>
          </cell>
          <cell r="I1023" t="e">
            <v>#N/A</v>
          </cell>
          <cell r="J1023" t="e">
            <v>#N/A</v>
          </cell>
          <cell r="K1023">
            <v>90</v>
          </cell>
          <cell r="L1023">
            <v>50</v>
          </cell>
          <cell r="M1023" t="e">
            <v>#N/A</v>
          </cell>
          <cell r="N1023">
            <v>80</v>
          </cell>
          <cell r="O1023" t="e">
            <v>#N/A</v>
          </cell>
          <cell r="P1023" t="str">
            <v/>
          </cell>
          <cell r="Q1023" t="str">
            <v/>
          </cell>
          <cell r="R1023" t="e">
            <v>#N/A</v>
          </cell>
        </row>
        <row r="1024">
          <cell r="A1024" t="str">
            <v/>
          </cell>
          <cell r="B1024" t="str">
            <v/>
          </cell>
          <cell r="C1024" t="str">
            <v>Future</v>
          </cell>
          <cell r="D1024" t="e">
            <v>#N/A</v>
          </cell>
          <cell r="E1024">
            <v>-53.008346456692344</v>
          </cell>
          <cell r="F1024">
            <v>112.10976377953051</v>
          </cell>
          <cell r="G1024">
            <v>38.723937007873822</v>
          </cell>
          <cell r="H1024">
            <v>38.723937007873822</v>
          </cell>
          <cell r="I1024" t="e">
            <v>#N/A</v>
          </cell>
          <cell r="J1024" t="e">
            <v>#N/A</v>
          </cell>
          <cell r="K1024">
            <v>90</v>
          </cell>
          <cell r="L1024">
            <v>50</v>
          </cell>
          <cell r="M1024" t="e">
            <v>#N/A</v>
          </cell>
          <cell r="N1024">
            <v>80</v>
          </cell>
          <cell r="O1024" t="e">
            <v>#N/A</v>
          </cell>
          <cell r="P1024" t="str">
            <v/>
          </cell>
          <cell r="Q1024" t="str">
            <v/>
          </cell>
          <cell r="R1024" t="e">
            <v>#N/A</v>
          </cell>
        </row>
        <row r="1025">
          <cell r="A1025" t="str">
            <v/>
          </cell>
          <cell r="B1025" t="str">
            <v/>
          </cell>
          <cell r="C1025" t="str">
            <v>Future</v>
          </cell>
          <cell r="D1025" t="e">
            <v>#N/A</v>
          </cell>
          <cell r="E1025">
            <v>-53.258385826771082</v>
          </cell>
          <cell r="F1025">
            <v>112.21405511811319</v>
          </cell>
          <cell r="G1025">
            <v>38.670748031495869</v>
          </cell>
          <cell r="H1025">
            <v>38.670748031495869</v>
          </cell>
          <cell r="I1025" t="e">
            <v>#N/A</v>
          </cell>
          <cell r="J1025" t="e">
            <v>#N/A</v>
          </cell>
          <cell r="K1025">
            <v>90</v>
          </cell>
          <cell r="L1025">
            <v>50</v>
          </cell>
          <cell r="M1025" t="e">
            <v>#N/A</v>
          </cell>
          <cell r="N1025">
            <v>80</v>
          </cell>
          <cell r="O1025" t="e">
            <v>#N/A</v>
          </cell>
          <cell r="P1025" t="str">
            <v/>
          </cell>
          <cell r="Q1025" t="str">
            <v/>
          </cell>
          <cell r="R1025" t="e">
            <v>#N/A</v>
          </cell>
        </row>
        <row r="1026">
          <cell r="A1026" t="str">
            <v/>
          </cell>
          <cell r="B1026" t="str">
            <v/>
          </cell>
          <cell r="C1026" t="str">
            <v>Future</v>
          </cell>
          <cell r="D1026" t="e">
            <v>#N/A</v>
          </cell>
          <cell r="E1026">
            <v>-53.508425196849821</v>
          </cell>
          <cell r="F1026">
            <v>112.31834645669588</v>
          </cell>
          <cell r="G1026">
            <v>38.617559055117916</v>
          </cell>
          <cell r="H1026">
            <v>38.617559055117916</v>
          </cell>
          <cell r="I1026" t="e">
            <v>#N/A</v>
          </cell>
          <cell r="J1026" t="e">
            <v>#N/A</v>
          </cell>
          <cell r="K1026">
            <v>90</v>
          </cell>
          <cell r="L1026">
            <v>50</v>
          </cell>
          <cell r="M1026" t="e">
            <v>#N/A</v>
          </cell>
          <cell r="N1026">
            <v>80</v>
          </cell>
          <cell r="O1026" t="e">
            <v>#N/A</v>
          </cell>
          <cell r="P1026" t="str">
            <v/>
          </cell>
          <cell r="Q1026" t="str">
            <v/>
          </cell>
          <cell r="R1026" t="e">
            <v>#N/A</v>
          </cell>
        </row>
        <row r="1027">
          <cell r="A1027" t="str">
            <v/>
          </cell>
          <cell r="B1027" t="str">
            <v/>
          </cell>
          <cell r="C1027" t="str">
            <v>Future</v>
          </cell>
          <cell r="D1027" t="e">
            <v>#N/A</v>
          </cell>
          <cell r="E1027">
            <v>-53.758464566928559</v>
          </cell>
          <cell r="F1027">
            <v>112.42263779527856</v>
          </cell>
          <cell r="G1027">
            <v>38.564370078739962</v>
          </cell>
          <cell r="H1027">
            <v>38.564370078739962</v>
          </cell>
          <cell r="I1027" t="e">
            <v>#N/A</v>
          </cell>
          <cell r="J1027" t="e">
            <v>#N/A</v>
          </cell>
          <cell r="K1027">
            <v>90</v>
          </cell>
          <cell r="L1027">
            <v>50</v>
          </cell>
          <cell r="M1027" t="e">
            <v>#N/A</v>
          </cell>
          <cell r="N1027">
            <v>80</v>
          </cell>
          <cell r="O1027" t="e">
            <v>#N/A</v>
          </cell>
          <cell r="P1027" t="str">
            <v/>
          </cell>
          <cell r="Q1027" t="str">
            <v/>
          </cell>
          <cell r="R1027" t="e">
            <v>#N/A</v>
          </cell>
        </row>
        <row r="1028">
          <cell r="A1028" t="str">
            <v/>
          </cell>
          <cell r="B1028" t="str">
            <v/>
          </cell>
          <cell r="C1028" t="str">
            <v>Future</v>
          </cell>
          <cell r="D1028" t="e">
            <v>#N/A</v>
          </cell>
          <cell r="E1028">
            <v>-54.008503937007298</v>
          </cell>
          <cell r="F1028">
            <v>112.52692913386124</v>
          </cell>
          <cell r="G1028">
            <v>38.511181102362009</v>
          </cell>
          <cell r="H1028">
            <v>38.511181102362009</v>
          </cell>
          <cell r="I1028" t="e">
            <v>#N/A</v>
          </cell>
          <cell r="J1028" t="e">
            <v>#N/A</v>
          </cell>
          <cell r="K1028">
            <v>90</v>
          </cell>
          <cell r="L1028">
            <v>50</v>
          </cell>
          <cell r="M1028" t="e">
            <v>#N/A</v>
          </cell>
          <cell r="N1028">
            <v>80</v>
          </cell>
          <cell r="O1028" t="e">
            <v>#N/A</v>
          </cell>
          <cell r="P1028" t="str">
            <v/>
          </cell>
          <cell r="Q1028" t="str">
            <v/>
          </cell>
          <cell r="R1028" t="e">
            <v>#N/A</v>
          </cell>
        </row>
        <row r="1029">
          <cell r="A1029" t="str">
            <v/>
          </cell>
          <cell r="B1029" t="str">
            <v/>
          </cell>
          <cell r="C1029" t="str">
            <v>Future</v>
          </cell>
          <cell r="D1029" t="e">
            <v>#N/A</v>
          </cell>
          <cell r="E1029">
            <v>-54.258543307086036</v>
          </cell>
          <cell r="F1029">
            <v>112.63122047244393</v>
          </cell>
          <cell r="G1029">
            <v>38.457992125984056</v>
          </cell>
          <cell r="H1029">
            <v>38.457992125984056</v>
          </cell>
          <cell r="I1029" t="e">
            <v>#N/A</v>
          </cell>
          <cell r="J1029" t="e">
            <v>#N/A</v>
          </cell>
          <cell r="K1029">
            <v>90</v>
          </cell>
          <cell r="L1029">
            <v>50</v>
          </cell>
          <cell r="M1029" t="e">
            <v>#N/A</v>
          </cell>
          <cell r="N1029">
            <v>80</v>
          </cell>
          <cell r="O1029" t="e">
            <v>#N/A</v>
          </cell>
          <cell r="P1029" t="str">
            <v/>
          </cell>
          <cell r="Q1029" t="str">
            <v/>
          </cell>
          <cell r="R1029" t="e">
            <v>#N/A</v>
          </cell>
        </row>
        <row r="1030">
          <cell r="A1030" t="str">
            <v/>
          </cell>
          <cell r="B1030" t="str">
            <v/>
          </cell>
          <cell r="C1030" t="str">
            <v>Future</v>
          </cell>
          <cell r="D1030" t="e">
            <v>#N/A</v>
          </cell>
          <cell r="E1030">
            <v>-54.508582677164775</v>
          </cell>
          <cell r="F1030">
            <v>112.73551181102661</v>
          </cell>
          <cell r="G1030">
            <v>38.404803149606103</v>
          </cell>
          <cell r="H1030">
            <v>38.404803149606103</v>
          </cell>
          <cell r="I1030" t="e">
            <v>#N/A</v>
          </cell>
          <cell r="J1030" t="e">
            <v>#N/A</v>
          </cell>
          <cell r="K1030">
            <v>90</v>
          </cell>
          <cell r="L1030">
            <v>50</v>
          </cell>
          <cell r="M1030" t="e">
            <v>#N/A</v>
          </cell>
          <cell r="N1030">
            <v>80</v>
          </cell>
          <cell r="O1030" t="e">
            <v>#N/A</v>
          </cell>
          <cell r="P1030" t="str">
            <v/>
          </cell>
          <cell r="Q1030" t="str">
            <v/>
          </cell>
          <cell r="R1030" t="e">
            <v>#N/A</v>
          </cell>
        </row>
        <row r="1031">
          <cell r="A1031" t="str">
            <v/>
          </cell>
          <cell r="B1031" t="str">
            <v/>
          </cell>
          <cell r="C1031" t="str">
            <v>Future</v>
          </cell>
          <cell r="D1031" t="e">
            <v>#N/A</v>
          </cell>
          <cell r="E1031">
            <v>-54.758622047243513</v>
          </cell>
          <cell r="F1031">
            <v>112.8398031496093</v>
          </cell>
          <cell r="G1031">
            <v>38.35161417322815</v>
          </cell>
          <cell r="H1031">
            <v>38.35161417322815</v>
          </cell>
          <cell r="I1031" t="e">
            <v>#N/A</v>
          </cell>
          <cell r="J1031" t="e">
            <v>#N/A</v>
          </cell>
          <cell r="K1031">
            <v>90</v>
          </cell>
          <cell r="L1031">
            <v>50</v>
          </cell>
          <cell r="M1031" t="e">
            <v>#N/A</v>
          </cell>
          <cell r="N1031">
            <v>80</v>
          </cell>
          <cell r="O1031" t="e">
            <v>#N/A</v>
          </cell>
          <cell r="P1031" t="str">
            <v/>
          </cell>
          <cell r="Q1031" t="str">
            <v/>
          </cell>
          <cell r="R1031" t="e">
            <v>#N/A</v>
          </cell>
        </row>
        <row r="1032">
          <cell r="A1032" t="str">
            <v/>
          </cell>
          <cell r="B1032" t="str">
            <v/>
          </cell>
          <cell r="C1032" t="str">
            <v>Future</v>
          </cell>
          <cell r="D1032" t="e">
            <v>#N/A</v>
          </cell>
          <cell r="E1032">
            <v>-55.008661417322251</v>
          </cell>
          <cell r="F1032">
            <v>112.94409448819198</v>
          </cell>
          <cell r="G1032">
            <v>38.298425196850197</v>
          </cell>
          <cell r="H1032">
            <v>38.298425196850197</v>
          </cell>
          <cell r="I1032" t="e">
            <v>#N/A</v>
          </cell>
          <cell r="J1032" t="e">
            <v>#N/A</v>
          </cell>
          <cell r="K1032">
            <v>90</v>
          </cell>
          <cell r="L1032">
            <v>50</v>
          </cell>
          <cell r="M1032" t="e">
            <v>#N/A</v>
          </cell>
          <cell r="N1032">
            <v>80</v>
          </cell>
          <cell r="O1032" t="e">
            <v>#N/A</v>
          </cell>
          <cell r="P1032" t="str">
            <v/>
          </cell>
          <cell r="Q1032" t="str">
            <v/>
          </cell>
          <cell r="R1032" t="e">
            <v>#N/A</v>
          </cell>
        </row>
        <row r="1033">
          <cell r="A1033" t="str">
            <v/>
          </cell>
          <cell r="B1033" t="str">
            <v/>
          </cell>
          <cell r="C1033" t="str">
            <v>Future</v>
          </cell>
          <cell r="D1033" t="e">
            <v>#N/A</v>
          </cell>
          <cell r="E1033">
            <v>-55.25870078740099</v>
          </cell>
          <cell r="F1033">
            <v>113.04838582677466</v>
          </cell>
          <cell r="G1033">
            <v>38.245236220472243</v>
          </cell>
          <cell r="H1033">
            <v>38.245236220472243</v>
          </cell>
          <cell r="I1033" t="e">
            <v>#N/A</v>
          </cell>
          <cell r="J1033" t="e">
            <v>#N/A</v>
          </cell>
          <cell r="K1033">
            <v>90</v>
          </cell>
          <cell r="L1033">
            <v>50</v>
          </cell>
          <cell r="M1033" t="e">
            <v>#N/A</v>
          </cell>
          <cell r="N1033">
            <v>80</v>
          </cell>
          <cell r="O1033" t="e">
            <v>#N/A</v>
          </cell>
          <cell r="P1033" t="str">
            <v/>
          </cell>
          <cell r="Q1033" t="str">
            <v/>
          </cell>
          <cell r="R1033" t="e">
            <v>#N/A</v>
          </cell>
        </row>
        <row r="1034">
          <cell r="A1034" t="str">
            <v/>
          </cell>
          <cell r="B1034" t="str">
            <v/>
          </cell>
          <cell r="C1034" t="str">
            <v>Future</v>
          </cell>
          <cell r="D1034" t="e">
            <v>#N/A</v>
          </cell>
          <cell r="E1034">
            <v>-55.508740157479728</v>
          </cell>
          <cell r="F1034">
            <v>113.15267716535735</v>
          </cell>
          <cell r="G1034">
            <v>38.19204724409429</v>
          </cell>
          <cell r="H1034">
            <v>38.19204724409429</v>
          </cell>
          <cell r="I1034" t="e">
            <v>#N/A</v>
          </cell>
          <cell r="J1034" t="e">
            <v>#N/A</v>
          </cell>
          <cell r="K1034">
            <v>90</v>
          </cell>
          <cell r="L1034">
            <v>50</v>
          </cell>
          <cell r="M1034" t="e">
            <v>#N/A</v>
          </cell>
          <cell r="N1034">
            <v>80</v>
          </cell>
          <cell r="O1034" t="e">
            <v>#N/A</v>
          </cell>
          <cell r="P1034" t="str">
            <v/>
          </cell>
          <cell r="Q1034" t="str">
            <v/>
          </cell>
          <cell r="R1034" t="e">
            <v>#N/A</v>
          </cell>
        </row>
        <row r="1035">
          <cell r="A1035" t="str">
            <v/>
          </cell>
          <cell r="B1035" t="str">
            <v/>
          </cell>
          <cell r="C1035" t="str">
            <v>Future</v>
          </cell>
          <cell r="D1035" t="e">
            <v>#N/A</v>
          </cell>
          <cell r="E1035">
            <v>-55.758779527558467</v>
          </cell>
          <cell r="F1035">
            <v>113.25696850394003</v>
          </cell>
          <cell r="G1035">
            <v>38.138858267716337</v>
          </cell>
          <cell r="H1035">
            <v>38.138858267716337</v>
          </cell>
          <cell r="I1035" t="e">
            <v>#N/A</v>
          </cell>
          <cell r="J1035" t="e">
            <v>#N/A</v>
          </cell>
          <cell r="K1035">
            <v>90</v>
          </cell>
          <cell r="L1035">
            <v>50</v>
          </cell>
          <cell r="M1035" t="e">
            <v>#N/A</v>
          </cell>
          <cell r="N1035">
            <v>80</v>
          </cell>
          <cell r="O1035" t="e">
            <v>#N/A</v>
          </cell>
          <cell r="P1035" t="str">
            <v/>
          </cell>
          <cell r="Q1035" t="str">
            <v/>
          </cell>
          <cell r="R1035" t="e">
            <v>#N/A</v>
          </cell>
        </row>
        <row r="1036">
          <cell r="A1036" t="str">
            <v/>
          </cell>
          <cell r="B1036" t="str">
            <v/>
          </cell>
          <cell r="C1036" t="str">
            <v>Future</v>
          </cell>
          <cell r="D1036" t="e">
            <v>#N/A</v>
          </cell>
          <cell r="E1036">
            <v>-56.008818897637205</v>
          </cell>
          <cell r="F1036">
            <v>113.36125984252271</v>
          </cell>
          <cell r="G1036">
            <v>38.085669291338384</v>
          </cell>
          <cell r="H1036">
            <v>38.085669291338384</v>
          </cell>
          <cell r="I1036" t="e">
            <v>#N/A</v>
          </cell>
          <cell r="J1036" t="e">
            <v>#N/A</v>
          </cell>
          <cell r="K1036">
            <v>90</v>
          </cell>
          <cell r="L1036">
            <v>50</v>
          </cell>
          <cell r="M1036" t="e">
            <v>#N/A</v>
          </cell>
          <cell r="N1036">
            <v>80</v>
          </cell>
          <cell r="O1036" t="e">
            <v>#N/A</v>
          </cell>
          <cell r="P1036" t="str">
            <v/>
          </cell>
          <cell r="Q1036" t="str">
            <v/>
          </cell>
          <cell r="R1036" t="e">
            <v>#N/A</v>
          </cell>
        </row>
        <row r="1037">
          <cell r="A1037" t="str">
            <v/>
          </cell>
          <cell r="B1037" t="str">
            <v/>
          </cell>
          <cell r="C1037" t="str">
            <v>Future</v>
          </cell>
          <cell r="D1037" t="e">
            <v>#N/A</v>
          </cell>
          <cell r="E1037">
            <v>-56.258858267715944</v>
          </cell>
          <cell r="F1037">
            <v>113.4655511811054</v>
          </cell>
          <cell r="G1037">
            <v>38.032480314960431</v>
          </cell>
          <cell r="H1037">
            <v>38.032480314960431</v>
          </cell>
          <cell r="I1037" t="e">
            <v>#N/A</v>
          </cell>
          <cell r="J1037" t="e">
            <v>#N/A</v>
          </cell>
          <cell r="K1037">
            <v>90</v>
          </cell>
          <cell r="L1037">
            <v>50</v>
          </cell>
          <cell r="M1037" t="e">
            <v>#N/A</v>
          </cell>
          <cell r="N1037">
            <v>80</v>
          </cell>
          <cell r="O1037" t="e">
            <v>#N/A</v>
          </cell>
          <cell r="P1037" t="str">
            <v/>
          </cell>
          <cell r="Q1037" t="str">
            <v/>
          </cell>
          <cell r="R1037" t="e">
            <v>#N/A</v>
          </cell>
        </row>
        <row r="1038">
          <cell r="A1038" t="str">
            <v/>
          </cell>
          <cell r="B1038" t="str">
            <v/>
          </cell>
          <cell r="C1038" t="str">
            <v>Future</v>
          </cell>
          <cell r="D1038" t="e">
            <v>#N/A</v>
          </cell>
          <cell r="E1038">
            <v>-56.508897637794682</v>
          </cell>
          <cell r="F1038">
            <v>113.56984251968808</v>
          </cell>
          <cell r="G1038">
            <v>37.979291338582478</v>
          </cell>
          <cell r="H1038">
            <v>37.979291338582478</v>
          </cell>
          <cell r="I1038" t="e">
            <v>#N/A</v>
          </cell>
          <cell r="J1038" t="e">
            <v>#N/A</v>
          </cell>
          <cell r="K1038">
            <v>90</v>
          </cell>
          <cell r="L1038">
            <v>50</v>
          </cell>
          <cell r="M1038" t="e">
            <v>#N/A</v>
          </cell>
          <cell r="N1038">
            <v>80</v>
          </cell>
          <cell r="O1038" t="e">
            <v>#N/A</v>
          </cell>
          <cell r="P1038" t="str">
            <v/>
          </cell>
          <cell r="Q1038" t="str">
            <v/>
          </cell>
          <cell r="R1038" t="e">
            <v>#N/A</v>
          </cell>
        </row>
        <row r="1039">
          <cell r="A1039" t="str">
            <v/>
          </cell>
          <cell r="B1039" t="str">
            <v/>
          </cell>
          <cell r="C1039" t="str">
            <v>Future</v>
          </cell>
          <cell r="D1039" t="e">
            <v>#N/A</v>
          </cell>
          <cell r="E1039">
            <v>-56.758937007873421</v>
          </cell>
          <cell r="F1039">
            <v>113.67413385827076</v>
          </cell>
          <cell r="G1039">
            <v>37.926102362204524</v>
          </cell>
          <cell r="H1039">
            <v>37.926102362204524</v>
          </cell>
          <cell r="I1039" t="e">
            <v>#N/A</v>
          </cell>
          <cell r="J1039" t="e">
            <v>#N/A</v>
          </cell>
          <cell r="K1039">
            <v>90</v>
          </cell>
          <cell r="L1039">
            <v>50</v>
          </cell>
          <cell r="M1039" t="e">
            <v>#N/A</v>
          </cell>
          <cell r="N1039">
            <v>80</v>
          </cell>
          <cell r="O1039" t="e">
            <v>#N/A</v>
          </cell>
          <cell r="P1039" t="str">
            <v/>
          </cell>
          <cell r="Q1039" t="str">
            <v/>
          </cell>
          <cell r="R1039" t="e">
            <v>#N/A</v>
          </cell>
        </row>
        <row r="1040">
          <cell r="A1040" t="str">
            <v/>
          </cell>
          <cell r="B1040" t="str">
            <v/>
          </cell>
          <cell r="C1040" t="str">
            <v>Future</v>
          </cell>
          <cell r="D1040" t="e">
            <v>#N/A</v>
          </cell>
          <cell r="E1040">
            <v>-57.008976377952159</v>
          </cell>
          <cell r="F1040">
            <v>113.77842519685345</v>
          </cell>
          <cell r="G1040">
            <v>37.872913385826571</v>
          </cell>
          <cell r="H1040">
            <v>37.872913385826571</v>
          </cell>
          <cell r="I1040" t="e">
            <v>#N/A</v>
          </cell>
          <cell r="J1040" t="e">
            <v>#N/A</v>
          </cell>
          <cell r="K1040">
            <v>90</v>
          </cell>
          <cell r="L1040">
            <v>50</v>
          </cell>
          <cell r="M1040" t="e">
            <v>#N/A</v>
          </cell>
          <cell r="N1040">
            <v>80</v>
          </cell>
          <cell r="O1040" t="e">
            <v>#N/A</v>
          </cell>
          <cell r="P1040" t="str">
            <v/>
          </cell>
          <cell r="Q1040" t="str">
            <v/>
          </cell>
          <cell r="R1040" t="e">
            <v>#N/A</v>
          </cell>
        </row>
        <row r="1041">
          <cell r="A1041" t="str">
            <v/>
          </cell>
          <cell r="B1041" t="str">
            <v/>
          </cell>
          <cell r="C1041" t="str">
            <v>Future</v>
          </cell>
          <cell r="D1041" t="e">
            <v>#N/A</v>
          </cell>
          <cell r="E1041">
            <v>-57.259015748030897</v>
          </cell>
          <cell r="F1041">
            <v>113.88271653543613</v>
          </cell>
          <cell r="G1041">
            <v>37.819724409448618</v>
          </cell>
          <cell r="H1041">
            <v>37.819724409448618</v>
          </cell>
          <cell r="I1041" t="e">
            <v>#N/A</v>
          </cell>
          <cell r="J1041" t="e">
            <v>#N/A</v>
          </cell>
          <cell r="K1041">
            <v>90</v>
          </cell>
          <cell r="L1041">
            <v>50</v>
          </cell>
          <cell r="M1041" t="e">
            <v>#N/A</v>
          </cell>
          <cell r="N1041">
            <v>80</v>
          </cell>
          <cell r="O1041" t="e">
            <v>#N/A</v>
          </cell>
          <cell r="P1041" t="str">
            <v/>
          </cell>
          <cell r="Q1041" t="str">
            <v/>
          </cell>
          <cell r="R1041" t="e">
            <v>#N/A</v>
          </cell>
        </row>
        <row r="1042">
          <cell r="A1042" t="str">
            <v/>
          </cell>
          <cell r="B1042" t="str">
            <v/>
          </cell>
          <cell r="C1042" t="str">
            <v>Future</v>
          </cell>
          <cell r="D1042" t="e">
            <v>#N/A</v>
          </cell>
          <cell r="E1042">
            <v>-57.509055118109636</v>
          </cell>
          <cell r="F1042">
            <v>113.98700787401881</v>
          </cell>
          <cell r="G1042">
            <v>37.766535433070665</v>
          </cell>
          <cell r="H1042">
            <v>37.766535433070665</v>
          </cell>
          <cell r="I1042" t="e">
            <v>#N/A</v>
          </cell>
          <cell r="J1042" t="e">
            <v>#N/A</v>
          </cell>
          <cell r="K1042">
            <v>90</v>
          </cell>
          <cell r="L1042">
            <v>50</v>
          </cell>
          <cell r="M1042" t="e">
            <v>#N/A</v>
          </cell>
          <cell r="N1042">
            <v>80</v>
          </cell>
          <cell r="O1042" t="e">
            <v>#N/A</v>
          </cell>
          <cell r="P1042" t="str">
            <v/>
          </cell>
          <cell r="Q1042" t="str">
            <v/>
          </cell>
          <cell r="R1042" t="e">
            <v>#N/A</v>
          </cell>
        </row>
        <row r="1043">
          <cell r="A1043" t="str">
            <v/>
          </cell>
          <cell r="B1043" t="str">
            <v/>
          </cell>
          <cell r="C1043" t="str">
            <v>Future</v>
          </cell>
          <cell r="D1043" t="e">
            <v>#N/A</v>
          </cell>
          <cell r="E1043">
            <v>-57.759094488188374</v>
          </cell>
          <cell r="F1043">
            <v>114.0912992126015</v>
          </cell>
          <cell r="G1043">
            <v>37.713346456692712</v>
          </cell>
          <cell r="H1043">
            <v>37.713346456692712</v>
          </cell>
          <cell r="I1043" t="e">
            <v>#N/A</v>
          </cell>
          <cell r="J1043" t="e">
            <v>#N/A</v>
          </cell>
          <cell r="K1043">
            <v>90</v>
          </cell>
          <cell r="L1043">
            <v>50</v>
          </cell>
          <cell r="M1043" t="e">
            <v>#N/A</v>
          </cell>
          <cell r="N1043">
            <v>80</v>
          </cell>
          <cell r="O1043" t="e">
            <v>#N/A</v>
          </cell>
          <cell r="P1043" t="str">
            <v/>
          </cell>
          <cell r="Q1043" t="str">
            <v/>
          </cell>
          <cell r="R1043" t="e">
            <v>#N/A</v>
          </cell>
        </row>
        <row r="1044">
          <cell r="A1044" t="str">
            <v/>
          </cell>
          <cell r="B1044" t="str">
            <v/>
          </cell>
          <cell r="C1044" t="str">
            <v>Future</v>
          </cell>
          <cell r="D1044" t="e">
            <v>#N/A</v>
          </cell>
          <cell r="E1044">
            <v>-58.009133858267113</v>
          </cell>
          <cell r="F1044">
            <v>114.19559055118418</v>
          </cell>
          <cell r="G1044">
            <v>37.660157480314759</v>
          </cell>
          <cell r="H1044">
            <v>37.660157480314759</v>
          </cell>
          <cell r="I1044" t="e">
            <v>#N/A</v>
          </cell>
          <cell r="J1044" t="e">
            <v>#N/A</v>
          </cell>
          <cell r="K1044">
            <v>90</v>
          </cell>
          <cell r="L1044">
            <v>50</v>
          </cell>
          <cell r="M1044" t="e">
            <v>#N/A</v>
          </cell>
          <cell r="N1044">
            <v>80</v>
          </cell>
          <cell r="O1044" t="e">
            <v>#N/A</v>
          </cell>
          <cell r="P1044" t="str">
            <v/>
          </cell>
          <cell r="Q1044" t="str">
            <v/>
          </cell>
          <cell r="R1044" t="e">
            <v>#N/A</v>
          </cell>
        </row>
        <row r="1045">
          <cell r="A1045" t="str">
            <v/>
          </cell>
          <cell r="B1045" t="str">
            <v/>
          </cell>
          <cell r="C1045" t="str">
            <v>Future</v>
          </cell>
          <cell r="D1045" t="e">
            <v>#N/A</v>
          </cell>
          <cell r="E1045">
            <v>-58.259173228345851</v>
          </cell>
          <cell r="F1045">
            <v>114.29988188976687</v>
          </cell>
          <cell r="G1045">
            <v>37.606968503936805</v>
          </cell>
          <cell r="H1045">
            <v>37.606968503936805</v>
          </cell>
          <cell r="I1045" t="e">
            <v>#N/A</v>
          </cell>
          <cell r="J1045" t="e">
            <v>#N/A</v>
          </cell>
          <cell r="K1045">
            <v>90</v>
          </cell>
          <cell r="L1045">
            <v>50</v>
          </cell>
          <cell r="M1045" t="e">
            <v>#N/A</v>
          </cell>
          <cell r="N1045">
            <v>80</v>
          </cell>
          <cell r="O1045" t="e">
            <v>#N/A</v>
          </cell>
          <cell r="P1045" t="str">
            <v/>
          </cell>
          <cell r="Q1045" t="str">
            <v/>
          </cell>
          <cell r="R1045" t="e">
            <v>#N/A</v>
          </cell>
        </row>
        <row r="1046">
          <cell r="A1046" t="str">
            <v/>
          </cell>
          <cell r="B1046" t="str">
            <v/>
          </cell>
          <cell r="C1046" t="str">
            <v>Future</v>
          </cell>
          <cell r="D1046" t="e">
            <v>#N/A</v>
          </cell>
          <cell r="E1046">
            <v>-58.50921259842459</v>
          </cell>
          <cell r="F1046">
            <v>114.40417322834955</v>
          </cell>
          <cell r="G1046">
            <v>37.553779527558852</v>
          </cell>
          <cell r="H1046">
            <v>37.553779527558852</v>
          </cell>
          <cell r="I1046" t="e">
            <v>#N/A</v>
          </cell>
          <cell r="J1046" t="e">
            <v>#N/A</v>
          </cell>
          <cell r="K1046">
            <v>90</v>
          </cell>
          <cell r="L1046">
            <v>50</v>
          </cell>
          <cell r="M1046" t="e">
            <v>#N/A</v>
          </cell>
          <cell r="N1046">
            <v>80</v>
          </cell>
          <cell r="O1046" t="e">
            <v>#N/A</v>
          </cell>
          <cell r="P1046" t="str">
            <v/>
          </cell>
          <cell r="Q1046" t="str">
            <v/>
          </cell>
          <cell r="R1046" t="e">
            <v>#N/A</v>
          </cell>
        </row>
        <row r="1047">
          <cell r="A1047" t="str">
            <v/>
          </cell>
          <cell r="B1047" t="str">
            <v/>
          </cell>
          <cell r="C1047" t="str">
            <v>Future</v>
          </cell>
          <cell r="D1047" t="e">
            <v>#N/A</v>
          </cell>
          <cell r="E1047">
            <v>-58.759251968503328</v>
          </cell>
          <cell r="F1047">
            <v>114.50846456693223</v>
          </cell>
          <cell r="G1047">
            <v>37.500590551180899</v>
          </cell>
          <cell r="H1047">
            <v>37.500590551180899</v>
          </cell>
          <cell r="I1047" t="e">
            <v>#N/A</v>
          </cell>
          <cell r="J1047" t="e">
            <v>#N/A</v>
          </cell>
          <cell r="K1047">
            <v>90</v>
          </cell>
          <cell r="L1047">
            <v>50</v>
          </cell>
          <cell r="M1047" t="e">
            <v>#N/A</v>
          </cell>
          <cell r="N1047">
            <v>80</v>
          </cell>
          <cell r="O1047" t="e">
            <v>#N/A</v>
          </cell>
          <cell r="P1047" t="str">
            <v/>
          </cell>
          <cell r="Q1047" t="str">
            <v/>
          </cell>
          <cell r="R1047" t="e">
            <v>#N/A</v>
          </cell>
        </row>
        <row r="1048">
          <cell r="A1048" t="str">
            <v/>
          </cell>
          <cell r="B1048" t="str">
            <v/>
          </cell>
          <cell r="C1048" t="str">
            <v>Future</v>
          </cell>
          <cell r="D1048" t="e">
            <v>#N/A</v>
          </cell>
          <cell r="E1048">
            <v>-59.009291338582067</v>
          </cell>
          <cell r="F1048">
            <v>114.61275590551492</v>
          </cell>
          <cell r="G1048">
            <v>37.447401574802946</v>
          </cell>
          <cell r="H1048">
            <v>37.447401574802946</v>
          </cell>
          <cell r="I1048" t="e">
            <v>#N/A</v>
          </cell>
          <cell r="J1048" t="e">
            <v>#N/A</v>
          </cell>
          <cell r="K1048">
            <v>90</v>
          </cell>
          <cell r="L1048">
            <v>50</v>
          </cell>
          <cell r="M1048" t="e">
            <v>#N/A</v>
          </cell>
          <cell r="N1048">
            <v>80</v>
          </cell>
          <cell r="O1048" t="e">
            <v>#N/A</v>
          </cell>
          <cell r="P1048" t="str">
            <v/>
          </cell>
          <cell r="Q1048" t="str">
            <v/>
          </cell>
          <cell r="R1048" t="e">
            <v>#N/A</v>
          </cell>
        </row>
        <row r="1049">
          <cell r="A1049" t="str">
            <v/>
          </cell>
          <cell r="B1049" t="str">
            <v/>
          </cell>
          <cell r="C1049" t="str">
            <v>Future</v>
          </cell>
          <cell r="D1049" t="e">
            <v>#N/A</v>
          </cell>
          <cell r="E1049">
            <v>-59.259330708660805</v>
          </cell>
          <cell r="F1049">
            <v>114.7170472440976</v>
          </cell>
          <cell r="G1049">
            <v>37.394212598424993</v>
          </cell>
          <cell r="H1049">
            <v>37.394212598424993</v>
          </cell>
          <cell r="I1049" t="e">
            <v>#N/A</v>
          </cell>
          <cell r="J1049" t="e">
            <v>#N/A</v>
          </cell>
          <cell r="K1049">
            <v>90</v>
          </cell>
          <cell r="L1049">
            <v>50</v>
          </cell>
          <cell r="M1049" t="e">
            <v>#N/A</v>
          </cell>
          <cell r="N1049">
            <v>80</v>
          </cell>
          <cell r="O1049" t="e">
            <v>#N/A</v>
          </cell>
          <cell r="P1049" t="str">
            <v/>
          </cell>
          <cell r="Q1049" t="str">
            <v/>
          </cell>
          <cell r="R1049" t="e">
            <v>#N/A</v>
          </cell>
        </row>
        <row r="1050">
          <cell r="A1050" t="str">
            <v/>
          </cell>
          <cell r="B1050" t="str">
            <v/>
          </cell>
          <cell r="C1050" t="str">
            <v>Future</v>
          </cell>
          <cell r="D1050" t="e">
            <v>#N/A</v>
          </cell>
          <cell r="E1050">
            <v>-59.509370078739543</v>
          </cell>
          <cell r="F1050">
            <v>114.82133858268028</v>
          </cell>
          <cell r="G1050">
            <v>37.34102362204704</v>
          </cell>
          <cell r="H1050">
            <v>37.34102362204704</v>
          </cell>
          <cell r="I1050" t="e">
            <v>#N/A</v>
          </cell>
          <cell r="J1050" t="e">
            <v>#N/A</v>
          </cell>
          <cell r="K1050">
            <v>90</v>
          </cell>
          <cell r="L1050">
            <v>50</v>
          </cell>
          <cell r="M1050" t="e">
            <v>#N/A</v>
          </cell>
          <cell r="N1050">
            <v>80</v>
          </cell>
          <cell r="O1050" t="e">
            <v>#N/A</v>
          </cell>
          <cell r="P1050" t="str">
            <v/>
          </cell>
          <cell r="Q1050" t="str">
            <v/>
          </cell>
          <cell r="R1050" t="e">
            <v>#N/A</v>
          </cell>
        </row>
        <row r="1051">
          <cell r="A1051" t="str">
            <v/>
          </cell>
          <cell r="B1051" t="str">
            <v/>
          </cell>
          <cell r="C1051" t="str">
            <v>Future</v>
          </cell>
          <cell r="D1051" t="e">
            <v>#N/A</v>
          </cell>
          <cell r="E1051">
            <v>-59.759409448818282</v>
          </cell>
          <cell r="F1051">
            <v>114.92562992126297</v>
          </cell>
          <cell r="G1051">
            <v>37.287834645669086</v>
          </cell>
          <cell r="H1051">
            <v>37.287834645669086</v>
          </cell>
          <cell r="I1051" t="e">
            <v>#N/A</v>
          </cell>
          <cell r="J1051" t="e">
            <v>#N/A</v>
          </cell>
          <cell r="K1051">
            <v>90</v>
          </cell>
          <cell r="L1051">
            <v>50</v>
          </cell>
          <cell r="M1051" t="e">
            <v>#N/A</v>
          </cell>
          <cell r="N1051">
            <v>80</v>
          </cell>
          <cell r="O1051" t="e">
            <v>#N/A</v>
          </cell>
          <cell r="P1051" t="str">
            <v/>
          </cell>
          <cell r="Q1051" t="str">
            <v/>
          </cell>
          <cell r="R1051" t="e">
            <v>#N/A</v>
          </cell>
        </row>
        <row r="1052">
          <cell r="A1052" t="str">
            <v/>
          </cell>
          <cell r="B1052" t="str">
            <v/>
          </cell>
          <cell r="C1052" t="str">
            <v>Future</v>
          </cell>
          <cell r="D1052" t="e">
            <v>#N/A</v>
          </cell>
          <cell r="E1052">
            <v>-60.00944881889702</v>
          </cell>
          <cell r="F1052">
            <v>115.02992125984565</v>
          </cell>
          <cell r="G1052">
            <v>37.234645669291133</v>
          </cell>
          <cell r="H1052">
            <v>37.234645669291133</v>
          </cell>
          <cell r="I1052" t="e">
            <v>#N/A</v>
          </cell>
          <cell r="J1052" t="e">
            <v>#N/A</v>
          </cell>
          <cell r="K1052">
            <v>90</v>
          </cell>
          <cell r="L1052">
            <v>50</v>
          </cell>
          <cell r="M1052" t="e">
            <v>#N/A</v>
          </cell>
          <cell r="N1052">
            <v>80</v>
          </cell>
          <cell r="O1052" t="e">
            <v>#N/A</v>
          </cell>
          <cell r="P1052" t="str">
            <v/>
          </cell>
          <cell r="Q1052" t="str">
            <v/>
          </cell>
          <cell r="R1052" t="e">
            <v>#N/A</v>
          </cell>
        </row>
        <row r="1053">
          <cell r="A1053" t="str">
            <v/>
          </cell>
          <cell r="B1053" t="str">
            <v/>
          </cell>
          <cell r="C1053" t="str">
            <v>Future</v>
          </cell>
          <cell r="D1053" t="e">
            <v>#N/A</v>
          </cell>
          <cell r="E1053">
            <v>-60.259488188975759</v>
          </cell>
          <cell r="F1053">
            <v>115.13421259842833</v>
          </cell>
          <cell r="G1053">
            <v>37.18145669291318</v>
          </cell>
          <cell r="H1053">
            <v>37.18145669291318</v>
          </cell>
          <cell r="I1053" t="e">
            <v>#N/A</v>
          </cell>
          <cell r="J1053" t="e">
            <v>#N/A</v>
          </cell>
          <cell r="K1053">
            <v>90</v>
          </cell>
          <cell r="L1053">
            <v>50</v>
          </cell>
          <cell r="M1053" t="e">
            <v>#N/A</v>
          </cell>
          <cell r="N1053">
            <v>80</v>
          </cell>
          <cell r="O1053" t="e">
            <v>#N/A</v>
          </cell>
          <cell r="P1053" t="str">
            <v/>
          </cell>
          <cell r="Q1053" t="str">
            <v/>
          </cell>
          <cell r="R1053" t="e">
            <v>#N/A</v>
          </cell>
        </row>
        <row r="1054">
          <cell r="A1054" t="str">
            <v/>
          </cell>
          <cell r="B1054" t="str">
            <v/>
          </cell>
          <cell r="C1054" t="str">
            <v>Future</v>
          </cell>
          <cell r="D1054" t="e">
            <v>#N/A</v>
          </cell>
          <cell r="E1054">
            <v>-60.509527559054497</v>
          </cell>
          <cell r="F1054">
            <v>115.23850393701102</v>
          </cell>
          <cell r="G1054">
            <v>37.128267716535227</v>
          </cell>
          <cell r="H1054">
            <v>37.128267716535227</v>
          </cell>
          <cell r="I1054" t="e">
            <v>#N/A</v>
          </cell>
          <cell r="J1054" t="e">
            <v>#N/A</v>
          </cell>
          <cell r="K1054">
            <v>90</v>
          </cell>
          <cell r="L1054">
            <v>50</v>
          </cell>
          <cell r="M1054" t="e">
            <v>#N/A</v>
          </cell>
          <cell r="N1054">
            <v>80</v>
          </cell>
          <cell r="O1054" t="e">
            <v>#N/A</v>
          </cell>
          <cell r="P1054" t="str">
            <v/>
          </cell>
          <cell r="Q1054" t="str">
            <v/>
          </cell>
          <cell r="R1054" t="e">
            <v>#N/A</v>
          </cell>
        </row>
        <row r="1055">
          <cell r="A1055" t="str">
            <v/>
          </cell>
          <cell r="B1055" t="str">
            <v/>
          </cell>
          <cell r="C1055" t="str">
            <v>Future</v>
          </cell>
          <cell r="D1055" t="e">
            <v>#N/A</v>
          </cell>
          <cell r="E1055">
            <v>-60.759566929133236</v>
          </cell>
          <cell r="F1055">
            <v>115.3427952755937</v>
          </cell>
          <cell r="G1055">
            <v>37.075078740157274</v>
          </cell>
          <cell r="H1055">
            <v>37.075078740157274</v>
          </cell>
          <cell r="I1055" t="e">
            <v>#N/A</v>
          </cell>
          <cell r="J1055" t="e">
            <v>#N/A</v>
          </cell>
          <cell r="K1055">
            <v>90</v>
          </cell>
          <cell r="L1055">
            <v>50</v>
          </cell>
          <cell r="M1055" t="e">
            <v>#N/A</v>
          </cell>
          <cell r="N1055">
            <v>80</v>
          </cell>
          <cell r="O1055" t="e">
            <v>#N/A</v>
          </cell>
          <cell r="P1055" t="str">
            <v/>
          </cell>
          <cell r="Q1055" t="str">
            <v/>
          </cell>
          <cell r="R1055" t="e">
            <v>#N/A</v>
          </cell>
        </row>
        <row r="1056">
          <cell r="A1056" t="str">
            <v/>
          </cell>
          <cell r="B1056" t="str">
            <v/>
          </cell>
          <cell r="C1056" t="str">
            <v>Future</v>
          </cell>
          <cell r="D1056" t="e">
            <v>#N/A</v>
          </cell>
          <cell r="E1056">
            <v>-61.009606299211974</v>
          </cell>
          <cell r="F1056">
            <v>115.44708661417638</v>
          </cell>
          <cell r="G1056">
            <v>37.021889763779321</v>
          </cell>
          <cell r="H1056">
            <v>37.021889763779321</v>
          </cell>
          <cell r="I1056" t="e">
            <v>#N/A</v>
          </cell>
          <cell r="J1056" t="e">
            <v>#N/A</v>
          </cell>
          <cell r="K1056">
            <v>90</v>
          </cell>
          <cell r="L1056">
            <v>50</v>
          </cell>
          <cell r="M1056" t="e">
            <v>#N/A</v>
          </cell>
          <cell r="N1056">
            <v>80</v>
          </cell>
          <cell r="O1056" t="e">
            <v>#N/A</v>
          </cell>
          <cell r="P1056" t="str">
            <v/>
          </cell>
          <cell r="Q1056" t="str">
            <v/>
          </cell>
          <cell r="R1056" t="e">
            <v>#N/A</v>
          </cell>
        </row>
        <row r="1057">
          <cell r="A1057" t="str">
            <v/>
          </cell>
          <cell r="B1057" t="str">
            <v/>
          </cell>
          <cell r="C1057" t="str">
            <v>Future</v>
          </cell>
          <cell r="D1057" t="e">
            <v>#N/A</v>
          </cell>
          <cell r="E1057">
            <v>-61.259645669290713</v>
          </cell>
          <cell r="F1057">
            <v>115.55137795275907</v>
          </cell>
          <cell r="G1057">
            <v>36.968700787401367</v>
          </cell>
          <cell r="H1057">
            <v>36.968700787401367</v>
          </cell>
          <cell r="I1057" t="e">
            <v>#N/A</v>
          </cell>
          <cell r="J1057" t="e">
            <v>#N/A</v>
          </cell>
          <cell r="K1057">
            <v>90</v>
          </cell>
          <cell r="L1057">
            <v>50</v>
          </cell>
          <cell r="M1057" t="e">
            <v>#N/A</v>
          </cell>
          <cell r="N1057">
            <v>80</v>
          </cell>
          <cell r="O1057" t="e">
            <v>#N/A</v>
          </cell>
          <cell r="P1057" t="str">
            <v/>
          </cell>
          <cell r="Q1057" t="str">
            <v/>
          </cell>
          <cell r="R1057" t="e">
            <v>#N/A</v>
          </cell>
        </row>
        <row r="1058">
          <cell r="A1058" t="str">
            <v/>
          </cell>
          <cell r="B1058" t="str">
            <v/>
          </cell>
          <cell r="C1058" t="str">
            <v>Future</v>
          </cell>
          <cell r="D1058" t="e">
            <v>#N/A</v>
          </cell>
          <cell r="E1058">
            <v>-61.509685039369451</v>
          </cell>
          <cell r="F1058">
            <v>115.65566929134175</v>
          </cell>
          <cell r="G1058">
            <v>36.915511811023414</v>
          </cell>
          <cell r="H1058">
            <v>36.915511811023414</v>
          </cell>
          <cell r="I1058" t="e">
            <v>#N/A</v>
          </cell>
          <cell r="J1058" t="e">
            <v>#N/A</v>
          </cell>
          <cell r="K1058">
            <v>90</v>
          </cell>
          <cell r="L1058">
            <v>50</v>
          </cell>
          <cell r="M1058" t="e">
            <v>#N/A</v>
          </cell>
          <cell r="N1058">
            <v>80</v>
          </cell>
          <cell r="O1058" t="e">
            <v>#N/A</v>
          </cell>
          <cell r="P1058" t="str">
            <v/>
          </cell>
          <cell r="Q1058" t="str">
            <v/>
          </cell>
          <cell r="R1058" t="e">
            <v>#N/A</v>
          </cell>
        </row>
        <row r="1059">
          <cell r="A1059" t="str">
            <v/>
          </cell>
          <cell r="B1059" t="str">
            <v/>
          </cell>
          <cell r="C1059" t="str">
            <v>Future</v>
          </cell>
          <cell r="D1059" t="e">
            <v>#N/A</v>
          </cell>
          <cell r="E1059">
            <v>-61.759724409448189</v>
          </cell>
          <cell r="F1059">
            <v>115.75996062992444</v>
          </cell>
          <cell r="G1059">
            <v>36.862322834645461</v>
          </cell>
          <cell r="H1059">
            <v>36.862322834645461</v>
          </cell>
          <cell r="I1059" t="e">
            <v>#N/A</v>
          </cell>
          <cell r="J1059" t="e">
            <v>#N/A</v>
          </cell>
          <cell r="K1059">
            <v>90</v>
          </cell>
          <cell r="L1059">
            <v>50</v>
          </cell>
          <cell r="M1059" t="e">
            <v>#N/A</v>
          </cell>
          <cell r="N1059">
            <v>80</v>
          </cell>
          <cell r="O1059" t="e">
            <v>#N/A</v>
          </cell>
          <cell r="P1059" t="str">
            <v/>
          </cell>
          <cell r="Q1059" t="str">
            <v/>
          </cell>
          <cell r="R1059" t="e">
            <v>#N/A</v>
          </cell>
        </row>
        <row r="1060">
          <cell r="A1060" t="str">
            <v/>
          </cell>
          <cell r="B1060" t="str">
            <v/>
          </cell>
          <cell r="C1060" t="str">
            <v>Future</v>
          </cell>
          <cell r="D1060" t="e">
            <v>#N/A</v>
          </cell>
          <cell r="E1060">
            <v>-62.009763779526928</v>
          </cell>
          <cell r="F1060">
            <v>115.86425196850712</v>
          </cell>
          <cell r="G1060">
            <v>36.809133858267508</v>
          </cell>
          <cell r="H1060">
            <v>36.809133858267508</v>
          </cell>
          <cell r="I1060" t="e">
            <v>#N/A</v>
          </cell>
          <cell r="J1060" t="e">
            <v>#N/A</v>
          </cell>
          <cell r="K1060">
            <v>90</v>
          </cell>
          <cell r="L1060">
            <v>50</v>
          </cell>
          <cell r="M1060" t="e">
            <v>#N/A</v>
          </cell>
          <cell r="N1060">
            <v>80</v>
          </cell>
          <cell r="O1060" t="e">
            <v>#N/A</v>
          </cell>
          <cell r="P1060" t="str">
            <v/>
          </cell>
          <cell r="Q1060" t="str">
            <v/>
          </cell>
          <cell r="R1060" t="e">
            <v>#N/A</v>
          </cell>
        </row>
        <row r="1061">
          <cell r="A1061" t="str">
            <v/>
          </cell>
          <cell r="B1061" t="str">
            <v/>
          </cell>
          <cell r="C1061" t="str">
            <v>Future</v>
          </cell>
          <cell r="D1061" t="e">
            <v>#N/A</v>
          </cell>
          <cell r="E1061">
            <v>-62.259803149605666</v>
          </cell>
          <cell r="F1061">
            <v>115.9685433070898</v>
          </cell>
          <cell r="G1061">
            <v>36.755944881889555</v>
          </cell>
          <cell r="H1061">
            <v>36.755944881889555</v>
          </cell>
          <cell r="I1061" t="e">
            <v>#N/A</v>
          </cell>
          <cell r="J1061" t="e">
            <v>#N/A</v>
          </cell>
          <cell r="K1061">
            <v>90</v>
          </cell>
          <cell r="L1061">
            <v>50</v>
          </cell>
          <cell r="M1061" t="e">
            <v>#N/A</v>
          </cell>
          <cell r="N1061">
            <v>80</v>
          </cell>
          <cell r="O1061" t="e">
            <v>#N/A</v>
          </cell>
          <cell r="P1061" t="str">
            <v/>
          </cell>
          <cell r="Q1061" t="str">
            <v/>
          </cell>
          <cell r="R1061" t="e">
            <v>#N/A</v>
          </cell>
        </row>
        <row r="1062">
          <cell r="A1062" t="str">
            <v/>
          </cell>
          <cell r="B1062" t="str">
            <v/>
          </cell>
          <cell r="C1062" t="str">
            <v>Future</v>
          </cell>
          <cell r="D1062" t="e">
            <v>#N/A</v>
          </cell>
          <cell r="E1062">
            <v>-62.509842519684405</v>
          </cell>
          <cell r="F1062">
            <v>116.07283464567249</v>
          </cell>
          <cell r="G1062">
            <v>36.702755905511601</v>
          </cell>
          <cell r="H1062">
            <v>36.702755905511601</v>
          </cell>
          <cell r="I1062" t="e">
            <v>#N/A</v>
          </cell>
          <cell r="J1062" t="e">
            <v>#N/A</v>
          </cell>
          <cell r="K1062">
            <v>90</v>
          </cell>
          <cell r="L1062">
            <v>50</v>
          </cell>
          <cell r="M1062" t="e">
            <v>#N/A</v>
          </cell>
          <cell r="N1062">
            <v>80</v>
          </cell>
          <cell r="O1062" t="e">
            <v>#N/A</v>
          </cell>
          <cell r="P1062" t="str">
            <v/>
          </cell>
          <cell r="Q1062" t="str">
            <v/>
          </cell>
          <cell r="R1062" t="e">
            <v>#N/A</v>
          </cell>
        </row>
        <row r="1063">
          <cell r="A1063" t="str">
            <v/>
          </cell>
          <cell r="B1063" t="str">
            <v/>
          </cell>
          <cell r="C1063" t="str">
            <v>Future</v>
          </cell>
          <cell r="D1063" t="e">
            <v>#N/A</v>
          </cell>
          <cell r="E1063">
            <v>-62.759881889763143</v>
          </cell>
          <cell r="F1063">
            <v>116.17712598425517</v>
          </cell>
          <cell r="G1063">
            <v>36.649566929133648</v>
          </cell>
          <cell r="H1063">
            <v>36.649566929133648</v>
          </cell>
          <cell r="I1063" t="e">
            <v>#N/A</v>
          </cell>
          <cell r="J1063" t="e">
            <v>#N/A</v>
          </cell>
          <cell r="K1063">
            <v>90</v>
          </cell>
          <cell r="L1063">
            <v>50</v>
          </cell>
          <cell r="M1063" t="e">
            <v>#N/A</v>
          </cell>
          <cell r="N1063">
            <v>80</v>
          </cell>
          <cell r="O1063" t="e">
            <v>#N/A</v>
          </cell>
          <cell r="P1063" t="str">
            <v/>
          </cell>
          <cell r="Q1063" t="str">
            <v/>
          </cell>
          <cell r="R1063" t="e">
            <v>#N/A</v>
          </cell>
        </row>
        <row r="1064">
          <cell r="A1064" t="str">
            <v/>
          </cell>
          <cell r="B1064" t="str">
            <v/>
          </cell>
          <cell r="C1064" t="str">
            <v>Future</v>
          </cell>
          <cell r="D1064" t="e">
            <v>#N/A</v>
          </cell>
          <cell r="E1064">
            <v>-63.009921259841882</v>
          </cell>
          <cell r="F1064">
            <v>116.28141732283785</v>
          </cell>
          <cell r="G1064">
            <v>36.596377952755695</v>
          </cell>
          <cell r="H1064">
            <v>36.596377952755695</v>
          </cell>
          <cell r="I1064" t="e">
            <v>#N/A</v>
          </cell>
          <cell r="J1064" t="e">
            <v>#N/A</v>
          </cell>
          <cell r="K1064">
            <v>90</v>
          </cell>
          <cell r="L1064">
            <v>50</v>
          </cell>
          <cell r="M1064" t="e">
            <v>#N/A</v>
          </cell>
          <cell r="N1064">
            <v>80</v>
          </cell>
          <cell r="O1064" t="e">
            <v>#N/A</v>
          </cell>
          <cell r="P1064" t="str">
            <v/>
          </cell>
          <cell r="Q1064" t="str">
            <v/>
          </cell>
          <cell r="R1064" t="e">
            <v>#N/A</v>
          </cell>
        </row>
        <row r="1065">
          <cell r="A1065" t="str">
            <v/>
          </cell>
          <cell r="B1065" t="str">
            <v/>
          </cell>
          <cell r="C1065" t="str">
            <v>Future</v>
          </cell>
          <cell r="D1065" t="e">
            <v>#N/A</v>
          </cell>
          <cell r="E1065">
            <v>-63.25996062992062</v>
          </cell>
          <cell r="F1065">
            <v>116.38570866142054</v>
          </cell>
          <cell r="G1065">
            <v>36.543188976377742</v>
          </cell>
          <cell r="H1065">
            <v>36.543188976377742</v>
          </cell>
          <cell r="I1065" t="e">
            <v>#N/A</v>
          </cell>
          <cell r="J1065" t="e">
            <v>#N/A</v>
          </cell>
          <cell r="K1065">
            <v>90</v>
          </cell>
          <cell r="L1065">
            <v>50</v>
          </cell>
          <cell r="M1065" t="e">
            <v>#N/A</v>
          </cell>
          <cell r="N1065">
            <v>80</v>
          </cell>
          <cell r="O1065" t="e">
            <v>#N/A</v>
          </cell>
          <cell r="P1065" t="str">
            <v/>
          </cell>
          <cell r="Q1065" t="str">
            <v/>
          </cell>
          <cell r="R1065" t="e">
            <v>#N/A</v>
          </cell>
        </row>
        <row r="1066">
          <cell r="A1066" t="str">
            <v/>
          </cell>
          <cell r="B1066" t="str">
            <v/>
          </cell>
          <cell r="C1066" t="str">
            <v>Future</v>
          </cell>
          <cell r="D1066" t="e">
            <v>#N/A</v>
          </cell>
          <cell r="E1066">
            <v>-63.509999999999359</v>
          </cell>
          <cell r="F1066">
            <v>116.49000000000322</v>
          </cell>
          <cell r="G1066">
            <v>36.489999999999789</v>
          </cell>
          <cell r="H1066">
            <v>36.489999999999789</v>
          </cell>
          <cell r="I1066" t="e">
            <v>#N/A</v>
          </cell>
          <cell r="J1066" t="e">
            <v>#N/A</v>
          </cell>
          <cell r="K1066">
            <v>90</v>
          </cell>
          <cell r="L1066">
            <v>50</v>
          </cell>
          <cell r="M1066" t="e">
            <v>#N/A</v>
          </cell>
          <cell r="N1066">
            <v>80</v>
          </cell>
          <cell r="O1066" t="e">
            <v>#N/A</v>
          </cell>
          <cell r="P1066" t="str">
            <v/>
          </cell>
          <cell r="Q1066" t="str">
            <v/>
          </cell>
          <cell r="R1066" t="e">
            <v>#N/A</v>
          </cell>
        </row>
        <row r="1067">
          <cell r="A1067" t="str">
            <v/>
          </cell>
          <cell r="B1067" t="str">
            <v/>
          </cell>
          <cell r="C1067" t="str">
            <v>Future</v>
          </cell>
          <cell r="D1067" t="e">
            <v>#N/A</v>
          </cell>
          <cell r="E1067">
            <v>-63.760039370078097</v>
          </cell>
          <cell r="F1067">
            <v>116.5942913385859</v>
          </cell>
          <cell r="G1067">
            <v>36.436811023621836</v>
          </cell>
          <cell r="H1067">
            <v>36.436811023621836</v>
          </cell>
          <cell r="I1067" t="e">
            <v>#N/A</v>
          </cell>
          <cell r="J1067" t="e">
            <v>#N/A</v>
          </cell>
          <cell r="K1067">
            <v>90</v>
          </cell>
          <cell r="L1067">
            <v>50</v>
          </cell>
          <cell r="M1067" t="e">
            <v>#N/A</v>
          </cell>
          <cell r="N1067">
            <v>80</v>
          </cell>
          <cell r="O1067" t="e">
            <v>#N/A</v>
          </cell>
          <cell r="P1067" t="str">
            <v/>
          </cell>
          <cell r="Q1067" t="str">
            <v/>
          </cell>
          <cell r="R1067" t="e">
            <v>#N/A</v>
          </cell>
        </row>
        <row r="1068">
          <cell r="A1068" t="str">
            <v/>
          </cell>
          <cell r="B1068" t="str">
            <v/>
          </cell>
          <cell r="C1068" t="str">
            <v>Future</v>
          </cell>
          <cell r="D1068" t="e">
            <v>#N/A</v>
          </cell>
          <cell r="E1068">
            <v>-64.010078740156843</v>
          </cell>
          <cell r="F1068">
            <v>116.69858267716859</v>
          </cell>
          <cell r="G1068">
            <v>36.383622047243882</v>
          </cell>
          <cell r="H1068">
            <v>36.383622047243882</v>
          </cell>
          <cell r="I1068" t="e">
            <v>#N/A</v>
          </cell>
          <cell r="J1068" t="e">
            <v>#N/A</v>
          </cell>
          <cell r="K1068">
            <v>90</v>
          </cell>
          <cell r="L1068">
            <v>50</v>
          </cell>
          <cell r="M1068" t="e">
            <v>#N/A</v>
          </cell>
          <cell r="N1068">
            <v>80</v>
          </cell>
          <cell r="O1068" t="e">
            <v>#N/A</v>
          </cell>
          <cell r="P1068" t="str">
            <v/>
          </cell>
          <cell r="Q1068" t="str">
            <v/>
          </cell>
          <cell r="R1068" t="e">
            <v>#N/A</v>
          </cell>
        </row>
        <row r="1069">
          <cell r="A1069" t="str">
            <v/>
          </cell>
          <cell r="B1069" t="str">
            <v/>
          </cell>
          <cell r="C1069" t="str">
            <v>Future</v>
          </cell>
          <cell r="D1069" t="e">
            <v>#N/A</v>
          </cell>
          <cell r="E1069">
            <v>-64.260118110235581</v>
          </cell>
          <cell r="F1069">
            <v>116.80287401575127</v>
          </cell>
          <cell r="G1069">
            <v>36.330433070865929</v>
          </cell>
          <cell r="H1069">
            <v>36.330433070865929</v>
          </cell>
          <cell r="I1069" t="e">
            <v>#N/A</v>
          </cell>
          <cell r="J1069" t="e">
            <v>#N/A</v>
          </cell>
          <cell r="K1069">
            <v>90</v>
          </cell>
          <cell r="L1069">
            <v>50</v>
          </cell>
          <cell r="M1069" t="e">
            <v>#N/A</v>
          </cell>
          <cell r="N1069">
            <v>80</v>
          </cell>
          <cell r="O1069" t="e">
            <v>#N/A</v>
          </cell>
          <cell r="P1069" t="str">
            <v/>
          </cell>
          <cell r="Q1069" t="str">
            <v/>
          </cell>
          <cell r="R1069" t="e">
            <v>#N/A</v>
          </cell>
        </row>
        <row r="1070">
          <cell r="A1070" t="str">
            <v/>
          </cell>
          <cell r="B1070" t="str">
            <v/>
          </cell>
          <cell r="C1070" t="str">
            <v>Future</v>
          </cell>
          <cell r="D1070" t="e">
            <v>#N/A</v>
          </cell>
          <cell r="E1070">
            <v>-64.510157480314319</v>
          </cell>
          <cell r="F1070">
            <v>116.90716535433396</v>
          </cell>
          <cell r="G1070">
            <v>36.277244094487976</v>
          </cell>
          <cell r="H1070">
            <v>36.277244094487976</v>
          </cell>
          <cell r="I1070" t="e">
            <v>#N/A</v>
          </cell>
          <cell r="J1070" t="e">
            <v>#N/A</v>
          </cell>
          <cell r="K1070">
            <v>90</v>
          </cell>
          <cell r="L1070">
            <v>50</v>
          </cell>
          <cell r="M1070" t="e">
            <v>#N/A</v>
          </cell>
          <cell r="N1070">
            <v>80</v>
          </cell>
          <cell r="O1070" t="e">
            <v>#N/A</v>
          </cell>
          <cell r="P1070" t="str">
            <v/>
          </cell>
          <cell r="Q1070" t="str">
            <v/>
          </cell>
          <cell r="R1070" t="e">
            <v>#N/A</v>
          </cell>
        </row>
        <row r="1071">
          <cell r="A1071" t="str">
            <v/>
          </cell>
          <cell r="B1071" t="str">
            <v/>
          </cell>
          <cell r="C1071" t="str">
            <v>Future</v>
          </cell>
          <cell r="D1071" t="e">
            <v>#N/A</v>
          </cell>
          <cell r="E1071">
            <v>-64.760196850393058</v>
          </cell>
          <cell r="F1071">
            <v>117.01145669291664</v>
          </cell>
          <cell r="G1071">
            <v>36.224055118110023</v>
          </cell>
          <cell r="H1071">
            <v>36.224055118110023</v>
          </cell>
          <cell r="I1071" t="e">
            <v>#N/A</v>
          </cell>
          <cell r="J1071" t="e">
            <v>#N/A</v>
          </cell>
          <cell r="K1071">
            <v>90</v>
          </cell>
          <cell r="L1071">
            <v>50</v>
          </cell>
          <cell r="M1071" t="e">
            <v>#N/A</v>
          </cell>
          <cell r="N1071">
            <v>80</v>
          </cell>
          <cell r="O1071" t="e">
            <v>#N/A</v>
          </cell>
          <cell r="P1071" t="str">
            <v/>
          </cell>
          <cell r="Q1071" t="str">
            <v/>
          </cell>
          <cell r="R1071" t="e">
            <v>#N/A</v>
          </cell>
        </row>
        <row r="1072">
          <cell r="A1072" t="str">
            <v/>
          </cell>
          <cell r="B1072" t="str">
            <v/>
          </cell>
          <cell r="C1072" t="str">
            <v>Future</v>
          </cell>
          <cell r="D1072" t="e">
            <v>#N/A</v>
          </cell>
          <cell r="E1072">
            <v>-65.010236220471796</v>
          </cell>
          <cell r="F1072">
            <v>117.11574803149932</v>
          </cell>
          <cell r="G1072">
            <v>36.17086614173207</v>
          </cell>
          <cell r="H1072">
            <v>36.17086614173207</v>
          </cell>
          <cell r="I1072" t="e">
            <v>#N/A</v>
          </cell>
          <cell r="J1072" t="e">
            <v>#N/A</v>
          </cell>
          <cell r="K1072">
            <v>90</v>
          </cell>
          <cell r="L1072">
            <v>50</v>
          </cell>
          <cell r="M1072" t="e">
            <v>#N/A</v>
          </cell>
          <cell r="N1072">
            <v>80</v>
          </cell>
          <cell r="O1072" t="e">
            <v>#N/A</v>
          </cell>
          <cell r="P1072" t="str">
            <v/>
          </cell>
          <cell r="Q1072" t="str">
            <v/>
          </cell>
          <cell r="R1072" t="e">
            <v>#N/A</v>
          </cell>
        </row>
        <row r="1073">
          <cell r="A1073" t="str">
            <v/>
          </cell>
          <cell r="B1073" t="str">
            <v/>
          </cell>
          <cell r="C1073" t="str">
            <v>Future</v>
          </cell>
          <cell r="D1073" t="e">
            <v>#N/A</v>
          </cell>
          <cell r="E1073">
            <v>-65.260275590550535</v>
          </cell>
          <cell r="F1073">
            <v>117.22003937008201</v>
          </cell>
          <cell r="G1073">
            <v>36.117677165354117</v>
          </cell>
          <cell r="H1073">
            <v>36.117677165354117</v>
          </cell>
          <cell r="I1073" t="e">
            <v>#N/A</v>
          </cell>
          <cell r="J1073" t="e">
            <v>#N/A</v>
          </cell>
          <cell r="K1073">
            <v>90</v>
          </cell>
          <cell r="L1073">
            <v>50</v>
          </cell>
          <cell r="M1073" t="e">
            <v>#N/A</v>
          </cell>
          <cell r="N1073">
            <v>80</v>
          </cell>
          <cell r="O1073" t="e">
            <v>#N/A</v>
          </cell>
          <cell r="P1073" t="str">
            <v/>
          </cell>
          <cell r="Q1073" t="str">
            <v/>
          </cell>
          <cell r="R1073" t="e">
            <v>#N/A</v>
          </cell>
        </row>
        <row r="1074">
          <cell r="A1074" t="str">
            <v/>
          </cell>
          <cell r="B1074" t="str">
            <v/>
          </cell>
          <cell r="C1074" t="str">
            <v>Future</v>
          </cell>
          <cell r="D1074" t="e">
            <v>#N/A</v>
          </cell>
          <cell r="E1074">
            <v>-65.510314960629273</v>
          </cell>
          <cell r="F1074">
            <v>117.32433070866469</v>
          </cell>
          <cell r="G1074">
            <v>36.064488188976163</v>
          </cell>
          <cell r="H1074">
            <v>36.064488188976163</v>
          </cell>
          <cell r="I1074" t="e">
            <v>#N/A</v>
          </cell>
          <cell r="J1074" t="e">
            <v>#N/A</v>
          </cell>
          <cell r="K1074">
            <v>90</v>
          </cell>
          <cell r="L1074">
            <v>50</v>
          </cell>
          <cell r="M1074" t="e">
            <v>#N/A</v>
          </cell>
          <cell r="N1074">
            <v>80</v>
          </cell>
          <cell r="O1074" t="e">
            <v>#N/A</v>
          </cell>
          <cell r="P1074" t="str">
            <v/>
          </cell>
          <cell r="Q1074" t="str">
            <v/>
          </cell>
          <cell r="R1074" t="e">
            <v>#N/A</v>
          </cell>
        </row>
        <row r="1075">
          <cell r="A1075" t="str">
            <v/>
          </cell>
          <cell r="B1075" t="str">
            <v/>
          </cell>
          <cell r="C1075" t="str">
            <v>Future</v>
          </cell>
          <cell r="D1075" t="e">
            <v>#N/A</v>
          </cell>
          <cell r="E1075">
            <v>-65.760354330708012</v>
          </cell>
          <cell r="F1075">
            <v>117.42862204724737</v>
          </cell>
          <cell r="G1075">
            <v>36.01129921259821</v>
          </cell>
          <cell r="H1075">
            <v>36.01129921259821</v>
          </cell>
          <cell r="I1075" t="e">
            <v>#N/A</v>
          </cell>
          <cell r="J1075" t="e">
            <v>#N/A</v>
          </cell>
          <cell r="K1075">
            <v>90</v>
          </cell>
          <cell r="L1075">
            <v>50</v>
          </cell>
          <cell r="M1075" t="e">
            <v>#N/A</v>
          </cell>
          <cell r="N1075">
            <v>80</v>
          </cell>
          <cell r="O1075" t="e">
            <v>#N/A</v>
          </cell>
          <cell r="P1075" t="str">
            <v/>
          </cell>
          <cell r="Q1075" t="str">
            <v/>
          </cell>
          <cell r="R1075" t="e">
            <v>#N/A</v>
          </cell>
        </row>
        <row r="1076">
          <cell r="A1076" t="str">
            <v/>
          </cell>
          <cell r="B1076" t="str">
            <v/>
          </cell>
          <cell r="C1076" t="str">
            <v>Future</v>
          </cell>
          <cell r="D1076" t="e">
            <v>#N/A</v>
          </cell>
          <cell r="E1076">
            <v>-66.01039370078675</v>
          </cell>
          <cell r="F1076">
            <v>117.53291338583006</v>
          </cell>
          <cell r="G1076">
            <v>35.958110236220257</v>
          </cell>
          <cell r="H1076">
            <v>35.958110236220257</v>
          </cell>
          <cell r="I1076" t="e">
            <v>#N/A</v>
          </cell>
          <cell r="J1076" t="e">
            <v>#N/A</v>
          </cell>
          <cell r="K1076">
            <v>90</v>
          </cell>
          <cell r="L1076">
            <v>50</v>
          </cell>
          <cell r="M1076" t="e">
            <v>#N/A</v>
          </cell>
          <cell r="N1076">
            <v>80</v>
          </cell>
          <cell r="O1076" t="e">
            <v>#N/A</v>
          </cell>
          <cell r="P1076" t="str">
            <v/>
          </cell>
          <cell r="Q1076" t="str">
            <v/>
          </cell>
          <cell r="R1076" t="e">
            <v>#N/A</v>
          </cell>
        </row>
        <row r="1077">
          <cell r="A1077" t="str">
            <v/>
          </cell>
          <cell r="B1077" t="str">
            <v/>
          </cell>
          <cell r="C1077" t="str">
            <v>Future</v>
          </cell>
          <cell r="D1077" t="e">
            <v>#N/A</v>
          </cell>
          <cell r="E1077">
            <v>-66.260433070865489</v>
          </cell>
          <cell r="F1077">
            <v>117.63720472441274</v>
          </cell>
          <cell r="G1077">
            <v>35.904921259842304</v>
          </cell>
          <cell r="H1077">
            <v>35.904921259842304</v>
          </cell>
          <cell r="I1077" t="e">
            <v>#N/A</v>
          </cell>
          <cell r="J1077" t="e">
            <v>#N/A</v>
          </cell>
          <cell r="K1077">
            <v>90</v>
          </cell>
          <cell r="L1077">
            <v>50</v>
          </cell>
          <cell r="M1077" t="e">
            <v>#N/A</v>
          </cell>
          <cell r="N1077">
            <v>80</v>
          </cell>
          <cell r="O1077" t="e">
            <v>#N/A</v>
          </cell>
          <cell r="P1077" t="str">
            <v/>
          </cell>
          <cell r="Q1077" t="str">
            <v/>
          </cell>
          <cell r="R1077" t="e">
            <v>#N/A</v>
          </cell>
        </row>
        <row r="1078">
          <cell r="A1078" t="str">
            <v/>
          </cell>
          <cell r="B1078" t="str">
            <v/>
          </cell>
          <cell r="C1078" t="str">
            <v>Future</v>
          </cell>
          <cell r="D1078" t="e">
            <v>#N/A</v>
          </cell>
          <cell r="E1078">
            <v>-66.510472440944227</v>
          </cell>
          <cell r="F1078">
            <v>117.74149606299542</v>
          </cell>
          <cell r="G1078">
            <v>35.851732283464351</v>
          </cell>
          <cell r="H1078">
            <v>35.851732283464351</v>
          </cell>
          <cell r="I1078" t="e">
            <v>#N/A</v>
          </cell>
          <cell r="J1078" t="e">
            <v>#N/A</v>
          </cell>
          <cell r="K1078">
            <v>90</v>
          </cell>
          <cell r="L1078">
            <v>50</v>
          </cell>
          <cell r="M1078" t="e">
            <v>#N/A</v>
          </cell>
          <cell r="N1078">
            <v>80</v>
          </cell>
          <cell r="O1078" t="e">
            <v>#N/A</v>
          </cell>
          <cell r="P1078" t="str">
            <v/>
          </cell>
          <cell r="Q1078" t="str">
            <v/>
          </cell>
          <cell r="R1078" t="e">
            <v>#N/A</v>
          </cell>
        </row>
        <row r="1079">
          <cell r="A1079" t="str">
            <v/>
          </cell>
          <cell r="B1079" t="str">
            <v/>
          </cell>
          <cell r="C1079" t="str">
            <v>Future</v>
          </cell>
          <cell r="D1079" t="e">
            <v>#N/A</v>
          </cell>
          <cell r="E1079">
            <v>-66.760511811022965</v>
          </cell>
          <cell r="F1079">
            <v>117.84578740157811</v>
          </cell>
          <cell r="G1079">
            <v>35.798543307086398</v>
          </cell>
          <cell r="H1079">
            <v>35.798543307086398</v>
          </cell>
          <cell r="I1079" t="e">
            <v>#N/A</v>
          </cell>
          <cell r="J1079" t="e">
            <v>#N/A</v>
          </cell>
          <cell r="K1079">
            <v>90</v>
          </cell>
          <cell r="L1079">
            <v>50</v>
          </cell>
          <cell r="M1079" t="e">
            <v>#N/A</v>
          </cell>
          <cell r="N1079">
            <v>80</v>
          </cell>
          <cell r="O1079" t="e">
            <v>#N/A</v>
          </cell>
          <cell r="P1079" t="str">
            <v/>
          </cell>
          <cell r="Q1079" t="str">
            <v/>
          </cell>
          <cell r="R1079" t="e">
            <v>#N/A</v>
          </cell>
        </row>
        <row r="1080">
          <cell r="A1080" t="str">
            <v/>
          </cell>
          <cell r="B1080" t="str">
            <v/>
          </cell>
          <cell r="C1080" t="str">
            <v>Future</v>
          </cell>
          <cell r="D1080" t="e">
            <v>#N/A</v>
          </cell>
          <cell r="E1080">
            <v>-67.010551181101704</v>
          </cell>
          <cell r="F1080">
            <v>117.95007874016079</v>
          </cell>
          <cell r="G1080">
            <v>35.745354330708444</v>
          </cell>
          <cell r="H1080">
            <v>35.745354330708444</v>
          </cell>
          <cell r="I1080" t="e">
            <v>#N/A</v>
          </cell>
          <cell r="J1080" t="e">
            <v>#N/A</v>
          </cell>
          <cell r="K1080">
            <v>90</v>
          </cell>
          <cell r="L1080">
            <v>50</v>
          </cell>
          <cell r="M1080" t="e">
            <v>#N/A</v>
          </cell>
          <cell r="N1080">
            <v>80</v>
          </cell>
          <cell r="O1080" t="e">
            <v>#N/A</v>
          </cell>
          <cell r="P1080" t="str">
            <v/>
          </cell>
          <cell r="Q1080" t="str">
            <v/>
          </cell>
          <cell r="R1080" t="e">
            <v>#N/A</v>
          </cell>
        </row>
        <row r="1081">
          <cell r="A1081" t="str">
            <v/>
          </cell>
          <cell r="B1081" t="str">
            <v/>
          </cell>
          <cell r="C1081" t="str">
            <v>Future</v>
          </cell>
          <cell r="D1081" t="e">
            <v>#N/A</v>
          </cell>
          <cell r="E1081">
            <v>-67.260590551180442</v>
          </cell>
          <cell r="F1081">
            <v>118.05437007874347</v>
          </cell>
          <cell r="G1081">
            <v>35.692165354330491</v>
          </cell>
          <cell r="H1081">
            <v>35.692165354330491</v>
          </cell>
          <cell r="I1081" t="e">
            <v>#N/A</v>
          </cell>
          <cell r="J1081" t="e">
            <v>#N/A</v>
          </cell>
          <cell r="K1081">
            <v>90</v>
          </cell>
          <cell r="L1081">
            <v>50</v>
          </cell>
          <cell r="M1081" t="e">
            <v>#N/A</v>
          </cell>
          <cell r="N1081">
            <v>80</v>
          </cell>
          <cell r="O1081" t="e">
            <v>#N/A</v>
          </cell>
          <cell r="P1081" t="str">
            <v/>
          </cell>
          <cell r="Q1081" t="str">
            <v/>
          </cell>
          <cell r="R1081" t="e">
            <v>#N/A</v>
          </cell>
        </row>
        <row r="1082">
          <cell r="A1082" t="str">
            <v/>
          </cell>
          <cell r="B1082" t="str">
            <v/>
          </cell>
          <cell r="C1082" t="str">
            <v>Future</v>
          </cell>
          <cell r="D1082" t="e">
            <v>#N/A</v>
          </cell>
          <cell r="E1082">
            <v>-67.510629921259181</v>
          </cell>
          <cell r="F1082">
            <v>118.15866141732616</v>
          </cell>
          <cell r="G1082">
            <v>35.638976377952538</v>
          </cell>
          <cell r="H1082">
            <v>35.638976377952538</v>
          </cell>
          <cell r="I1082" t="e">
            <v>#N/A</v>
          </cell>
          <cell r="J1082" t="e">
            <v>#N/A</v>
          </cell>
          <cell r="K1082">
            <v>90</v>
          </cell>
          <cell r="L1082">
            <v>50</v>
          </cell>
          <cell r="M1082" t="e">
            <v>#N/A</v>
          </cell>
          <cell r="N1082">
            <v>80</v>
          </cell>
          <cell r="O1082" t="e">
            <v>#N/A</v>
          </cell>
          <cell r="P1082" t="str">
            <v/>
          </cell>
          <cell r="Q1082" t="str">
            <v/>
          </cell>
          <cell r="R1082" t="e">
            <v>#N/A</v>
          </cell>
        </row>
        <row r="1083">
          <cell r="A1083" t="str">
            <v/>
          </cell>
          <cell r="B1083" t="str">
            <v/>
          </cell>
          <cell r="C1083" t="str">
            <v>Future</v>
          </cell>
          <cell r="D1083" t="e">
            <v>#N/A</v>
          </cell>
          <cell r="E1083">
            <v>-67.760669291337919</v>
          </cell>
          <cell r="F1083">
            <v>118.26295275590884</v>
          </cell>
          <cell r="G1083">
            <v>35.585787401574585</v>
          </cell>
          <cell r="H1083">
            <v>35.585787401574585</v>
          </cell>
          <cell r="I1083" t="e">
            <v>#N/A</v>
          </cell>
          <cell r="J1083" t="e">
            <v>#N/A</v>
          </cell>
          <cell r="K1083">
            <v>90</v>
          </cell>
          <cell r="L1083">
            <v>50</v>
          </cell>
          <cell r="M1083" t="e">
            <v>#N/A</v>
          </cell>
          <cell r="N1083">
            <v>80</v>
          </cell>
          <cell r="O1083" t="e">
            <v>#N/A</v>
          </cell>
          <cell r="P1083" t="str">
            <v/>
          </cell>
          <cell r="Q1083" t="str">
            <v/>
          </cell>
          <cell r="R1083" t="e">
            <v>#N/A</v>
          </cell>
        </row>
        <row r="1084">
          <cell r="A1084" t="str">
            <v/>
          </cell>
          <cell r="B1084" t="str">
            <v/>
          </cell>
          <cell r="C1084" t="str">
            <v>Future</v>
          </cell>
          <cell r="D1084" t="e">
            <v>#N/A</v>
          </cell>
          <cell r="E1084">
            <v>-68.010708661416658</v>
          </cell>
          <cell r="F1084">
            <v>118.36724409449153</v>
          </cell>
          <cell r="G1084">
            <v>35.532598425196632</v>
          </cell>
          <cell r="H1084">
            <v>35.532598425196632</v>
          </cell>
          <cell r="I1084" t="e">
            <v>#N/A</v>
          </cell>
          <cell r="J1084" t="e">
            <v>#N/A</v>
          </cell>
          <cell r="K1084">
            <v>90</v>
          </cell>
          <cell r="L1084">
            <v>50</v>
          </cell>
          <cell r="M1084" t="e">
            <v>#N/A</v>
          </cell>
          <cell r="N1084">
            <v>80</v>
          </cell>
          <cell r="O1084" t="e">
            <v>#N/A</v>
          </cell>
          <cell r="P1084" t="str">
            <v/>
          </cell>
          <cell r="Q1084" t="str">
            <v/>
          </cell>
          <cell r="R1084" t="e">
            <v>#N/A</v>
          </cell>
        </row>
        <row r="1085">
          <cell r="A1085" t="str">
            <v/>
          </cell>
          <cell r="B1085" t="str">
            <v/>
          </cell>
          <cell r="C1085" t="str">
            <v>Future</v>
          </cell>
          <cell r="D1085" t="e">
            <v>#N/A</v>
          </cell>
          <cell r="E1085">
            <v>-68.260748031495396</v>
          </cell>
          <cell r="F1085">
            <v>118.47153543307421</v>
          </cell>
          <cell r="G1085">
            <v>35.479409448818679</v>
          </cell>
          <cell r="H1085">
            <v>35.479409448818679</v>
          </cell>
          <cell r="I1085" t="e">
            <v>#N/A</v>
          </cell>
          <cell r="J1085" t="e">
            <v>#N/A</v>
          </cell>
          <cell r="K1085">
            <v>90</v>
          </cell>
          <cell r="L1085">
            <v>50</v>
          </cell>
          <cell r="M1085" t="e">
            <v>#N/A</v>
          </cell>
          <cell r="N1085">
            <v>80</v>
          </cell>
          <cell r="O1085" t="e">
            <v>#N/A</v>
          </cell>
          <cell r="P1085" t="str">
            <v/>
          </cell>
          <cell r="Q1085" t="str">
            <v/>
          </cell>
          <cell r="R1085" t="e">
            <v>#N/A</v>
          </cell>
        </row>
        <row r="1086">
          <cell r="A1086" t="str">
            <v/>
          </cell>
          <cell r="B1086" t="str">
            <v/>
          </cell>
          <cell r="C1086" t="str">
            <v>Future</v>
          </cell>
          <cell r="D1086" t="e">
            <v>#N/A</v>
          </cell>
          <cell r="E1086">
            <v>-68.510787401574134</v>
          </cell>
          <cell r="F1086">
            <v>118.57582677165689</v>
          </cell>
          <cell r="G1086">
            <v>35.426220472440725</v>
          </cell>
          <cell r="H1086">
            <v>35.426220472440725</v>
          </cell>
          <cell r="I1086" t="e">
            <v>#N/A</v>
          </cell>
          <cell r="J1086" t="e">
            <v>#N/A</v>
          </cell>
          <cell r="K1086">
            <v>90</v>
          </cell>
          <cell r="L1086">
            <v>50</v>
          </cell>
          <cell r="M1086" t="e">
            <v>#N/A</v>
          </cell>
          <cell r="N1086">
            <v>80</v>
          </cell>
          <cell r="O1086" t="e">
            <v>#N/A</v>
          </cell>
          <cell r="P1086" t="str">
            <v/>
          </cell>
          <cell r="Q1086" t="str">
            <v/>
          </cell>
          <cell r="R1086" t="e">
            <v>#N/A</v>
          </cell>
        </row>
        <row r="1087">
          <cell r="A1087" t="str">
            <v/>
          </cell>
          <cell r="B1087" t="str">
            <v/>
          </cell>
          <cell r="C1087" t="str">
            <v>Future</v>
          </cell>
          <cell r="D1087" t="e">
            <v>#N/A</v>
          </cell>
          <cell r="E1087">
            <v>-68.760826771652873</v>
          </cell>
          <cell r="F1087">
            <v>118.68011811023958</v>
          </cell>
          <cell r="G1087">
            <v>35.373031496062772</v>
          </cell>
          <cell r="H1087">
            <v>35.373031496062772</v>
          </cell>
          <cell r="I1087" t="e">
            <v>#N/A</v>
          </cell>
          <cell r="J1087" t="e">
            <v>#N/A</v>
          </cell>
          <cell r="K1087">
            <v>90</v>
          </cell>
          <cell r="L1087">
            <v>50</v>
          </cell>
          <cell r="M1087" t="e">
            <v>#N/A</v>
          </cell>
          <cell r="N1087">
            <v>80</v>
          </cell>
          <cell r="O1087" t="e">
            <v>#N/A</v>
          </cell>
          <cell r="P1087" t="str">
            <v/>
          </cell>
          <cell r="Q1087" t="str">
            <v/>
          </cell>
          <cell r="R1087" t="e">
            <v>#N/A</v>
          </cell>
        </row>
        <row r="1088">
          <cell r="A1088" t="str">
            <v/>
          </cell>
          <cell r="B1088" t="str">
            <v/>
          </cell>
          <cell r="C1088" t="str">
            <v>Future</v>
          </cell>
          <cell r="D1088" t="e">
            <v>#N/A</v>
          </cell>
          <cell r="E1088">
            <v>-69.010866141731611</v>
          </cell>
          <cell r="F1088">
            <v>118.78440944882226</v>
          </cell>
          <cell r="G1088">
            <v>35.319842519684819</v>
          </cell>
          <cell r="H1088">
            <v>35.319842519684819</v>
          </cell>
          <cell r="I1088" t="e">
            <v>#N/A</v>
          </cell>
          <cell r="J1088" t="e">
            <v>#N/A</v>
          </cell>
          <cell r="K1088">
            <v>90</v>
          </cell>
          <cell r="L1088">
            <v>50</v>
          </cell>
          <cell r="M1088" t="e">
            <v>#N/A</v>
          </cell>
          <cell r="N1088">
            <v>80</v>
          </cell>
          <cell r="O1088" t="e">
            <v>#N/A</v>
          </cell>
          <cell r="P1088" t="str">
            <v/>
          </cell>
          <cell r="Q1088" t="str">
            <v/>
          </cell>
          <cell r="R1088" t="e">
            <v>#N/A</v>
          </cell>
        </row>
        <row r="1089">
          <cell r="A1089" t="str">
            <v/>
          </cell>
          <cell r="B1089" t="str">
            <v/>
          </cell>
          <cell r="C1089" t="str">
            <v>Future</v>
          </cell>
          <cell r="D1089" t="e">
            <v>#N/A</v>
          </cell>
          <cell r="E1089">
            <v>-69.26090551181035</v>
          </cell>
          <cell r="F1089">
            <v>118.88870078740494</v>
          </cell>
          <cell r="G1089">
            <v>35.266653543306866</v>
          </cell>
          <cell r="H1089">
            <v>35.266653543306866</v>
          </cell>
          <cell r="I1089" t="e">
            <v>#N/A</v>
          </cell>
          <cell r="J1089" t="e">
            <v>#N/A</v>
          </cell>
          <cell r="K1089">
            <v>90</v>
          </cell>
          <cell r="L1089">
            <v>50</v>
          </cell>
          <cell r="M1089" t="e">
            <v>#N/A</v>
          </cell>
          <cell r="N1089">
            <v>80</v>
          </cell>
          <cell r="O1089" t="e">
            <v>#N/A</v>
          </cell>
          <cell r="P1089" t="str">
            <v/>
          </cell>
          <cell r="Q1089" t="str">
            <v/>
          </cell>
          <cell r="R1089" t="e">
            <v>#N/A</v>
          </cell>
        </row>
        <row r="1090">
          <cell r="A1090" t="str">
            <v/>
          </cell>
          <cell r="B1090" t="str">
            <v/>
          </cell>
          <cell r="C1090" t="str">
            <v>Future</v>
          </cell>
          <cell r="D1090" t="e">
            <v>#N/A</v>
          </cell>
          <cell r="E1090">
            <v>-69.510944881889088</v>
          </cell>
          <cell r="F1090">
            <v>118.99299212598763</v>
          </cell>
          <cell r="G1090">
            <v>35.213464566928913</v>
          </cell>
          <cell r="H1090">
            <v>35.213464566928913</v>
          </cell>
          <cell r="I1090" t="e">
            <v>#N/A</v>
          </cell>
          <cell r="J1090" t="e">
            <v>#N/A</v>
          </cell>
          <cell r="K1090">
            <v>90</v>
          </cell>
          <cell r="L1090">
            <v>50</v>
          </cell>
          <cell r="M1090" t="e">
            <v>#N/A</v>
          </cell>
          <cell r="N1090">
            <v>80</v>
          </cell>
          <cell r="O1090" t="e">
            <v>#N/A</v>
          </cell>
          <cell r="P1090" t="str">
            <v/>
          </cell>
          <cell r="Q1090" t="str">
            <v/>
          </cell>
          <cell r="R1090" t="e">
            <v>#N/A</v>
          </cell>
        </row>
        <row r="1091">
          <cell r="A1091" t="str">
            <v/>
          </cell>
          <cell r="B1091" t="str">
            <v/>
          </cell>
          <cell r="C1091" t="str">
            <v>Future</v>
          </cell>
          <cell r="D1091" t="e">
            <v>#N/A</v>
          </cell>
          <cell r="E1091">
            <v>-69.760984251967827</v>
          </cell>
          <cell r="F1091">
            <v>119.09728346457031</v>
          </cell>
          <cell r="G1091">
            <v>35.16027559055096</v>
          </cell>
          <cell r="H1091">
            <v>35.16027559055096</v>
          </cell>
          <cell r="I1091" t="e">
            <v>#N/A</v>
          </cell>
          <cell r="J1091" t="e">
            <v>#N/A</v>
          </cell>
          <cell r="K1091">
            <v>90</v>
          </cell>
          <cell r="L1091">
            <v>50</v>
          </cell>
          <cell r="M1091" t="e">
            <v>#N/A</v>
          </cell>
          <cell r="N1091">
            <v>80</v>
          </cell>
          <cell r="O1091" t="e">
            <v>#N/A</v>
          </cell>
          <cell r="P1091" t="str">
            <v/>
          </cell>
          <cell r="Q1091" t="str">
            <v/>
          </cell>
          <cell r="R1091" t="e">
            <v>#N/A</v>
          </cell>
        </row>
        <row r="1092">
          <cell r="A1092" t="str">
            <v/>
          </cell>
          <cell r="B1092" t="str">
            <v/>
          </cell>
          <cell r="C1092" t="str">
            <v>Future</v>
          </cell>
          <cell r="D1092" t="e">
            <v>#N/A</v>
          </cell>
          <cell r="E1092">
            <v>-70.011023622046565</v>
          </cell>
          <cell r="F1092">
            <v>119.20157480315299</v>
          </cell>
          <cell r="G1092">
            <v>35.107086614173006</v>
          </cell>
          <cell r="H1092">
            <v>35.107086614173006</v>
          </cell>
          <cell r="I1092" t="e">
            <v>#N/A</v>
          </cell>
          <cell r="J1092" t="e">
            <v>#N/A</v>
          </cell>
          <cell r="K1092">
            <v>90</v>
          </cell>
          <cell r="L1092">
            <v>50</v>
          </cell>
          <cell r="M1092" t="e">
            <v>#N/A</v>
          </cell>
          <cell r="N1092">
            <v>80</v>
          </cell>
          <cell r="O1092" t="e">
            <v>#N/A</v>
          </cell>
          <cell r="P1092" t="str">
            <v/>
          </cell>
          <cell r="Q1092" t="str">
            <v/>
          </cell>
          <cell r="R1092" t="e">
            <v>#N/A</v>
          </cell>
        </row>
        <row r="1093">
          <cell r="A1093" t="str">
            <v/>
          </cell>
          <cell r="B1093" t="str">
            <v/>
          </cell>
          <cell r="C1093" t="str">
            <v>Future</v>
          </cell>
          <cell r="D1093" t="e">
            <v>#N/A</v>
          </cell>
          <cell r="E1093">
            <v>-70.261062992125304</v>
          </cell>
          <cell r="F1093">
            <v>119.30586614173568</v>
          </cell>
          <cell r="G1093">
            <v>35.053897637795053</v>
          </cell>
          <cell r="H1093">
            <v>35.053897637795053</v>
          </cell>
          <cell r="I1093" t="e">
            <v>#N/A</v>
          </cell>
          <cell r="J1093" t="e">
            <v>#N/A</v>
          </cell>
          <cell r="K1093">
            <v>90</v>
          </cell>
          <cell r="L1093">
            <v>50</v>
          </cell>
          <cell r="M1093" t="e">
            <v>#N/A</v>
          </cell>
          <cell r="N1093">
            <v>80</v>
          </cell>
          <cell r="O1093" t="e">
            <v>#N/A</v>
          </cell>
          <cell r="P1093" t="str">
            <v/>
          </cell>
          <cell r="Q1093" t="str">
            <v/>
          </cell>
          <cell r="R1093" t="e">
            <v>#N/A</v>
          </cell>
        </row>
        <row r="1094">
          <cell r="A1094" t="str">
            <v/>
          </cell>
          <cell r="B1094" t="str">
            <v/>
          </cell>
          <cell r="C1094" t="str">
            <v>Future</v>
          </cell>
          <cell r="D1094" t="e">
            <v>#N/A</v>
          </cell>
          <cell r="E1094">
            <v>-70.511102362204042</v>
          </cell>
          <cell r="F1094">
            <v>119.41015748031836</v>
          </cell>
          <cell r="G1094">
            <v>35.0007086614171</v>
          </cell>
          <cell r="H1094">
            <v>35.0007086614171</v>
          </cell>
          <cell r="I1094" t="e">
            <v>#N/A</v>
          </cell>
          <cell r="J1094" t="e">
            <v>#N/A</v>
          </cell>
          <cell r="K1094">
            <v>90</v>
          </cell>
          <cell r="L1094">
            <v>50</v>
          </cell>
          <cell r="M1094" t="e">
            <v>#N/A</v>
          </cell>
          <cell r="N1094">
            <v>80</v>
          </cell>
          <cell r="O1094" t="e">
            <v>#N/A</v>
          </cell>
          <cell r="P1094" t="str">
            <v/>
          </cell>
          <cell r="Q1094" t="str">
            <v/>
          </cell>
          <cell r="R1094" t="e">
            <v>#N/A</v>
          </cell>
        </row>
        <row r="1095">
          <cell r="A1095" t="str">
            <v/>
          </cell>
          <cell r="B1095" t="str">
            <v/>
          </cell>
          <cell r="C1095" t="str">
            <v>Future</v>
          </cell>
          <cell r="D1095" t="e">
            <v>#N/A</v>
          </cell>
          <cell r="E1095">
            <v>-70.76114173228278</v>
          </cell>
          <cell r="F1095">
            <v>119.51444881890104</v>
          </cell>
          <cell r="G1095">
            <v>34.947519685039147</v>
          </cell>
          <cell r="H1095">
            <v>34.947519685039147</v>
          </cell>
          <cell r="I1095" t="e">
            <v>#N/A</v>
          </cell>
          <cell r="J1095" t="e">
            <v>#N/A</v>
          </cell>
          <cell r="K1095">
            <v>90</v>
          </cell>
          <cell r="L1095">
            <v>50</v>
          </cell>
          <cell r="M1095" t="e">
            <v>#N/A</v>
          </cell>
          <cell r="N1095">
            <v>80</v>
          </cell>
          <cell r="O1095" t="e">
            <v>#N/A</v>
          </cell>
          <cell r="P1095" t="str">
            <v/>
          </cell>
          <cell r="Q1095" t="str">
            <v/>
          </cell>
          <cell r="R1095" t="e">
            <v>#N/A</v>
          </cell>
        </row>
        <row r="1096">
          <cell r="A1096" t="str">
            <v/>
          </cell>
          <cell r="B1096" t="str">
            <v/>
          </cell>
          <cell r="C1096" t="str">
            <v>Future</v>
          </cell>
          <cell r="D1096" t="e">
            <v>#N/A</v>
          </cell>
          <cell r="E1096">
            <v>-71.011181102361519</v>
          </cell>
          <cell r="F1096">
            <v>119.61874015748373</v>
          </cell>
          <cell r="G1096">
            <v>34.894330708661194</v>
          </cell>
          <cell r="H1096">
            <v>34.894330708661194</v>
          </cell>
          <cell r="I1096" t="e">
            <v>#N/A</v>
          </cell>
          <cell r="J1096" t="e">
            <v>#N/A</v>
          </cell>
          <cell r="K1096">
            <v>90</v>
          </cell>
          <cell r="L1096">
            <v>50</v>
          </cell>
          <cell r="M1096" t="e">
            <v>#N/A</v>
          </cell>
          <cell r="N1096">
            <v>80</v>
          </cell>
          <cell r="O1096" t="e">
            <v>#N/A</v>
          </cell>
          <cell r="P1096" t="str">
            <v/>
          </cell>
          <cell r="Q1096" t="str">
            <v/>
          </cell>
          <cell r="R1096" t="e">
            <v>#N/A</v>
          </cell>
        </row>
        <row r="1097">
          <cell r="A1097" t="str">
            <v/>
          </cell>
          <cell r="B1097" t="str">
            <v/>
          </cell>
          <cell r="C1097" t="str">
            <v>Future</v>
          </cell>
          <cell r="D1097" t="e">
            <v>#N/A</v>
          </cell>
          <cell r="E1097">
            <v>-71.261220472440257</v>
          </cell>
          <cell r="F1097">
            <v>119.72303149606641</v>
          </cell>
          <cell r="G1097">
            <v>34.841141732283241</v>
          </cell>
          <cell r="H1097">
            <v>34.841141732283241</v>
          </cell>
          <cell r="I1097" t="e">
            <v>#N/A</v>
          </cell>
          <cell r="J1097" t="e">
            <v>#N/A</v>
          </cell>
          <cell r="K1097">
            <v>90</v>
          </cell>
          <cell r="L1097">
            <v>50</v>
          </cell>
          <cell r="M1097" t="e">
            <v>#N/A</v>
          </cell>
          <cell r="N1097">
            <v>80</v>
          </cell>
          <cell r="O1097" t="e">
            <v>#N/A</v>
          </cell>
          <cell r="P1097" t="str">
            <v/>
          </cell>
          <cell r="Q1097" t="str">
            <v/>
          </cell>
          <cell r="R1097" t="e">
            <v>#N/A</v>
          </cell>
        </row>
        <row r="1098">
          <cell r="A1098" t="str">
            <v/>
          </cell>
          <cell r="B1098" t="str">
            <v/>
          </cell>
          <cell r="C1098" t="str">
            <v>Future</v>
          </cell>
          <cell r="D1098" t="e">
            <v>#N/A</v>
          </cell>
          <cell r="E1098">
            <v>-71.511259842518996</v>
          </cell>
          <cell r="F1098">
            <v>119.8273228346491</v>
          </cell>
          <cell r="G1098">
            <v>34.787952755905287</v>
          </cell>
          <cell r="H1098">
            <v>34.787952755905287</v>
          </cell>
          <cell r="I1098" t="e">
            <v>#N/A</v>
          </cell>
          <cell r="J1098" t="e">
            <v>#N/A</v>
          </cell>
          <cell r="K1098">
            <v>90</v>
          </cell>
          <cell r="L1098">
            <v>50</v>
          </cell>
          <cell r="M1098" t="e">
            <v>#N/A</v>
          </cell>
          <cell r="N1098">
            <v>80</v>
          </cell>
          <cell r="O1098" t="e">
            <v>#N/A</v>
          </cell>
          <cell r="P1098" t="str">
            <v/>
          </cell>
          <cell r="Q1098" t="str">
            <v/>
          </cell>
          <cell r="R1098" t="e">
            <v>#N/A</v>
          </cell>
        </row>
        <row r="1099">
          <cell r="A1099" t="str">
            <v/>
          </cell>
          <cell r="B1099" t="str">
            <v/>
          </cell>
          <cell r="C1099" t="str">
            <v>Future</v>
          </cell>
          <cell r="D1099" t="e">
            <v>#N/A</v>
          </cell>
          <cell r="E1099">
            <v>-71.761299212597734</v>
          </cell>
          <cell r="F1099">
            <v>119.93161417323178</v>
          </cell>
          <cell r="G1099">
            <v>34.734763779527334</v>
          </cell>
          <cell r="H1099">
            <v>34.734763779527334</v>
          </cell>
          <cell r="I1099" t="e">
            <v>#N/A</v>
          </cell>
          <cell r="J1099" t="e">
            <v>#N/A</v>
          </cell>
          <cell r="K1099">
            <v>90</v>
          </cell>
          <cell r="L1099">
            <v>50</v>
          </cell>
          <cell r="M1099" t="e">
            <v>#N/A</v>
          </cell>
          <cell r="N1099">
            <v>80</v>
          </cell>
          <cell r="O1099" t="e">
            <v>#N/A</v>
          </cell>
          <cell r="P1099" t="str">
            <v/>
          </cell>
          <cell r="Q1099" t="str">
            <v/>
          </cell>
          <cell r="R1099" t="e">
            <v>#N/A</v>
          </cell>
        </row>
        <row r="1100">
          <cell r="A1100" t="str">
            <v/>
          </cell>
          <cell r="B1100" t="str">
            <v/>
          </cell>
          <cell r="C1100" t="str">
            <v>Future</v>
          </cell>
          <cell r="D1100" t="e">
            <v>#N/A</v>
          </cell>
          <cell r="E1100">
            <v>-72.011338582676473</v>
          </cell>
          <cell r="F1100">
            <v>120.03590551181446</v>
          </cell>
          <cell r="G1100">
            <v>34.681574803149381</v>
          </cell>
          <cell r="H1100">
            <v>34.681574803149381</v>
          </cell>
          <cell r="I1100" t="e">
            <v>#N/A</v>
          </cell>
          <cell r="J1100" t="e">
            <v>#N/A</v>
          </cell>
          <cell r="K1100">
            <v>90</v>
          </cell>
          <cell r="L1100">
            <v>50</v>
          </cell>
          <cell r="M1100" t="e">
            <v>#N/A</v>
          </cell>
          <cell r="N1100">
            <v>80</v>
          </cell>
          <cell r="O1100" t="e">
            <v>#N/A</v>
          </cell>
          <cell r="P1100" t="str">
            <v/>
          </cell>
          <cell r="Q1100" t="str">
            <v/>
          </cell>
          <cell r="R1100" t="e">
            <v>#N/A</v>
          </cell>
        </row>
        <row r="1101">
          <cell r="A1101" t="str">
            <v/>
          </cell>
          <cell r="B1101" t="str">
            <v/>
          </cell>
          <cell r="C1101" t="str">
            <v>Future</v>
          </cell>
          <cell r="D1101" t="e">
            <v>#N/A</v>
          </cell>
          <cell r="E1101">
            <v>-72.261377952755211</v>
          </cell>
          <cell r="F1101">
            <v>120.14019685039715</v>
          </cell>
          <cell r="G1101">
            <v>34.628385826771428</v>
          </cell>
          <cell r="H1101">
            <v>34.628385826771428</v>
          </cell>
          <cell r="I1101" t="e">
            <v>#N/A</v>
          </cell>
          <cell r="J1101" t="e">
            <v>#N/A</v>
          </cell>
          <cell r="K1101">
            <v>90</v>
          </cell>
          <cell r="L1101">
            <v>50</v>
          </cell>
          <cell r="M1101" t="e">
            <v>#N/A</v>
          </cell>
          <cell r="N1101">
            <v>80</v>
          </cell>
          <cell r="O1101" t="e">
            <v>#N/A</v>
          </cell>
          <cell r="P1101" t="str">
            <v/>
          </cell>
          <cell r="Q1101" t="str">
            <v/>
          </cell>
          <cell r="R1101" t="e">
            <v>#N/A</v>
          </cell>
        </row>
        <row r="1102">
          <cell r="A1102" t="str">
            <v/>
          </cell>
          <cell r="B1102" t="str">
            <v/>
          </cell>
          <cell r="C1102" t="str">
            <v>Future</v>
          </cell>
          <cell r="D1102" t="e">
            <v>#N/A</v>
          </cell>
          <cell r="E1102">
            <v>-72.51141732283395</v>
          </cell>
          <cell r="F1102">
            <v>120.24448818897983</v>
          </cell>
          <cell r="G1102">
            <v>34.575196850393475</v>
          </cell>
          <cell r="H1102">
            <v>34.575196850393475</v>
          </cell>
          <cell r="I1102" t="e">
            <v>#N/A</v>
          </cell>
          <cell r="J1102" t="e">
            <v>#N/A</v>
          </cell>
          <cell r="K1102">
            <v>90</v>
          </cell>
          <cell r="L1102">
            <v>50</v>
          </cell>
          <cell r="M1102" t="e">
            <v>#N/A</v>
          </cell>
          <cell r="N1102">
            <v>80</v>
          </cell>
          <cell r="O1102" t="e">
            <v>#N/A</v>
          </cell>
          <cell r="P1102" t="str">
            <v/>
          </cell>
          <cell r="Q1102" t="str">
            <v/>
          </cell>
          <cell r="R1102" t="e">
            <v>#N/A</v>
          </cell>
        </row>
        <row r="1103">
          <cell r="A1103" t="str">
            <v/>
          </cell>
          <cell r="B1103" t="str">
            <v/>
          </cell>
          <cell r="C1103" t="str">
            <v>Future</v>
          </cell>
          <cell r="D1103" t="e">
            <v>#N/A</v>
          </cell>
          <cell r="E1103">
            <v>-72.761456692912688</v>
          </cell>
          <cell r="F1103">
            <v>120.34877952756251</v>
          </cell>
          <cell r="G1103">
            <v>34.522007874015522</v>
          </cell>
          <cell r="H1103">
            <v>34.522007874015522</v>
          </cell>
          <cell r="I1103" t="e">
            <v>#N/A</v>
          </cell>
          <cell r="J1103" t="e">
            <v>#N/A</v>
          </cell>
          <cell r="K1103">
            <v>90</v>
          </cell>
          <cell r="L1103">
            <v>50</v>
          </cell>
          <cell r="M1103" t="e">
            <v>#N/A</v>
          </cell>
          <cell r="N1103">
            <v>80</v>
          </cell>
          <cell r="O1103" t="e">
            <v>#N/A</v>
          </cell>
          <cell r="P1103" t="str">
            <v/>
          </cell>
          <cell r="Q1103" t="str">
            <v/>
          </cell>
          <cell r="R1103" t="e">
            <v>#N/A</v>
          </cell>
        </row>
        <row r="1104">
          <cell r="A1104" t="str">
            <v/>
          </cell>
          <cell r="B1104" t="str">
            <v/>
          </cell>
          <cell r="C1104" t="str">
            <v>Future</v>
          </cell>
          <cell r="D1104" t="e">
            <v>#N/A</v>
          </cell>
          <cell r="E1104">
            <v>-73.011496062991426</v>
          </cell>
          <cell r="F1104">
            <v>120.4530708661452</v>
          </cell>
          <cell r="G1104">
            <v>34.468818897637568</v>
          </cell>
          <cell r="H1104">
            <v>34.468818897637568</v>
          </cell>
          <cell r="I1104" t="e">
            <v>#N/A</v>
          </cell>
          <cell r="J1104" t="e">
            <v>#N/A</v>
          </cell>
          <cell r="K1104">
            <v>90</v>
          </cell>
          <cell r="L1104">
            <v>50</v>
          </cell>
          <cell r="M1104" t="e">
            <v>#N/A</v>
          </cell>
          <cell r="N1104">
            <v>80</v>
          </cell>
          <cell r="O1104" t="e">
            <v>#N/A</v>
          </cell>
          <cell r="P1104" t="str">
            <v/>
          </cell>
          <cell r="Q1104" t="str">
            <v/>
          </cell>
          <cell r="R1104" t="e">
            <v>#N/A</v>
          </cell>
        </row>
        <row r="1105">
          <cell r="A1105" t="str">
            <v/>
          </cell>
          <cell r="B1105" t="str">
            <v/>
          </cell>
          <cell r="C1105" t="str">
            <v>Future</v>
          </cell>
          <cell r="D1105" t="e">
            <v>#N/A</v>
          </cell>
          <cell r="E1105">
            <v>-73.261535433070165</v>
          </cell>
          <cell r="F1105">
            <v>120.55736220472788</v>
          </cell>
          <cell r="G1105">
            <v>34.415629921259615</v>
          </cell>
          <cell r="H1105">
            <v>34.415629921259615</v>
          </cell>
          <cell r="I1105" t="e">
            <v>#N/A</v>
          </cell>
          <cell r="J1105" t="e">
            <v>#N/A</v>
          </cell>
          <cell r="K1105">
            <v>90</v>
          </cell>
          <cell r="L1105">
            <v>50</v>
          </cell>
          <cell r="M1105" t="e">
            <v>#N/A</v>
          </cell>
          <cell r="N1105">
            <v>80</v>
          </cell>
          <cell r="O1105" t="e">
            <v>#N/A</v>
          </cell>
          <cell r="P1105" t="str">
            <v/>
          </cell>
          <cell r="Q1105" t="str">
            <v/>
          </cell>
          <cell r="R1105" t="e">
            <v>#N/A</v>
          </cell>
        </row>
        <row r="1106">
          <cell r="A1106" t="str">
            <v/>
          </cell>
          <cell r="B1106" t="str">
            <v/>
          </cell>
          <cell r="C1106" t="str">
            <v>Future</v>
          </cell>
          <cell r="D1106" t="e">
            <v>#N/A</v>
          </cell>
          <cell r="E1106">
            <v>-73.511574803148903</v>
          </cell>
          <cell r="F1106">
            <v>120.66165354331056</v>
          </cell>
          <cell r="G1106">
            <v>34.362440944881662</v>
          </cell>
          <cell r="H1106">
            <v>34.362440944881662</v>
          </cell>
          <cell r="I1106" t="e">
            <v>#N/A</v>
          </cell>
          <cell r="J1106" t="e">
            <v>#N/A</v>
          </cell>
          <cell r="K1106">
            <v>90</v>
          </cell>
          <cell r="L1106">
            <v>50</v>
          </cell>
          <cell r="M1106" t="e">
            <v>#N/A</v>
          </cell>
          <cell r="N1106">
            <v>80</v>
          </cell>
          <cell r="O1106" t="e">
            <v>#N/A</v>
          </cell>
          <cell r="P1106" t="str">
            <v/>
          </cell>
          <cell r="Q1106" t="str">
            <v/>
          </cell>
          <cell r="R1106" t="e">
            <v>#N/A</v>
          </cell>
        </row>
        <row r="1107">
          <cell r="A1107" t="str">
            <v/>
          </cell>
          <cell r="B1107" t="str">
            <v/>
          </cell>
          <cell r="C1107" t="str">
            <v>Future</v>
          </cell>
          <cell r="D1107" t="e">
            <v>#N/A</v>
          </cell>
          <cell r="E1107">
            <v>-73.761614173227642</v>
          </cell>
          <cell r="F1107">
            <v>120.76594488189325</v>
          </cell>
          <cell r="G1107">
            <v>34.309251968503709</v>
          </cell>
          <cell r="H1107">
            <v>34.309251968503709</v>
          </cell>
          <cell r="I1107" t="e">
            <v>#N/A</v>
          </cell>
          <cell r="J1107" t="e">
            <v>#N/A</v>
          </cell>
          <cell r="K1107">
            <v>90</v>
          </cell>
          <cell r="L1107">
            <v>50</v>
          </cell>
          <cell r="M1107" t="e">
            <v>#N/A</v>
          </cell>
          <cell r="N1107">
            <v>80</v>
          </cell>
          <cell r="O1107" t="e">
            <v>#N/A</v>
          </cell>
          <cell r="P1107" t="str">
            <v/>
          </cell>
          <cell r="Q1107" t="str">
            <v/>
          </cell>
          <cell r="R1107" t="e">
            <v>#N/A</v>
          </cell>
        </row>
        <row r="1108">
          <cell r="A1108" t="str">
            <v/>
          </cell>
          <cell r="B1108" t="str">
            <v/>
          </cell>
          <cell r="C1108" t="str">
            <v>Future</v>
          </cell>
          <cell r="D1108" t="e">
            <v>#N/A</v>
          </cell>
          <cell r="E1108">
            <v>-74.01165354330638</v>
          </cell>
          <cell r="F1108">
            <v>120.87023622047593</v>
          </cell>
          <cell r="G1108">
            <v>34.256062992125756</v>
          </cell>
          <cell r="H1108">
            <v>34.256062992125756</v>
          </cell>
          <cell r="I1108" t="e">
            <v>#N/A</v>
          </cell>
          <cell r="J1108" t="e">
            <v>#N/A</v>
          </cell>
          <cell r="K1108">
            <v>90</v>
          </cell>
          <cell r="L1108">
            <v>50</v>
          </cell>
          <cell r="M1108" t="e">
            <v>#N/A</v>
          </cell>
          <cell r="N1108">
            <v>80</v>
          </cell>
          <cell r="O1108" t="e">
            <v>#N/A</v>
          </cell>
          <cell r="P1108" t="str">
            <v/>
          </cell>
          <cell r="Q1108" t="str">
            <v/>
          </cell>
          <cell r="R1108" t="e">
            <v>#N/A</v>
          </cell>
        </row>
        <row r="1109">
          <cell r="A1109" t="str">
            <v/>
          </cell>
          <cell r="B1109" t="str">
            <v/>
          </cell>
          <cell r="C1109" t="str">
            <v>Future</v>
          </cell>
          <cell r="D1109" t="e">
            <v>#N/A</v>
          </cell>
          <cell r="E1109">
            <v>-74.261692913385119</v>
          </cell>
          <cell r="F1109">
            <v>120.97452755905861</v>
          </cell>
          <cell r="G1109">
            <v>34.202874015747803</v>
          </cell>
          <cell r="H1109">
            <v>34.202874015747803</v>
          </cell>
          <cell r="I1109" t="e">
            <v>#N/A</v>
          </cell>
          <cell r="J1109" t="e">
            <v>#N/A</v>
          </cell>
          <cell r="K1109">
            <v>90</v>
          </cell>
          <cell r="L1109">
            <v>50</v>
          </cell>
          <cell r="M1109" t="e">
            <v>#N/A</v>
          </cell>
          <cell r="N1109">
            <v>80</v>
          </cell>
          <cell r="O1109" t="e">
            <v>#N/A</v>
          </cell>
          <cell r="P1109" t="str">
            <v/>
          </cell>
          <cell r="Q1109" t="str">
            <v/>
          </cell>
          <cell r="R1109" t="e">
            <v>#N/A</v>
          </cell>
        </row>
        <row r="1110">
          <cell r="A1110" t="str">
            <v/>
          </cell>
          <cell r="B1110" t="str">
            <v/>
          </cell>
          <cell r="C1110" t="str">
            <v>Future</v>
          </cell>
          <cell r="D1110" t="e">
            <v>#N/A</v>
          </cell>
          <cell r="E1110">
            <v>-74.511732283463857</v>
          </cell>
          <cell r="F1110">
            <v>121.0788188976413</v>
          </cell>
          <cell r="G1110">
            <v>34.149685039369849</v>
          </cell>
          <cell r="H1110">
            <v>34.149685039369849</v>
          </cell>
          <cell r="I1110" t="e">
            <v>#N/A</v>
          </cell>
          <cell r="J1110" t="e">
            <v>#N/A</v>
          </cell>
          <cell r="K1110">
            <v>90</v>
          </cell>
          <cell r="L1110">
            <v>50</v>
          </cell>
          <cell r="M1110" t="e">
            <v>#N/A</v>
          </cell>
          <cell r="N1110">
            <v>80</v>
          </cell>
          <cell r="O1110" t="e">
            <v>#N/A</v>
          </cell>
          <cell r="P1110" t="str">
            <v/>
          </cell>
          <cell r="Q1110" t="str">
            <v/>
          </cell>
          <cell r="R1110" t="e">
            <v>#N/A</v>
          </cell>
        </row>
        <row r="1111">
          <cell r="A1111" t="str">
            <v/>
          </cell>
          <cell r="B1111" t="str">
            <v/>
          </cell>
          <cell r="C1111" t="str">
            <v>Future</v>
          </cell>
          <cell r="D1111" t="e">
            <v>#N/A</v>
          </cell>
          <cell r="E1111">
            <v>-74.761771653542596</v>
          </cell>
          <cell r="F1111">
            <v>121.18311023622398</v>
          </cell>
          <cell r="G1111">
            <v>34.096496062991896</v>
          </cell>
          <cell r="H1111">
            <v>34.096496062991896</v>
          </cell>
          <cell r="I1111" t="e">
            <v>#N/A</v>
          </cell>
          <cell r="J1111" t="e">
            <v>#N/A</v>
          </cell>
          <cell r="K1111">
            <v>90</v>
          </cell>
          <cell r="L1111">
            <v>50</v>
          </cell>
          <cell r="M1111" t="e">
            <v>#N/A</v>
          </cell>
          <cell r="N1111">
            <v>80</v>
          </cell>
          <cell r="O1111" t="e">
            <v>#N/A</v>
          </cell>
          <cell r="P1111" t="str">
            <v/>
          </cell>
          <cell r="Q1111" t="str">
            <v/>
          </cell>
          <cell r="R1111" t="e">
            <v>#N/A</v>
          </cell>
        </row>
        <row r="1112">
          <cell r="A1112" t="str">
            <v/>
          </cell>
          <cell r="B1112" t="str">
            <v/>
          </cell>
          <cell r="C1112" t="str">
            <v>Future</v>
          </cell>
          <cell r="D1112" t="e">
            <v>#N/A</v>
          </cell>
          <cell r="E1112">
            <v>-75.011811023621334</v>
          </cell>
          <cell r="F1112">
            <v>121.28740157480667</v>
          </cell>
          <cell r="G1112">
            <v>34.043307086613943</v>
          </cell>
          <cell r="H1112">
            <v>34.043307086613943</v>
          </cell>
          <cell r="I1112" t="e">
            <v>#N/A</v>
          </cell>
          <cell r="J1112" t="e">
            <v>#N/A</v>
          </cell>
          <cell r="K1112">
            <v>90</v>
          </cell>
          <cell r="L1112">
            <v>50</v>
          </cell>
          <cell r="M1112" t="e">
            <v>#N/A</v>
          </cell>
          <cell r="N1112">
            <v>80</v>
          </cell>
          <cell r="O1112" t="e">
            <v>#N/A</v>
          </cell>
          <cell r="P1112" t="str">
            <v/>
          </cell>
          <cell r="Q1112" t="str">
            <v/>
          </cell>
          <cell r="R1112" t="e">
            <v>#N/A</v>
          </cell>
        </row>
        <row r="1113">
          <cell r="A1113" t="str">
            <v/>
          </cell>
          <cell r="B1113" t="str">
            <v/>
          </cell>
          <cell r="C1113" t="str">
            <v>Future</v>
          </cell>
          <cell r="D1113" t="e">
            <v>#N/A</v>
          </cell>
          <cell r="E1113">
            <v>-75.261850393700072</v>
          </cell>
          <cell r="F1113">
            <v>121.39169291338935</v>
          </cell>
          <cell r="G1113">
            <v>33.99011811023599</v>
          </cell>
          <cell r="H1113">
            <v>33.99011811023599</v>
          </cell>
          <cell r="I1113" t="e">
            <v>#N/A</v>
          </cell>
          <cell r="J1113" t="e">
            <v>#N/A</v>
          </cell>
          <cell r="K1113">
            <v>90</v>
          </cell>
          <cell r="L1113">
            <v>50</v>
          </cell>
          <cell r="M1113" t="e">
            <v>#N/A</v>
          </cell>
          <cell r="N1113">
            <v>80</v>
          </cell>
          <cell r="O1113" t="e">
            <v>#N/A</v>
          </cell>
          <cell r="P1113" t="str">
            <v/>
          </cell>
          <cell r="Q1113" t="str">
            <v/>
          </cell>
          <cell r="R1113" t="e">
            <v>#N/A</v>
          </cell>
        </row>
        <row r="1114">
          <cell r="A1114" t="str">
            <v/>
          </cell>
          <cell r="B1114" t="str">
            <v/>
          </cell>
          <cell r="C1114" t="str">
            <v>Future</v>
          </cell>
          <cell r="D1114" t="e">
            <v>#N/A</v>
          </cell>
          <cell r="E1114">
            <v>-75.511889763778811</v>
          </cell>
          <cell r="F1114">
            <v>121.49598425197203</v>
          </cell>
          <cell r="G1114">
            <v>33.936929133858037</v>
          </cell>
          <cell r="H1114">
            <v>33.936929133858037</v>
          </cell>
          <cell r="I1114" t="e">
            <v>#N/A</v>
          </cell>
          <cell r="J1114" t="e">
            <v>#N/A</v>
          </cell>
          <cell r="K1114">
            <v>90</v>
          </cell>
          <cell r="L1114">
            <v>50</v>
          </cell>
          <cell r="M1114" t="e">
            <v>#N/A</v>
          </cell>
          <cell r="N1114">
            <v>80</v>
          </cell>
          <cell r="O1114" t="e">
            <v>#N/A</v>
          </cell>
          <cell r="P1114" t="str">
            <v/>
          </cell>
          <cell r="Q1114" t="str">
            <v/>
          </cell>
          <cell r="R1114" t="e">
            <v>#N/A</v>
          </cell>
        </row>
        <row r="1115">
          <cell r="A1115" t="str">
            <v/>
          </cell>
          <cell r="B1115" t="str">
            <v/>
          </cell>
          <cell r="C1115" t="str">
            <v>Future</v>
          </cell>
          <cell r="D1115" t="e">
            <v>#N/A</v>
          </cell>
          <cell r="E1115">
            <v>-75.761929133857549</v>
          </cell>
          <cell r="F1115">
            <v>121.60027559055472</v>
          </cell>
          <cell r="G1115">
            <v>33.883740157480084</v>
          </cell>
          <cell r="H1115">
            <v>33.883740157480084</v>
          </cell>
          <cell r="I1115" t="e">
            <v>#N/A</v>
          </cell>
          <cell r="J1115" t="e">
            <v>#N/A</v>
          </cell>
          <cell r="K1115">
            <v>90</v>
          </cell>
          <cell r="L1115">
            <v>50</v>
          </cell>
          <cell r="M1115" t="e">
            <v>#N/A</v>
          </cell>
          <cell r="N1115">
            <v>80</v>
          </cell>
          <cell r="O1115" t="e">
            <v>#N/A</v>
          </cell>
          <cell r="P1115" t="str">
            <v/>
          </cell>
          <cell r="Q1115" t="str">
            <v/>
          </cell>
          <cell r="R1115" t="e">
            <v>#N/A</v>
          </cell>
        </row>
        <row r="1116">
          <cell r="A1116" t="str">
            <v/>
          </cell>
          <cell r="B1116" t="str">
            <v/>
          </cell>
          <cell r="C1116" t="str">
            <v>Future</v>
          </cell>
          <cell r="D1116" t="e">
            <v>#N/A</v>
          </cell>
          <cell r="E1116">
            <v>-76.011968503936288</v>
          </cell>
          <cell r="F1116">
            <v>121.7045669291374</v>
          </cell>
          <cell r="G1116">
            <v>33.83055118110213</v>
          </cell>
          <cell r="H1116">
            <v>33.83055118110213</v>
          </cell>
          <cell r="I1116" t="e">
            <v>#N/A</v>
          </cell>
          <cell r="J1116" t="e">
            <v>#N/A</v>
          </cell>
          <cell r="K1116">
            <v>90</v>
          </cell>
          <cell r="L1116">
            <v>50</v>
          </cell>
          <cell r="M1116" t="e">
            <v>#N/A</v>
          </cell>
          <cell r="N1116">
            <v>80</v>
          </cell>
          <cell r="O1116" t="e">
            <v>#N/A</v>
          </cell>
          <cell r="P1116" t="str">
            <v/>
          </cell>
          <cell r="Q1116" t="str">
            <v/>
          </cell>
          <cell r="R1116" t="e">
            <v>#N/A</v>
          </cell>
        </row>
        <row r="1117">
          <cell r="A1117" t="str">
            <v/>
          </cell>
          <cell r="B1117" t="str">
            <v/>
          </cell>
          <cell r="C1117" t="str">
            <v>Future</v>
          </cell>
          <cell r="D1117" t="e">
            <v>#N/A</v>
          </cell>
          <cell r="E1117">
            <v>-76.262007874015026</v>
          </cell>
          <cell r="F1117">
            <v>121.80885826772008</v>
          </cell>
          <cell r="G1117">
            <v>33.777362204724177</v>
          </cell>
          <cell r="H1117">
            <v>33.777362204724177</v>
          </cell>
          <cell r="I1117" t="e">
            <v>#N/A</v>
          </cell>
          <cell r="J1117" t="e">
            <v>#N/A</v>
          </cell>
          <cell r="K1117">
            <v>90</v>
          </cell>
          <cell r="L1117">
            <v>50</v>
          </cell>
          <cell r="M1117" t="e">
            <v>#N/A</v>
          </cell>
          <cell r="N1117">
            <v>80</v>
          </cell>
          <cell r="O1117" t="e">
            <v>#N/A</v>
          </cell>
          <cell r="P1117" t="str">
            <v/>
          </cell>
          <cell r="Q1117" t="str">
            <v/>
          </cell>
          <cell r="R1117" t="e">
            <v>#N/A</v>
          </cell>
        </row>
        <row r="1118">
          <cell r="A1118" t="str">
            <v/>
          </cell>
          <cell r="B1118" t="str">
            <v/>
          </cell>
          <cell r="C1118" t="str">
            <v>Future</v>
          </cell>
          <cell r="D1118" t="e">
            <v>#N/A</v>
          </cell>
          <cell r="E1118">
            <v>-76.512047244093765</v>
          </cell>
          <cell r="F1118">
            <v>121.91314960630277</v>
          </cell>
          <cell r="G1118">
            <v>33.724173228346224</v>
          </cell>
          <cell r="H1118">
            <v>33.724173228346224</v>
          </cell>
          <cell r="I1118" t="e">
            <v>#N/A</v>
          </cell>
          <cell r="J1118" t="e">
            <v>#N/A</v>
          </cell>
          <cell r="K1118">
            <v>90</v>
          </cell>
          <cell r="L1118">
            <v>50</v>
          </cell>
          <cell r="M1118" t="e">
            <v>#N/A</v>
          </cell>
          <cell r="N1118">
            <v>80</v>
          </cell>
          <cell r="O1118" t="e">
            <v>#N/A</v>
          </cell>
          <cell r="P1118" t="str">
            <v/>
          </cell>
          <cell r="Q1118" t="str">
            <v/>
          </cell>
          <cell r="R1118" t="e">
            <v>#N/A</v>
          </cell>
        </row>
        <row r="1119">
          <cell r="A1119" t="str">
            <v/>
          </cell>
          <cell r="B1119" t="str">
            <v/>
          </cell>
          <cell r="C1119" t="str">
            <v>Future</v>
          </cell>
          <cell r="D1119" t="e">
            <v>#N/A</v>
          </cell>
          <cell r="E1119">
            <v>-76.762086614172503</v>
          </cell>
          <cell r="F1119">
            <v>122.01744094488545</v>
          </cell>
          <cell r="G1119">
            <v>33.670984251968271</v>
          </cell>
          <cell r="H1119">
            <v>33.670984251968271</v>
          </cell>
          <cell r="I1119" t="e">
            <v>#N/A</v>
          </cell>
          <cell r="J1119" t="e">
            <v>#N/A</v>
          </cell>
          <cell r="K1119">
            <v>90</v>
          </cell>
          <cell r="L1119">
            <v>50</v>
          </cell>
          <cell r="M1119" t="e">
            <v>#N/A</v>
          </cell>
          <cell r="N1119">
            <v>80</v>
          </cell>
          <cell r="O1119" t="e">
            <v>#N/A</v>
          </cell>
          <cell r="P1119" t="str">
            <v/>
          </cell>
          <cell r="Q1119" t="str">
            <v/>
          </cell>
          <cell r="R1119" t="e">
            <v>#N/A</v>
          </cell>
        </row>
        <row r="1120">
          <cell r="A1120" t="str">
            <v/>
          </cell>
          <cell r="B1120" t="str">
            <v/>
          </cell>
          <cell r="C1120" t="str">
            <v>Future</v>
          </cell>
          <cell r="D1120" t="e">
            <v>#N/A</v>
          </cell>
          <cell r="E1120">
            <v>-77.012125984251242</v>
          </cell>
          <cell r="F1120">
            <v>122.12173228346813</v>
          </cell>
          <cell r="G1120">
            <v>33.617795275590318</v>
          </cell>
          <cell r="H1120">
            <v>33.617795275590318</v>
          </cell>
          <cell r="I1120" t="e">
            <v>#N/A</v>
          </cell>
          <cell r="J1120" t="e">
            <v>#N/A</v>
          </cell>
          <cell r="K1120">
            <v>90</v>
          </cell>
          <cell r="L1120">
            <v>50</v>
          </cell>
          <cell r="M1120" t="e">
            <v>#N/A</v>
          </cell>
          <cell r="N1120">
            <v>80</v>
          </cell>
          <cell r="O1120" t="e">
            <v>#N/A</v>
          </cell>
          <cell r="P1120" t="str">
            <v/>
          </cell>
          <cell r="Q1120" t="str">
            <v/>
          </cell>
          <cell r="R1120" t="e">
            <v>#N/A</v>
          </cell>
        </row>
        <row r="1121">
          <cell r="A1121" t="str">
            <v/>
          </cell>
          <cell r="B1121" t="str">
            <v/>
          </cell>
          <cell r="C1121" t="str">
            <v>Future</v>
          </cell>
          <cell r="D1121" t="e">
            <v>#N/A</v>
          </cell>
          <cell r="E1121">
            <v>-77.26216535432998</v>
          </cell>
          <cell r="F1121">
            <v>122.22602362205082</v>
          </cell>
          <cell r="G1121">
            <v>33.564606299212365</v>
          </cell>
          <cell r="H1121">
            <v>33.564606299212365</v>
          </cell>
          <cell r="I1121" t="e">
            <v>#N/A</v>
          </cell>
          <cell r="J1121" t="e">
            <v>#N/A</v>
          </cell>
          <cell r="K1121">
            <v>90</v>
          </cell>
          <cell r="L1121">
            <v>50</v>
          </cell>
          <cell r="M1121" t="e">
            <v>#N/A</v>
          </cell>
          <cell r="N1121">
            <v>80</v>
          </cell>
          <cell r="O1121" t="e">
            <v>#N/A</v>
          </cell>
          <cell r="P1121" t="str">
            <v/>
          </cell>
          <cell r="Q1121" t="str">
            <v/>
          </cell>
          <cell r="R1121" t="e">
            <v>#N/A</v>
          </cell>
        </row>
        <row r="1122">
          <cell r="A1122" t="str">
            <v/>
          </cell>
          <cell r="B1122" t="str">
            <v/>
          </cell>
          <cell r="C1122" t="str">
            <v>Future</v>
          </cell>
          <cell r="D1122" t="e">
            <v>#N/A</v>
          </cell>
          <cell r="E1122">
            <v>-77.512204724408718</v>
          </cell>
          <cell r="F1122">
            <v>122.3303149606335</v>
          </cell>
          <cell r="G1122">
            <v>33.511417322834411</v>
          </cell>
          <cell r="H1122">
            <v>33.511417322834411</v>
          </cell>
          <cell r="I1122" t="e">
            <v>#N/A</v>
          </cell>
          <cell r="J1122" t="e">
            <v>#N/A</v>
          </cell>
          <cell r="K1122">
            <v>90</v>
          </cell>
          <cell r="L1122">
            <v>50</v>
          </cell>
          <cell r="M1122" t="e">
            <v>#N/A</v>
          </cell>
          <cell r="N1122">
            <v>80</v>
          </cell>
          <cell r="O1122" t="e">
            <v>#N/A</v>
          </cell>
          <cell r="P1122" t="str">
            <v/>
          </cell>
          <cell r="Q1122" t="str">
            <v/>
          </cell>
          <cell r="R1122" t="e">
            <v>#N/A</v>
          </cell>
        </row>
        <row r="1123">
          <cell r="A1123" t="str">
            <v/>
          </cell>
          <cell r="B1123" t="str">
            <v/>
          </cell>
          <cell r="C1123" t="str">
            <v>Future</v>
          </cell>
          <cell r="D1123" t="e">
            <v>#N/A</v>
          </cell>
          <cell r="E1123">
            <v>-77.762244094487457</v>
          </cell>
          <cell r="F1123">
            <v>122.43460629921618</v>
          </cell>
          <cell r="G1123">
            <v>33.458228346456458</v>
          </cell>
          <cell r="H1123">
            <v>33.458228346456458</v>
          </cell>
          <cell r="I1123" t="e">
            <v>#N/A</v>
          </cell>
          <cell r="J1123" t="e">
            <v>#N/A</v>
          </cell>
          <cell r="K1123">
            <v>90</v>
          </cell>
          <cell r="L1123">
            <v>50</v>
          </cell>
          <cell r="M1123" t="e">
            <v>#N/A</v>
          </cell>
          <cell r="N1123">
            <v>80</v>
          </cell>
          <cell r="O1123" t="e">
            <v>#N/A</v>
          </cell>
          <cell r="P1123" t="str">
            <v/>
          </cell>
          <cell r="Q1123" t="str">
            <v/>
          </cell>
          <cell r="R1123" t="e">
            <v>#N/A</v>
          </cell>
        </row>
        <row r="1124">
          <cell r="A1124" t="str">
            <v/>
          </cell>
          <cell r="B1124" t="str">
            <v/>
          </cell>
          <cell r="C1124" t="str">
            <v>Future</v>
          </cell>
          <cell r="D1124" t="e">
            <v>#N/A</v>
          </cell>
          <cell r="E1124">
            <v>-78.012283464566195</v>
          </cell>
          <cell r="F1124">
            <v>122.53889763779887</v>
          </cell>
          <cell r="G1124">
            <v>33.405039370078505</v>
          </cell>
          <cell r="H1124">
            <v>33.405039370078505</v>
          </cell>
          <cell r="I1124" t="e">
            <v>#N/A</v>
          </cell>
          <cell r="J1124" t="e">
            <v>#N/A</v>
          </cell>
          <cell r="K1124">
            <v>90</v>
          </cell>
          <cell r="L1124">
            <v>50</v>
          </cell>
          <cell r="M1124" t="e">
            <v>#N/A</v>
          </cell>
          <cell r="N1124">
            <v>80</v>
          </cell>
          <cell r="O1124" t="e">
            <v>#N/A</v>
          </cell>
          <cell r="P1124" t="str">
            <v/>
          </cell>
          <cell r="Q1124" t="str">
            <v/>
          </cell>
          <cell r="R1124" t="e">
            <v>#N/A</v>
          </cell>
        </row>
        <row r="1125">
          <cell r="A1125" t="str">
            <v/>
          </cell>
          <cell r="B1125" t="str">
            <v/>
          </cell>
          <cell r="C1125" t="str">
            <v>Future</v>
          </cell>
          <cell r="D1125" t="e">
            <v>#N/A</v>
          </cell>
          <cell r="E1125">
            <v>-78.262322834644934</v>
          </cell>
          <cell r="F1125">
            <v>122.64318897638155</v>
          </cell>
          <cell r="G1125">
            <v>33.351850393700552</v>
          </cell>
          <cell r="H1125">
            <v>33.351850393700552</v>
          </cell>
          <cell r="I1125" t="e">
            <v>#N/A</v>
          </cell>
          <cell r="J1125" t="e">
            <v>#N/A</v>
          </cell>
          <cell r="K1125">
            <v>90</v>
          </cell>
          <cell r="L1125">
            <v>50</v>
          </cell>
          <cell r="M1125" t="e">
            <v>#N/A</v>
          </cell>
          <cell r="N1125">
            <v>80</v>
          </cell>
          <cell r="O1125" t="e">
            <v>#N/A</v>
          </cell>
          <cell r="P1125" t="str">
            <v/>
          </cell>
          <cell r="Q1125" t="str">
            <v/>
          </cell>
          <cell r="R1125" t="e">
            <v>#N/A</v>
          </cell>
        </row>
        <row r="1126">
          <cell r="A1126" t="str">
            <v/>
          </cell>
          <cell r="B1126" t="str">
            <v/>
          </cell>
          <cell r="C1126" t="str">
            <v>Future</v>
          </cell>
          <cell r="D1126" t="e">
            <v>#N/A</v>
          </cell>
          <cell r="E1126">
            <v>-78.512362204723672</v>
          </cell>
          <cell r="F1126">
            <v>122.74748031496424</v>
          </cell>
          <cell r="G1126">
            <v>33.298661417322599</v>
          </cell>
          <cell r="H1126">
            <v>33.298661417322599</v>
          </cell>
          <cell r="I1126" t="e">
            <v>#N/A</v>
          </cell>
          <cell r="J1126" t="e">
            <v>#N/A</v>
          </cell>
          <cell r="K1126">
            <v>90</v>
          </cell>
          <cell r="L1126">
            <v>50</v>
          </cell>
          <cell r="M1126" t="e">
            <v>#N/A</v>
          </cell>
          <cell r="N1126">
            <v>80</v>
          </cell>
          <cell r="O1126" t="e">
            <v>#N/A</v>
          </cell>
          <cell r="P1126" t="str">
            <v/>
          </cell>
          <cell r="Q1126" t="str">
            <v/>
          </cell>
          <cell r="R1126" t="e">
            <v>#N/A</v>
          </cell>
        </row>
        <row r="1127">
          <cell r="A1127" t="str">
            <v/>
          </cell>
          <cell r="B1127" t="str">
            <v/>
          </cell>
          <cell r="C1127" t="str">
            <v>Future</v>
          </cell>
          <cell r="D1127" t="e">
            <v>#N/A</v>
          </cell>
          <cell r="E1127">
            <v>-78.762401574802411</v>
          </cell>
          <cell r="F1127">
            <v>122.85177165354692</v>
          </cell>
          <cell r="G1127">
            <v>33.245472440944646</v>
          </cell>
          <cell r="H1127">
            <v>33.245472440944646</v>
          </cell>
          <cell r="I1127" t="e">
            <v>#N/A</v>
          </cell>
          <cell r="J1127" t="e">
            <v>#N/A</v>
          </cell>
          <cell r="K1127">
            <v>90</v>
          </cell>
          <cell r="L1127">
            <v>50</v>
          </cell>
          <cell r="M1127" t="e">
            <v>#N/A</v>
          </cell>
          <cell r="N1127">
            <v>80</v>
          </cell>
          <cell r="O1127" t="e">
            <v>#N/A</v>
          </cell>
          <cell r="P1127" t="str">
            <v/>
          </cell>
          <cell r="Q1127" t="str">
            <v/>
          </cell>
          <cell r="R1127" t="e">
            <v>#N/A</v>
          </cell>
        </row>
        <row r="1128">
          <cell r="A1128" t="str">
            <v/>
          </cell>
          <cell r="B1128" t="str">
            <v/>
          </cell>
          <cell r="C1128" t="str">
            <v>Future</v>
          </cell>
          <cell r="D1128" t="e">
            <v>#N/A</v>
          </cell>
          <cell r="E1128">
            <v>-79.012440944881149</v>
          </cell>
          <cell r="F1128">
            <v>122.9560629921296</v>
          </cell>
          <cell r="G1128">
            <v>33.192283464566692</v>
          </cell>
          <cell r="H1128">
            <v>33.192283464566692</v>
          </cell>
          <cell r="I1128" t="e">
            <v>#N/A</v>
          </cell>
          <cell r="J1128" t="e">
            <v>#N/A</v>
          </cell>
          <cell r="K1128">
            <v>90</v>
          </cell>
          <cell r="L1128">
            <v>50</v>
          </cell>
          <cell r="M1128" t="e">
            <v>#N/A</v>
          </cell>
          <cell r="N1128">
            <v>80</v>
          </cell>
          <cell r="O1128" t="e">
            <v>#N/A</v>
          </cell>
          <cell r="P1128" t="str">
            <v/>
          </cell>
          <cell r="Q1128" t="str">
            <v/>
          </cell>
          <cell r="R1128" t="e">
            <v>#N/A</v>
          </cell>
        </row>
        <row r="1129">
          <cell r="A1129" t="str">
            <v/>
          </cell>
          <cell r="B1129" t="str">
            <v/>
          </cell>
          <cell r="C1129" t="str">
            <v>Future</v>
          </cell>
          <cell r="D1129" t="e">
            <v>#N/A</v>
          </cell>
          <cell r="E1129">
            <v>-79.262480314959888</v>
          </cell>
          <cell r="F1129">
            <v>123.06035433071229</v>
          </cell>
          <cell r="G1129">
            <v>33.139094488188739</v>
          </cell>
          <cell r="H1129">
            <v>33.139094488188739</v>
          </cell>
          <cell r="I1129" t="e">
            <v>#N/A</v>
          </cell>
          <cell r="J1129" t="e">
            <v>#N/A</v>
          </cell>
          <cell r="K1129">
            <v>90</v>
          </cell>
          <cell r="L1129">
            <v>50</v>
          </cell>
          <cell r="M1129" t="e">
            <v>#N/A</v>
          </cell>
          <cell r="N1129">
            <v>80</v>
          </cell>
          <cell r="O1129" t="e">
            <v>#N/A</v>
          </cell>
          <cell r="P1129" t="str">
            <v/>
          </cell>
          <cell r="Q1129" t="str">
            <v/>
          </cell>
          <cell r="R1129" t="e">
            <v>#N/A</v>
          </cell>
        </row>
        <row r="1130">
          <cell r="A1130" t="str">
            <v/>
          </cell>
          <cell r="B1130" t="str">
            <v/>
          </cell>
          <cell r="C1130" t="str">
            <v>Future</v>
          </cell>
          <cell r="D1130" t="e">
            <v>#N/A</v>
          </cell>
          <cell r="E1130">
            <v>-79.512519685038626</v>
          </cell>
          <cell r="F1130">
            <v>123.16464566929497</v>
          </cell>
          <cell r="G1130">
            <v>33.085905511810786</v>
          </cell>
          <cell r="H1130">
            <v>33.085905511810786</v>
          </cell>
          <cell r="I1130" t="e">
            <v>#N/A</v>
          </cell>
          <cell r="J1130" t="e">
            <v>#N/A</v>
          </cell>
          <cell r="K1130">
            <v>90</v>
          </cell>
          <cell r="L1130">
            <v>50</v>
          </cell>
          <cell r="M1130" t="e">
            <v>#N/A</v>
          </cell>
          <cell r="N1130">
            <v>80</v>
          </cell>
          <cell r="O1130" t="e">
            <v>#N/A</v>
          </cell>
          <cell r="P1130" t="str">
            <v/>
          </cell>
          <cell r="Q1130" t="str">
            <v/>
          </cell>
          <cell r="R1130" t="e">
            <v>#N/A</v>
          </cell>
        </row>
        <row r="1131">
          <cell r="A1131" t="str">
            <v/>
          </cell>
          <cell r="B1131" t="str">
            <v/>
          </cell>
          <cell r="C1131" t="str">
            <v>Future</v>
          </cell>
          <cell r="D1131" t="e">
            <v>#N/A</v>
          </cell>
          <cell r="E1131">
            <v>-79.762559055117364</v>
          </cell>
          <cell r="F1131">
            <v>123.26893700787765</v>
          </cell>
          <cell r="G1131">
            <v>33.032716535432833</v>
          </cell>
          <cell r="H1131">
            <v>33.032716535432833</v>
          </cell>
          <cell r="I1131" t="e">
            <v>#N/A</v>
          </cell>
          <cell r="J1131" t="e">
            <v>#N/A</v>
          </cell>
          <cell r="K1131">
            <v>90</v>
          </cell>
          <cell r="L1131">
            <v>50</v>
          </cell>
          <cell r="M1131" t="e">
            <v>#N/A</v>
          </cell>
          <cell r="N1131">
            <v>80</v>
          </cell>
          <cell r="O1131" t="e">
            <v>#N/A</v>
          </cell>
          <cell r="P1131" t="str">
            <v/>
          </cell>
          <cell r="Q1131" t="str">
            <v/>
          </cell>
          <cell r="R1131" t="e">
            <v>#N/A</v>
          </cell>
        </row>
        <row r="1132">
          <cell r="A1132" t="str">
            <v/>
          </cell>
          <cell r="B1132" t="str">
            <v/>
          </cell>
          <cell r="C1132" t="str">
            <v>Future</v>
          </cell>
          <cell r="D1132" t="e">
            <v>#N/A</v>
          </cell>
          <cell r="E1132">
            <v>-80.012598425196103</v>
          </cell>
          <cell r="F1132">
            <v>123.37322834646034</v>
          </cell>
          <cell r="G1132">
            <v>32.97952755905488</v>
          </cell>
          <cell r="H1132">
            <v>32.97952755905488</v>
          </cell>
          <cell r="I1132" t="e">
            <v>#N/A</v>
          </cell>
          <cell r="J1132" t="e">
            <v>#N/A</v>
          </cell>
          <cell r="K1132">
            <v>90</v>
          </cell>
          <cell r="L1132">
            <v>50</v>
          </cell>
          <cell r="M1132" t="e">
            <v>#N/A</v>
          </cell>
          <cell r="N1132">
            <v>80</v>
          </cell>
          <cell r="O1132" t="e">
            <v>#N/A</v>
          </cell>
          <cell r="P1132" t="str">
            <v/>
          </cell>
          <cell r="Q1132" t="str">
            <v/>
          </cell>
          <cell r="R1132" t="e">
            <v>#N/A</v>
          </cell>
        </row>
        <row r="1133">
          <cell r="A1133" t="str">
            <v/>
          </cell>
          <cell r="B1133" t="str">
            <v/>
          </cell>
          <cell r="C1133" t="str">
            <v>Future</v>
          </cell>
          <cell r="D1133" t="e">
            <v>#N/A</v>
          </cell>
          <cell r="E1133">
            <v>-80.262637795274841</v>
          </cell>
          <cell r="F1133">
            <v>123.47751968504302</v>
          </cell>
          <cell r="G1133">
            <v>32.926338582676927</v>
          </cell>
          <cell r="H1133">
            <v>32.926338582676927</v>
          </cell>
          <cell r="I1133" t="e">
            <v>#N/A</v>
          </cell>
          <cell r="J1133" t="e">
            <v>#N/A</v>
          </cell>
          <cell r="K1133">
            <v>90</v>
          </cell>
          <cell r="L1133">
            <v>50</v>
          </cell>
          <cell r="M1133" t="e">
            <v>#N/A</v>
          </cell>
          <cell r="N1133">
            <v>80</v>
          </cell>
          <cell r="O1133" t="e">
            <v>#N/A</v>
          </cell>
          <cell r="P1133" t="str">
            <v/>
          </cell>
          <cell r="Q1133" t="str">
            <v/>
          </cell>
          <cell r="R1133" t="e">
            <v>#N/A</v>
          </cell>
        </row>
        <row r="1134">
          <cell r="A1134" t="str">
            <v/>
          </cell>
          <cell r="B1134" t="str">
            <v/>
          </cell>
          <cell r="C1134" t="str">
            <v>Future</v>
          </cell>
          <cell r="D1134" t="e">
            <v>#N/A</v>
          </cell>
          <cell r="E1134">
            <v>-80.51267716535358</v>
          </cell>
          <cell r="F1134">
            <v>123.5818110236257</v>
          </cell>
          <cell r="G1134">
            <v>32.873149606298973</v>
          </cell>
          <cell r="H1134">
            <v>32.873149606298973</v>
          </cell>
          <cell r="I1134" t="e">
            <v>#N/A</v>
          </cell>
          <cell r="J1134" t="e">
            <v>#N/A</v>
          </cell>
          <cell r="K1134">
            <v>90</v>
          </cell>
          <cell r="L1134">
            <v>50</v>
          </cell>
          <cell r="M1134" t="e">
            <v>#N/A</v>
          </cell>
          <cell r="N1134">
            <v>80</v>
          </cell>
          <cell r="O1134" t="e">
            <v>#N/A</v>
          </cell>
          <cell r="P1134" t="str">
            <v/>
          </cell>
          <cell r="Q1134" t="str">
            <v/>
          </cell>
          <cell r="R1134" t="e">
            <v>#N/A</v>
          </cell>
        </row>
        <row r="1135">
          <cell r="A1135" t="str">
            <v/>
          </cell>
          <cell r="B1135" t="str">
            <v/>
          </cell>
          <cell r="C1135" t="str">
            <v>Future</v>
          </cell>
          <cell r="D1135" t="e">
            <v>#N/A</v>
          </cell>
          <cell r="E1135">
            <v>-80.762716535432318</v>
          </cell>
          <cell r="F1135">
            <v>123.68610236220839</v>
          </cell>
          <cell r="G1135">
            <v>32.81996062992102</v>
          </cell>
          <cell r="H1135">
            <v>32.81996062992102</v>
          </cell>
          <cell r="I1135" t="e">
            <v>#N/A</v>
          </cell>
          <cell r="J1135" t="e">
            <v>#N/A</v>
          </cell>
          <cell r="K1135">
            <v>90</v>
          </cell>
          <cell r="L1135">
            <v>50</v>
          </cell>
          <cell r="M1135" t="e">
            <v>#N/A</v>
          </cell>
          <cell r="N1135">
            <v>80</v>
          </cell>
          <cell r="O1135" t="e">
            <v>#N/A</v>
          </cell>
          <cell r="P1135" t="str">
            <v/>
          </cell>
          <cell r="Q1135" t="str">
            <v/>
          </cell>
          <cell r="R1135" t="e">
            <v>#N/A</v>
          </cell>
        </row>
        <row r="1136">
          <cell r="A1136" t="str">
            <v/>
          </cell>
          <cell r="B1136" t="str">
            <v/>
          </cell>
          <cell r="C1136" t="str">
            <v>Future</v>
          </cell>
          <cell r="D1136" t="e">
            <v>#N/A</v>
          </cell>
          <cell r="E1136">
            <v>-81.012755905511057</v>
          </cell>
          <cell r="F1136">
            <v>123.79039370079107</v>
          </cell>
          <cell r="G1136">
            <v>32.766771653543067</v>
          </cell>
          <cell r="H1136">
            <v>32.766771653543067</v>
          </cell>
          <cell r="I1136" t="e">
            <v>#N/A</v>
          </cell>
          <cell r="J1136" t="e">
            <v>#N/A</v>
          </cell>
          <cell r="K1136">
            <v>90</v>
          </cell>
          <cell r="L1136">
            <v>50</v>
          </cell>
          <cell r="M1136" t="e">
            <v>#N/A</v>
          </cell>
          <cell r="N1136">
            <v>80</v>
          </cell>
          <cell r="O1136" t="e">
            <v>#N/A</v>
          </cell>
          <cell r="P1136" t="str">
            <v/>
          </cell>
          <cell r="Q1136" t="str">
            <v/>
          </cell>
          <cell r="R1136" t="e">
            <v>#N/A</v>
          </cell>
        </row>
        <row r="1137">
          <cell r="A1137" t="str">
            <v/>
          </cell>
          <cell r="B1137" t="str">
            <v/>
          </cell>
          <cell r="C1137" t="str">
            <v>Future</v>
          </cell>
          <cell r="D1137" t="e">
            <v>#N/A</v>
          </cell>
          <cell r="E1137">
            <v>-81.262795275589795</v>
          </cell>
          <cell r="F1137">
            <v>123.89468503937375</v>
          </cell>
          <cell r="G1137">
            <v>32.713582677165114</v>
          </cell>
          <cell r="H1137">
            <v>32.713582677165114</v>
          </cell>
          <cell r="I1137" t="e">
            <v>#N/A</v>
          </cell>
          <cell r="J1137" t="e">
            <v>#N/A</v>
          </cell>
          <cell r="K1137">
            <v>90</v>
          </cell>
          <cell r="L1137">
            <v>50</v>
          </cell>
          <cell r="M1137" t="e">
            <v>#N/A</v>
          </cell>
          <cell r="N1137">
            <v>80</v>
          </cell>
          <cell r="O1137" t="e">
            <v>#N/A</v>
          </cell>
          <cell r="P1137" t="str">
            <v/>
          </cell>
          <cell r="Q1137" t="str">
            <v/>
          </cell>
          <cell r="R1137" t="e">
            <v>#N/A</v>
          </cell>
        </row>
        <row r="1138">
          <cell r="A1138" t="str">
            <v/>
          </cell>
          <cell r="B1138" t="str">
            <v/>
          </cell>
          <cell r="C1138" t="str">
            <v>Future</v>
          </cell>
          <cell r="D1138" t="e">
            <v>#N/A</v>
          </cell>
          <cell r="E1138">
            <v>-81.512834645668534</v>
          </cell>
          <cell r="F1138">
            <v>123.99897637795644</v>
          </cell>
          <cell r="G1138">
            <v>32.660393700787161</v>
          </cell>
          <cell r="H1138">
            <v>32.660393700787161</v>
          </cell>
          <cell r="I1138" t="e">
            <v>#N/A</v>
          </cell>
          <cell r="J1138" t="e">
            <v>#N/A</v>
          </cell>
          <cell r="K1138">
            <v>90</v>
          </cell>
          <cell r="L1138">
            <v>50</v>
          </cell>
          <cell r="M1138" t="e">
            <v>#N/A</v>
          </cell>
          <cell r="N1138">
            <v>80</v>
          </cell>
          <cell r="O1138" t="e">
            <v>#N/A</v>
          </cell>
          <cell r="P1138" t="str">
            <v/>
          </cell>
          <cell r="Q1138" t="str">
            <v/>
          </cell>
          <cell r="R1138" t="e">
            <v>#N/A</v>
          </cell>
        </row>
        <row r="1139">
          <cell r="A1139" t="str">
            <v/>
          </cell>
          <cell r="B1139" t="str">
            <v/>
          </cell>
          <cell r="C1139" t="str">
            <v>Future</v>
          </cell>
          <cell r="D1139" t="e">
            <v>#N/A</v>
          </cell>
          <cell r="E1139">
            <v>-81.762874015747272</v>
          </cell>
          <cell r="F1139">
            <v>124.10326771653912</v>
          </cell>
          <cell r="G1139">
            <v>32.607204724409208</v>
          </cell>
          <cell r="H1139">
            <v>32.607204724409208</v>
          </cell>
          <cell r="I1139" t="e">
            <v>#N/A</v>
          </cell>
          <cell r="J1139" t="e">
            <v>#N/A</v>
          </cell>
          <cell r="K1139">
            <v>90</v>
          </cell>
          <cell r="L1139">
            <v>50</v>
          </cell>
          <cell r="M1139" t="e">
            <v>#N/A</v>
          </cell>
          <cell r="N1139">
            <v>80</v>
          </cell>
          <cell r="O1139" t="e">
            <v>#N/A</v>
          </cell>
          <cell r="P1139" t="str">
            <v/>
          </cell>
          <cell r="Q1139" t="str">
            <v/>
          </cell>
          <cell r="R1139" t="e">
            <v>#N/A</v>
          </cell>
        </row>
        <row r="1140">
          <cell r="A1140" t="str">
            <v/>
          </cell>
          <cell r="B1140" t="str">
            <v/>
          </cell>
          <cell r="C1140" t="str">
            <v>Future</v>
          </cell>
          <cell r="D1140" t="e">
            <v>#N/A</v>
          </cell>
          <cell r="E1140">
            <v>-82.01291338582601</v>
          </cell>
          <cell r="F1140">
            <v>124.20755905512181</v>
          </cell>
          <cell r="G1140">
            <v>32.554015748031254</v>
          </cell>
          <cell r="H1140">
            <v>32.554015748031254</v>
          </cell>
          <cell r="I1140" t="e">
            <v>#N/A</v>
          </cell>
          <cell r="J1140" t="e">
            <v>#N/A</v>
          </cell>
          <cell r="K1140">
            <v>90</v>
          </cell>
          <cell r="L1140">
            <v>50</v>
          </cell>
          <cell r="M1140" t="e">
            <v>#N/A</v>
          </cell>
          <cell r="N1140">
            <v>80</v>
          </cell>
          <cell r="O1140" t="e">
            <v>#N/A</v>
          </cell>
          <cell r="P1140" t="str">
            <v/>
          </cell>
          <cell r="Q1140" t="str">
            <v/>
          </cell>
          <cell r="R1140" t="e">
            <v>#N/A</v>
          </cell>
        </row>
        <row r="1141">
          <cell r="A1141" t="str">
            <v/>
          </cell>
          <cell r="B1141" t="str">
            <v/>
          </cell>
          <cell r="C1141" t="str">
            <v>Future</v>
          </cell>
          <cell r="D1141" t="e">
            <v>#N/A</v>
          </cell>
          <cell r="E1141">
            <v>-82.262952755904749</v>
          </cell>
          <cell r="F1141">
            <v>124.31185039370449</v>
          </cell>
          <cell r="G1141">
            <v>32.500826771653301</v>
          </cell>
          <cell r="H1141">
            <v>32.500826771653301</v>
          </cell>
          <cell r="I1141" t="e">
            <v>#N/A</v>
          </cell>
          <cell r="J1141" t="e">
            <v>#N/A</v>
          </cell>
          <cell r="K1141">
            <v>90</v>
          </cell>
          <cell r="L1141">
            <v>50</v>
          </cell>
          <cell r="M1141" t="e">
            <v>#N/A</v>
          </cell>
          <cell r="N1141">
            <v>80</v>
          </cell>
          <cell r="O1141" t="e">
            <v>#N/A</v>
          </cell>
          <cell r="P1141" t="str">
            <v/>
          </cell>
          <cell r="Q1141" t="str">
            <v/>
          </cell>
          <cell r="R1141" t="e">
            <v>#N/A</v>
          </cell>
        </row>
        <row r="1142">
          <cell r="A1142" t="str">
            <v/>
          </cell>
          <cell r="B1142" t="str">
            <v/>
          </cell>
          <cell r="C1142" t="str">
            <v>Future</v>
          </cell>
          <cell r="D1142" t="e">
            <v>#N/A</v>
          </cell>
          <cell r="E1142">
            <v>-82.512992125983487</v>
          </cell>
          <cell r="F1142">
            <v>124.41614173228717</v>
          </cell>
          <cell r="G1142">
            <v>32.447637795275348</v>
          </cell>
          <cell r="H1142">
            <v>32.447637795275348</v>
          </cell>
          <cell r="I1142" t="e">
            <v>#N/A</v>
          </cell>
          <cell r="J1142" t="e">
            <v>#N/A</v>
          </cell>
          <cell r="K1142">
            <v>90</v>
          </cell>
          <cell r="L1142">
            <v>50</v>
          </cell>
          <cell r="M1142" t="e">
            <v>#N/A</v>
          </cell>
          <cell r="N1142">
            <v>80</v>
          </cell>
          <cell r="O1142" t="e">
            <v>#N/A</v>
          </cell>
          <cell r="P1142" t="str">
            <v/>
          </cell>
          <cell r="Q1142" t="str">
            <v/>
          </cell>
          <cell r="R1142" t="e">
            <v>#N/A</v>
          </cell>
        </row>
        <row r="1143">
          <cell r="A1143" t="str">
            <v/>
          </cell>
          <cell r="B1143" t="str">
            <v/>
          </cell>
          <cell r="C1143" t="str">
            <v>Future</v>
          </cell>
          <cell r="D1143" t="e">
            <v>#N/A</v>
          </cell>
          <cell r="E1143">
            <v>-82.763031496062226</v>
          </cell>
          <cell r="F1143">
            <v>124.52043307086986</v>
          </cell>
          <cell r="G1143">
            <v>32.394448818897395</v>
          </cell>
          <cell r="H1143">
            <v>32.394448818897395</v>
          </cell>
          <cell r="I1143" t="e">
            <v>#N/A</v>
          </cell>
          <cell r="J1143" t="e">
            <v>#N/A</v>
          </cell>
          <cell r="K1143">
            <v>90</v>
          </cell>
          <cell r="L1143">
            <v>50</v>
          </cell>
          <cell r="M1143" t="e">
            <v>#N/A</v>
          </cell>
          <cell r="N1143">
            <v>80</v>
          </cell>
          <cell r="O1143" t="e">
            <v>#N/A</v>
          </cell>
          <cell r="P1143" t="str">
            <v/>
          </cell>
          <cell r="Q1143" t="str">
            <v/>
          </cell>
          <cell r="R1143" t="e">
            <v>#N/A</v>
          </cell>
        </row>
        <row r="1144">
          <cell r="A1144" t="str">
            <v/>
          </cell>
          <cell r="B1144" t="str">
            <v/>
          </cell>
          <cell r="C1144" t="str">
            <v>Future</v>
          </cell>
          <cell r="D1144" t="e">
            <v>#N/A</v>
          </cell>
          <cell r="E1144">
            <v>-83.013070866140964</v>
          </cell>
          <cell r="F1144">
            <v>124.62472440945254</v>
          </cell>
          <cell r="G1144">
            <v>32.341259842519442</v>
          </cell>
          <cell r="H1144">
            <v>32.341259842519442</v>
          </cell>
          <cell r="I1144" t="e">
            <v>#N/A</v>
          </cell>
          <cell r="J1144" t="e">
            <v>#N/A</v>
          </cell>
          <cell r="K1144">
            <v>90</v>
          </cell>
          <cell r="L1144">
            <v>50</v>
          </cell>
          <cell r="M1144" t="e">
            <v>#N/A</v>
          </cell>
          <cell r="N1144">
            <v>80</v>
          </cell>
          <cell r="O1144" t="e">
            <v>#N/A</v>
          </cell>
          <cell r="P1144" t="str">
            <v/>
          </cell>
          <cell r="Q1144" t="str">
            <v/>
          </cell>
          <cell r="R1144" t="e">
            <v>#N/A</v>
          </cell>
        </row>
        <row r="1145">
          <cell r="A1145" t="str">
            <v/>
          </cell>
          <cell r="B1145" t="str">
            <v/>
          </cell>
          <cell r="C1145" t="str">
            <v>Future</v>
          </cell>
          <cell r="D1145" t="e">
            <v>#N/A</v>
          </cell>
          <cell r="E1145">
            <v>-83.263110236219703</v>
          </cell>
          <cell r="F1145">
            <v>124.72901574803522</v>
          </cell>
          <cell r="G1145">
            <v>32.288070866141489</v>
          </cell>
          <cell r="H1145">
            <v>32.288070866141489</v>
          </cell>
          <cell r="I1145" t="e">
            <v>#N/A</v>
          </cell>
          <cell r="J1145" t="e">
            <v>#N/A</v>
          </cell>
          <cell r="K1145">
            <v>90</v>
          </cell>
          <cell r="L1145">
            <v>50</v>
          </cell>
          <cell r="M1145" t="e">
            <v>#N/A</v>
          </cell>
          <cell r="N1145">
            <v>80</v>
          </cell>
          <cell r="O1145" t="e">
            <v>#N/A</v>
          </cell>
          <cell r="P1145" t="str">
            <v/>
          </cell>
          <cell r="Q1145" t="str">
            <v/>
          </cell>
          <cell r="R1145" t="e">
            <v>#N/A</v>
          </cell>
        </row>
        <row r="1146">
          <cell r="A1146" t="str">
            <v/>
          </cell>
          <cell r="B1146" t="str">
            <v/>
          </cell>
          <cell r="C1146" t="str">
            <v>Future</v>
          </cell>
          <cell r="D1146" t="e">
            <v>#N/A</v>
          </cell>
          <cell r="E1146">
            <v>-83.513149606298441</v>
          </cell>
          <cell r="F1146">
            <v>124.83330708661791</v>
          </cell>
          <cell r="G1146">
            <v>32.234881889763535</v>
          </cell>
          <cell r="H1146">
            <v>32.234881889763535</v>
          </cell>
          <cell r="I1146" t="e">
            <v>#N/A</v>
          </cell>
          <cell r="J1146" t="e">
            <v>#N/A</v>
          </cell>
          <cell r="K1146">
            <v>90</v>
          </cell>
          <cell r="L1146">
            <v>50</v>
          </cell>
          <cell r="M1146" t="e">
            <v>#N/A</v>
          </cell>
          <cell r="N1146">
            <v>80</v>
          </cell>
          <cell r="O1146" t="e">
            <v>#N/A</v>
          </cell>
          <cell r="P1146" t="str">
            <v/>
          </cell>
          <cell r="Q1146" t="str">
            <v/>
          </cell>
          <cell r="R1146" t="e">
            <v>#N/A</v>
          </cell>
        </row>
        <row r="1147">
          <cell r="A1147" t="str">
            <v/>
          </cell>
          <cell r="B1147" t="str">
            <v/>
          </cell>
          <cell r="C1147" t="str">
            <v>Future</v>
          </cell>
          <cell r="D1147" t="e">
            <v>#N/A</v>
          </cell>
          <cell r="E1147">
            <v>-83.76318897637718</v>
          </cell>
          <cell r="F1147">
            <v>124.93759842520059</v>
          </cell>
          <cell r="G1147">
            <v>32.181692913385582</v>
          </cell>
          <cell r="H1147">
            <v>32.181692913385582</v>
          </cell>
          <cell r="I1147" t="e">
            <v>#N/A</v>
          </cell>
          <cell r="J1147" t="e">
            <v>#N/A</v>
          </cell>
          <cell r="K1147">
            <v>90</v>
          </cell>
          <cell r="L1147">
            <v>50</v>
          </cell>
          <cell r="M1147" t="e">
            <v>#N/A</v>
          </cell>
          <cell r="N1147">
            <v>80</v>
          </cell>
          <cell r="O1147" t="e">
            <v>#N/A</v>
          </cell>
          <cell r="P1147" t="str">
            <v/>
          </cell>
          <cell r="Q1147" t="str">
            <v/>
          </cell>
          <cell r="R1147" t="e">
            <v>#N/A</v>
          </cell>
        </row>
        <row r="1148">
          <cell r="A1148" t="str">
            <v/>
          </cell>
          <cell r="B1148" t="str">
            <v/>
          </cell>
          <cell r="C1148" t="str">
            <v>Future</v>
          </cell>
          <cell r="D1148" t="e">
            <v>#N/A</v>
          </cell>
          <cell r="E1148">
            <v>-84.013228346455918</v>
          </cell>
          <cell r="F1148">
            <v>125.04188976378327</v>
          </cell>
          <cell r="G1148">
            <v>32.128503937007629</v>
          </cell>
          <cell r="H1148">
            <v>32.128503937007629</v>
          </cell>
          <cell r="I1148" t="e">
            <v>#N/A</v>
          </cell>
          <cell r="J1148" t="e">
            <v>#N/A</v>
          </cell>
          <cell r="K1148">
            <v>90</v>
          </cell>
          <cell r="L1148">
            <v>50</v>
          </cell>
          <cell r="M1148" t="e">
            <v>#N/A</v>
          </cell>
          <cell r="N1148">
            <v>80</v>
          </cell>
          <cell r="O1148" t="e">
            <v>#N/A</v>
          </cell>
          <cell r="P1148" t="str">
            <v/>
          </cell>
          <cell r="Q1148" t="str">
            <v/>
          </cell>
          <cell r="R1148" t="e">
            <v>#N/A</v>
          </cell>
        </row>
        <row r="1149">
          <cell r="A1149" t="str">
            <v/>
          </cell>
          <cell r="B1149" t="str">
            <v/>
          </cell>
          <cell r="C1149" t="str">
            <v>Future</v>
          </cell>
          <cell r="D1149" t="e">
            <v>#N/A</v>
          </cell>
          <cell r="E1149">
            <v>-84.263267716534656</v>
          </cell>
          <cell r="F1149">
            <v>125.14618110236596</v>
          </cell>
          <cell r="G1149">
            <v>32.075314960629676</v>
          </cell>
          <cell r="H1149">
            <v>32.075314960629676</v>
          </cell>
          <cell r="I1149" t="e">
            <v>#N/A</v>
          </cell>
          <cell r="J1149" t="e">
            <v>#N/A</v>
          </cell>
          <cell r="K1149">
            <v>90</v>
          </cell>
          <cell r="L1149">
            <v>50</v>
          </cell>
          <cell r="M1149" t="e">
            <v>#N/A</v>
          </cell>
          <cell r="N1149">
            <v>80</v>
          </cell>
          <cell r="O1149" t="e">
            <v>#N/A</v>
          </cell>
          <cell r="P1149" t="str">
            <v/>
          </cell>
          <cell r="Q1149" t="str">
            <v/>
          </cell>
          <cell r="R1149" t="e">
            <v>#N/A</v>
          </cell>
        </row>
        <row r="1150">
          <cell r="A1150" t="str">
            <v/>
          </cell>
          <cell r="B1150" t="str">
            <v/>
          </cell>
          <cell r="C1150" t="str">
            <v>Future</v>
          </cell>
          <cell r="D1150" t="e">
            <v>#N/A</v>
          </cell>
          <cell r="E1150">
            <v>-84.513307086613395</v>
          </cell>
          <cell r="F1150">
            <v>125.25047244094864</v>
          </cell>
          <cell r="G1150">
            <v>32.022125984251723</v>
          </cell>
          <cell r="H1150">
            <v>32.022125984251723</v>
          </cell>
          <cell r="I1150" t="e">
            <v>#N/A</v>
          </cell>
          <cell r="J1150" t="e">
            <v>#N/A</v>
          </cell>
          <cell r="K1150">
            <v>90</v>
          </cell>
          <cell r="L1150">
            <v>50</v>
          </cell>
          <cell r="M1150" t="e">
            <v>#N/A</v>
          </cell>
          <cell r="N1150">
            <v>80</v>
          </cell>
          <cell r="O1150" t="e">
            <v>#N/A</v>
          </cell>
          <cell r="P1150" t="str">
            <v/>
          </cell>
          <cell r="Q1150" t="str">
            <v/>
          </cell>
          <cell r="R1150" t="e">
            <v>#N/A</v>
          </cell>
        </row>
        <row r="1151">
          <cell r="A1151" t="str">
            <v/>
          </cell>
          <cell r="B1151" t="str">
            <v/>
          </cell>
          <cell r="C1151" t="str">
            <v>Future</v>
          </cell>
          <cell r="D1151" t="e">
            <v>#N/A</v>
          </cell>
          <cell r="E1151">
            <v>-84.763346456692133</v>
          </cell>
          <cell r="F1151">
            <v>125.35476377953132</v>
          </cell>
          <cell r="G1151">
            <v>31.96893700787377</v>
          </cell>
          <cell r="H1151">
            <v>31.96893700787377</v>
          </cell>
          <cell r="I1151" t="e">
            <v>#N/A</v>
          </cell>
          <cell r="J1151" t="e">
            <v>#N/A</v>
          </cell>
          <cell r="K1151">
            <v>90</v>
          </cell>
          <cell r="L1151">
            <v>50</v>
          </cell>
          <cell r="M1151" t="e">
            <v>#N/A</v>
          </cell>
          <cell r="N1151">
            <v>80</v>
          </cell>
          <cell r="O1151" t="e">
            <v>#N/A</v>
          </cell>
          <cell r="P1151" t="str">
            <v/>
          </cell>
          <cell r="Q1151" t="str">
            <v/>
          </cell>
          <cell r="R1151" t="e">
            <v>#N/A</v>
          </cell>
        </row>
        <row r="1152">
          <cell r="A1152" t="str">
            <v/>
          </cell>
          <cell r="B1152" t="str">
            <v/>
          </cell>
          <cell r="C1152" t="str">
            <v>Future</v>
          </cell>
          <cell r="D1152" t="e">
            <v>#N/A</v>
          </cell>
          <cell r="E1152">
            <v>-85.013385826770872</v>
          </cell>
          <cell r="F1152">
            <v>125.45905511811401</v>
          </cell>
          <cell r="G1152">
            <v>31.915748031495816</v>
          </cell>
          <cell r="H1152">
            <v>31.915748031495816</v>
          </cell>
          <cell r="I1152" t="e">
            <v>#N/A</v>
          </cell>
          <cell r="J1152" t="e">
            <v>#N/A</v>
          </cell>
          <cell r="K1152">
            <v>90</v>
          </cell>
          <cell r="L1152">
            <v>50</v>
          </cell>
          <cell r="M1152" t="e">
            <v>#N/A</v>
          </cell>
          <cell r="N1152">
            <v>80</v>
          </cell>
          <cell r="O1152" t="e">
            <v>#N/A</v>
          </cell>
          <cell r="P1152" t="str">
            <v/>
          </cell>
          <cell r="Q1152" t="str">
            <v/>
          </cell>
          <cell r="R1152" t="e">
            <v>#N/A</v>
          </cell>
        </row>
        <row r="1153">
          <cell r="A1153" t="str">
            <v/>
          </cell>
          <cell r="B1153" t="str">
            <v/>
          </cell>
          <cell r="C1153" t="str">
            <v>Future</v>
          </cell>
          <cell r="D1153" t="e">
            <v>#N/A</v>
          </cell>
          <cell r="E1153">
            <v>-85.26342519684961</v>
          </cell>
          <cell r="F1153">
            <v>125.56334645669669</v>
          </cell>
          <cell r="G1153">
            <v>31.862559055117863</v>
          </cell>
          <cell r="H1153">
            <v>31.862559055117863</v>
          </cell>
          <cell r="I1153" t="e">
            <v>#N/A</v>
          </cell>
          <cell r="J1153" t="e">
            <v>#N/A</v>
          </cell>
          <cell r="K1153">
            <v>90</v>
          </cell>
          <cell r="L1153">
            <v>50</v>
          </cell>
          <cell r="M1153" t="e">
            <v>#N/A</v>
          </cell>
          <cell r="N1153">
            <v>80</v>
          </cell>
          <cell r="O1153" t="e">
            <v>#N/A</v>
          </cell>
          <cell r="P1153" t="str">
            <v/>
          </cell>
          <cell r="Q1153" t="str">
            <v/>
          </cell>
          <cell r="R1153" t="e">
            <v>#N/A</v>
          </cell>
        </row>
        <row r="1154">
          <cell r="A1154" t="str">
            <v/>
          </cell>
          <cell r="B1154" t="str">
            <v/>
          </cell>
          <cell r="C1154" t="str">
            <v>Future</v>
          </cell>
          <cell r="D1154" t="e">
            <v>#N/A</v>
          </cell>
          <cell r="E1154">
            <v>-85.513464566928349</v>
          </cell>
          <cell r="F1154">
            <v>125.66763779527938</v>
          </cell>
          <cell r="G1154">
            <v>31.80937007873991</v>
          </cell>
          <cell r="H1154">
            <v>31.80937007873991</v>
          </cell>
          <cell r="I1154" t="e">
            <v>#N/A</v>
          </cell>
          <cell r="J1154" t="e">
            <v>#N/A</v>
          </cell>
          <cell r="K1154">
            <v>90</v>
          </cell>
          <cell r="L1154">
            <v>50</v>
          </cell>
          <cell r="M1154" t="e">
            <v>#N/A</v>
          </cell>
          <cell r="N1154">
            <v>80</v>
          </cell>
          <cell r="O1154" t="e">
            <v>#N/A</v>
          </cell>
          <cell r="P1154" t="str">
            <v/>
          </cell>
          <cell r="Q1154" t="str">
            <v/>
          </cell>
          <cell r="R1154" t="e">
            <v>#N/A</v>
          </cell>
        </row>
        <row r="1155">
          <cell r="A1155" t="str">
            <v/>
          </cell>
          <cell r="B1155" t="str">
            <v/>
          </cell>
          <cell r="C1155" t="str">
            <v>Future</v>
          </cell>
          <cell r="D1155" t="e">
            <v>#N/A</v>
          </cell>
          <cell r="E1155">
            <v>-85.763503937007087</v>
          </cell>
          <cell r="F1155">
            <v>125.77192913386206</v>
          </cell>
          <cell r="G1155">
            <v>31.756181102361957</v>
          </cell>
          <cell r="H1155">
            <v>31.756181102361957</v>
          </cell>
          <cell r="I1155" t="e">
            <v>#N/A</v>
          </cell>
          <cell r="J1155" t="e">
            <v>#N/A</v>
          </cell>
          <cell r="K1155">
            <v>90</v>
          </cell>
          <cell r="L1155">
            <v>50</v>
          </cell>
          <cell r="M1155" t="e">
            <v>#N/A</v>
          </cell>
          <cell r="N1155">
            <v>80</v>
          </cell>
          <cell r="O1155" t="e">
            <v>#N/A</v>
          </cell>
          <cell r="P1155" t="str">
            <v/>
          </cell>
          <cell r="Q1155" t="str">
            <v/>
          </cell>
          <cell r="R1155" t="e">
            <v>#N/A</v>
          </cell>
        </row>
        <row r="1156">
          <cell r="A1156" t="str">
            <v/>
          </cell>
          <cell r="B1156" t="str">
            <v/>
          </cell>
          <cell r="C1156" t="str">
            <v>Future</v>
          </cell>
          <cell r="D1156" t="e">
            <v>#N/A</v>
          </cell>
          <cell r="E1156">
            <v>-86.013543307085826</v>
          </cell>
          <cell r="F1156">
            <v>125.87622047244474</v>
          </cell>
          <cell r="G1156">
            <v>31.702992125984004</v>
          </cell>
          <cell r="H1156">
            <v>31.702992125984004</v>
          </cell>
          <cell r="I1156" t="e">
            <v>#N/A</v>
          </cell>
          <cell r="J1156" t="e">
            <v>#N/A</v>
          </cell>
          <cell r="K1156">
            <v>90</v>
          </cell>
          <cell r="L1156">
            <v>50</v>
          </cell>
          <cell r="M1156" t="e">
            <v>#N/A</v>
          </cell>
          <cell r="N1156">
            <v>80</v>
          </cell>
          <cell r="O1156" t="e">
            <v>#N/A</v>
          </cell>
          <cell r="P1156" t="str">
            <v/>
          </cell>
          <cell r="Q1156" t="str">
            <v/>
          </cell>
          <cell r="R1156" t="e">
            <v>#N/A</v>
          </cell>
        </row>
        <row r="1157">
          <cell r="A1157" t="str">
            <v/>
          </cell>
          <cell r="B1157" t="str">
            <v/>
          </cell>
          <cell r="C1157" t="str">
            <v>Future</v>
          </cell>
          <cell r="D1157" t="e">
            <v>#N/A</v>
          </cell>
          <cell r="E1157">
            <v>-86.263582677164564</v>
          </cell>
          <cell r="F1157">
            <v>125.98051181102743</v>
          </cell>
          <cell r="G1157">
            <v>31.649803149606051</v>
          </cell>
          <cell r="H1157">
            <v>31.649803149606051</v>
          </cell>
          <cell r="I1157" t="e">
            <v>#N/A</v>
          </cell>
          <cell r="J1157" t="e">
            <v>#N/A</v>
          </cell>
          <cell r="K1157">
            <v>90</v>
          </cell>
          <cell r="L1157">
            <v>50</v>
          </cell>
          <cell r="M1157" t="e">
            <v>#N/A</v>
          </cell>
          <cell r="N1157">
            <v>80</v>
          </cell>
          <cell r="O1157" t="e">
            <v>#N/A</v>
          </cell>
          <cell r="P1157" t="str">
            <v/>
          </cell>
          <cell r="Q1157" t="str">
            <v/>
          </cell>
          <cell r="R1157" t="e">
            <v>#N/A</v>
          </cell>
        </row>
        <row r="1158">
          <cell r="A1158" t="str">
            <v/>
          </cell>
          <cell r="B1158" t="str">
            <v/>
          </cell>
          <cell r="C1158" t="str">
            <v>Future</v>
          </cell>
          <cell r="D1158" t="e">
            <v>#N/A</v>
          </cell>
          <cell r="E1158">
            <v>-86.513622047243302</v>
          </cell>
          <cell r="F1158">
            <v>126.08480314961011</v>
          </cell>
          <cell r="G1158">
            <v>31.596614173228097</v>
          </cell>
          <cell r="H1158">
            <v>31.596614173228097</v>
          </cell>
          <cell r="I1158" t="e">
            <v>#N/A</v>
          </cell>
          <cell r="J1158" t="e">
            <v>#N/A</v>
          </cell>
          <cell r="K1158">
            <v>90</v>
          </cell>
          <cell r="L1158">
            <v>50</v>
          </cell>
          <cell r="M1158" t="e">
            <v>#N/A</v>
          </cell>
          <cell r="N1158">
            <v>80</v>
          </cell>
          <cell r="O1158" t="e">
            <v>#N/A</v>
          </cell>
          <cell r="P1158" t="str">
            <v/>
          </cell>
          <cell r="Q1158" t="str">
            <v/>
          </cell>
          <cell r="R1158" t="e">
            <v>#N/A</v>
          </cell>
        </row>
        <row r="1159">
          <cell r="A1159" t="str">
            <v/>
          </cell>
          <cell r="B1159" t="str">
            <v/>
          </cell>
          <cell r="C1159" t="str">
            <v>Future</v>
          </cell>
          <cell r="D1159" t="e">
            <v>#N/A</v>
          </cell>
          <cell r="E1159">
            <v>-86.763661417322041</v>
          </cell>
          <cell r="F1159">
            <v>126.18909448819279</v>
          </cell>
          <cell r="G1159">
            <v>31.543425196850144</v>
          </cell>
          <cell r="H1159">
            <v>31.543425196850144</v>
          </cell>
          <cell r="I1159" t="e">
            <v>#N/A</v>
          </cell>
          <cell r="J1159" t="e">
            <v>#N/A</v>
          </cell>
          <cell r="K1159">
            <v>90</v>
          </cell>
          <cell r="L1159">
            <v>50</v>
          </cell>
          <cell r="M1159" t="e">
            <v>#N/A</v>
          </cell>
          <cell r="N1159">
            <v>80</v>
          </cell>
          <cell r="O1159" t="e">
            <v>#N/A</v>
          </cell>
          <cell r="P1159" t="str">
            <v/>
          </cell>
          <cell r="Q1159" t="str">
            <v/>
          </cell>
          <cell r="R1159" t="e">
            <v>#N/A</v>
          </cell>
        </row>
        <row r="1160">
          <cell r="A1160" t="str">
            <v/>
          </cell>
          <cell r="B1160" t="str">
            <v/>
          </cell>
          <cell r="C1160" t="str">
            <v>Future</v>
          </cell>
          <cell r="D1160" t="e">
            <v>#N/A</v>
          </cell>
          <cell r="E1160">
            <v>-87.013700787400779</v>
          </cell>
          <cell r="F1160">
            <v>126.29338582677548</v>
          </cell>
          <cell r="G1160">
            <v>31.490236220472191</v>
          </cell>
          <cell r="H1160">
            <v>31.490236220472191</v>
          </cell>
          <cell r="I1160" t="e">
            <v>#N/A</v>
          </cell>
          <cell r="J1160" t="e">
            <v>#N/A</v>
          </cell>
          <cell r="K1160">
            <v>90</v>
          </cell>
          <cell r="L1160">
            <v>50</v>
          </cell>
          <cell r="M1160" t="e">
            <v>#N/A</v>
          </cell>
          <cell r="N1160">
            <v>80</v>
          </cell>
          <cell r="O1160" t="e">
            <v>#N/A</v>
          </cell>
          <cell r="P1160" t="str">
            <v/>
          </cell>
          <cell r="Q1160" t="str">
            <v/>
          </cell>
          <cell r="R1160" t="e">
            <v>#N/A</v>
          </cell>
        </row>
        <row r="1161">
          <cell r="A1161" t="str">
            <v/>
          </cell>
          <cell r="B1161" t="str">
            <v/>
          </cell>
          <cell r="C1161" t="str">
            <v>Future</v>
          </cell>
          <cell r="D1161" t="e">
            <v>#N/A</v>
          </cell>
          <cell r="E1161">
            <v>-87.263740157479518</v>
          </cell>
          <cell r="F1161">
            <v>126.39767716535816</v>
          </cell>
          <cell r="G1161">
            <v>31.437047244094238</v>
          </cell>
          <cell r="H1161">
            <v>31.437047244094238</v>
          </cell>
          <cell r="I1161" t="e">
            <v>#N/A</v>
          </cell>
          <cell r="J1161" t="e">
            <v>#N/A</v>
          </cell>
          <cell r="K1161">
            <v>90</v>
          </cell>
          <cell r="L1161">
            <v>50</v>
          </cell>
          <cell r="M1161" t="e">
            <v>#N/A</v>
          </cell>
          <cell r="N1161">
            <v>80</v>
          </cell>
          <cell r="O1161" t="e">
            <v>#N/A</v>
          </cell>
          <cell r="P1161" t="str">
            <v/>
          </cell>
          <cell r="Q1161" t="str">
            <v/>
          </cell>
          <cell r="R1161" t="e">
            <v>#N/A</v>
          </cell>
        </row>
        <row r="1162">
          <cell r="A1162" t="str">
            <v/>
          </cell>
          <cell r="B1162" t="str">
            <v/>
          </cell>
          <cell r="C1162" t="str">
            <v>Future</v>
          </cell>
          <cell r="D1162" t="e">
            <v>#N/A</v>
          </cell>
          <cell r="E1162">
            <v>-87.513779527558256</v>
          </cell>
          <cell r="F1162">
            <v>126.50196850394084</v>
          </cell>
          <cell r="G1162">
            <v>31.383858267716285</v>
          </cell>
          <cell r="H1162">
            <v>31.383858267716285</v>
          </cell>
          <cell r="I1162" t="e">
            <v>#N/A</v>
          </cell>
          <cell r="J1162" t="e">
            <v>#N/A</v>
          </cell>
          <cell r="K1162">
            <v>90</v>
          </cell>
          <cell r="L1162">
            <v>50</v>
          </cell>
          <cell r="M1162" t="e">
            <v>#N/A</v>
          </cell>
          <cell r="N1162">
            <v>80</v>
          </cell>
          <cell r="O1162" t="e">
            <v>#N/A</v>
          </cell>
          <cell r="P1162" t="str">
            <v/>
          </cell>
          <cell r="Q1162" t="str">
            <v/>
          </cell>
          <cell r="R1162" t="e">
            <v>#N/A</v>
          </cell>
        </row>
        <row r="1163">
          <cell r="A1163" t="str">
            <v/>
          </cell>
          <cell r="B1163" t="str">
            <v/>
          </cell>
          <cell r="C1163" t="str">
            <v>Future</v>
          </cell>
          <cell r="D1163" t="e">
            <v>#N/A</v>
          </cell>
          <cell r="E1163">
            <v>-87.763818897636995</v>
          </cell>
          <cell r="F1163">
            <v>126.60625984252353</v>
          </cell>
          <cell r="G1163">
            <v>31.330669291338332</v>
          </cell>
          <cell r="H1163">
            <v>31.330669291338332</v>
          </cell>
          <cell r="I1163" t="e">
            <v>#N/A</v>
          </cell>
          <cell r="J1163" t="e">
            <v>#N/A</v>
          </cell>
          <cell r="K1163">
            <v>90</v>
          </cell>
          <cell r="L1163">
            <v>50</v>
          </cell>
          <cell r="M1163" t="e">
            <v>#N/A</v>
          </cell>
          <cell r="N1163">
            <v>80</v>
          </cell>
          <cell r="O1163" t="e">
            <v>#N/A</v>
          </cell>
          <cell r="P1163" t="str">
            <v/>
          </cell>
          <cell r="Q1163" t="str">
            <v/>
          </cell>
          <cell r="R1163" t="e">
            <v>#N/A</v>
          </cell>
        </row>
        <row r="1164">
          <cell r="A1164" t="str">
            <v/>
          </cell>
          <cell r="B1164" t="str">
            <v/>
          </cell>
          <cell r="C1164" t="str">
            <v>Future</v>
          </cell>
          <cell r="D1164" t="e">
            <v>#N/A</v>
          </cell>
          <cell r="E1164">
            <v>-88.013858267715733</v>
          </cell>
          <cell r="F1164">
            <v>126.71055118110621</v>
          </cell>
          <cell r="G1164">
            <v>31.277480314960378</v>
          </cell>
          <cell r="H1164">
            <v>31.277480314960378</v>
          </cell>
          <cell r="I1164" t="e">
            <v>#N/A</v>
          </cell>
          <cell r="J1164" t="e">
            <v>#N/A</v>
          </cell>
          <cell r="K1164">
            <v>90</v>
          </cell>
          <cell r="L1164">
            <v>50</v>
          </cell>
          <cell r="M1164" t="e">
            <v>#N/A</v>
          </cell>
          <cell r="N1164">
            <v>80</v>
          </cell>
          <cell r="O1164" t="e">
            <v>#N/A</v>
          </cell>
          <cell r="P1164" t="str">
            <v/>
          </cell>
          <cell r="Q1164" t="str">
            <v/>
          </cell>
          <cell r="R1164" t="e">
            <v>#N/A</v>
          </cell>
        </row>
        <row r="1165">
          <cell r="A1165" t="str">
            <v/>
          </cell>
          <cell r="B1165" t="str">
            <v/>
          </cell>
          <cell r="C1165" t="str">
            <v>Future</v>
          </cell>
          <cell r="D1165" t="e">
            <v>#N/A</v>
          </cell>
          <cell r="E1165">
            <v>-88.263897637794472</v>
          </cell>
          <cell r="F1165">
            <v>126.8148425196889</v>
          </cell>
          <cell r="G1165">
            <v>31.224291338582425</v>
          </cell>
          <cell r="H1165">
            <v>31.224291338582425</v>
          </cell>
          <cell r="I1165" t="e">
            <v>#N/A</v>
          </cell>
          <cell r="J1165" t="e">
            <v>#N/A</v>
          </cell>
          <cell r="K1165">
            <v>90</v>
          </cell>
          <cell r="L1165">
            <v>50</v>
          </cell>
          <cell r="M1165" t="e">
            <v>#N/A</v>
          </cell>
          <cell r="N1165">
            <v>80</v>
          </cell>
          <cell r="O1165" t="e">
            <v>#N/A</v>
          </cell>
          <cell r="P1165" t="str">
            <v/>
          </cell>
          <cell r="Q1165" t="str">
            <v/>
          </cell>
          <cell r="R1165" t="e">
            <v>#N/A</v>
          </cell>
        </row>
        <row r="1166">
          <cell r="A1166" t="str">
            <v/>
          </cell>
          <cell r="B1166" t="str">
            <v/>
          </cell>
          <cell r="C1166" t="str">
            <v>Future</v>
          </cell>
          <cell r="D1166" t="e">
            <v>#N/A</v>
          </cell>
          <cell r="E1166">
            <v>-88.51393700787321</v>
          </cell>
          <cell r="F1166">
            <v>126.91913385827158</v>
          </cell>
          <cell r="G1166">
            <v>31.171102362204472</v>
          </cell>
          <cell r="H1166">
            <v>31.171102362204472</v>
          </cell>
          <cell r="I1166" t="e">
            <v>#N/A</v>
          </cell>
          <cell r="J1166" t="e">
            <v>#N/A</v>
          </cell>
          <cell r="K1166">
            <v>90</v>
          </cell>
          <cell r="L1166">
            <v>50</v>
          </cell>
          <cell r="M1166" t="e">
            <v>#N/A</v>
          </cell>
          <cell r="N1166">
            <v>80</v>
          </cell>
          <cell r="O1166" t="e">
            <v>#N/A</v>
          </cell>
          <cell r="P1166" t="str">
            <v/>
          </cell>
          <cell r="Q1166" t="str">
            <v/>
          </cell>
          <cell r="R1166" t="e">
            <v>#N/A</v>
          </cell>
        </row>
        <row r="1167">
          <cell r="A1167" t="str">
            <v/>
          </cell>
          <cell r="B1167" t="str">
            <v/>
          </cell>
          <cell r="C1167" t="str">
            <v>Future</v>
          </cell>
          <cell r="D1167" t="e">
            <v>#N/A</v>
          </cell>
          <cell r="E1167">
            <v>-88.763976377951948</v>
          </cell>
          <cell r="F1167">
            <v>127.02342519685426</v>
          </cell>
          <cell r="G1167">
            <v>31.117913385826519</v>
          </cell>
          <cell r="H1167">
            <v>31.117913385826519</v>
          </cell>
          <cell r="I1167" t="e">
            <v>#N/A</v>
          </cell>
          <cell r="J1167" t="e">
            <v>#N/A</v>
          </cell>
          <cell r="K1167">
            <v>90</v>
          </cell>
          <cell r="L1167">
            <v>50</v>
          </cell>
          <cell r="M1167" t="e">
            <v>#N/A</v>
          </cell>
          <cell r="N1167">
            <v>80</v>
          </cell>
          <cell r="O1167" t="e">
            <v>#N/A</v>
          </cell>
          <cell r="P1167" t="str">
            <v/>
          </cell>
          <cell r="Q1167" t="str">
            <v/>
          </cell>
          <cell r="R1167" t="e">
            <v>#N/A</v>
          </cell>
        </row>
        <row r="1168">
          <cell r="A1168" t="str">
            <v/>
          </cell>
          <cell r="B1168" t="str">
            <v/>
          </cell>
          <cell r="C1168" t="str">
            <v>Future</v>
          </cell>
          <cell r="D1168" t="e">
            <v>#N/A</v>
          </cell>
          <cell r="E1168">
            <v>-89.014015748030687</v>
          </cell>
          <cell r="F1168">
            <v>127.12771653543695</v>
          </cell>
          <cell r="G1168">
            <v>31.064724409448566</v>
          </cell>
          <cell r="H1168">
            <v>31.064724409448566</v>
          </cell>
          <cell r="I1168" t="e">
            <v>#N/A</v>
          </cell>
          <cell r="J1168" t="e">
            <v>#N/A</v>
          </cell>
          <cell r="K1168">
            <v>90</v>
          </cell>
          <cell r="L1168">
            <v>50</v>
          </cell>
          <cell r="M1168" t="e">
            <v>#N/A</v>
          </cell>
          <cell r="N1168">
            <v>80</v>
          </cell>
          <cell r="O1168" t="e">
            <v>#N/A</v>
          </cell>
          <cell r="P1168" t="str">
            <v/>
          </cell>
          <cell r="Q1168" t="str">
            <v/>
          </cell>
          <cell r="R1168" t="e">
            <v>#N/A</v>
          </cell>
        </row>
        <row r="1169">
          <cell r="A1169" t="str">
            <v/>
          </cell>
          <cell r="B1169" t="str">
            <v/>
          </cell>
          <cell r="C1169" t="str">
            <v>Future</v>
          </cell>
          <cell r="D1169" t="e">
            <v>#N/A</v>
          </cell>
          <cell r="E1169">
            <v>-89.264055118109425</v>
          </cell>
          <cell r="F1169">
            <v>127.23200787401963</v>
          </cell>
          <cell r="G1169">
            <v>31.011535433070613</v>
          </cell>
          <cell r="H1169">
            <v>31.011535433070613</v>
          </cell>
          <cell r="I1169" t="e">
            <v>#N/A</v>
          </cell>
          <cell r="J1169" t="e">
            <v>#N/A</v>
          </cell>
          <cell r="K1169">
            <v>90</v>
          </cell>
          <cell r="L1169">
            <v>50</v>
          </cell>
          <cell r="M1169" t="e">
            <v>#N/A</v>
          </cell>
          <cell r="N1169">
            <v>80</v>
          </cell>
          <cell r="O1169" t="e">
            <v>#N/A</v>
          </cell>
          <cell r="P1169" t="str">
            <v/>
          </cell>
          <cell r="Q1169" t="str">
            <v/>
          </cell>
          <cell r="R1169" t="e">
            <v>#N/A</v>
          </cell>
        </row>
        <row r="1170">
          <cell r="A1170" t="str">
            <v/>
          </cell>
          <cell r="B1170" t="str">
            <v/>
          </cell>
          <cell r="C1170" t="str">
            <v>Future</v>
          </cell>
          <cell r="D1170" t="e">
            <v>#N/A</v>
          </cell>
          <cell r="E1170">
            <v>-89.514094488188164</v>
          </cell>
          <cell r="F1170">
            <v>127.33629921260231</v>
          </cell>
          <cell r="G1170">
            <v>30.958346456692659</v>
          </cell>
          <cell r="H1170">
            <v>30.958346456692659</v>
          </cell>
          <cell r="I1170" t="e">
            <v>#N/A</v>
          </cell>
          <cell r="J1170" t="e">
            <v>#N/A</v>
          </cell>
          <cell r="K1170">
            <v>90</v>
          </cell>
          <cell r="L1170">
            <v>50</v>
          </cell>
          <cell r="M1170" t="e">
            <v>#N/A</v>
          </cell>
          <cell r="N1170">
            <v>80</v>
          </cell>
          <cell r="O1170" t="e">
            <v>#N/A</v>
          </cell>
          <cell r="P1170" t="str">
            <v/>
          </cell>
          <cell r="Q1170" t="str">
            <v/>
          </cell>
          <cell r="R1170" t="e">
            <v>#N/A</v>
          </cell>
        </row>
        <row r="1171">
          <cell r="A1171" t="str">
            <v/>
          </cell>
          <cell r="B1171" t="str">
            <v/>
          </cell>
          <cell r="C1171" t="str">
            <v>Future</v>
          </cell>
          <cell r="D1171" t="e">
            <v>#N/A</v>
          </cell>
          <cell r="E1171">
            <v>-89.764133858266902</v>
          </cell>
          <cell r="F1171">
            <v>127.440590551185</v>
          </cell>
          <cell r="G1171">
            <v>30.905157480314706</v>
          </cell>
          <cell r="H1171">
            <v>30.905157480314706</v>
          </cell>
          <cell r="I1171" t="e">
            <v>#N/A</v>
          </cell>
          <cell r="J1171" t="e">
            <v>#N/A</v>
          </cell>
          <cell r="K1171">
            <v>90</v>
          </cell>
          <cell r="L1171">
            <v>50</v>
          </cell>
          <cell r="M1171" t="e">
            <v>#N/A</v>
          </cell>
          <cell r="N1171">
            <v>80</v>
          </cell>
          <cell r="O1171" t="e">
            <v>#N/A</v>
          </cell>
          <cell r="P1171" t="str">
            <v/>
          </cell>
          <cell r="Q1171" t="str">
            <v/>
          </cell>
          <cell r="R1171" t="e">
            <v>#N/A</v>
          </cell>
        </row>
        <row r="1172">
          <cell r="A1172" t="str">
            <v/>
          </cell>
          <cell r="B1172" t="str">
            <v/>
          </cell>
          <cell r="C1172" t="str">
            <v>Future</v>
          </cell>
          <cell r="D1172" t="e">
            <v>#N/A</v>
          </cell>
          <cell r="E1172">
            <v>-90.014173228345641</v>
          </cell>
          <cell r="F1172">
            <v>127.54488188976768</v>
          </cell>
          <cell r="G1172">
            <v>30.851968503936753</v>
          </cell>
          <cell r="H1172">
            <v>30.851968503936753</v>
          </cell>
          <cell r="I1172" t="e">
            <v>#N/A</v>
          </cell>
          <cell r="J1172" t="e">
            <v>#N/A</v>
          </cell>
          <cell r="K1172">
            <v>90</v>
          </cell>
          <cell r="L1172">
            <v>50</v>
          </cell>
          <cell r="M1172" t="e">
            <v>#N/A</v>
          </cell>
          <cell r="N1172">
            <v>80</v>
          </cell>
          <cell r="O1172" t="e">
            <v>#N/A</v>
          </cell>
          <cell r="P1172" t="str">
            <v/>
          </cell>
          <cell r="Q1172" t="str">
            <v/>
          </cell>
          <cell r="R1172" t="e">
            <v>#N/A</v>
          </cell>
        </row>
        <row r="1173">
          <cell r="A1173" t="str">
            <v/>
          </cell>
          <cell r="B1173" t="str">
            <v/>
          </cell>
          <cell r="C1173" t="str">
            <v>Future</v>
          </cell>
          <cell r="D1173" t="e">
            <v>#N/A</v>
          </cell>
          <cell r="E1173">
            <v>-90.264212598424379</v>
          </cell>
          <cell r="F1173">
            <v>127.64917322835036</v>
          </cell>
          <cell r="G1173">
            <v>30.7987795275588</v>
          </cell>
          <cell r="H1173">
            <v>30.7987795275588</v>
          </cell>
          <cell r="I1173" t="e">
            <v>#N/A</v>
          </cell>
          <cell r="J1173" t="e">
            <v>#N/A</v>
          </cell>
          <cell r="K1173">
            <v>90</v>
          </cell>
          <cell r="L1173">
            <v>50</v>
          </cell>
          <cell r="M1173" t="e">
            <v>#N/A</v>
          </cell>
          <cell r="N1173">
            <v>80</v>
          </cell>
          <cell r="O1173" t="e">
            <v>#N/A</v>
          </cell>
          <cell r="P1173" t="str">
            <v/>
          </cell>
          <cell r="Q1173" t="str">
            <v/>
          </cell>
          <cell r="R1173" t="e">
            <v>#N/A</v>
          </cell>
        </row>
        <row r="1174">
          <cell r="A1174" t="str">
            <v/>
          </cell>
          <cell r="B1174" t="str">
            <v/>
          </cell>
          <cell r="C1174" t="str">
            <v>Future</v>
          </cell>
          <cell r="D1174" t="e">
            <v>#N/A</v>
          </cell>
          <cell r="E1174">
            <v>-90.514251968503117</v>
          </cell>
          <cell r="F1174">
            <v>127.75346456693305</v>
          </cell>
          <cell r="G1174">
            <v>30.745590551180847</v>
          </cell>
          <cell r="H1174">
            <v>30.745590551180847</v>
          </cell>
          <cell r="I1174" t="e">
            <v>#N/A</v>
          </cell>
          <cell r="J1174" t="e">
            <v>#N/A</v>
          </cell>
          <cell r="K1174">
            <v>90</v>
          </cell>
          <cell r="L1174">
            <v>50</v>
          </cell>
          <cell r="M1174" t="e">
            <v>#N/A</v>
          </cell>
          <cell r="N1174">
            <v>80</v>
          </cell>
          <cell r="O1174" t="e">
            <v>#N/A</v>
          </cell>
          <cell r="P1174" t="str">
            <v/>
          </cell>
          <cell r="Q1174" t="str">
            <v/>
          </cell>
          <cell r="R1174" t="e">
            <v>#N/A</v>
          </cell>
        </row>
        <row r="1175">
          <cell r="A1175" t="str">
            <v/>
          </cell>
          <cell r="B1175" t="str">
            <v/>
          </cell>
          <cell r="C1175" t="str">
            <v>Future</v>
          </cell>
          <cell r="D1175" t="e">
            <v>#N/A</v>
          </cell>
          <cell r="E1175">
            <v>-90.764291338581856</v>
          </cell>
          <cell r="F1175">
            <v>127.85775590551573</v>
          </cell>
          <cell r="G1175">
            <v>30.692401574802894</v>
          </cell>
          <cell r="H1175">
            <v>30.692401574802894</v>
          </cell>
          <cell r="I1175" t="e">
            <v>#N/A</v>
          </cell>
          <cell r="J1175" t="e">
            <v>#N/A</v>
          </cell>
          <cell r="K1175">
            <v>90</v>
          </cell>
          <cell r="L1175">
            <v>50</v>
          </cell>
          <cell r="M1175" t="e">
            <v>#N/A</v>
          </cell>
          <cell r="N1175">
            <v>80</v>
          </cell>
          <cell r="O1175" t="e">
            <v>#N/A</v>
          </cell>
          <cell r="P1175" t="str">
            <v/>
          </cell>
          <cell r="Q1175" t="str">
            <v/>
          </cell>
          <cell r="R1175" t="e">
            <v>#N/A</v>
          </cell>
        </row>
        <row r="1176">
          <cell r="A1176" t="str">
            <v/>
          </cell>
          <cell r="B1176" t="str">
            <v/>
          </cell>
          <cell r="C1176" t="str">
            <v>Future</v>
          </cell>
          <cell r="D1176" t="e">
            <v>#N/A</v>
          </cell>
          <cell r="E1176">
            <v>-91.014330708660594</v>
          </cell>
          <cell r="F1176">
            <v>127.96204724409841</v>
          </cell>
          <cell r="G1176">
            <v>30.63921259842494</v>
          </cell>
          <cell r="H1176">
            <v>30.63921259842494</v>
          </cell>
          <cell r="I1176" t="e">
            <v>#N/A</v>
          </cell>
          <cell r="J1176" t="e">
            <v>#N/A</v>
          </cell>
          <cell r="K1176">
            <v>90</v>
          </cell>
          <cell r="L1176">
            <v>50</v>
          </cell>
          <cell r="M1176" t="e">
            <v>#N/A</v>
          </cell>
          <cell r="N1176">
            <v>80</v>
          </cell>
          <cell r="O1176" t="e">
            <v>#N/A</v>
          </cell>
          <cell r="P1176" t="str">
            <v/>
          </cell>
          <cell r="Q1176" t="str">
            <v/>
          </cell>
          <cell r="R1176" t="e">
            <v>#N/A</v>
          </cell>
        </row>
        <row r="1177">
          <cell r="A1177" t="str">
            <v/>
          </cell>
          <cell r="B1177" t="str">
            <v/>
          </cell>
          <cell r="C1177" t="str">
            <v>Future</v>
          </cell>
          <cell r="D1177" t="e">
            <v>#N/A</v>
          </cell>
          <cell r="E1177">
            <v>-91.264370078739333</v>
          </cell>
          <cell r="F1177">
            <v>128.06633858268108</v>
          </cell>
          <cell r="G1177">
            <v>30.586023622046987</v>
          </cell>
          <cell r="H1177">
            <v>30.586023622046987</v>
          </cell>
          <cell r="I1177" t="e">
            <v>#N/A</v>
          </cell>
          <cell r="J1177" t="e">
            <v>#N/A</v>
          </cell>
          <cell r="K1177">
            <v>90</v>
          </cell>
          <cell r="L1177">
            <v>50</v>
          </cell>
          <cell r="M1177" t="e">
            <v>#N/A</v>
          </cell>
          <cell r="N1177">
            <v>80</v>
          </cell>
          <cell r="O1177" t="e">
            <v>#N/A</v>
          </cell>
          <cell r="P1177" t="str">
            <v/>
          </cell>
          <cell r="Q1177" t="str">
            <v/>
          </cell>
          <cell r="R1177" t="e">
            <v>#N/A</v>
          </cell>
        </row>
        <row r="1178">
          <cell r="A1178" t="str">
            <v/>
          </cell>
          <cell r="B1178" t="str">
            <v/>
          </cell>
          <cell r="C1178" t="str">
            <v>Future</v>
          </cell>
          <cell r="D1178" t="e">
            <v>#N/A</v>
          </cell>
          <cell r="E1178">
            <v>-91.514409448818071</v>
          </cell>
          <cell r="F1178">
            <v>128.17062992126375</v>
          </cell>
          <cell r="G1178">
            <v>30.532834645669034</v>
          </cell>
          <cell r="H1178">
            <v>30.532834645669034</v>
          </cell>
          <cell r="I1178" t="e">
            <v>#N/A</v>
          </cell>
          <cell r="J1178" t="e">
            <v>#N/A</v>
          </cell>
          <cell r="K1178">
            <v>90</v>
          </cell>
          <cell r="L1178">
            <v>50</v>
          </cell>
          <cell r="M1178" t="e">
            <v>#N/A</v>
          </cell>
          <cell r="N1178">
            <v>80</v>
          </cell>
          <cell r="O1178" t="e">
            <v>#N/A</v>
          </cell>
          <cell r="P1178" t="str">
            <v/>
          </cell>
          <cell r="Q1178" t="str">
            <v/>
          </cell>
          <cell r="R1178" t="e">
            <v>#N/A</v>
          </cell>
        </row>
        <row r="1179">
          <cell r="A1179" t="str">
            <v/>
          </cell>
          <cell r="B1179" t="str">
            <v/>
          </cell>
          <cell r="C1179" t="str">
            <v>Future</v>
          </cell>
          <cell r="D1179" t="e">
            <v>#N/A</v>
          </cell>
          <cell r="E1179">
            <v>-91.76444881889681</v>
          </cell>
          <cell r="F1179">
            <v>128.27492125984642</v>
          </cell>
          <cell r="G1179">
            <v>30.479645669291081</v>
          </cell>
          <cell r="H1179">
            <v>30.479645669291081</v>
          </cell>
          <cell r="I1179" t="e">
            <v>#N/A</v>
          </cell>
          <cell r="J1179" t="e">
            <v>#N/A</v>
          </cell>
          <cell r="K1179">
            <v>90</v>
          </cell>
          <cell r="L1179">
            <v>50</v>
          </cell>
          <cell r="M1179" t="e">
            <v>#N/A</v>
          </cell>
          <cell r="N1179">
            <v>80</v>
          </cell>
          <cell r="O1179" t="e">
            <v>#N/A</v>
          </cell>
          <cell r="P1179" t="str">
            <v/>
          </cell>
          <cell r="Q1179" t="str">
            <v/>
          </cell>
          <cell r="R1179" t="e">
            <v>#N/A</v>
          </cell>
        </row>
        <row r="1180">
          <cell r="A1180" t="str">
            <v/>
          </cell>
          <cell r="B1180" t="str">
            <v/>
          </cell>
          <cell r="C1180" t="str">
            <v>Future</v>
          </cell>
          <cell r="D1180" t="e">
            <v>#N/A</v>
          </cell>
          <cell r="E1180">
            <v>-92.014488188975548</v>
          </cell>
          <cell r="F1180">
            <v>128.37921259842909</v>
          </cell>
          <cell r="G1180">
            <v>30.426456692913128</v>
          </cell>
          <cell r="H1180">
            <v>30.426456692913128</v>
          </cell>
          <cell r="I1180" t="e">
            <v>#N/A</v>
          </cell>
          <cell r="J1180" t="e">
            <v>#N/A</v>
          </cell>
          <cell r="K1180">
            <v>90</v>
          </cell>
          <cell r="L1180">
            <v>50</v>
          </cell>
          <cell r="M1180" t="e">
            <v>#N/A</v>
          </cell>
          <cell r="N1180">
            <v>80</v>
          </cell>
          <cell r="O1180" t="e">
            <v>#N/A</v>
          </cell>
          <cell r="P1180" t="str">
            <v/>
          </cell>
          <cell r="Q1180" t="str">
            <v/>
          </cell>
          <cell r="R1180" t="e">
            <v>#N/A</v>
          </cell>
        </row>
        <row r="1181">
          <cell r="A1181" t="str">
            <v/>
          </cell>
          <cell r="B1181" t="str">
            <v/>
          </cell>
          <cell r="C1181" t="str">
            <v>Future</v>
          </cell>
          <cell r="D1181" t="e">
            <v>#N/A</v>
          </cell>
          <cell r="E1181">
            <v>-92.264527559054287</v>
          </cell>
          <cell r="F1181">
            <v>128.48350393701176</v>
          </cell>
          <cell r="G1181">
            <v>30.373267716535175</v>
          </cell>
          <cell r="H1181">
            <v>30.373267716535175</v>
          </cell>
          <cell r="I1181" t="e">
            <v>#N/A</v>
          </cell>
          <cell r="J1181" t="e">
            <v>#N/A</v>
          </cell>
          <cell r="K1181">
            <v>90</v>
          </cell>
          <cell r="L1181">
            <v>50</v>
          </cell>
          <cell r="M1181" t="e">
            <v>#N/A</v>
          </cell>
          <cell r="N1181">
            <v>80</v>
          </cell>
          <cell r="O1181" t="e">
            <v>#N/A</v>
          </cell>
          <cell r="P1181" t="str">
            <v/>
          </cell>
          <cell r="Q1181" t="str">
            <v/>
          </cell>
          <cell r="R1181" t="e">
            <v>#N/A</v>
          </cell>
        </row>
        <row r="1182">
          <cell r="A1182" t="str">
            <v/>
          </cell>
          <cell r="B1182" t="str">
            <v/>
          </cell>
          <cell r="C1182" t="str">
            <v>Future</v>
          </cell>
          <cell r="D1182" t="e">
            <v>#N/A</v>
          </cell>
          <cell r="E1182">
            <v>-92.514566929133025</v>
          </cell>
          <cell r="F1182">
            <v>128.58779527559443</v>
          </cell>
          <cell r="G1182">
            <v>30.320078740157221</v>
          </cell>
          <cell r="H1182">
            <v>30.320078740157221</v>
          </cell>
          <cell r="I1182" t="e">
            <v>#N/A</v>
          </cell>
          <cell r="J1182" t="e">
            <v>#N/A</v>
          </cell>
          <cell r="K1182">
            <v>90</v>
          </cell>
          <cell r="L1182">
            <v>50</v>
          </cell>
          <cell r="M1182" t="e">
            <v>#N/A</v>
          </cell>
          <cell r="N1182">
            <v>80</v>
          </cell>
          <cell r="O1182" t="e">
            <v>#N/A</v>
          </cell>
          <cell r="P1182" t="str">
            <v/>
          </cell>
          <cell r="Q1182" t="str">
            <v/>
          </cell>
          <cell r="R1182" t="e">
            <v>#N/A</v>
          </cell>
        </row>
        <row r="1183">
          <cell r="A1183" t="str">
            <v/>
          </cell>
          <cell r="B1183" t="str">
            <v/>
          </cell>
          <cell r="C1183" t="str">
            <v>Future</v>
          </cell>
          <cell r="D1183" t="e">
            <v>#N/A</v>
          </cell>
          <cell r="E1183">
            <v>-92.764606299211763</v>
          </cell>
          <cell r="F1183">
            <v>128.6920866141771</v>
          </cell>
          <cell r="G1183">
            <v>30.266889763779268</v>
          </cell>
          <cell r="H1183">
            <v>30.266889763779268</v>
          </cell>
          <cell r="I1183" t="e">
            <v>#N/A</v>
          </cell>
          <cell r="J1183" t="e">
            <v>#N/A</v>
          </cell>
          <cell r="K1183">
            <v>90</v>
          </cell>
          <cell r="L1183">
            <v>50</v>
          </cell>
          <cell r="M1183" t="e">
            <v>#N/A</v>
          </cell>
          <cell r="N1183">
            <v>80</v>
          </cell>
          <cell r="O1183" t="e">
            <v>#N/A</v>
          </cell>
          <cell r="P1183" t="str">
            <v/>
          </cell>
          <cell r="Q1183" t="str">
            <v/>
          </cell>
          <cell r="R1183" t="e">
            <v>#N/A</v>
          </cell>
        </row>
        <row r="1184">
          <cell r="A1184" t="str">
            <v/>
          </cell>
          <cell r="B1184" t="str">
            <v/>
          </cell>
          <cell r="C1184" t="str">
            <v>Future</v>
          </cell>
          <cell r="D1184" t="e">
            <v>#N/A</v>
          </cell>
          <cell r="E1184">
            <v>-93.014645669290502</v>
          </cell>
          <cell r="F1184">
            <v>128.79637795275977</v>
          </cell>
          <cell r="G1184">
            <v>30.213700787401315</v>
          </cell>
          <cell r="H1184">
            <v>30.213700787401315</v>
          </cell>
          <cell r="I1184" t="e">
            <v>#N/A</v>
          </cell>
          <cell r="J1184" t="e">
            <v>#N/A</v>
          </cell>
          <cell r="K1184">
            <v>90</v>
          </cell>
          <cell r="L1184">
            <v>50</v>
          </cell>
          <cell r="M1184" t="e">
            <v>#N/A</v>
          </cell>
          <cell r="N1184">
            <v>80</v>
          </cell>
          <cell r="O1184" t="e">
            <v>#N/A</v>
          </cell>
          <cell r="P1184" t="str">
            <v/>
          </cell>
          <cell r="Q1184" t="str">
            <v/>
          </cell>
          <cell r="R1184" t="e">
            <v>#N/A</v>
          </cell>
        </row>
        <row r="1185">
          <cell r="A1185" t="str">
            <v/>
          </cell>
          <cell r="B1185" t="str">
            <v/>
          </cell>
          <cell r="C1185" t="str">
            <v>Future</v>
          </cell>
          <cell r="D1185" t="e">
            <v>#N/A</v>
          </cell>
          <cell r="E1185">
            <v>-93.26468503936924</v>
          </cell>
          <cell r="F1185">
            <v>128.90066929134244</v>
          </cell>
          <cell r="G1185">
            <v>30.160511811023362</v>
          </cell>
          <cell r="H1185">
            <v>30.160511811023362</v>
          </cell>
          <cell r="I1185" t="e">
            <v>#N/A</v>
          </cell>
          <cell r="J1185" t="e">
            <v>#N/A</v>
          </cell>
          <cell r="K1185">
            <v>90</v>
          </cell>
          <cell r="L1185">
            <v>50</v>
          </cell>
          <cell r="M1185" t="e">
            <v>#N/A</v>
          </cell>
          <cell r="N1185">
            <v>80</v>
          </cell>
          <cell r="O1185" t="e">
            <v>#N/A</v>
          </cell>
          <cell r="P1185" t="str">
            <v/>
          </cell>
          <cell r="Q1185" t="str">
            <v/>
          </cell>
          <cell r="R1185" t="e">
            <v>#N/A</v>
          </cell>
        </row>
        <row r="1186">
          <cell r="A1186" t="str">
            <v/>
          </cell>
          <cell r="B1186" t="str">
            <v/>
          </cell>
          <cell r="C1186" t="str">
            <v>Future</v>
          </cell>
          <cell r="D1186" t="e">
            <v>#N/A</v>
          </cell>
          <cell r="E1186">
            <v>-93.514724409447979</v>
          </cell>
          <cell r="F1186">
            <v>129.00496062992511</v>
          </cell>
          <cell r="G1186">
            <v>30.107322834645409</v>
          </cell>
          <cell r="H1186">
            <v>30.107322834645409</v>
          </cell>
          <cell r="I1186" t="e">
            <v>#N/A</v>
          </cell>
          <cell r="J1186" t="e">
            <v>#N/A</v>
          </cell>
          <cell r="K1186">
            <v>90</v>
          </cell>
          <cell r="L1186">
            <v>50</v>
          </cell>
          <cell r="M1186" t="e">
            <v>#N/A</v>
          </cell>
          <cell r="N1186">
            <v>80</v>
          </cell>
          <cell r="O1186" t="e">
            <v>#N/A</v>
          </cell>
          <cell r="P1186" t="str">
            <v/>
          </cell>
          <cell r="Q1186" t="str">
            <v/>
          </cell>
          <cell r="R1186" t="e">
            <v>#N/A</v>
          </cell>
        </row>
        <row r="1187">
          <cell r="A1187" t="str">
            <v/>
          </cell>
          <cell r="B1187" t="str">
            <v/>
          </cell>
          <cell r="C1187" t="str">
            <v>Future</v>
          </cell>
          <cell r="D1187" t="e">
            <v>#N/A</v>
          </cell>
          <cell r="E1187">
            <v>-93.764763779526717</v>
          </cell>
          <cell r="F1187">
            <v>129.10925196850778</v>
          </cell>
          <cell r="G1187">
            <v>30.054133858267456</v>
          </cell>
          <cell r="H1187">
            <v>30.054133858267456</v>
          </cell>
          <cell r="I1187" t="e">
            <v>#N/A</v>
          </cell>
          <cell r="J1187" t="e">
            <v>#N/A</v>
          </cell>
          <cell r="K1187">
            <v>90</v>
          </cell>
          <cell r="L1187">
            <v>50</v>
          </cell>
          <cell r="M1187" t="e">
            <v>#N/A</v>
          </cell>
          <cell r="N1187">
            <v>80</v>
          </cell>
          <cell r="O1187" t="e">
            <v>#N/A</v>
          </cell>
          <cell r="P1187" t="str">
            <v/>
          </cell>
          <cell r="Q1187" t="str">
            <v/>
          </cell>
          <cell r="R1187" t="e">
            <v>#N/A</v>
          </cell>
        </row>
        <row r="1188">
          <cell r="A1188" t="str">
            <v/>
          </cell>
          <cell r="B1188" t="str">
            <v/>
          </cell>
          <cell r="C1188" t="str">
            <v>Future</v>
          </cell>
          <cell r="D1188" t="e">
            <v>#N/A</v>
          </cell>
          <cell r="E1188">
            <v>-94.014803149605456</v>
          </cell>
          <cell r="F1188">
            <v>129.21354330709045</v>
          </cell>
          <cell r="G1188">
            <v>30.000944881889502</v>
          </cell>
          <cell r="H1188">
            <v>30.000944881889502</v>
          </cell>
          <cell r="I1188" t="e">
            <v>#N/A</v>
          </cell>
          <cell r="J1188" t="e">
            <v>#N/A</v>
          </cell>
          <cell r="K1188">
            <v>90</v>
          </cell>
          <cell r="L1188">
            <v>50</v>
          </cell>
          <cell r="M1188" t="e">
            <v>#N/A</v>
          </cell>
          <cell r="N1188">
            <v>80</v>
          </cell>
          <cell r="O1188" t="e">
            <v>#N/A</v>
          </cell>
          <cell r="P1188" t="str">
            <v/>
          </cell>
          <cell r="Q1188" t="str">
            <v/>
          </cell>
          <cell r="R1188" t="e">
            <v>#N/A</v>
          </cell>
        </row>
        <row r="1189">
          <cell r="A1189" t="str">
            <v/>
          </cell>
          <cell r="B1189" t="str">
            <v/>
          </cell>
          <cell r="C1189" t="str">
            <v>Future</v>
          </cell>
          <cell r="D1189" t="e">
            <v>#N/A</v>
          </cell>
          <cell r="E1189">
            <v>-94.264842519684194</v>
          </cell>
          <cell r="F1189">
            <v>129.31783464567312</v>
          </cell>
          <cell r="G1189">
            <v>29.947755905511549</v>
          </cell>
          <cell r="H1189">
            <v>29.947755905511549</v>
          </cell>
          <cell r="I1189" t="e">
            <v>#N/A</v>
          </cell>
          <cell r="J1189" t="e">
            <v>#N/A</v>
          </cell>
          <cell r="K1189">
            <v>90</v>
          </cell>
          <cell r="L1189">
            <v>50</v>
          </cell>
          <cell r="M1189" t="e">
            <v>#N/A</v>
          </cell>
          <cell r="N1189">
            <v>80</v>
          </cell>
          <cell r="O1189" t="e">
            <v>#N/A</v>
          </cell>
          <cell r="P1189" t="str">
            <v/>
          </cell>
          <cell r="Q1189" t="str">
            <v/>
          </cell>
          <cell r="R1189" t="e">
            <v>#N/A</v>
          </cell>
        </row>
        <row r="1190">
          <cell r="A1190" t="str">
            <v/>
          </cell>
          <cell r="B1190" t="str">
            <v/>
          </cell>
          <cell r="C1190" t="str">
            <v>Future</v>
          </cell>
          <cell r="D1190" t="e">
            <v>#N/A</v>
          </cell>
          <cell r="E1190">
            <v>-94.514881889762933</v>
          </cell>
          <cell r="F1190">
            <v>129.42212598425579</v>
          </cell>
          <cell r="G1190">
            <v>29.894566929133596</v>
          </cell>
          <cell r="H1190">
            <v>29.894566929133596</v>
          </cell>
          <cell r="I1190" t="e">
            <v>#N/A</v>
          </cell>
          <cell r="J1190" t="e">
            <v>#N/A</v>
          </cell>
          <cell r="K1190">
            <v>90</v>
          </cell>
          <cell r="L1190">
            <v>50</v>
          </cell>
          <cell r="M1190" t="e">
            <v>#N/A</v>
          </cell>
          <cell r="N1190">
            <v>80</v>
          </cell>
          <cell r="O1190" t="e">
            <v>#N/A</v>
          </cell>
          <cell r="P1190" t="str">
            <v/>
          </cell>
          <cell r="Q1190" t="str">
            <v/>
          </cell>
          <cell r="R1190" t="e">
            <v>#N/A</v>
          </cell>
        </row>
        <row r="1191">
          <cell r="A1191" t="str">
            <v/>
          </cell>
          <cell r="B1191" t="str">
            <v/>
          </cell>
          <cell r="C1191" t="str">
            <v>Future</v>
          </cell>
          <cell r="D1191" t="e">
            <v>#N/A</v>
          </cell>
          <cell r="E1191">
            <v>-94.764921259841671</v>
          </cell>
          <cell r="F1191">
            <v>129.52641732283845</v>
          </cell>
          <cell r="G1191">
            <v>29.841377952755643</v>
          </cell>
          <cell r="H1191">
            <v>29.841377952755643</v>
          </cell>
          <cell r="I1191" t="e">
            <v>#N/A</v>
          </cell>
          <cell r="J1191" t="e">
            <v>#N/A</v>
          </cell>
          <cell r="K1191">
            <v>90</v>
          </cell>
          <cell r="L1191">
            <v>50</v>
          </cell>
          <cell r="M1191" t="e">
            <v>#N/A</v>
          </cell>
          <cell r="N1191">
            <v>80</v>
          </cell>
          <cell r="O1191" t="e">
            <v>#N/A</v>
          </cell>
          <cell r="P1191" t="str">
            <v/>
          </cell>
          <cell r="Q1191" t="str">
            <v/>
          </cell>
          <cell r="R1191" t="e">
            <v>#N/A</v>
          </cell>
        </row>
        <row r="1192">
          <cell r="A1192" t="str">
            <v/>
          </cell>
          <cell r="B1192" t="str">
            <v/>
          </cell>
          <cell r="C1192" t="str">
            <v>Future</v>
          </cell>
          <cell r="D1192" t="e">
            <v>#N/A</v>
          </cell>
          <cell r="E1192">
            <v>-95.014960629920409</v>
          </cell>
          <cell r="F1192">
            <v>129.63070866142112</v>
          </cell>
          <cell r="G1192">
            <v>29.78818897637769</v>
          </cell>
          <cell r="H1192">
            <v>29.78818897637769</v>
          </cell>
          <cell r="I1192" t="e">
            <v>#N/A</v>
          </cell>
          <cell r="J1192" t="e">
            <v>#N/A</v>
          </cell>
          <cell r="K1192">
            <v>90</v>
          </cell>
          <cell r="L1192">
            <v>50</v>
          </cell>
          <cell r="M1192" t="e">
            <v>#N/A</v>
          </cell>
          <cell r="N1192">
            <v>80</v>
          </cell>
          <cell r="O1192" t="e">
            <v>#N/A</v>
          </cell>
          <cell r="P1192" t="str">
            <v/>
          </cell>
          <cell r="Q1192" t="str">
            <v/>
          </cell>
          <cell r="R1192" t="e">
            <v>#N/A</v>
          </cell>
        </row>
        <row r="1193">
          <cell r="A1193" t="str">
            <v/>
          </cell>
          <cell r="B1193" t="str">
            <v/>
          </cell>
          <cell r="C1193" t="str">
            <v>Future</v>
          </cell>
          <cell r="D1193" t="e">
            <v>#N/A</v>
          </cell>
          <cell r="E1193">
            <v>-95.264999999999148</v>
          </cell>
          <cell r="F1193">
            <v>129.73500000000379</v>
          </cell>
          <cell r="G1193">
            <v>29.734999999999737</v>
          </cell>
          <cell r="H1193">
            <v>29.734999999999737</v>
          </cell>
          <cell r="I1193" t="e">
            <v>#N/A</v>
          </cell>
          <cell r="J1193" t="e">
            <v>#N/A</v>
          </cell>
          <cell r="K1193">
            <v>90</v>
          </cell>
          <cell r="L1193">
            <v>50</v>
          </cell>
          <cell r="M1193" t="e">
            <v>#N/A</v>
          </cell>
          <cell r="N1193">
            <v>80</v>
          </cell>
          <cell r="O1193" t="e">
            <v>#N/A</v>
          </cell>
          <cell r="P1193" t="str">
            <v/>
          </cell>
          <cell r="Q1193" t="str">
            <v/>
          </cell>
          <cell r="R1193" t="e">
            <v>#N/A</v>
          </cell>
        </row>
        <row r="1194">
          <cell r="A1194" t="str">
            <v/>
          </cell>
          <cell r="B1194" t="str">
            <v/>
          </cell>
          <cell r="C1194" t="str">
            <v>Future</v>
          </cell>
          <cell r="D1194" t="e">
            <v>#N/A</v>
          </cell>
          <cell r="E1194">
            <v>-95.515039370077886</v>
          </cell>
          <cell r="F1194">
            <v>129.83929133858646</v>
          </cell>
          <cell r="G1194">
            <v>29.681811023621783</v>
          </cell>
          <cell r="H1194">
            <v>29.681811023621783</v>
          </cell>
          <cell r="I1194" t="e">
            <v>#N/A</v>
          </cell>
          <cell r="J1194" t="e">
            <v>#N/A</v>
          </cell>
          <cell r="K1194">
            <v>90</v>
          </cell>
          <cell r="L1194">
            <v>50</v>
          </cell>
          <cell r="M1194" t="e">
            <v>#N/A</v>
          </cell>
          <cell r="N1194">
            <v>80</v>
          </cell>
          <cell r="O1194" t="e">
            <v>#N/A</v>
          </cell>
          <cell r="P1194" t="str">
            <v/>
          </cell>
          <cell r="Q1194" t="str">
            <v/>
          </cell>
          <cell r="R1194" t="e">
            <v>#N/A</v>
          </cell>
        </row>
        <row r="1195">
          <cell r="A1195" t="str">
            <v/>
          </cell>
          <cell r="B1195" t="str">
            <v/>
          </cell>
          <cell r="C1195" t="str">
            <v>Future</v>
          </cell>
          <cell r="D1195" t="e">
            <v>#N/A</v>
          </cell>
          <cell r="E1195">
            <v>-95.765078740156625</v>
          </cell>
          <cell r="F1195">
            <v>129.94358267716913</v>
          </cell>
          <cell r="G1195">
            <v>29.62862204724383</v>
          </cell>
          <cell r="H1195">
            <v>29.62862204724383</v>
          </cell>
          <cell r="I1195" t="e">
            <v>#N/A</v>
          </cell>
          <cell r="J1195" t="e">
            <v>#N/A</v>
          </cell>
          <cell r="K1195">
            <v>90</v>
          </cell>
          <cell r="L1195">
            <v>50</v>
          </cell>
          <cell r="M1195" t="e">
            <v>#N/A</v>
          </cell>
          <cell r="N1195">
            <v>80</v>
          </cell>
          <cell r="O1195" t="e">
            <v>#N/A</v>
          </cell>
          <cell r="P1195" t="str">
            <v/>
          </cell>
          <cell r="Q1195" t="str">
            <v/>
          </cell>
          <cell r="R1195" t="e">
            <v>#N/A</v>
          </cell>
        </row>
        <row r="1196">
          <cell r="A1196" t="str">
            <v/>
          </cell>
          <cell r="B1196" t="str">
            <v/>
          </cell>
          <cell r="C1196" t="str">
            <v>Future</v>
          </cell>
          <cell r="D1196" t="e">
            <v>#N/A</v>
          </cell>
          <cell r="E1196">
            <v>-96.015118110235363</v>
          </cell>
          <cell r="F1196">
            <v>130.0478740157518</v>
          </cell>
          <cell r="G1196">
            <v>29.575433070865877</v>
          </cell>
          <cell r="H1196">
            <v>29.575433070865877</v>
          </cell>
          <cell r="I1196" t="e">
            <v>#N/A</v>
          </cell>
          <cell r="J1196" t="e">
            <v>#N/A</v>
          </cell>
          <cell r="K1196">
            <v>90</v>
          </cell>
          <cell r="L1196">
            <v>50</v>
          </cell>
          <cell r="M1196" t="e">
            <v>#N/A</v>
          </cell>
          <cell r="N1196">
            <v>80</v>
          </cell>
          <cell r="O1196" t="e">
            <v>#N/A</v>
          </cell>
          <cell r="P1196" t="str">
            <v/>
          </cell>
          <cell r="Q1196" t="str">
            <v/>
          </cell>
          <cell r="R1196" t="e">
            <v>#N/A</v>
          </cell>
        </row>
        <row r="1197">
          <cell r="A1197" t="str">
            <v/>
          </cell>
          <cell r="B1197" t="str">
            <v/>
          </cell>
          <cell r="C1197" t="str">
            <v>Future</v>
          </cell>
          <cell r="D1197" t="e">
            <v>#N/A</v>
          </cell>
          <cell r="E1197">
            <v>-96.265157480314102</v>
          </cell>
          <cell r="F1197">
            <v>130.15216535433447</v>
          </cell>
          <cell r="G1197">
            <v>29.522244094487924</v>
          </cell>
          <cell r="H1197">
            <v>29.522244094487924</v>
          </cell>
          <cell r="I1197" t="e">
            <v>#N/A</v>
          </cell>
          <cell r="J1197" t="e">
            <v>#N/A</v>
          </cell>
          <cell r="K1197">
            <v>90</v>
          </cell>
          <cell r="L1197">
            <v>50</v>
          </cell>
          <cell r="M1197" t="e">
            <v>#N/A</v>
          </cell>
          <cell r="N1197">
            <v>80</v>
          </cell>
          <cell r="O1197" t="e">
            <v>#N/A</v>
          </cell>
          <cell r="P1197" t="str">
            <v/>
          </cell>
          <cell r="Q1197" t="str">
            <v/>
          </cell>
          <cell r="R1197" t="e">
            <v>#N/A</v>
          </cell>
        </row>
        <row r="1198">
          <cell r="A1198" t="str">
            <v/>
          </cell>
          <cell r="B1198" t="str">
            <v/>
          </cell>
          <cell r="C1198" t="str">
            <v>Future</v>
          </cell>
          <cell r="D1198" t="e">
            <v>#N/A</v>
          </cell>
          <cell r="E1198">
            <v>-96.51519685039284</v>
          </cell>
          <cell r="F1198">
            <v>130.25645669291714</v>
          </cell>
          <cell r="G1198">
            <v>29.469055118109971</v>
          </cell>
          <cell r="H1198">
            <v>29.469055118109971</v>
          </cell>
          <cell r="I1198" t="e">
            <v>#N/A</v>
          </cell>
          <cell r="J1198" t="e">
            <v>#N/A</v>
          </cell>
          <cell r="K1198">
            <v>90</v>
          </cell>
          <cell r="L1198">
            <v>50</v>
          </cell>
          <cell r="M1198" t="e">
            <v>#N/A</v>
          </cell>
          <cell r="N1198">
            <v>80</v>
          </cell>
          <cell r="O1198" t="e">
            <v>#N/A</v>
          </cell>
          <cell r="P1198" t="str">
            <v/>
          </cell>
          <cell r="Q1198" t="str">
            <v/>
          </cell>
          <cell r="R1198" t="e">
            <v>#N/A</v>
          </cell>
        </row>
        <row r="1199">
          <cell r="A1199" t="str">
            <v/>
          </cell>
          <cell r="B1199" t="str">
            <v/>
          </cell>
          <cell r="C1199" t="str">
            <v>Future</v>
          </cell>
          <cell r="D1199" t="e">
            <v>#N/A</v>
          </cell>
          <cell r="E1199">
            <v>-96.765236220471579</v>
          </cell>
          <cell r="F1199">
            <v>130.36074803149981</v>
          </cell>
          <cell r="G1199">
            <v>29.415866141732018</v>
          </cell>
          <cell r="H1199">
            <v>29.415866141732018</v>
          </cell>
          <cell r="I1199" t="e">
            <v>#N/A</v>
          </cell>
          <cell r="J1199" t="e">
            <v>#N/A</v>
          </cell>
          <cell r="K1199">
            <v>90</v>
          </cell>
          <cell r="L1199">
            <v>50</v>
          </cell>
          <cell r="M1199" t="e">
            <v>#N/A</v>
          </cell>
          <cell r="N1199">
            <v>80</v>
          </cell>
          <cell r="O1199" t="e">
            <v>#N/A</v>
          </cell>
          <cell r="P1199" t="str">
            <v/>
          </cell>
          <cell r="Q1199" t="str">
            <v/>
          </cell>
          <cell r="R1199" t="e">
            <v>#N/A</v>
          </cell>
        </row>
        <row r="1200">
          <cell r="A1200" t="str">
            <v/>
          </cell>
          <cell r="B1200" t="str">
            <v/>
          </cell>
          <cell r="C1200" t="str">
            <v>Future</v>
          </cell>
          <cell r="D1200" t="e">
            <v>#N/A</v>
          </cell>
          <cell r="E1200">
            <v>-97.015275590550317</v>
          </cell>
          <cell r="F1200">
            <v>130.46503937008248</v>
          </cell>
          <cell r="G1200">
            <v>29.362677165354064</v>
          </cell>
          <cell r="H1200">
            <v>29.362677165354064</v>
          </cell>
          <cell r="I1200" t="e">
            <v>#N/A</v>
          </cell>
          <cell r="J1200" t="e">
            <v>#N/A</v>
          </cell>
          <cell r="K1200">
            <v>90</v>
          </cell>
          <cell r="L1200">
            <v>50</v>
          </cell>
          <cell r="M1200" t="e">
            <v>#N/A</v>
          </cell>
          <cell r="N1200">
            <v>80</v>
          </cell>
          <cell r="O1200" t="e">
            <v>#N/A</v>
          </cell>
          <cell r="P1200" t="str">
            <v/>
          </cell>
          <cell r="Q1200" t="str">
            <v/>
          </cell>
          <cell r="R1200" t="e">
            <v>#N/A</v>
          </cell>
        </row>
        <row r="1201">
          <cell r="A1201" t="str">
            <v/>
          </cell>
          <cell r="B1201" t="str">
            <v/>
          </cell>
          <cell r="C1201" t="str">
            <v>Future</v>
          </cell>
          <cell r="D1201" t="e">
            <v>#N/A</v>
          </cell>
          <cell r="E1201">
            <v>-97.265314960629055</v>
          </cell>
          <cell r="F1201">
            <v>130.56933070866515</v>
          </cell>
          <cell r="G1201">
            <v>29.309488188976111</v>
          </cell>
          <cell r="H1201">
            <v>29.309488188976111</v>
          </cell>
          <cell r="I1201" t="e">
            <v>#N/A</v>
          </cell>
          <cell r="J1201" t="e">
            <v>#N/A</v>
          </cell>
          <cell r="K1201">
            <v>90</v>
          </cell>
          <cell r="L1201">
            <v>50</v>
          </cell>
          <cell r="M1201" t="e">
            <v>#N/A</v>
          </cell>
          <cell r="N1201">
            <v>80</v>
          </cell>
          <cell r="O1201" t="e">
            <v>#N/A</v>
          </cell>
          <cell r="P1201" t="str">
            <v/>
          </cell>
          <cell r="Q1201" t="str">
            <v/>
          </cell>
          <cell r="R1201" t="e">
            <v>#N/A</v>
          </cell>
        </row>
        <row r="1202">
          <cell r="A1202" t="str">
            <v/>
          </cell>
          <cell r="B1202" t="str">
            <v/>
          </cell>
          <cell r="C1202" t="str">
            <v>Future</v>
          </cell>
          <cell r="D1202" t="e">
            <v>#N/A</v>
          </cell>
          <cell r="E1202">
            <v>-97.515354330707794</v>
          </cell>
          <cell r="F1202">
            <v>130.67362204724782</v>
          </cell>
          <cell r="G1202">
            <v>29.256299212598158</v>
          </cell>
          <cell r="H1202">
            <v>29.256299212598158</v>
          </cell>
          <cell r="I1202" t="e">
            <v>#N/A</v>
          </cell>
          <cell r="J1202" t="e">
            <v>#N/A</v>
          </cell>
          <cell r="K1202">
            <v>90</v>
          </cell>
          <cell r="L1202">
            <v>50</v>
          </cell>
          <cell r="M1202" t="e">
            <v>#N/A</v>
          </cell>
          <cell r="N1202">
            <v>80</v>
          </cell>
          <cell r="O1202" t="e">
            <v>#N/A</v>
          </cell>
          <cell r="P1202" t="str">
            <v/>
          </cell>
          <cell r="Q1202" t="str">
            <v/>
          </cell>
          <cell r="R1202" t="e">
            <v>#N/A</v>
          </cell>
        </row>
        <row r="1203">
          <cell r="A1203" t="str">
            <v/>
          </cell>
          <cell r="B1203" t="str">
            <v/>
          </cell>
          <cell r="C1203" t="str">
            <v>Future</v>
          </cell>
          <cell r="D1203" t="e">
            <v>#N/A</v>
          </cell>
          <cell r="E1203">
            <v>-97.765393700786532</v>
          </cell>
          <cell r="F1203">
            <v>130.77791338583049</v>
          </cell>
          <cell r="G1203">
            <v>29.203110236220205</v>
          </cell>
          <cell r="H1203">
            <v>29.203110236220205</v>
          </cell>
          <cell r="I1203" t="e">
            <v>#N/A</v>
          </cell>
          <cell r="J1203" t="e">
            <v>#N/A</v>
          </cell>
          <cell r="K1203">
            <v>90</v>
          </cell>
          <cell r="L1203">
            <v>50</v>
          </cell>
          <cell r="M1203" t="e">
            <v>#N/A</v>
          </cell>
          <cell r="N1203">
            <v>80</v>
          </cell>
          <cell r="O1203" t="e">
            <v>#N/A</v>
          </cell>
          <cell r="P1203" t="str">
            <v/>
          </cell>
          <cell r="Q1203" t="str">
            <v/>
          </cell>
          <cell r="R1203" t="e">
            <v>#N/A</v>
          </cell>
        </row>
        <row r="1204">
          <cell r="A1204" t="str">
            <v/>
          </cell>
          <cell r="B1204" t="str">
            <v/>
          </cell>
          <cell r="C1204" t="str">
            <v>Future</v>
          </cell>
          <cell r="D1204" t="e">
            <v>#N/A</v>
          </cell>
          <cell r="E1204">
            <v>-98.015433070865271</v>
          </cell>
          <cell r="F1204">
            <v>130.88220472441316</v>
          </cell>
          <cell r="G1204">
            <v>29.149921259842252</v>
          </cell>
          <cell r="H1204">
            <v>29.149921259842252</v>
          </cell>
          <cell r="I1204" t="e">
            <v>#N/A</v>
          </cell>
          <cell r="J1204" t="e">
            <v>#N/A</v>
          </cell>
          <cell r="K1204">
            <v>90</v>
          </cell>
          <cell r="L1204">
            <v>50</v>
          </cell>
          <cell r="M1204" t="e">
            <v>#N/A</v>
          </cell>
          <cell r="N1204">
            <v>80</v>
          </cell>
          <cell r="O1204" t="e">
            <v>#N/A</v>
          </cell>
          <cell r="P1204" t="str">
            <v/>
          </cell>
          <cell r="Q1204" t="str">
            <v/>
          </cell>
          <cell r="R1204" t="e">
            <v>#N/A</v>
          </cell>
        </row>
        <row r="1205">
          <cell r="A1205" t="str">
            <v/>
          </cell>
          <cell r="B1205" t="str">
            <v/>
          </cell>
          <cell r="C1205" t="str">
            <v>Future</v>
          </cell>
          <cell r="D1205" t="e">
            <v>#N/A</v>
          </cell>
          <cell r="E1205">
            <v>-98.265472440944009</v>
          </cell>
          <cell r="F1205">
            <v>130.98649606299583</v>
          </cell>
          <cell r="G1205">
            <v>29.096732283464299</v>
          </cell>
          <cell r="H1205">
            <v>29.096732283464299</v>
          </cell>
          <cell r="I1205" t="e">
            <v>#N/A</v>
          </cell>
          <cell r="J1205" t="e">
            <v>#N/A</v>
          </cell>
          <cell r="K1205">
            <v>90</v>
          </cell>
          <cell r="L1205">
            <v>50</v>
          </cell>
          <cell r="M1205" t="e">
            <v>#N/A</v>
          </cell>
          <cell r="N1205">
            <v>80</v>
          </cell>
          <cell r="O1205" t="e">
            <v>#N/A</v>
          </cell>
          <cell r="P1205" t="str">
            <v/>
          </cell>
          <cell r="Q1205" t="str">
            <v/>
          </cell>
          <cell r="R1205" t="e">
            <v>#N/A</v>
          </cell>
        </row>
        <row r="1206">
          <cell r="A1206" t="str">
            <v/>
          </cell>
          <cell r="B1206" t="str">
            <v/>
          </cell>
          <cell r="C1206" t="str">
            <v>Future</v>
          </cell>
          <cell r="D1206" t="e">
            <v>#N/A</v>
          </cell>
          <cell r="E1206">
            <v>-98.515511811022748</v>
          </cell>
          <cell r="F1206">
            <v>131.0907874015785</v>
          </cell>
          <cell r="G1206">
            <v>29.043543307086345</v>
          </cell>
          <cell r="H1206">
            <v>29.043543307086345</v>
          </cell>
          <cell r="I1206" t="e">
            <v>#N/A</v>
          </cell>
          <cell r="J1206" t="e">
            <v>#N/A</v>
          </cell>
          <cell r="K1206">
            <v>90</v>
          </cell>
          <cell r="L1206">
            <v>50</v>
          </cell>
          <cell r="M1206" t="e">
            <v>#N/A</v>
          </cell>
          <cell r="N1206">
            <v>80</v>
          </cell>
          <cell r="O1206" t="e">
            <v>#N/A</v>
          </cell>
          <cell r="P1206" t="str">
            <v/>
          </cell>
          <cell r="Q1206" t="str">
            <v/>
          </cell>
          <cell r="R1206" t="e">
            <v>#N/A</v>
          </cell>
        </row>
        <row r="1207">
          <cell r="A1207" t="str">
            <v/>
          </cell>
          <cell r="B1207" t="str">
            <v/>
          </cell>
          <cell r="C1207" t="str">
            <v>Future</v>
          </cell>
          <cell r="D1207" t="e">
            <v>#N/A</v>
          </cell>
          <cell r="E1207">
            <v>-98.765551181101486</v>
          </cell>
          <cell r="F1207">
            <v>131.19507874016116</v>
          </cell>
          <cell r="G1207">
            <v>28.990354330708392</v>
          </cell>
          <cell r="H1207">
            <v>28.990354330708392</v>
          </cell>
          <cell r="I1207" t="e">
            <v>#N/A</v>
          </cell>
          <cell r="J1207" t="e">
            <v>#N/A</v>
          </cell>
          <cell r="K1207">
            <v>90</v>
          </cell>
          <cell r="L1207">
            <v>50</v>
          </cell>
          <cell r="M1207" t="e">
            <v>#N/A</v>
          </cell>
          <cell r="N1207">
            <v>80</v>
          </cell>
          <cell r="O1207" t="e">
            <v>#N/A</v>
          </cell>
          <cell r="P1207" t="str">
            <v/>
          </cell>
          <cell r="Q1207" t="str">
            <v/>
          </cell>
          <cell r="R1207" t="e">
            <v>#N/A</v>
          </cell>
        </row>
        <row r="1208">
          <cell r="A1208" t="str">
            <v/>
          </cell>
          <cell r="B1208" t="str">
            <v/>
          </cell>
          <cell r="C1208" t="str">
            <v>Future</v>
          </cell>
          <cell r="D1208" t="e">
            <v>#N/A</v>
          </cell>
          <cell r="E1208">
            <v>-99.015590551180225</v>
          </cell>
          <cell r="F1208">
            <v>131.29937007874383</v>
          </cell>
          <cell r="G1208">
            <v>28.937165354330439</v>
          </cell>
          <cell r="H1208">
            <v>28.937165354330439</v>
          </cell>
          <cell r="I1208" t="e">
            <v>#N/A</v>
          </cell>
          <cell r="J1208" t="e">
            <v>#N/A</v>
          </cell>
          <cell r="K1208">
            <v>90</v>
          </cell>
          <cell r="L1208">
            <v>50</v>
          </cell>
          <cell r="M1208" t="e">
            <v>#N/A</v>
          </cell>
          <cell r="N1208">
            <v>80</v>
          </cell>
          <cell r="O1208" t="e">
            <v>#N/A</v>
          </cell>
          <cell r="P1208" t="str">
            <v/>
          </cell>
          <cell r="Q1208" t="str">
            <v/>
          </cell>
          <cell r="R1208" t="e">
            <v>#N/A</v>
          </cell>
        </row>
        <row r="1209">
          <cell r="A1209" t="str">
            <v/>
          </cell>
          <cell r="B1209" t="str">
            <v/>
          </cell>
          <cell r="C1209" t="str">
            <v>Future</v>
          </cell>
          <cell r="D1209" t="e">
            <v>#N/A</v>
          </cell>
          <cell r="E1209">
            <v>-99.265629921258963</v>
          </cell>
          <cell r="F1209">
            <v>131.4036614173265</v>
          </cell>
          <cell r="G1209">
            <v>28.883976377952486</v>
          </cell>
          <cell r="H1209">
            <v>28.883976377952486</v>
          </cell>
          <cell r="I1209" t="e">
            <v>#N/A</v>
          </cell>
          <cell r="J1209" t="e">
            <v>#N/A</v>
          </cell>
          <cell r="K1209">
            <v>90</v>
          </cell>
          <cell r="L1209">
            <v>50</v>
          </cell>
          <cell r="M1209" t="e">
            <v>#N/A</v>
          </cell>
          <cell r="N1209">
            <v>80</v>
          </cell>
          <cell r="O1209" t="e">
            <v>#N/A</v>
          </cell>
          <cell r="P1209" t="str">
            <v/>
          </cell>
          <cell r="Q1209" t="str">
            <v/>
          </cell>
          <cell r="R1209" t="e">
            <v>#N/A</v>
          </cell>
        </row>
        <row r="1210">
          <cell r="A1210" t="str">
            <v/>
          </cell>
          <cell r="B1210" t="str">
            <v/>
          </cell>
          <cell r="C1210" t="str">
            <v>Future</v>
          </cell>
          <cell r="D1210" t="e">
            <v>#N/A</v>
          </cell>
          <cell r="E1210">
            <v>-99.515669291337701</v>
          </cell>
          <cell r="F1210">
            <v>131.50795275590917</v>
          </cell>
          <cell r="G1210">
            <v>28.830787401574533</v>
          </cell>
          <cell r="H1210">
            <v>28.830787401574533</v>
          </cell>
          <cell r="I1210" t="e">
            <v>#N/A</v>
          </cell>
          <cell r="J1210" t="e">
            <v>#N/A</v>
          </cell>
          <cell r="K1210">
            <v>90</v>
          </cell>
          <cell r="L1210">
            <v>50</v>
          </cell>
          <cell r="M1210" t="e">
            <v>#N/A</v>
          </cell>
          <cell r="N1210">
            <v>80</v>
          </cell>
          <cell r="O1210" t="e">
            <v>#N/A</v>
          </cell>
          <cell r="P1210" t="str">
            <v/>
          </cell>
          <cell r="Q1210" t="str">
            <v/>
          </cell>
          <cell r="R1210" t="e">
            <v>#N/A</v>
          </cell>
        </row>
        <row r="1211">
          <cell r="A1211" t="str">
            <v/>
          </cell>
          <cell r="B1211" t="str">
            <v/>
          </cell>
          <cell r="C1211" t="str">
            <v>Future</v>
          </cell>
          <cell r="D1211" t="e">
            <v>#N/A</v>
          </cell>
          <cell r="E1211">
            <v>-99.76570866141644</v>
          </cell>
          <cell r="F1211">
            <v>131.61224409449184</v>
          </cell>
          <cell r="G1211">
            <v>28.77759842519658</v>
          </cell>
          <cell r="H1211">
            <v>28.77759842519658</v>
          </cell>
          <cell r="I1211" t="e">
            <v>#N/A</v>
          </cell>
          <cell r="J1211" t="e">
            <v>#N/A</v>
          </cell>
          <cell r="K1211">
            <v>90</v>
          </cell>
          <cell r="L1211">
            <v>50</v>
          </cell>
          <cell r="M1211" t="e">
            <v>#N/A</v>
          </cell>
          <cell r="N1211">
            <v>80</v>
          </cell>
          <cell r="O1211" t="e">
            <v>#N/A</v>
          </cell>
          <cell r="P1211" t="str">
            <v/>
          </cell>
          <cell r="Q1211" t="str">
            <v/>
          </cell>
          <cell r="R1211" t="e">
            <v>#N/A</v>
          </cell>
        </row>
        <row r="1212">
          <cell r="A1212" t="str">
            <v/>
          </cell>
          <cell r="B1212" t="str">
            <v/>
          </cell>
          <cell r="C1212" t="str">
            <v>Future</v>
          </cell>
          <cell r="D1212" t="e">
            <v>#N/A</v>
          </cell>
          <cell r="E1212">
            <v>-100.01574803149518</v>
          </cell>
          <cell r="F1212">
            <v>131.71653543307451</v>
          </cell>
          <cell r="G1212">
            <v>28.724409448818626</v>
          </cell>
          <cell r="H1212">
            <v>28.724409448818626</v>
          </cell>
          <cell r="I1212" t="e">
            <v>#N/A</v>
          </cell>
          <cell r="J1212" t="e">
            <v>#N/A</v>
          </cell>
          <cell r="K1212">
            <v>90</v>
          </cell>
          <cell r="L1212">
            <v>50</v>
          </cell>
          <cell r="M1212" t="e">
            <v>#N/A</v>
          </cell>
          <cell r="N1212">
            <v>80</v>
          </cell>
          <cell r="O1212" t="e">
            <v>#N/A</v>
          </cell>
          <cell r="P1212" t="str">
            <v/>
          </cell>
          <cell r="Q1212" t="str">
            <v/>
          </cell>
          <cell r="R1212" t="e">
            <v>#N/A</v>
          </cell>
        </row>
        <row r="1213">
          <cell r="A1213" t="str">
            <v/>
          </cell>
          <cell r="B1213" t="str">
            <v/>
          </cell>
          <cell r="C1213" t="str">
            <v>Future</v>
          </cell>
          <cell r="D1213" t="e">
            <v>#N/A</v>
          </cell>
          <cell r="E1213">
            <v>-100.26578740157392</v>
          </cell>
          <cell r="F1213">
            <v>131.82082677165718</v>
          </cell>
          <cell r="G1213">
            <v>28.671220472440673</v>
          </cell>
          <cell r="H1213">
            <v>28.671220472440673</v>
          </cell>
          <cell r="I1213" t="e">
            <v>#N/A</v>
          </cell>
          <cell r="J1213" t="e">
            <v>#N/A</v>
          </cell>
          <cell r="K1213">
            <v>90</v>
          </cell>
          <cell r="L1213">
            <v>50</v>
          </cell>
          <cell r="M1213" t="e">
            <v>#N/A</v>
          </cell>
          <cell r="N1213">
            <v>80</v>
          </cell>
          <cell r="O1213" t="e">
            <v>#N/A</v>
          </cell>
          <cell r="P1213" t="str">
            <v/>
          </cell>
          <cell r="Q1213" t="str">
            <v/>
          </cell>
          <cell r="R1213" t="e">
            <v>#N/A</v>
          </cell>
        </row>
        <row r="1214">
          <cell r="A1214" t="str">
            <v/>
          </cell>
          <cell r="B1214" t="str">
            <v/>
          </cell>
          <cell r="C1214" t="str">
            <v>Future</v>
          </cell>
          <cell r="D1214" t="e">
            <v>#N/A</v>
          </cell>
          <cell r="E1214">
            <v>-100.51582677165266</v>
          </cell>
          <cell r="F1214">
            <v>131.92511811023985</v>
          </cell>
          <cell r="G1214">
            <v>28.61803149606272</v>
          </cell>
          <cell r="H1214">
            <v>28.61803149606272</v>
          </cell>
          <cell r="I1214" t="e">
            <v>#N/A</v>
          </cell>
          <cell r="J1214" t="e">
            <v>#N/A</v>
          </cell>
          <cell r="K1214">
            <v>90</v>
          </cell>
          <cell r="L1214">
            <v>50</v>
          </cell>
          <cell r="M1214" t="e">
            <v>#N/A</v>
          </cell>
          <cell r="N1214">
            <v>80</v>
          </cell>
          <cell r="O1214" t="e">
            <v>#N/A</v>
          </cell>
          <cell r="P1214" t="str">
            <v/>
          </cell>
          <cell r="Q1214" t="str">
            <v/>
          </cell>
          <cell r="R1214" t="e">
            <v>#N/A</v>
          </cell>
        </row>
        <row r="1215">
          <cell r="A1215" t="str">
            <v/>
          </cell>
          <cell r="B1215" t="str">
            <v/>
          </cell>
          <cell r="C1215" t="str">
            <v>Future</v>
          </cell>
          <cell r="D1215" t="e">
            <v>#N/A</v>
          </cell>
          <cell r="E1215">
            <v>-100.76586614173139</v>
          </cell>
          <cell r="F1215">
            <v>132.02940944882252</v>
          </cell>
          <cell r="G1215">
            <v>28.564842519684767</v>
          </cell>
          <cell r="H1215">
            <v>28.564842519684767</v>
          </cell>
          <cell r="I1215" t="e">
            <v>#N/A</v>
          </cell>
          <cell r="J1215" t="e">
            <v>#N/A</v>
          </cell>
          <cell r="K1215">
            <v>90</v>
          </cell>
          <cell r="L1215">
            <v>50</v>
          </cell>
          <cell r="M1215" t="e">
            <v>#N/A</v>
          </cell>
          <cell r="N1215">
            <v>80</v>
          </cell>
          <cell r="O1215" t="e">
            <v>#N/A</v>
          </cell>
          <cell r="P1215" t="str">
            <v/>
          </cell>
          <cell r="Q1215" t="str">
            <v/>
          </cell>
          <cell r="R1215" t="e">
            <v>#N/A</v>
          </cell>
        </row>
        <row r="1216">
          <cell r="A1216" t="str">
            <v/>
          </cell>
          <cell r="B1216" t="str">
            <v/>
          </cell>
          <cell r="C1216" t="str">
            <v>Future</v>
          </cell>
          <cell r="D1216" t="e">
            <v>#N/A</v>
          </cell>
          <cell r="E1216">
            <v>-101.01590551181013</v>
          </cell>
          <cell r="F1216">
            <v>132.13370078740519</v>
          </cell>
          <cell r="G1216">
            <v>28.511653543306814</v>
          </cell>
          <cell r="H1216">
            <v>28.511653543306814</v>
          </cell>
          <cell r="I1216" t="e">
            <v>#N/A</v>
          </cell>
          <cell r="J1216" t="e">
            <v>#N/A</v>
          </cell>
          <cell r="K1216">
            <v>90</v>
          </cell>
          <cell r="L1216">
            <v>50</v>
          </cell>
          <cell r="M1216" t="e">
            <v>#N/A</v>
          </cell>
          <cell r="N1216">
            <v>80</v>
          </cell>
          <cell r="O1216" t="e">
            <v>#N/A</v>
          </cell>
          <cell r="P1216" t="str">
            <v/>
          </cell>
          <cell r="Q1216" t="str">
            <v/>
          </cell>
          <cell r="R1216" t="e">
            <v>#N/A</v>
          </cell>
        </row>
        <row r="1217">
          <cell r="A1217" t="str">
            <v/>
          </cell>
          <cell r="B1217" t="str">
            <v/>
          </cell>
          <cell r="C1217" t="str">
            <v>Future</v>
          </cell>
          <cell r="D1217" t="e">
            <v>#N/A</v>
          </cell>
          <cell r="E1217">
            <v>-101.26594488188887</v>
          </cell>
          <cell r="F1217">
            <v>132.23799212598786</v>
          </cell>
          <cell r="G1217">
            <v>28.458464566928861</v>
          </cell>
          <cell r="H1217">
            <v>28.458464566928861</v>
          </cell>
          <cell r="I1217" t="e">
            <v>#N/A</v>
          </cell>
          <cell r="J1217" t="e">
            <v>#N/A</v>
          </cell>
          <cell r="K1217">
            <v>90</v>
          </cell>
          <cell r="L1217">
            <v>50</v>
          </cell>
          <cell r="M1217" t="e">
            <v>#N/A</v>
          </cell>
          <cell r="N1217">
            <v>80</v>
          </cell>
          <cell r="O1217" t="e">
            <v>#N/A</v>
          </cell>
          <cell r="P1217" t="str">
            <v/>
          </cell>
          <cell r="Q1217" t="str">
            <v/>
          </cell>
          <cell r="R1217" t="e">
            <v>#N/A</v>
          </cell>
        </row>
        <row r="1218">
          <cell r="A1218" t="str">
            <v/>
          </cell>
          <cell r="B1218" t="str">
            <v/>
          </cell>
          <cell r="C1218" t="str">
            <v>Future</v>
          </cell>
          <cell r="D1218" t="e">
            <v>#N/A</v>
          </cell>
          <cell r="E1218">
            <v>-101.51598425196761</v>
          </cell>
          <cell r="F1218">
            <v>132.34228346457053</v>
          </cell>
          <cell r="G1218">
            <v>28.405275590550907</v>
          </cell>
          <cell r="H1218">
            <v>28.405275590550907</v>
          </cell>
          <cell r="I1218" t="e">
            <v>#N/A</v>
          </cell>
          <cell r="J1218" t="e">
            <v>#N/A</v>
          </cell>
          <cell r="K1218">
            <v>90</v>
          </cell>
          <cell r="L1218">
            <v>50</v>
          </cell>
          <cell r="M1218" t="e">
            <v>#N/A</v>
          </cell>
          <cell r="N1218">
            <v>80</v>
          </cell>
          <cell r="O1218" t="e">
            <v>#N/A</v>
          </cell>
          <cell r="P1218" t="str">
            <v/>
          </cell>
          <cell r="Q1218" t="str">
            <v/>
          </cell>
          <cell r="R1218" t="e">
            <v>#N/A</v>
          </cell>
        </row>
        <row r="1219">
          <cell r="A1219" t="str">
            <v/>
          </cell>
          <cell r="B1219" t="str">
            <v/>
          </cell>
          <cell r="C1219" t="str">
            <v>Future</v>
          </cell>
          <cell r="D1219" t="e">
            <v>#N/A</v>
          </cell>
          <cell r="E1219">
            <v>-101.76602362204635</v>
          </cell>
          <cell r="F1219">
            <v>132.4465748031532</v>
          </cell>
          <cell r="G1219">
            <v>28.352086614172954</v>
          </cell>
          <cell r="H1219">
            <v>28.352086614172954</v>
          </cell>
          <cell r="I1219" t="e">
            <v>#N/A</v>
          </cell>
          <cell r="J1219" t="e">
            <v>#N/A</v>
          </cell>
          <cell r="K1219">
            <v>90</v>
          </cell>
          <cell r="L1219">
            <v>50</v>
          </cell>
          <cell r="M1219" t="e">
            <v>#N/A</v>
          </cell>
          <cell r="N1219">
            <v>80</v>
          </cell>
          <cell r="O1219" t="e">
            <v>#N/A</v>
          </cell>
          <cell r="P1219" t="str">
            <v/>
          </cell>
          <cell r="Q1219" t="str">
            <v/>
          </cell>
          <cell r="R1219" t="e">
            <v>#N/A</v>
          </cell>
        </row>
        <row r="1220">
          <cell r="A1220" t="str">
            <v/>
          </cell>
          <cell r="B1220" t="str">
            <v/>
          </cell>
          <cell r="C1220" t="str">
            <v>Future</v>
          </cell>
          <cell r="D1220" t="e">
            <v>#N/A</v>
          </cell>
          <cell r="E1220">
            <v>-102.01606299212509</v>
          </cell>
          <cell r="F1220">
            <v>132.55086614173587</v>
          </cell>
          <cell r="G1220">
            <v>28.298897637795001</v>
          </cell>
          <cell r="H1220">
            <v>28.298897637795001</v>
          </cell>
          <cell r="I1220" t="e">
            <v>#N/A</v>
          </cell>
          <cell r="J1220" t="e">
            <v>#N/A</v>
          </cell>
          <cell r="K1220">
            <v>90</v>
          </cell>
          <cell r="L1220">
            <v>50</v>
          </cell>
          <cell r="M1220" t="e">
            <v>#N/A</v>
          </cell>
          <cell r="N1220">
            <v>80</v>
          </cell>
          <cell r="O1220" t="e">
            <v>#N/A</v>
          </cell>
          <cell r="P1220" t="str">
            <v/>
          </cell>
          <cell r="Q1220" t="str">
            <v/>
          </cell>
          <cell r="R1220" t="e">
            <v>#N/A</v>
          </cell>
        </row>
        <row r="1221">
          <cell r="A1221" t="str">
            <v/>
          </cell>
          <cell r="B1221" t="str">
            <v/>
          </cell>
          <cell r="C1221" t="str">
            <v>Future</v>
          </cell>
          <cell r="D1221" t="e">
            <v>#N/A</v>
          </cell>
          <cell r="E1221">
            <v>-102.26610236220382</v>
          </cell>
          <cell r="F1221">
            <v>132.65515748031854</v>
          </cell>
          <cell r="G1221">
            <v>28.245708661417048</v>
          </cell>
          <cell r="H1221">
            <v>28.245708661417048</v>
          </cell>
          <cell r="I1221" t="e">
            <v>#N/A</v>
          </cell>
          <cell r="J1221" t="e">
            <v>#N/A</v>
          </cell>
          <cell r="K1221">
            <v>90</v>
          </cell>
          <cell r="L1221">
            <v>50</v>
          </cell>
          <cell r="M1221" t="e">
            <v>#N/A</v>
          </cell>
          <cell r="N1221">
            <v>80</v>
          </cell>
          <cell r="O1221" t="e">
            <v>#N/A</v>
          </cell>
          <cell r="P1221" t="str">
            <v/>
          </cell>
          <cell r="Q1221" t="str">
            <v/>
          </cell>
          <cell r="R1221" t="e">
            <v>#N/A</v>
          </cell>
        </row>
        <row r="1222">
          <cell r="A1222" t="str">
            <v/>
          </cell>
          <cell r="B1222" t="str">
            <v/>
          </cell>
          <cell r="C1222" t="str">
            <v>Future</v>
          </cell>
          <cell r="D1222" t="e">
            <v>#N/A</v>
          </cell>
          <cell r="E1222">
            <v>-102.51614173228256</v>
          </cell>
          <cell r="F1222">
            <v>132.75944881890121</v>
          </cell>
          <cell r="G1222">
            <v>28.192519685039095</v>
          </cell>
          <cell r="H1222">
            <v>28.192519685039095</v>
          </cell>
          <cell r="I1222" t="e">
            <v>#N/A</v>
          </cell>
          <cell r="J1222" t="e">
            <v>#N/A</v>
          </cell>
          <cell r="K1222">
            <v>90</v>
          </cell>
          <cell r="L1222">
            <v>50</v>
          </cell>
          <cell r="M1222" t="e">
            <v>#N/A</v>
          </cell>
          <cell r="N1222">
            <v>80</v>
          </cell>
          <cell r="O1222" t="e">
            <v>#N/A</v>
          </cell>
          <cell r="P1222" t="str">
            <v/>
          </cell>
          <cell r="Q1222" t="str">
            <v/>
          </cell>
          <cell r="R1222" t="e">
            <v>#N/A</v>
          </cell>
        </row>
        <row r="1223">
          <cell r="A1223" t="str">
            <v/>
          </cell>
          <cell r="B1223" t="str">
            <v/>
          </cell>
          <cell r="C1223" t="str">
            <v>Future</v>
          </cell>
          <cell r="D1223" t="e">
            <v>#N/A</v>
          </cell>
          <cell r="E1223">
            <v>-102.7661811023613</v>
          </cell>
          <cell r="F1223">
            <v>132.86374015748387</v>
          </cell>
          <cell r="G1223">
            <v>28.139330708661142</v>
          </cell>
          <cell r="H1223">
            <v>28.139330708661142</v>
          </cell>
          <cell r="I1223" t="e">
            <v>#N/A</v>
          </cell>
          <cell r="J1223" t="e">
            <v>#N/A</v>
          </cell>
          <cell r="K1223">
            <v>90</v>
          </cell>
          <cell r="L1223">
            <v>50</v>
          </cell>
          <cell r="M1223" t="e">
            <v>#N/A</v>
          </cell>
          <cell r="N1223">
            <v>80</v>
          </cell>
          <cell r="O1223" t="e">
            <v>#N/A</v>
          </cell>
          <cell r="P1223" t="str">
            <v/>
          </cell>
          <cell r="Q1223" t="str">
            <v/>
          </cell>
          <cell r="R1223" t="e">
            <v>#N/A</v>
          </cell>
        </row>
        <row r="1224">
          <cell r="A1224" t="str">
            <v/>
          </cell>
          <cell r="B1224" t="str">
            <v/>
          </cell>
          <cell r="C1224" t="str">
            <v>Future</v>
          </cell>
          <cell r="D1224" t="e">
            <v>#N/A</v>
          </cell>
          <cell r="E1224">
            <v>-103.01622047244004</v>
          </cell>
          <cell r="F1224">
            <v>132.96803149606654</v>
          </cell>
          <cell r="G1224">
            <v>28.086141732283188</v>
          </cell>
          <cell r="H1224">
            <v>28.086141732283188</v>
          </cell>
          <cell r="I1224" t="e">
            <v>#N/A</v>
          </cell>
          <cell r="J1224" t="e">
            <v>#N/A</v>
          </cell>
          <cell r="K1224">
            <v>90</v>
          </cell>
          <cell r="L1224">
            <v>50</v>
          </cell>
          <cell r="M1224" t="e">
            <v>#N/A</v>
          </cell>
          <cell r="N1224">
            <v>80</v>
          </cell>
          <cell r="O1224" t="e">
            <v>#N/A</v>
          </cell>
          <cell r="P1224" t="str">
            <v/>
          </cell>
          <cell r="Q1224" t="str">
            <v/>
          </cell>
          <cell r="R1224" t="e">
            <v>#N/A</v>
          </cell>
        </row>
        <row r="1225">
          <cell r="A1225" t="str">
            <v/>
          </cell>
          <cell r="B1225" t="str">
            <v/>
          </cell>
          <cell r="C1225" t="str">
            <v>Future</v>
          </cell>
          <cell r="D1225" t="e">
            <v>#N/A</v>
          </cell>
          <cell r="E1225">
            <v>-103.26625984251878</v>
          </cell>
          <cell r="F1225">
            <v>133.07232283464921</v>
          </cell>
          <cell r="G1225">
            <v>28.032952755905235</v>
          </cell>
          <cell r="H1225">
            <v>28.032952755905235</v>
          </cell>
          <cell r="I1225" t="e">
            <v>#N/A</v>
          </cell>
          <cell r="J1225" t="e">
            <v>#N/A</v>
          </cell>
          <cell r="K1225">
            <v>90</v>
          </cell>
          <cell r="L1225">
            <v>50</v>
          </cell>
          <cell r="M1225" t="e">
            <v>#N/A</v>
          </cell>
          <cell r="N1225">
            <v>80</v>
          </cell>
          <cell r="O1225" t="e">
            <v>#N/A</v>
          </cell>
          <cell r="P1225" t="str">
            <v/>
          </cell>
          <cell r="Q1225" t="str">
            <v/>
          </cell>
          <cell r="R1225" t="e">
            <v>#N/A</v>
          </cell>
        </row>
        <row r="1226">
          <cell r="A1226" t="str">
            <v/>
          </cell>
          <cell r="B1226" t="str">
            <v/>
          </cell>
          <cell r="C1226" t="str">
            <v>Future</v>
          </cell>
          <cell r="D1226" t="e">
            <v>#N/A</v>
          </cell>
          <cell r="E1226">
            <v>-103.51629921259752</v>
          </cell>
          <cell r="F1226">
            <v>133.17661417323188</v>
          </cell>
          <cell r="G1226">
            <v>27.979763779527282</v>
          </cell>
          <cell r="H1226">
            <v>27.979763779527282</v>
          </cell>
          <cell r="I1226" t="e">
            <v>#N/A</v>
          </cell>
          <cell r="J1226" t="e">
            <v>#N/A</v>
          </cell>
          <cell r="K1226">
            <v>90</v>
          </cell>
          <cell r="L1226">
            <v>50</v>
          </cell>
          <cell r="M1226" t="e">
            <v>#N/A</v>
          </cell>
          <cell r="N1226">
            <v>80</v>
          </cell>
          <cell r="O1226" t="e">
            <v>#N/A</v>
          </cell>
          <cell r="P1226" t="str">
            <v/>
          </cell>
          <cell r="Q1226" t="str">
            <v/>
          </cell>
          <cell r="R1226" t="e">
            <v>#N/A</v>
          </cell>
        </row>
        <row r="1227">
          <cell r="A1227" t="str">
            <v/>
          </cell>
          <cell r="B1227" t="str">
            <v/>
          </cell>
          <cell r="C1227" t="str">
            <v>Future</v>
          </cell>
          <cell r="D1227" t="e">
            <v>#N/A</v>
          </cell>
          <cell r="E1227">
            <v>-103.76633858267625</v>
          </cell>
          <cell r="F1227">
            <v>133.28090551181455</v>
          </cell>
          <cell r="G1227">
            <v>27.926574803149329</v>
          </cell>
          <cell r="H1227">
            <v>27.926574803149329</v>
          </cell>
          <cell r="I1227" t="e">
            <v>#N/A</v>
          </cell>
          <cell r="J1227" t="e">
            <v>#N/A</v>
          </cell>
          <cell r="K1227">
            <v>90</v>
          </cell>
          <cell r="L1227">
            <v>50</v>
          </cell>
          <cell r="M1227" t="e">
            <v>#N/A</v>
          </cell>
          <cell r="N1227">
            <v>80</v>
          </cell>
          <cell r="O1227" t="e">
            <v>#N/A</v>
          </cell>
          <cell r="P1227" t="str">
            <v/>
          </cell>
          <cell r="Q1227" t="str">
            <v/>
          </cell>
          <cell r="R1227" t="e">
            <v>#N/A</v>
          </cell>
        </row>
        <row r="1228">
          <cell r="A1228" t="str">
            <v/>
          </cell>
          <cell r="B1228" t="str">
            <v/>
          </cell>
          <cell r="C1228" t="str">
            <v>Future</v>
          </cell>
          <cell r="D1228" t="e">
            <v>#N/A</v>
          </cell>
          <cell r="E1228">
            <v>-104.01637795275499</v>
          </cell>
          <cell r="F1228">
            <v>133.38519685039722</v>
          </cell>
          <cell r="G1228">
            <v>27.873385826771376</v>
          </cell>
          <cell r="H1228">
            <v>27.873385826771376</v>
          </cell>
          <cell r="I1228" t="e">
            <v>#N/A</v>
          </cell>
          <cell r="J1228" t="e">
            <v>#N/A</v>
          </cell>
          <cell r="K1228">
            <v>90</v>
          </cell>
          <cell r="L1228">
            <v>50</v>
          </cell>
          <cell r="M1228" t="e">
            <v>#N/A</v>
          </cell>
          <cell r="N1228">
            <v>80</v>
          </cell>
          <cell r="O1228" t="e">
            <v>#N/A</v>
          </cell>
          <cell r="P1228" t="str">
            <v/>
          </cell>
          <cell r="Q1228" t="str">
            <v/>
          </cell>
          <cell r="R1228" t="e">
            <v>#N/A</v>
          </cell>
        </row>
        <row r="1229">
          <cell r="A1229" t="str">
            <v/>
          </cell>
          <cell r="B1229" t="str">
            <v/>
          </cell>
          <cell r="C1229" t="str">
            <v>Future</v>
          </cell>
          <cell r="D1229" t="e">
            <v>#N/A</v>
          </cell>
          <cell r="E1229">
            <v>-104.26641732283373</v>
          </cell>
          <cell r="F1229">
            <v>133.48948818897989</v>
          </cell>
          <cell r="G1229">
            <v>27.820196850393422</v>
          </cell>
          <cell r="H1229">
            <v>27.820196850393422</v>
          </cell>
          <cell r="I1229" t="e">
            <v>#N/A</v>
          </cell>
          <cell r="J1229" t="e">
            <v>#N/A</v>
          </cell>
          <cell r="K1229">
            <v>90</v>
          </cell>
          <cell r="L1229">
            <v>50</v>
          </cell>
          <cell r="M1229" t="e">
            <v>#N/A</v>
          </cell>
          <cell r="N1229">
            <v>80</v>
          </cell>
          <cell r="O1229" t="e">
            <v>#N/A</v>
          </cell>
          <cell r="P1229" t="str">
            <v/>
          </cell>
          <cell r="Q1229" t="str">
            <v/>
          </cell>
          <cell r="R1229" t="e">
            <v>#N/A</v>
          </cell>
        </row>
        <row r="1230">
          <cell r="A1230" t="str">
            <v/>
          </cell>
          <cell r="B1230" t="str">
            <v/>
          </cell>
          <cell r="C1230" t="str">
            <v>Future</v>
          </cell>
          <cell r="D1230" t="e">
            <v>#N/A</v>
          </cell>
          <cell r="E1230">
            <v>-104.51645669291247</v>
          </cell>
          <cell r="F1230">
            <v>133.59377952756256</v>
          </cell>
          <cell r="G1230">
            <v>27.767007874015469</v>
          </cell>
          <cell r="H1230">
            <v>27.767007874015469</v>
          </cell>
          <cell r="I1230" t="e">
            <v>#N/A</v>
          </cell>
          <cell r="J1230" t="e">
            <v>#N/A</v>
          </cell>
          <cell r="K1230">
            <v>90</v>
          </cell>
          <cell r="L1230">
            <v>50</v>
          </cell>
          <cell r="M1230" t="e">
            <v>#N/A</v>
          </cell>
          <cell r="N1230">
            <v>80</v>
          </cell>
          <cell r="O1230" t="e">
            <v>#N/A</v>
          </cell>
          <cell r="P1230" t="str">
            <v/>
          </cell>
          <cell r="Q1230" t="str">
            <v/>
          </cell>
          <cell r="R1230" t="e">
            <v>#N/A</v>
          </cell>
        </row>
        <row r="1231">
          <cell r="A1231" t="str">
            <v/>
          </cell>
          <cell r="B1231" t="str">
            <v/>
          </cell>
          <cell r="C1231" t="str">
            <v>Future</v>
          </cell>
          <cell r="D1231" t="e">
            <v>#N/A</v>
          </cell>
          <cell r="E1231">
            <v>-104.76649606299121</v>
          </cell>
          <cell r="F1231">
            <v>133.69807086614523</v>
          </cell>
          <cell r="G1231">
            <v>27.713818897637516</v>
          </cell>
          <cell r="H1231">
            <v>27.713818897637516</v>
          </cell>
          <cell r="I1231" t="e">
            <v>#N/A</v>
          </cell>
          <cell r="J1231" t="e">
            <v>#N/A</v>
          </cell>
          <cell r="K1231">
            <v>90</v>
          </cell>
          <cell r="L1231">
            <v>50</v>
          </cell>
          <cell r="M1231" t="e">
            <v>#N/A</v>
          </cell>
          <cell r="N1231">
            <v>80</v>
          </cell>
          <cell r="O1231" t="e">
            <v>#N/A</v>
          </cell>
          <cell r="P1231" t="str">
            <v/>
          </cell>
          <cell r="Q1231" t="str">
            <v/>
          </cell>
          <cell r="R1231" t="e">
            <v>#N/A</v>
          </cell>
        </row>
        <row r="1232">
          <cell r="A1232" t="str">
            <v/>
          </cell>
          <cell r="B1232" t="str">
            <v/>
          </cell>
          <cell r="C1232" t="str">
            <v>Future</v>
          </cell>
          <cell r="D1232" t="e">
            <v>#N/A</v>
          </cell>
          <cell r="E1232">
            <v>-105.01653543306995</v>
          </cell>
          <cell r="F1232">
            <v>133.8023622047279</v>
          </cell>
          <cell r="G1232">
            <v>27.660629921259563</v>
          </cell>
          <cell r="H1232">
            <v>27.660629921259563</v>
          </cell>
          <cell r="I1232" t="e">
            <v>#N/A</v>
          </cell>
          <cell r="J1232" t="e">
            <v>#N/A</v>
          </cell>
          <cell r="K1232">
            <v>90</v>
          </cell>
          <cell r="L1232">
            <v>50</v>
          </cell>
          <cell r="M1232" t="e">
            <v>#N/A</v>
          </cell>
          <cell r="N1232">
            <v>80</v>
          </cell>
          <cell r="O1232" t="e">
            <v>#N/A</v>
          </cell>
          <cell r="P1232" t="str">
            <v/>
          </cell>
          <cell r="Q1232" t="str">
            <v/>
          </cell>
          <cell r="R1232" t="e">
            <v>#N/A</v>
          </cell>
        </row>
        <row r="1233">
          <cell r="A1233" t="str">
            <v/>
          </cell>
          <cell r="B1233" t="str">
            <v/>
          </cell>
          <cell r="C1233" t="str">
            <v>Future</v>
          </cell>
          <cell r="D1233" t="e">
            <v>#N/A</v>
          </cell>
          <cell r="E1233">
            <v>-105.26657480314869</v>
          </cell>
          <cell r="F1233">
            <v>133.90665354331057</v>
          </cell>
          <cell r="G1233">
            <v>27.60744094488161</v>
          </cell>
          <cell r="H1233">
            <v>27.60744094488161</v>
          </cell>
          <cell r="I1233" t="e">
            <v>#N/A</v>
          </cell>
          <cell r="J1233" t="e">
            <v>#N/A</v>
          </cell>
          <cell r="K1233">
            <v>90</v>
          </cell>
          <cell r="L1233">
            <v>50</v>
          </cell>
          <cell r="M1233" t="e">
            <v>#N/A</v>
          </cell>
          <cell r="N1233">
            <v>80</v>
          </cell>
          <cell r="O1233" t="e">
            <v>#N/A</v>
          </cell>
          <cell r="P1233" t="str">
            <v/>
          </cell>
          <cell r="Q1233" t="str">
            <v/>
          </cell>
          <cell r="R1233" t="e">
            <v>#N/A</v>
          </cell>
        </row>
        <row r="1234">
          <cell r="A1234" t="str">
            <v/>
          </cell>
          <cell r="B1234" t="str">
            <v/>
          </cell>
          <cell r="C1234" t="str">
            <v>Future</v>
          </cell>
          <cell r="D1234" t="e">
            <v>#N/A</v>
          </cell>
          <cell r="E1234">
            <v>-105.51661417322742</v>
          </cell>
          <cell r="F1234">
            <v>134.01094488189324</v>
          </cell>
          <cell r="G1234">
            <v>27.554251968503657</v>
          </cell>
          <cell r="H1234">
            <v>27.554251968503657</v>
          </cell>
          <cell r="I1234" t="e">
            <v>#N/A</v>
          </cell>
          <cell r="J1234" t="e">
            <v>#N/A</v>
          </cell>
          <cell r="K1234">
            <v>90</v>
          </cell>
          <cell r="L1234">
            <v>50</v>
          </cell>
          <cell r="M1234" t="e">
            <v>#N/A</v>
          </cell>
          <cell r="N1234">
            <v>80</v>
          </cell>
          <cell r="O1234" t="e">
            <v>#N/A</v>
          </cell>
          <cell r="P1234" t="str">
            <v/>
          </cell>
          <cell r="Q1234" t="str">
            <v/>
          </cell>
          <cell r="R1234" t="e">
            <v>#N/A</v>
          </cell>
        </row>
        <row r="1235">
          <cell r="A1235" t="str">
            <v/>
          </cell>
          <cell r="B1235" t="str">
            <v/>
          </cell>
          <cell r="C1235" t="str">
            <v>Future</v>
          </cell>
          <cell r="D1235" t="e">
            <v>#N/A</v>
          </cell>
          <cell r="E1235">
            <v>-105.76665354330616</v>
          </cell>
          <cell r="F1235">
            <v>134.11523622047591</v>
          </cell>
          <cell r="G1235">
            <v>27.501062992125703</v>
          </cell>
          <cell r="H1235">
            <v>27.501062992125703</v>
          </cell>
          <cell r="I1235" t="e">
            <v>#N/A</v>
          </cell>
          <cell r="J1235" t="e">
            <v>#N/A</v>
          </cell>
          <cell r="K1235">
            <v>90</v>
          </cell>
          <cell r="L1235">
            <v>50</v>
          </cell>
          <cell r="M1235" t="e">
            <v>#N/A</v>
          </cell>
          <cell r="N1235">
            <v>80</v>
          </cell>
          <cell r="O1235" t="e">
            <v>#N/A</v>
          </cell>
          <cell r="P1235" t="str">
            <v/>
          </cell>
          <cell r="Q1235" t="str">
            <v/>
          </cell>
          <cell r="R1235" t="e">
            <v>#N/A</v>
          </cell>
        </row>
        <row r="1236">
          <cell r="A1236" t="str">
            <v/>
          </cell>
          <cell r="B1236" t="str">
            <v/>
          </cell>
          <cell r="C1236" t="str">
            <v>Future</v>
          </cell>
          <cell r="D1236" t="e">
            <v>#N/A</v>
          </cell>
          <cell r="E1236">
            <v>-106.0166929133849</v>
          </cell>
          <cell r="F1236">
            <v>134.21952755905858</v>
          </cell>
          <cell r="G1236">
            <v>27.44787401574775</v>
          </cell>
          <cell r="H1236">
            <v>27.44787401574775</v>
          </cell>
          <cell r="I1236" t="e">
            <v>#N/A</v>
          </cell>
          <cell r="J1236" t="e">
            <v>#N/A</v>
          </cell>
          <cell r="K1236">
            <v>90</v>
          </cell>
          <cell r="L1236">
            <v>50</v>
          </cell>
          <cell r="M1236" t="e">
            <v>#N/A</v>
          </cell>
          <cell r="N1236">
            <v>80</v>
          </cell>
          <cell r="O1236" t="e">
            <v>#N/A</v>
          </cell>
          <cell r="P1236" t="str">
            <v/>
          </cell>
          <cell r="Q1236" t="str">
            <v/>
          </cell>
          <cell r="R1236" t="e">
            <v>#N/A</v>
          </cell>
        </row>
        <row r="1237">
          <cell r="A1237" t="str">
            <v/>
          </cell>
          <cell r="B1237" t="str">
            <v/>
          </cell>
          <cell r="C1237" t="str">
            <v>Future</v>
          </cell>
          <cell r="D1237" t="e">
            <v>#N/A</v>
          </cell>
          <cell r="E1237">
            <v>-106.26673228346364</v>
          </cell>
          <cell r="F1237">
            <v>134.32381889764125</v>
          </cell>
          <cell r="G1237">
            <v>27.394685039369797</v>
          </cell>
          <cell r="H1237">
            <v>27.394685039369797</v>
          </cell>
          <cell r="I1237" t="e">
            <v>#N/A</v>
          </cell>
          <cell r="J1237" t="e">
            <v>#N/A</v>
          </cell>
          <cell r="K1237">
            <v>90</v>
          </cell>
          <cell r="L1237">
            <v>50</v>
          </cell>
          <cell r="M1237" t="e">
            <v>#N/A</v>
          </cell>
          <cell r="N1237">
            <v>80</v>
          </cell>
          <cell r="O1237" t="e">
            <v>#N/A</v>
          </cell>
          <cell r="P1237" t="str">
            <v/>
          </cell>
          <cell r="Q1237" t="str">
            <v/>
          </cell>
          <cell r="R1237" t="e">
            <v>#N/A</v>
          </cell>
        </row>
        <row r="1238">
          <cell r="A1238" t="str">
            <v/>
          </cell>
          <cell r="B1238" t="str">
            <v/>
          </cell>
          <cell r="C1238" t="str">
            <v>Future</v>
          </cell>
          <cell r="D1238" t="e">
            <v>#N/A</v>
          </cell>
          <cell r="E1238">
            <v>-106.51677165354238</v>
          </cell>
          <cell r="F1238">
            <v>134.42811023622392</v>
          </cell>
          <cell r="G1238">
            <v>27.341496062991844</v>
          </cell>
          <cell r="H1238">
            <v>27.341496062991844</v>
          </cell>
          <cell r="I1238" t="e">
            <v>#N/A</v>
          </cell>
          <cell r="J1238" t="e">
            <v>#N/A</v>
          </cell>
          <cell r="K1238">
            <v>90</v>
          </cell>
          <cell r="L1238">
            <v>50</v>
          </cell>
          <cell r="M1238" t="e">
            <v>#N/A</v>
          </cell>
          <cell r="N1238">
            <v>80</v>
          </cell>
          <cell r="O1238" t="e">
            <v>#N/A</v>
          </cell>
          <cell r="P1238" t="str">
            <v/>
          </cell>
          <cell r="Q1238" t="str">
            <v/>
          </cell>
          <cell r="R1238" t="e">
            <v>#N/A</v>
          </cell>
        </row>
        <row r="1239">
          <cell r="A1239" t="str">
            <v/>
          </cell>
          <cell r="B1239" t="str">
            <v/>
          </cell>
          <cell r="C1239" t="str">
            <v>Future</v>
          </cell>
          <cell r="D1239" t="e">
            <v>#N/A</v>
          </cell>
          <cell r="E1239">
            <v>-106.76681102362112</v>
          </cell>
          <cell r="F1239">
            <v>134.53240157480658</v>
          </cell>
          <cell r="G1239">
            <v>27.288307086613891</v>
          </cell>
          <cell r="H1239">
            <v>27.288307086613891</v>
          </cell>
          <cell r="I1239" t="e">
            <v>#N/A</v>
          </cell>
          <cell r="J1239" t="e">
            <v>#N/A</v>
          </cell>
          <cell r="K1239">
            <v>90</v>
          </cell>
          <cell r="L1239">
            <v>50</v>
          </cell>
          <cell r="M1239" t="e">
            <v>#N/A</v>
          </cell>
          <cell r="N1239">
            <v>80</v>
          </cell>
          <cell r="O1239" t="e">
            <v>#N/A</v>
          </cell>
          <cell r="P1239" t="str">
            <v/>
          </cell>
          <cell r="Q1239" t="str">
            <v/>
          </cell>
          <cell r="R1239" t="e">
            <v>#N/A</v>
          </cell>
        </row>
        <row r="1240">
          <cell r="A1240" t="str">
            <v/>
          </cell>
          <cell r="B1240" t="str">
            <v/>
          </cell>
          <cell r="C1240" t="str">
            <v>Future</v>
          </cell>
          <cell r="D1240" t="e">
            <v>#N/A</v>
          </cell>
          <cell r="E1240">
            <v>-107.01685039369985</v>
          </cell>
          <cell r="F1240">
            <v>134.63669291338925</v>
          </cell>
          <cell r="G1240">
            <v>27.235118110235938</v>
          </cell>
          <cell r="H1240">
            <v>27.235118110235938</v>
          </cell>
          <cell r="I1240" t="e">
            <v>#N/A</v>
          </cell>
          <cell r="J1240" t="e">
            <v>#N/A</v>
          </cell>
          <cell r="K1240">
            <v>90</v>
          </cell>
          <cell r="L1240">
            <v>50</v>
          </cell>
          <cell r="M1240" t="e">
            <v>#N/A</v>
          </cell>
          <cell r="N1240">
            <v>80</v>
          </cell>
          <cell r="O1240" t="e">
            <v>#N/A</v>
          </cell>
          <cell r="P1240" t="str">
            <v/>
          </cell>
          <cell r="Q1240" t="str">
            <v/>
          </cell>
          <cell r="R1240" t="e">
            <v>#N/A</v>
          </cell>
        </row>
        <row r="1241">
          <cell r="A1241" t="str">
            <v/>
          </cell>
          <cell r="B1241" t="str">
            <v/>
          </cell>
          <cell r="C1241" t="str">
            <v>Future</v>
          </cell>
          <cell r="D1241" t="e">
            <v>#N/A</v>
          </cell>
          <cell r="E1241">
            <v>-107.26688976377859</v>
          </cell>
          <cell r="F1241">
            <v>134.74098425197192</v>
          </cell>
          <cell r="G1241">
            <v>27.181929133857984</v>
          </cell>
          <cell r="H1241">
            <v>27.181929133857984</v>
          </cell>
          <cell r="I1241" t="e">
            <v>#N/A</v>
          </cell>
          <cell r="J1241" t="e">
            <v>#N/A</v>
          </cell>
          <cell r="K1241">
            <v>90</v>
          </cell>
          <cell r="L1241">
            <v>50</v>
          </cell>
          <cell r="M1241" t="e">
            <v>#N/A</v>
          </cell>
          <cell r="N1241">
            <v>80</v>
          </cell>
          <cell r="O1241" t="e">
            <v>#N/A</v>
          </cell>
          <cell r="P1241" t="str">
            <v/>
          </cell>
          <cell r="Q1241" t="str">
            <v/>
          </cell>
          <cell r="R1241" t="e">
            <v>#N/A</v>
          </cell>
        </row>
        <row r="1242">
          <cell r="A1242" t="str">
            <v/>
          </cell>
          <cell r="B1242" t="str">
            <v/>
          </cell>
          <cell r="C1242" t="str">
            <v>Future</v>
          </cell>
          <cell r="D1242" t="e">
            <v>#N/A</v>
          </cell>
          <cell r="E1242">
            <v>-107.51692913385733</v>
          </cell>
          <cell r="F1242">
            <v>134.84527559055459</v>
          </cell>
          <cell r="G1242">
            <v>27.128740157480031</v>
          </cell>
          <cell r="H1242">
            <v>27.128740157480031</v>
          </cell>
          <cell r="I1242" t="e">
            <v>#N/A</v>
          </cell>
          <cell r="J1242" t="e">
            <v>#N/A</v>
          </cell>
          <cell r="K1242">
            <v>90</v>
          </cell>
          <cell r="L1242">
            <v>50</v>
          </cell>
          <cell r="M1242" t="e">
            <v>#N/A</v>
          </cell>
          <cell r="N1242">
            <v>80</v>
          </cell>
          <cell r="O1242" t="e">
            <v>#N/A</v>
          </cell>
          <cell r="P1242" t="str">
            <v/>
          </cell>
          <cell r="Q1242" t="str">
            <v/>
          </cell>
          <cell r="R1242" t="e">
            <v>#N/A</v>
          </cell>
        </row>
        <row r="1243">
          <cell r="A1243" t="str">
            <v/>
          </cell>
          <cell r="B1243" t="str">
            <v/>
          </cell>
          <cell r="C1243" t="str">
            <v>Future</v>
          </cell>
          <cell r="D1243" t="e">
            <v>#N/A</v>
          </cell>
          <cell r="E1243">
            <v>-107.76696850393607</v>
          </cell>
          <cell r="F1243">
            <v>134.94956692913726</v>
          </cell>
          <cell r="G1243">
            <v>27.075551181102078</v>
          </cell>
          <cell r="H1243">
            <v>27.075551181102078</v>
          </cell>
          <cell r="I1243" t="e">
            <v>#N/A</v>
          </cell>
          <cell r="J1243" t="e">
            <v>#N/A</v>
          </cell>
          <cell r="K1243">
            <v>90</v>
          </cell>
          <cell r="L1243">
            <v>50</v>
          </cell>
          <cell r="M1243" t="e">
            <v>#N/A</v>
          </cell>
          <cell r="N1243">
            <v>80</v>
          </cell>
          <cell r="O1243" t="e">
            <v>#N/A</v>
          </cell>
          <cell r="P1243" t="str">
            <v/>
          </cell>
          <cell r="Q1243" t="str">
            <v/>
          </cell>
          <cell r="R1243" t="e">
            <v>#N/A</v>
          </cell>
        </row>
        <row r="1244">
          <cell r="A1244" t="str">
            <v/>
          </cell>
          <cell r="B1244" t="str">
            <v/>
          </cell>
          <cell r="C1244" t="str">
            <v>Future</v>
          </cell>
          <cell r="D1244" t="e">
            <v>#N/A</v>
          </cell>
          <cell r="E1244">
            <v>-108.01700787401481</v>
          </cell>
          <cell r="F1244">
            <v>135.05385826771993</v>
          </cell>
          <cell r="G1244">
            <v>27.022362204724125</v>
          </cell>
          <cell r="H1244">
            <v>27.022362204724125</v>
          </cell>
          <cell r="I1244" t="e">
            <v>#N/A</v>
          </cell>
          <cell r="J1244" t="e">
            <v>#N/A</v>
          </cell>
          <cell r="K1244">
            <v>90</v>
          </cell>
          <cell r="L1244">
            <v>50</v>
          </cell>
          <cell r="M1244" t="e">
            <v>#N/A</v>
          </cell>
          <cell r="N1244">
            <v>80</v>
          </cell>
          <cell r="O1244" t="e">
            <v>#N/A</v>
          </cell>
          <cell r="P1244" t="str">
            <v/>
          </cell>
          <cell r="Q1244" t="str">
            <v/>
          </cell>
          <cell r="R1244" t="e">
            <v>#N/A</v>
          </cell>
        </row>
        <row r="1245">
          <cell r="A1245" t="str">
            <v/>
          </cell>
          <cell r="B1245" t="str">
            <v/>
          </cell>
          <cell r="C1245" t="str">
            <v>Future</v>
          </cell>
          <cell r="D1245" t="e">
            <v>#N/A</v>
          </cell>
          <cell r="E1245">
            <v>-108.26704724409355</v>
          </cell>
          <cell r="F1245">
            <v>135.1581496063026</v>
          </cell>
          <cell r="G1245">
            <v>26.969173228346172</v>
          </cell>
          <cell r="H1245">
            <v>26.969173228346172</v>
          </cell>
          <cell r="I1245" t="e">
            <v>#N/A</v>
          </cell>
          <cell r="J1245" t="e">
            <v>#N/A</v>
          </cell>
          <cell r="K1245">
            <v>90</v>
          </cell>
          <cell r="L1245">
            <v>50</v>
          </cell>
          <cell r="M1245" t="e">
            <v>#N/A</v>
          </cell>
          <cell r="N1245">
            <v>80</v>
          </cell>
          <cell r="O1245" t="e">
            <v>#N/A</v>
          </cell>
          <cell r="P1245" t="str">
            <v/>
          </cell>
          <cell r="Q1245" t="str">
            <v/>
          </cell>
          <cell r="R1245" t="e">
            <v>#N/A</v>
          </cell>
        </row>
        <row r="1246">
          <cell r="A1246" t="str">
            <v/>
          </cell>
          <cell r="B1246" t="str">
            <v/>
          </cell>
          <cell r="C1246" t="str">
            <v>Future</v>
          </cell>
          <cell r="D1246" t="e">
            <v>#N/A</v>
          </cell>
          <cell r="E1246">
            <v>-108.51708661417229</v>
          </cell>
          <cell r="F1246">
            <v>135.26244094488527</v>
          </cell>
          <cell r="G1246">
            <v>26.915984251968219</v>
          </cell>
          <cell r="H1246">
            <v>26.915984251968219</v>
          </cell>
          <cell r="I1246" t="e">
            <v>#N/A</v>
          </cell>
          <cell r="J1246" t="e">
            <v>#N/A</v>
          </cell>
          <cell r="K1246">
            <v>90</v>
          </cell>
          <cell r="L1246">
            <v>50</v>
          </cell>
          <cell r="M1246" t="e">
            <v>#N/A</v>
          </cell>
          <cell r="N1246">
            <v>80</v>
          </cell>
          <cell r="O1246" t="e">
            <v>#N/A</v>
          </cell>
          <cell r="P1246" t="str">
            <v/>
          </cell>
          <cell r="Q1246" t="str">
            <v/>
          </cell>
          <cell r="R1246" t="e">
            <v>#N/A</v>
          </cell>
        </row>
        <row r="1247">
          <cell r="A1247" t="str">
            <v/>
          </cell>
          <cell r="B1247" t="str">
            <v/>
          </cell>
          <cell r="C1247" t="str">
            <v>Future</v>
          </cell>
          <cell r="D1247" t="e">
            <v>#N/A</v>
          </cell>
          <cell r="E1247">
            <v>-108.76712598425102</v>
          </cell>
          <cell r="F1247">
            <v>135.36673228346794</v>
          </cell>
          <cell r="G1247">
            <v>26.862795275590265</v>
          </cell>
          <cell r="H1247">
            <v>26.862795275590265</v>
          </cell>
          <cell r="I1247" t="e">
            <v>#N/A</v>
          </cell>
          <cell r="J1247" t="e">
            <v>#N/A</v>
          </cell>
          <cell r="K1247">
            <v>90</v>
          </cell>
          <cell r="L1247">
            <v>50</v>
          </cell>
          <cell r="M1247" t="e">
            <v>#N/A</v>
          </cell>
          <cell r="N1247">
            <v>80</v>
          </cell>
          <cell r="O1247" t="e">
            <v>#N/A</v>
          </cell>
          <cell r="P1247" t="str">
            <v/>
          </cell>
          <cell r="Q1247" t="str">
            <v/>
          </cell>
          <cell r="R1247" t="e">
            <v>#N/A</v>
          </cell>
        </row>
        <row r="1248">
          <cell r="A1248" t="str">
            <v/>
          </cell>
          <cell r="B1248" t="str">
            <v/>
          </cell>
          <cell r="C1248" t="str">
            <v>Future</v>
          </cell>
          <cell r="D1248" t="e">
            <v>#N/A</v>
          </cell>
          <cell r="E1248">
            <v>-109.01716535432976</v>
          </cell>
          <cell r="F1248">
            <v>135.47102362205061</v>
          </cell>
          <cell r="G1248">
            <v>26.809606299212312</v>
          </cell>
          <cell r="H1248">
            <v>26.809606299212312</v>
          </cell>
          <cell r="I1248" t="e">
            <v>#N/A</v>
          </cell>
          <cell r="J1248" t="e">
            <v>#N/A</v>
          </cell>
          <cell r="K1248">
            <v>90</v>
          </cell>
          <cell r="L1248">
            <v>50</v>
          </cell>
          <cell r="M1248" t="e">
            <v>#N/A</v>
          </cell>
          <cell r="N1248">
            <v>80</v>
          </cell>
          <cell r="O1248" t="e">
            <v>#N/A</v>
          </cell>
          <cell r="P1248" t="str">
            <v/>
          </cell>
          <cell r="Q1248" t="str">
            <v/>
          </cell>
          <cell r="R1248" t="e">
            <v>#N/A</v>
          </cell>
        </row>
        <row r="1249">
          <cell r="A1249" t="str">
            <v/>
          </cell>
          <cell r="B1249" t="str">
            <v/>
          </cell>
          <cell r="C1249" t="str">
            <v>Future</v>
          </cell>
          <cell r="D1249" t="e">
            <v>#N/A</v>
          </cell>
          <cell r="E1249">
            <v>-109.2672047244085</v>
          </cell>
          <cell r="F1249">
            <v>135.57531496063328</v>
          </cell>
          <cell r="G1249">
            <v>26.756417322834359</v>
          </cell>
          <cell r="H1249">
            <v>26.756417322834359</v>
          </cell>
          <cell r="I1249" t="e">
            <v>#N/A</v>
          </cell>
          <cell r="J1249" t="e">
            <v>#N/A</v>
          </cell>
          <cell r="K1249">
            <v>90</v>
          </cell>
          <cell r="L1249">
            <v>50</v>
          </cell>
          <cell r="M1249" t="e">
            <v>#N/A</v>
          </cell>
          <cell r="N1249">
            <v>80</v>
          </cell>
          <cell r="O1249" t="e">
            <v>#N/A</v>
          </cell>
          <cell r="P1249" t="str">
            <v/>
          </cell>
          <cell r="Q1249" t="str">
            <v/>
          </cell>
          <cell r="R1249" t="e">
            <v>#N/A</v>
          </cell>
        </row>
        <row r="1250">
          <cell r="A1250" t="str">
            <v/>
          </cell>
          <cell r="B1250" t="str">
            <v/>
          </cell>
          <cell r="C1250" t="str">
            <v>Future</v>
          </cell>
          <cell r="D1250" t="e">
            <v>#N/A</v>
          </cell>
          <cell r="E1250">
            <v>-109.51724409448724</v>
          </cell>
          <cell r="F1250">
            <v>135.67960629921595</v>
          </cell>
          <cell r="G1250">
            <v>26.703228346456406</v>
          </cell>
          <cell r="H1250">
            <v>26.703228346456406</v>
          </cell>
          <cell r="I1250" t="e">
            <v>#N/A</v>
          </cell>
          <cell r="J1250" t="e">
            <v>#N/A</v>
          </cell>
          <cell r="K1250">
            <v>90</v>
          </cell>
          <cell r="L1250">
            <v>50</v>
          </cell>
          <cell r="M1250" t="e">
            <v>#N/A</v>
          </cell>
          <cell r="N1250">
            <v>80</v>
          </cell>
          <cell r="O1250" t="e">
            <v>#N/A</v>
          </cell>
          <cell r="P1250" t="str">
            <v/>
          </cell>
          <cell r="Q1250" t="str">
            <v/>
          </cell>
          <cell r="R1250" t="e">
            <v>#N/A</v>
          </cell>
        </row>
        <row r="1251">
          <cell r="A1251" t="str">
            <v/>
          </cell>
          <cell r="B1251" t="str">
            <v/>
          </cell>
          <cell r="C1251" t="str">
            <v>Future</v>
          </cell>
          <cell r="D1251" t="e">
            <v>#N/A</v>
          </cell>
          <cell r="E1251">
            <v>-109.76728346456598</v>
          </cell>
          <cell r="F1251">
            <v>135.78389763779862</v>
          </cell>
          <cell r="G1251">
            <v>26.650039370078453</v>
          </cell>
          <cell r="H1251">
            <v>26.650039370078453</v>
          </cell>
          <cell r="I1251" t="e">
            <v>#N/A</v>
          </cell>
          <cell r="J1251" t="e">
            <v>#N/A</v>
          </cell>
          <cell r="K1251">
            <v>90</v>
          </cell>
          <cell r="L1251">
            <v>50</v>
          </cell>
          <cell r="M1251" t="e">
            <v>#N/A</v>
          </cell>
          <cell r="N1251">
            <v>80</v>
          </cell>
          <cell r="O1251" t="e">
            <v>#N/A</v>
          </cell>
          <cell r="P1251" t="str">
            <v/>
          </cell>
          <cell r="Q1251" t="str">
            <v/>
          </cell>
          <cell r="R1251" t="e">
            <v>#N/A</v>
          </cell>
        </row>
        <row r="1252">
          <cell r="A1252" t="str">
            <v/>
          </cell>
          <cell r="B1252" t="str">
            <v/>
          </cell>
          <cell r="C1252" t="str">
            <v>Future</v>
          </cell>
          <cell r="D1252" t="e">
            <v>#N/A</v>
          </cell>
          <cell r="E1252">
            <v>-110.01732283464472</v>
          </cell>
          <cell r="F1252">
            <v>135.88818897638129</v>
          </cell>
          <cell r="G1252">
            <v>26.5968503937005</v>
          </cell>
          <cell r="H1252">
            <v>26.5968503937005</v>
          </cell>
          <cell r="I1252" t="e">
            <v>#N/A</v>
          </cell>
          <cell r="J1252" t="e">
            <v>#N/A</v>
          </cell>
          <cell r="K1252">
            <v>90</v>
          </cell>
          <cell r="L1252">
            <v>50</v>
          </cell>
          <cell r="M1252" t="e">
            <v>#N/A</v>
          </cell>
          <cell r="N1252">
            <v>80</v>
          </cell>
          <cell r="O1252" t="e">
            <v>#N/A</v>
          </cell>
          <cell r="P1252" t="str">
            <v/>
          </cell>
          <cell r="Q1252" t="str">
            <v/>
          </cell>
          <cell r="R1252" t="e">
            <v>#N/A</v>
          </cell>
        </row>
        <row r="1253">
          <cell r="A1253" t="str">
            <v/>
          </cell>
          <cell r="P1253" t="str">
            <v/>
          </cell>
          <cell r="Q1253" t="str">
            <v/>
          </cell>
        </row>
      </sheetData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/>
      <sheetData sheetId="33"/>
      <sheetData sheetId="34" refreshError="1"/>
      <sheetData sheetId="35" refreshError="1"/>
      <sheetData sheetId="36" refreshError="1"/>
      <sheetData sheetId="37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Ware_Cached"/>
      <sheetName val="AFOSHEET"/>
      <sheetName val="Main"/>
      <sheetName val="Aero"/>
      <sheetName val="IS&amp;GS"/>
      <sheetName val="Space"/>
      <sheetName val="ES"/>
      <sheetName val="RiskRetire"/>
      <sheetName val="Guidance History"/>
      <sheetName val="__FDSCACHE__"/>
      <sheetName val="BBB Cases"/>
      <sheetName val="QTR Analysis"/>
      <sheetName val="QTR Variance Analysis"/>
      <sheetName val="Valuation"/>
      <sheetName val="DCF"/>
      <sheetName val="RI"/>
      <sheetName val="DDM"/>
      <sheetName val="Pension"/>
      <sheetName val="Cash Flow"/>
      <sheetName val="ES (New)"/>
      <sheetName val="Space (New)"/>
      <sheetName val="PMV"/>
      <sheetName val="Cases"/>
      <sheetName val="MW-Cache"/>
      <sheetName val="mStartup"/>
      <sheetName val="HV"/>
      <sheetName val="Output"/>
      <sheetName val="Chart"/>
      <sheetName val="Charts"/>
      <sheetName val="Walk"/>
      <sheetName val="Sheet1"/>
      <sheetName val="Notes"/>
      <sheetName val="Dividend"/>
      <sheetName val="mwareDates"/>
      <sheetName val="MWA RR"/>
      <sheetName val="mwareSettings"/>
      <sheetName val="LinkingMetadata"/>
      <sheetName val="F35 Analysi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>
        <row r="1">
          <cell r="A1" t="str">
            <v>Pension Sensitivity</v>
          </cell>
        </row>
      </sheetData>
      <sheetData sheetId="18"/>
      <sheetData sheetId="19"/>
      <sheetData sheetId="20"/>
      <sheetData sheetId="21"/>
      <sheetData sheetId="22"/>
      <sheetData sheetId="23"/>
      <sheetData sheetId="24" refreshError="1"/>
      <sheetData sheetId="25"/>
      <sheetData sheetId="26"/>
      <sheetData sheetId="27"/>
      <sheetData sheetId="28">
        <row r="3">
          <cell r="B3" t="str">
            <v>2010E</v>
          </cell>
        </row>
      </sheetData>
      <sheetData sheetId="29">
        <row r="5">
          <cell r="E5" t="str">
            <v>Old</v>
          </cell>
        </row>
      </sheetData>
      <sheetData sheetId="30"/>
      <sheetData sheetId="31"/>
      <sheetData sheetId="32"/>
      <sheetData sheetId="33"/>
      <sheetData sheetId="34"/>
      <sheetData sheetId="35"/>
      <sheetData sheetId="36"/>
      <sheetData sheetId="37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 of Contents"/>
      <sheetName val="__FDSCACHE__"/>
      <sheetName val="Instructions"/>
      <sheetName val="1. Order_Deliveries&gt;&gt;"/>
      <sheetName val="from AIRCAP"/>
      <sheetName val="Old Format"/>
      <sheetName val="Aftermarket Aggregation"/>
      <sheetName val="Deliveries LCA &amp; RJ"/>
      <sheetName val="Program Lifecycles"/>
      <sheetName val="QTR Comm Deliveries"/>
      <sheetName val="QTR Comm_Short Form"/>
      <sheetName val="RJ Deliveries_Orders"/>
      <sheetName val="WW Fleet Stats"/>
      <sheetName val="Boeing &amp; Airbus Delivs."/>
      <sheetName val="Deliveries Charts"/>
      <sheetName val="Boeing Monthly"/>
      <sheetName val="AFOSHEET"/>
      <sheetName val="Boeing Book to Bill"/>
      <sheetName val="Airbus Monthly"/>
      <sheetName val="Production"/>
      <sheetName val="Airbus Book to Bill"/>
      <sheetName val="B Delivs by Customer"/>
      <sheetName val="Boeing Backlog"/>
      <sheetName val="BA Deliveries vs. Backlog"/>
      <sheetName val="Boeing Charts"/>
      <sheetName val="A Delivs by Customer"/>
      <sheetName val="Backlog v Deliveries"/>
      <sheetName val="Sang-scratch"/>
      <sheetName val="Sang - Charts"/>
      <sheetName val="2. Stored Aircraft&gt;&gt;"/>
      <sheetName val="StoredAC"/>
      <sheetName val="StoredAC v2"/>
      <sheetName val="Storage Summary"/>
      <sheetName val="LinkingMetadata"/>
      <sheetName val="Storage Graphs"/>
      <sheetName val="Years Backlog"/>
      <sheetName val="#REF"/>
      <sheetName val="Boeing Book to Bill (2)"/>
      <sheetName val="Gross Backlog Charts"/>
      <sheetName val="Boeing Book to Bill (Total)"/>
      <sheetName val="Boeing Book to Bill (737)"/>
      <sheetName val="Boeing Book to Bill (747)"/>
      <sheetName val="Boeing Book to Bill (777)"/>
      <sheetName val="Boeing Book to Bill (787)"/>
      <sheetName val="Boeing&amp;Airbus Book to Bill"/>
      <sheetName val="Sheet1"/>
      <sheetName val="Deliveries"/>
    </sheetNames>
    <sheetDataSet>
      <sheetData sheetId="0">
        <row r="1">
          <cell r="A1" t="str">
            <v>Aerospace Data Pack</v>
          </cell>
        </row>
      </sheetData>
      <sheetData sheetId="1"/>
      <sheetData sheetId="2"/>
      <sheetData sheetId="3"/>
      <sheetData sheetId="4">
        <row r="1">
          <cell r="AG1" t="str">
            <v>OLD NUMBERS</v>
          </cell>
        </row>
      </sheetData>
      <sheetData sheetId="5">
        <row r="2">
          <cell r="A2" t="str">
            <v>Commercial Jet Transport</v>
          </cell>
        </row>
      </sheetData>
      <sheetData sheetId="6"/>
      <sheetData sheetId="7">
        <row r="1">
          <cell r="A1" t="str">
            <v>Annual Deliveries</v>
          </cell>
        </row>
      </sheetData>
      <sheetData sheetId="8">
        <row r="1">
          <cell r="A1" t="str">
            <v>Program Lifecycles</v>
          </cell>
        </row>
      </sheetData>
      <sheetData sheetId="9"/>
      <sheetData sheetId="10"/>
      <sheetData sheetId="11"/>
      <sheetData sheetId="12">
        <row r="1">
          <cell r="A1" t="str">
            <v>Worldwide Flight Stats</v>
          </cell>
        </row>
      </sheetData>
      <sheetData sheetId="13"/>
      <sheetData sheetId="14" refreshError="1"/>
      <sheetData sheetId="15">
        <row r="1">
          <cell r="A1" t="str">
            <v>Boeing Monthly</v>
          </cell>
        </row>
      </sheetData>
      <sheetData sheetId="16"/>
      <sheetData sheetId="17" refreshError="1"/>
      <sheetData sheetId="18">
        <row r="1">
          <cell r="A1" t="str">
            <v>Airbus Monthly</v>
          </cell>
        </row>
      </sheetData>
      <sheetData sheetId="19" refreshError="1"/>
      <sheetData sheetId="20" refreshError="1"/>
      <sheetData sheetId="21"/>
      <sheetData sheetId="22"/>
      <sheetData sheetId="23" refreshError="1"/>
      <sheetData sheetId="24">
        <row r="4">
          <cell r="C4" t="str">
            <v xml:space="preserve">BA Gross </v>
          </cell>
        </row>
      </sheetData>
      <sheetData sheetId="25"/>
      <sheetData sheetId="26" refreshError="1"/>
      <sheetData sheetId="27" refreshError="1"/>
      <sheetData sheetId="28" refreshError="1"/>
      <sheetData sheetId="29"/>
      <sheetData sheetId="30">
        <row r="3">
          <cell r="B3">
            <v>41639</v>
          </cell>
        </row>
      </sheetData>
      <sheetData sheetId="31">
        <row r="8">
          <cell r="B8" t="str">
            <v>Date</v>
          </cell>
        </row>
      </sheetData>
      <sheetData sheetId="32">
        <row r="1">
          <cell r="A1" t="str">
            <v>Stored Aircraft Summary</v>
          </cell>
        </row>
      </sheetData>
      <sheetData sheetId="33"/>
      <sheetData sheetId="34" refreshError="1"/>
      <sheetData sheetId="35">
        <row r="3">
          <cell r="V3" t="str">
            <v>TOTAL</v>
          </cell>
        </row>
      </sheetData>
      <sheetData sheetId="36" refreshError="1"/>
      <sheetData sheetId="37" refreshError="1"/>
      <sheetData sheetId="38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/>
      <sheetData sheetId="46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Ware_Cached"/>
      <sheetName val="Cons"/>
      <sheetName val="Variance"/>
      <sheetName val="Main"/>
      <sheetName val="Govt Systems"/>
      <sheetName val="Comm Networks"/>
      <sheetName val="Sat Services"/>
      <sheetName val="Valuation"/>
      <sheetName val="DCF"/>
      <sheetName val="SOTP"/>
      <sheetName val="__FDSCACHE__"/>
      <sheetName val="MW-Cache"/>
      <sheetName val="mStartup"/>
      <sheetName val="Scratch"/>
      <sheetName val="Output"/>
      <sheetName val="PR"/>
      <sheetName val="mwareDates"/>
      <sheetName val="MWA RR"/>
      <sheetName val="mwareSettings"/>
    </sheetNames>
    <sheetDataSet>
      <sheetData sheetId="0" refreshError="1"/>
      <sheetData sheetId="1" refreshError="1"/>
      <sheetData sheetId="2" refreshError="1">
        <row r="1">
          <cell r="A1" t="str">
            <v>ViaSat Inc.</v>
          </cell>
        </row>
        <row r="2">
          <cell r="A2" t="str">
            <v>Quarterly Analysis</v>
          </cell>
        </row>
        <row r="3">
          <cell r="A3" t="str">
            <v>Morgan Stanely Research</v>
          </cell>
        </row>
        <row r="4">
          <cell r="A4" t="str">
            <v>($ in Millions Except EPS)</v>
          </cell>
        </row>
        <row r="6">
          <cell r="D6" t="str">
            <v>offset value</v>
          </cell>
          <cell r="F6">
            <v>10</v>
          </cell>
          <cell r="I6">
            <v>6</v>
          </cell>
        </row>
        <row r="7">
          <cell r="D7" t="str">
            <v>Time Period</v>
          </cell>
          <cell r="F7" t="str">
            <v>2011-Q2</v>
          </cell>
          <cell r="I7" t="str">
            <v>2010-Q2</v>
          </cell>
        </row>
        <row r="9">
          <cell r="F9" t="str">
            <v>Actual</v>
          </cell>
          <cell r="G9" t="str">
            <v>Est.</v>
          </cell>
          <cell r="H9" t="str">
            <v>Cons.</v>
          </cell>
          <cell r="I9" t="str">
            <v>Actual</v>
          </cell>
          <cell r="J9" t="str">
            <v>Y/Y Variance</v>
          </cell>
          <cell r="L9" t="str">
            <v>A vs E Variance</v>
          </cell>
          <cell r="N9" t="str">
            <v>A vs C Variance</v>
          </cell>
        </row>
        <row r="10">
          <cell r="B10" t="str">
            <v>($USD in MM Ex EPS)</v>
          </cell>
          <cell r="F10" t="str">
            <v>2011-Q2</v>
          </cell>
          <cell r="G10" t="str">
            <v>2011-Q2E</v>
          </cell>
          <cell r="H10" t="str">
            <v>2011-Q2C</v>
          </cell>
          <cell r="I10" t="str">
            <v>2010-Q2</v>
          </cell>
          <cell r="J10" t="str">
            <v>Ch.</v>
          </cell>
          <cell r="K10" t="str">
            <v>%</v>
          </cell>
          <cell r="L10" t="str">
            <v>Ch.</v>
          </cell>
          <cell r="M10" t="str">
            <v>%</v>
          </cell>
          <cell r="N10" t="str">
            <v>Ch.</v>
          </cell>
          <cell r="O10" t="str">
            <v>%</v>
          </cell>
        </row>
        <row r="12">
          <cell r="B12" t="str">
            <v>Revenue</v>
          </cell>
        </row>
        <row r="13">
          <cell r="B13" t="e">
            <v>#REF!</v>
          </cell>
          <cell r="C13" t="str">
            <v>Government Systems</v>
          </cell>
          <cell r="F13">
            <v>94.936999999999998</v>
          </cell>
          <cell r="G13">
            <v>96.2</v>
          </cell>
          <cell r="I13">
            <v>102.798</v>
          </cell>
          <cell r="J13">
            <v>-7.8610000000000042</v>
          </cell>
          <cell r="K13">
            <v>-7.6470359345512606E-2</v>
          </cell>
          <cell r="L13">
            <v>-1.2630000000000052</v>
          </cell>
          <cell r="M13">
            <v>-1.312889812889817E-2</v>
          </cell>
        </row>
        <row r="14">
          <cell r="B14" t="e">
            <v>#REF!</v>
          </cell>
          <cell r="C14" t="str">
            <v>Commercial Networks</v>
          </cell>
          <cell r="F14">
            <v>44.311999999999998</v>
          </cell>
          <cell r="G14">
            <v>55.119</v>
          </cell>
          <cell r="I14">
            <v>54.37</v>
          </cell>
          <cell r="J14">
            <v>-10.058</v>
          </cell>
          <cell r="K14">
            <v>-0.1849917233768622</v>
          </cell>
          <cell r="L14">
            <v>-10.807000000000002</v>
          </cell>
          <cell r="M14">
            <v>-0.19606669206625671</v>
          </cell>
        </row>
        <row r="15">
          <cell r="C15" t="str">
            <v>Satellite Services</v>
          </cell>
          <cell r="F15">
            <v>58.64</v>
          </cell>
          <cell r="G15">
            <v>57.83783554288685</v>
          </cell>
          <cell r="I15">
            <v>3.4980000000000002</v>
          </cell>
          <cell r="J15">
            <v>55.142000000000003</v>
          </cell>
          <cell r="K15" t="str">
            <v xml:space="preserve">NM </v>
          </cell>
          <cell r="L15">
            <v>0.80216445711315032</v>
          </cell>
          <cell r="M15">
            <v>1.3869199107880537E-2</v>
          </cell>
        </row>
        <row r="16">
          <cell r="B16" t="str">
            <v>Total Revenue</v>
          </cell>
          <cell r="F16">
            <v>197.88900000000001</v>
          </cell>
          <cell r="G16">
            <v>209.15683554288688</v>
          </cell>
          <cell r="H16">
            <v>211.6343</v>
          </cell>
          <cell r="I16">
            <v>160.666</v>
          </cell>
          <cell r="J16">
            <v>37.223000000000013</v>
          </cell>
          <cell r="K16">
            <v>0.23167938456176174</v>
          </cell>
          <cell r="L16">
            <v>-11.267835542886871</v>
          </cell>
          <cell r="M16">
            <v>-5.3872662175444175E-2</v>
          </cell>
          <cell r="N16">
            <v>-13.745299999999986</v>
          </cell>
          <cell r="O16">
            <v>-6.4948356669972673E-2</v>
          </cell>
        </row>
        <row r="18">
          <cell r="B18" t="str">
            <v>Segment Profit</v>
          </cell>
        </row>
        <row r="19">
          <cell r="C19" t="str">
            <v>Government Systems</v>
          </cell>
          <cell r="F19">
            <v>12.808</v>
          </cell>
          <cell r="G19">
            <v>13.848000000000003</v>
          </cell>
          <cell r="I19">
            <v>14.259</v>
          </cell>
          <cell r="J19">
            <v>-1.4510000000000005</v>
          </cell>
          <cell r="K19">
            <v>-0.10176029174556422</v>
          </cell>
          <cell r="L19">
            <v>-1.0400000000000027</v>
          </cell>
          <cell r="M19">
            <v>-7.5101097631427138E-2</v>
          </cell>
        </row>
        <row r="20">
          <cell r="C20" t="str">
            <v>Commercial Networks</v>
          </cell>
          <cell r="F20">
            <v>-2.347</v>
          </cell>
          <cell r="G20">
            <v>-0.56400000000000006</v>
          </cell>
          <cell r="I20">
            <v>2.4500000000000002</v>
          </cell>
          <cell r="J20">
            <v>-4.7970000000000006</v>
          </cell>
          <cell r="K20" t="str">
            <v xml:space="preserve">NM </v>
          </cell>
          <cell r="L20">
            <v>-1.7829999999999999</v>
          </cell>
          <cell r="M20" t="str">
            <v xml:space="preserve">NM </v>
          </cell>
        </row>
        <row r="21">
          <cell r="C21" t="str">
            <v>Satellite Services</v>
          </cell>
          <cell r="F21">
            <v>7.7060000000000004</v>
          </cell>
          <cell r="G21">
            <v>10.725486537911769</v>
          </cell>
          <cell r="I21">
            <v>-3.335</v>
          </cell>
          <cell r="J21">
            <v>11.041</v>
          </cell>
          <cell r="K21" t="str">
            <v xml:space="preserve">NM </v>
          </cell>
          <cell r="L21">
            <v>-3.0194865379117681</v>
          </cell>
          <cell r="M21">
            <v>-0.28152443502107605</v>
          </cell>
        </row>
        <row r="22">
          <cell r="B22" t="str">
            <v>Total Segment Profit (EBITA)</v>
          </cell>
          <cell r="F22">
            <v>18.167000000000002</v>
          </cell>
          <cell r="G22">
            <v>24.009486537911769</v>
          </cell>
          <cell r="H22">
            <v>24.108149000000001</v>
          </cell>
          <cell r="I22">
            <v>13.373999999999999</v>
          </cell>
          <cell r="J22">
            <v>4.7930000000000028</v>
          </cell>
          <cell r="K22">
            <v>0.35838193509795158</v>
          </cell>
          <cell r="L22">
            <v>-5.8424865379117676</v>
          </cell>
          <cell r="M22">
            <v>-0.24334075319296355</v>
          </cell>
          <cell r="N22">
            <v>-5.9411489999999993</v>
          </cell>
          <cell r="O22">
            <v>-0.24643737683884392</v>
          </cell>
        </row>
        <row r="24">
          <cell r="C24" t="str">
            <v>Eliminations</v>
          </cell>
          <cell r="F24">
            <v>0</v>
          </cell>
          <cell r="G24">
            <v>0</v>
          </cell>
          <cell r="I24">
            <v>0</v>
          </cell>
        </row>
        <row r="25">
          <cell r="C25" t="str">
            <v>Corporate Expense</v>
          </cell>
          <cell r="F25">
            <v>0</v>
          </cell>
          <cell r="G25">
            <v>-5.0000000000000001E-4</v>
          </cell>
          <cell r="I25">
            <v>1.7000000000000001E-2</v>
          </cell>
        </row>
        <row r="26">
          <cell r="C26" t="str">
            <v>Amortization of Intangibles</v>
          </cell>
          <cell r="F26">
            <v>-5.0940000000000003</v>
          </cell>
          <cell r="G26">
            <v>-4.4517499999999997</v>
          </cell>
          <cell r="I26">
            <v>-1.3620000000000001</v>
          </cell>
        </row>
        <row r="27">
          <cell r="B27" t="str">
            <v>EBIT</v>
          </cell>
          <cell r="F27">
            <v>13.073</v>
          </cell>
          <cell r="G27">
            <v>19.55723653791177</v>
          </cell>
          <cell r="I27">
            <v>12.028999999999998</v>
          </cell>
          <cell r="J27">
            <v>1.0440000000000023</v>
          </cell>
          <cell r="K27">
            <v>7.9859251893215188E-2</v>
          </cell>
          <cell r="L27">
            <v>-6.4842365379117695</v>
          </cell>
          <cell r="M27">
            <v>-0.33155177753984078</v>
          </cell>
        </row>
        <row r="29">
          <cell r="B29" t="str">
            <v>Interest Income</v>
          </cell>
          <cell r="F29">
            <v>6.3E-2</v>
          </cell>
          <cell r="G29">
            <v>0.13900000000000001</v>
          </cell>
          <cell r="I29">
            <v>0.10100000000000001</v>
          </cell>
          <cell r="J29">
            <v>-3.8000000000000006E-2</v>
          </cell>
          <cell r="K29">
            <v>-0.37623762376237624</v>
          </cell>
          <cell r="L29">
            <v>-7.6000000000000012E-2</v>
          </cell>
          <cell r="M29">
            <v>-0.5467625899280576</v>
          </cell>
        </row>
        <row r="30">
          <cell r="B30" t="str">
            <v>Interest Expense</v>
          </cell>
          <cell r="F30">
            <v>-0.95</v>
          </cell>
          <cell r="G30">
            <v>-0.85610937499999995</v>
          </cell>
          <cell r="I30">
            <v>-0.23</v>
          </cell>
          <cell r="J30">
            <v>-0.72</v>
          </cell>
          <cell r="K30">
            <v>3.1304347826086953</v>
          </cell>
          <cell r="L30">
            <v>-9.3890625000000005E-2</v>
          </cell>
          <cell r="M30">
            <v>0.10967129638079243</v>
          </cell>
        </row>
        <row r="31">
          <cell r="B31" t="str">
            <v>Net Interest</v>
          </cell>
          <cell r="F31">
            <v>-0.88700000000000001</v>
          </cell>
          <cell r="G31">
            <v>-0.71710937499999994</v>
          </cell>
          <cell r="I31">
            <v>-0.129</v>
          </cell>
        </row>
        <row r="32">
          <cell r="B32" t="str">
            <v>Pre-Tax Income</v>
          </cell>
          <cell r="F32">
            <v>12.186000000000002</v>
          </cell>
          <cell r="G32">
            <v>18.84012716291177</v>
          </cell>
          <cell r="I32">
            <v>11.899999999999999</v>
          </cell>
          <cell r="J32">
            <v>0.28600000000000314</v>
          </cell>
          <cell r="K32">
            <v>2.4033613445378466E-2</v>
          </cell>
          <cell r="L32">
            <v>-6.6541271629117684</v>
          </cell>
          <cell r="M32">
            <v>-0.35318907910616049</v>
          </cell>
        </row>
        <row r="34">
          <cell r="B34" t="str">
            <v>Taxes</v>
          </cell>
          <cell r="F34">
            <v>-4.3849999999999998</v>
          </cell>
          <cell r="G34">
            <v>-6.9708470502773547</v>
          </cell>
          <cell r="I34">
            <v>-2.8079999999999998</v>
          </cell>
        </row>
        <row r="35">
          <cell r="B35" t="str">
            <v>Effective Tax Rate</v>
          </cell>
          <cell r="F35">
            <v>0.3598391596914492</v>
          </cell>
          <cell r="G35">
            <v>0.37</v>
          </cell>
          <cell r="I35">
            <v>0.23596638655462188</v>
          </cell>
        </row>
        <row r="37">
          <cell r="B37" t="str">
            <v>Non-controlling Interest</v>
          </cell>
          <cell r="F37">
            <v>-1.4999999999999999E-2</v>
          </cell>
          <cell r="G37">
            <v>7.4249999999999997E-2</v>
          </cell>
          <cell r="I37">
            <v>8.3000000000000004E-2</v>
          </cell>
        </row>
        <row r="38">
          <cell r="B38" t="str">
            <v>Discontinued Operations</v>
          </cell>
          <cell r="F38">
            <v>0</v>
          </cell>
          <cell r="G38">
            <v>0</v>
          </cell>
          <cell r="I38">
            <v>0</v>
          </cell>
        </row>
        <row r="39">
          <cell r="B39" t="str">
            <v>Net Income</v>
          </cell>
          <cell r="F39">
            <v>7.7860000000000023</v>
          </cell>
          <cell r="G39">
            <v>11.869280112634415</v>
          </cell>
          <cell r="H39">
            <v>11.674733</v>
          </cell>
          <cell r="I39">
            <v>9.1749999999999989</v>
          </cell>
          <cell r="J39">
            <v>-1.3889999999999967</v>
          </cell>
          <cell r="K39">
            <v>-0.15138964577656644</v>
          </cell>
          <cell r="L39">
            <v>-4.0832801126344132</v>
          </cell>
          <cell r="M39">
            <v>-0.34402087353957633</v>
          </cell>
          <cell r="N39">
            <v>-3.8887329999999976</v>
          </cell>
          <cell r="O39">
            <v>-0.33308967322850103</v>
          </cell>
        </row>
        <row r="41">
          <cell r="B41" t="str">
            <v>EPS, Cont. Ops</v>
          </cell>
          <cell r="F41">
            <v>0.18226935412131007</v>
          </cell>
          <cell r="G41">
            <v>0.28102423794433917</v>
          </cell>
          <cell r="I41">
            <v>0.27763488365055827</v>
          </cell>
          <cell r="J41">
            <v>-9.5365529529248205E-2</v>
          </cell>
          <cell r="K41">
            <v>-0.34349260537908077</v>
          </cell>
          <cell r="L41">
            <v>-9.8754883823029105E-2</v>
          </cell>
          <cell r="M41">
            <v>-0.35141055641822938</v>
          </cell>
        </row>
        <row r="42">
          <cell r="B42" t="str">
            <v>EPS, Non-recurring</v>
          </cell>
          <cell r="F42">
            <v>0</v>
          </cell>
          <cell r="G42">
            <v>0</v>
          </cell>
          <cell r="I42">
            <v>0</v>
          </cell>
        </row>
        <row r="43">
          <cell r="B43" t="str">
            <v>EPS, Reported</v>
          </cell>
          <cell r="F43">
            <v>0.18226935412131007</v>
          </cell>
          <cell r="G43">
            <v>0.28102423794433917</v>
          </cell>
          <cell r="I43">
            <v>0.27763488365055827</v>
          </cell>
          <cell r="J43">
            <v>-9.5365529529248205E-2</v>
          </cell>
          <cell r="K43">
            <v>-0.34349260537908077</v>
          </cell>
          <cell r="L43">
            <v>-9.8754883823029105E-2</v>
          </cell>
          <cell r="M43">
            <v>-0.35141055641822938</v>
          </cell>
        </row>
        <row r="45">
          <cell r="B45" t="str">
            <v>Shares Outstanding</v>
          </cell>
          <cell r="F45">
            <v>42.716999999999999</v>
          </cell>
          <cell r="G45">
            <v>42.5</v>
          </cell>
          <cell r="I45">
            <v>33.046999999999997</v>
          </cell>
        </row>
        <row r="47">
          <cell r="B47" t="str">
            <v>Segment Margins</v>
          </cell>
          <cell r="K47" t="str">
            <v>bps</v>
          </cell>
          <cell r="M47" t="str">
            <v>bps</v>
          </cell>
        </row>
        <row r="48">
          <cell r="C48" t="str">
            <v>Government Systems</v>
          </cell>
          <cell r="F48">
            <v>0.13491051960773986</v>
          </cell>
          <cell r="G48">
            <v>0.14395010395010396</v>
          </cell>
          <cell r="I48">
            <v>0.13870892429813811</v>
          </cell>
          <cell r="J48">
            <v>-3.7984046903982438E-3</v>
          </cell>
          <cell r="K48">
            <v>-37.984046903982438</v>
          </cell>
          <cell r="L48">
            <v>-9.0395843423640987E-3</v>
          </cell>
          <cell r="M48">
            <v>-90.395843423640983</v>
          </cell>
        </row>
        <row r="49">
          <cell r="C49" t="str">
            <v>Commercial Networks</v>
          </cell>
          <cell r="F49">
            <v>-5.2965336703376061E-2</v>
          </cell>
          <cell r="G49">
            <v>-1.0232406248299136E-2</v>
          </cell>
          <cell r="I49">
            <v>4.5061614861136662E-2</v>
          </cell>
          <cell r="J49">
            <v>-9.8026951564512715E-2</v>
          </cell>
          <cell r="K49">
            <v>-980.26951564512717</v>
          </cell>
          <cell r="L49">
            <v>-4.2732930455076923E-2</v>
          </cell>
          <cell r="M49">
            <v>-427.32930455076922</v>
          </cell>
        </row>
        <row r="50">
          <cell r="C50" t="str">
            <v>Satellite Services</v>
          </cell>
          <cell r="F50">
            <v>0.13141200545702592</v>
          </cell>
          <cell r="G50">
            <v>0.18544066245284718</v>
          </cell>
          <cell r="I50" t="str">
            <v xml:space="preserve">NM </v>
          </cell>
          <cell r="J50" t="str">
            <v xml:space="preserve">NM </v>
          </cell>
          <cell r="K50" t="str">
            <v xml:space="preserve">NM </v>
          </cell>
          <cell r="L50">
            <v>-5.4028656995821267E-2</v>
          </cell>
          <cell r="M50">
            <v>-540.28656995821268</v>
          </cell>
        </row>
        <row r="51">
          <cell r="B51" t="str">
            <v>Total Segment Margin</v>
          </cell>
          <cell r="F51">
            <v>9.1803991126338511E-2</v>
          </cell>
          <cell r="G51">
            <v>0.11479178519598852</v>
          </cell>
          <cell r="H51">
            <v>0.11391418593299858</v>
          </cell>
          <cell r="I51">
            <v>8.3241009298793758E-2</v>
          </cell>
          <cell r="J51">
            <v>8.5629818275447522E-3</v>
          </cell>
          <cell r="K51">
            <v>85.629818275447519</v>
          </cell>
          <cell r="L51">
            <v>-2.2987794069650014E-2</v>
          </cell>
          <cell r="M51">
            <v>-229.87794069650013</v>
          </cell>
        </row>
        <row r="52">
          <cell r="B52" t="str">
            <v>EBIT Margin</v>
          </cell>
          <cell r="F52">
            <v>6.6062287443971107E-2</v>
          </cell>
          <cell r="G52">
            <v>9.3505127322992154E-2</v>
          </cell>
          <cell r="I52">
            <v>7.486960526807164E-2</v>
          </cell>
          <cell r="J52">
            <v>-8.8073178241005329E-3</v>
          </cell>
          <cell r="K52">
            <v>-88.073178241005323</v>
          </cell>
          <cell r="L52">
            <v>-2.7442839879021047E-2</v>
          </cell>
          <cell r="M52">
            <v>-274.42839879021045</v>
          </cell>
        </row>
        <row r="54">
          <cell r="B54" t="str">
            <v>WildBlue Operating Statistics</v>
          </cell>
        </row>
        <row r="55">
          <cell r="B55" t="str">
            <v>Ending Subs</v>
          </cell>
          <cell r="F55">
            <v>416</v>
          </cell>
          <cell r="G55">
            <v>416.95</v>
          </cell>
          <cell r="I55">
            <v>405</v>
          </cell>
          <cell r="J55">
            <v>11</v>
          </cell>
          <cell r="K55">
            <v>2.716049382716057E-2</v>
          </cell>
          <cell r="L55">
            <v>-0.94999999999998863</v>
          </cell>
          <cell r="M55">
            <v>-2.278450653555586E-3</v>
          </cell>
          <cell r="S55">
            <v>29.46</v>
          </cell>
        </row>
        <row r="56">
          <cell r="B56" t="str">
            <v>Avg. Subs</v>
          </cell>
          <cell r="F56">
            <v>415.97500000000002</v>
          </cell>
          <cell r="G56">
            <v>415.97500000000002</v>
          </cell>
          <cell r="I56">
            <v>397.5</v>
          </cell>
          <cell r="J56">
            <v>18.475000000000023</v>
          </cell>
          <cell r="K56">
            <v>4.6477987421383649E-2</v>
          </cell>
          <cell r="L56">
            <v>0</v>
          </cell>
          <cell r="M56">
            <v>0</v>
          </cell>
          <cell r="S56">
            <v>28.4</v>
          </cell>
        </row>
        <row r="57">
          <cell r="B57" t="str">
            <v>ARPU</v>
          </cell>
          <cell r="F57">
            <v>42.904007687070013</v>
          </cell>
          <cell r="G57">
            <v>42.904007687070013</v>
          </cell>
          <cell r="I57">
            <v>41.820545102702191</v>
          </cell>
          <cell r="J57">
            <v>1.0834625843678225</v>
          </cell>
          <cell r="K57">
            <v>2.5907423772384419E-2</v>
          </cell>
          <cell r="L57">
            <v>0</v>
          </cell>
          <cell r="M57">
            <v>0</v>
          </cell>
          <cell r="S57">
            <v>1.0373239436619719</v>
          </cell>
        </row>
        <row r="59">
          <cell r="B59" t="str">
            <v>Adj. Net Income</v>
          </cell>
        </row>
        <row r="60">
          <cell r="B60" t="str">
            <v>GAAP Net Income</v>
          </cell>
          <cell r="F60">
            <v>7.7860000000000005</v>
          </cell>
          <cell r="G60">
            <v>11.943530112634415</v>
          </cell>
          <cell r="I60">
            <v>9.1749999999999989</v>
          </cell>
        </row>
        <row r="61">
          <cell r="B61" t="str">
            <v>Amortization of intangible assets</v>
          </cell>
          <cell r="F61">
            <v>5.0940000000000003</v>
          </cell>
          <cell r="G61">
            <v>4.4517499999999997</v>
          </cell>
          <cell r="I61">
            <v>1.3620000000000001</v>
          </cell>
        </row>
        <row r="62">
          <cell r="B62" t="str">
            <v>Stock-based compensation expense</v>
          </cell>
          <cell r="F62">
            <v>4.1460000000000008</v>
          </cell>
          <cell r="G62">
            <v>4.5</v>
          </cell>
          <cell r="I62">
            <v>2.5320000000000005</v>
          </cell>
        </row>
        <row r="63">
          <cell r="B63" t="str">
            <v>Acquisition related expenses</v>
          </cell>
          <cell r="F63">
            <v>0.19400000000000001</v>
          </cell>
          <cell r="G63">
            <v>0</v>
          </cell>
          <cell r="I63">
            <v>2.496</v>
          </cell>
        </row>
        <row r="64">
          <cell r="B64" t="str">
            <v>Income tax effect</v>
          </cell>
          <cell r="F64">
            <v>-3.5750000000000002</v>
          </cell>
          <cell r="G64">
            <v>-3.4016650000000004</v>
          </cell>
          <cell r="I64">
            <v>-2.42</v>
          </cell>
        </row>
        <row r="65">
          <cell r="B65" t="str">
            <v>Adj. Net Income</v>
          </cell>
          <cell r="F65">
            <v>13.645000000000003</v>
          </cell>
          <cell r="G65">
            <v>17.493615112634412</v>
          </cell>
          <cell r="I65">
            <v>13.145</v>
          </cell>
          <cell r="J65">
            <v>0.50000000000000355</v>
          </cell>
          <cell r="K65">
            <v>3.8037276531000641E-2</v>
          </cell>
          <cell r="L65">
            <v>-3.848615112634409</v>
          </cell>
          <cell r="M65">
            <v>-0.22000113114726205</v>
          </cell>
        </row>
        <row r="67">
          <cell r="B67" t="str">
            <v>Adj. EPS</v>
          </cell>
          <cell r="F67">
            <v>0.31942786244352372</v>
          </cell>
          <cell r="G67">
            <v>0.41161447323845674</v>
          </cell>
          <cell r="H67">
            <v>0.4</v>
          </cell>
          <cell r="I67">
            <v>0.39776681695766636</v>
          </cell>
          <cell r="J67">
            <v>-7.8338954514142634E-2</v>
          </cell>
          <cell r="K67">
            <v>-0.19694693266100205</v>
          </cell>
          <cell r="L67">
            <v>-9.218661079493301E-2</v>
          </cell>
          <cell r="M67">
            <v>-0.22396348230818264</v>
          </cell>
          <cell r="N67">
            <v>-8.0572137556476298E-2</v>
          </cell>
          <cell r="O67">
            <v>-0.20143034389119074</v>
          </cell>
        </row>
        <row r="68">
          <cell r="B68" t="str">
            <v>Check</v>
          </cell>
          <cell r="F68">
            <v>0.31942786244352372</v>
          </cell>
          <cell r="G68">
            <v>0.41161447323845674</v>
          </cell>
          <cell r="I68">
            <v>0.39776681695766636</v>
          </cell>
        </row>
        <row r="70">
          <cell r="B70" t="str">
            <v>Per Share:</v>
          </cell>
        </row>
        <row r="71">
          <cell r="B71" t="str">
            <v>GAAP EPS</v>
          </cell>
          <cell r="F71">
            <v>0.18226935412131004</v>
          </cell>
          <cell r="G71">
            <v>0.28102423794433917</v>
          </cell>
          <cell r="I71">
            <v>0.27763488365055827</v>
          </cell>
        </row>
        <row r="72">
          <cell r="B72" t="str">
            <v>Amortization of intangible assets</v>
          </cell>
          <cell r="F72">
            <v>7.4060360546253604E-2</v>
          </cell>
          <cell r="G72">
            <v>6.4943176470588226E-2</v>
          </cell>
          <cell r="I72">
            <v>2.5605585784707549E-2</v>
          </cell>
        </row>
        <row r="73">
          <cell r="B73" t="str">
            <v>Stock-based compensation expense</v>
          </cell>
          <cell r="F73">
            <v>6.0277631492887208E-2</v>
          </cell>
          <cell r="G73">
            <v>6.5647058823529419E-2</v>
          </cell>
          <cell r="I73">
            <v>4.760157357333298E-2</v>
          </cell>
        </row>
        <row r="74">
          <cell r="B74" t="str">
            <v>Acquisition related expenses</v>
          </cell>
          <cell r="F74">
            <v>2.8205162830728697E-3</v>
          </cell>
          <cell r="G74">
            <v>0</v>
          </cell>
          <cell r="I74">
            <v>4.6924773949067571E-2</v>
          </cell>
        </row>
        <row r="75">
          <cell r="B75" t="str">
            <v>Adj. EPS</v>
          </cell>
          <cell r="F75">
            <v>0.31942786244352378</v>
          </cell>
          <cell r="G75">
            <v>0.41161447323845679</v>
          </cell>
          <cell r="I75">
            <v>0.39776681695766641</v>
          </cell>
        </row>
        <row r="77">
          <cell r="B77" t="str">
            <v>Effective Tax Rate</v>
          </cell>
          <cell r="F77">
            <v>0.37894848420606309</v>
          </cell>
          <cell r="G77">
            <v>0.38</v>
          </cell>
          <cell r="I77">
            <v>0.37871674491392798</v>
          </cell>
        </row>
        <row r="79">
          <cell r="B79" t="str">
            <v>Adj. EBITDA</v>
          </cell>
        </row>
        <row r="80">
          <cell r="B80" t="str">
            <v>GAAP Net Income</v>
          </cell>
          <cell r="F80">
            <v>7.7860000000000005</v>
          </cell>
          <cell r="G80">
            <v>11.943530112634415</v>
          </cell>
          <cell r="I80">
            <v>9.1749999999999989</v>
          </cell>
        </row>
        <row r="81">
          <cell r="B81" t="str">
            <v>Provision for Income Taxes</v>
          </cell>
          <cell r="F81">
            <v>4.3849999999999998</v>
          </cell>
          <cell r="G81">
            <v>6.9708470502773547</v>
          </cell>
          <cell r="I81">
            <v>2.8079999999999998</v>
          </cell>
        </row>
        <row r="82">
          <cell r="B82" t="str">
            <v>Interest Expense (Income)</v>
          </cell>
          <cell r="F82">
            <v>0.88700000000000001</v>
          </cell>
          <cell r="G82">
            <v>0.71710937500000005</v>
          </cell>
          <cell r="I82">
            <v>0.129</v>
          </cell>
        </row>
        <row r="83">
          <cell r="B83" t="str">
            <v>Depreciation &amp; Amortization</v>
          </cell>
          <cell r="F83">
            <v>25.675999999999998</v>
          </cell>
          <cell r="G83">
            <v>24.860749999999999</v>
          </cell>
          <cell r="I83">
            <v>6.3769999999999998</v>
          </cell>
        </row>
        <row r="84">
          <cell r="B84" t="str">
            <v>Stock-based Compensation</v>
          </cell>
          <cell r="F84">
            <v>4.1460000000000008</v>
          </cell>
          <cell r="G84">
            <v>4.5</v>
          </cell>
          <cell r="I84">
            <v>2.5320000000000005</v>
          </cell>
        </row>
        <row r="85">
          <cell r="B85" t="str">
            <v>Acquisition related expenses</v>
          </cell>
          <cell r="F85">
            <v>0.19400000000000001</v>
          </cell>
          <cell r="G85">
            <v>0</v>
          </cell>
          <cell r="I85">
            <v>2.496</v>
          </cell>
        </row>
        <row r="86">
          <cell r="B86" t="str">
            <v>Adj. EBITDA</v>
          </cell>
          <cell r="F86">
            <v>43.073999999999998</v>
          </cell>
          <cell r="G86">
            <v>48.992236537911765</v>
          </cell>
          <cell r="H86">
            <v>43.197983000000001</v>
          </cell>
          <cell r="I86">
            <v>23.516999999999996</v>
          </cell>
          <cell r="J86">
            <v>19.557000000000002</v>
          </cell>
          <cell r="K86">
            <v>0.83161117489475722</v>
          </cell>
          <cell r="L86">
            <v>-5.918236537911767</v>
          </cell>
          <cell r="M86">
            <v>-0.12079947673611602</v>
          </cell>
          <cell r="N86">
            <v>-0.12398300000000262</v>
          </cell>
          <cell r="O86">
            <v>-2.8701108567963374E-3</v>
          </cell>
        </row>
        <row r="87">
          <cell r="C87" t="str">
            <v>% Margin</v>
          </cell>
          <cell r="F87">
            <v>0.21766748025408181</v>
          </cell>
          <cell r="G87">
            <v>0.23423684151057103</v>
          </cell>
          <cell r="H87">
            <v>0.20411617114995065</v>
          </cell>
          <cell r="I87">
            <v>0.14637197664720597</v>
          </cell>
        </row>
        <row r="92">
          <cell r="F92">
            <v>251.7</v>
          </cell>
        </row>
        <row r="93">
          <cell r="F93">
            <v>1.2719251701711565</v>
          </cell>
        </row>
        <row r="96">
          <cell r="F96">
            <v>0.18226935412131004</v>
          </cell>
          <cell r="I96">
            <v>0.27763488365055827</v>
          </cell>
        </row>
        <row r="97">
          <cell r="F97">
            <v>0.18226935412131004</v>
          </cell>
          <cell r="I97">
            <v>0.27763488365055827</v>
          </cell>
        </row>
        <row r="98">
          <cell r="B98" t="str">
            <v>Check</v>
          </cell>
        </row>
        <row r="99">
          <cell r="C99" t="str">
            <v>EPS Cont Ops</v>
          </cell>
          <cell r="F99" t="b">
            <v>1</v>
          </cell>
          <cell r="I99" t="b">
            <v>1</v>
          </cell>
        </row>
        <row r="100">
          <cell r="C100" t="str">
            <v>ESP Reported</v>
          </cell>
          <cell r="F100" t="b">
            <v>1</v>
          </cell>
          <cell r="I100" t="b">
            <v>1</v>
          </cell>
        </row>
      </sheetData>
      <sheetData sheetId="3" refreshError="1"/>
      <sheetData sheetId="4" refreshError="1">
        <row r="1">
          <cell r="A1" t="str">
            <v>ViaSat Inc.</v>
          </cell>
        </row>
        <row r="2">
          <cell r="A2" t="str">
            <v>Government Systems Segment Model</v>
          </cell>
        </row>
        <row r="3">
          <cell r="A3" t="str">
            <v>Morgan Stanley Research</v>
          </cell>
        </row>
        <row r="4">
          <cell r="A4" t="str">
            <v>($ in Millions Except EPS)</v>
          </cell>
        </row>
        <row r="5">
          <cell r="A5" t="str">
            <v>Fisacl Year Ends March 31</v>
          </cell>
        </row>
        <row r="6">
          <cell r="AA6" t="str">
            <v>2010A</v>
          </cell>
          <cell r="AE6" t="str">
            <v>2011E</v>
          </cell>
        </row>
        <row r="8">
          <cell r="AA8" t="str">
            <v>Q1A</v>
          </cell>
          <cell r="AB8" t="str">
            <v>Q2A</v>
          </cell>
          <cell r="AC8" t="str">
            <v>Q3A</v>
          </cell>
          <cell r="AD8" t="str">
            <v>Q4A</v>
          </cell>
          <cell r="AE8" t="str">
            <v>Q1A</v>
          </cell>
          <cell r="AF8" t="str">
            <v>Q2E</v>
          </cell>
          <cell r="AG8" t="str">
            <v>Q3E</v>
          </cell>
          <cell r="AH8" t="str">
            <v>Q4E</v>
          </cell>
        </row>
        <row r="9">
          <cell r="J9">
            <v>2001</v>
          </cell>
          <cell r="K9">
            <v>2002</v>
          </cell>
          <cell r="L9">
            <v>2003</v>
          </cell>
          <cell r="M9">
            <v>2004</v>
          </cell>
          <cell r="N9">
            <v>2005</v>
          </cell>
          <cell r="O9">
            <v>2006</v>
          </cell>
          <cell r="P9">
            <v>2007</v>
          </cell>
          <cell r="Q9">
            <v>2008</v>
          </cell>
          <cell r="R9">
            <v>2009</v>
          </cell>
          <cell r="S9" t="str">
            <v xml:space="preserve">2010A </v>
          </cell>
          <cell r="T9" t="str">
            <v xml:space="preserve">2011E </v>
          </cell>
          <cell r="U9" t="str">
            <v xml:space="preserve">2012E </v>
          </cell>
          <cell r="V9" t="str">
            <v xml:space="preserve">2013E </v>
          </cell>
          <cell r="W9" t="str">
            <v xml:space="preserve">2014E </v>
          </cell>
          <cell r="X9" t="str">
            <v xml:space="preserve">2015E </v>
          </cell>
          <cell r="Y9" t="str">
            <v xml:space="preserve">2016E </v>
          </cell>
          <cell r="AA9" t="str">
            <v>June</v>
          </cell>
          <cell r="AB9" t="str">
            <v>Sept</v>
          </cell>
          <cell r="AC9" t="str">
            <v>Dec</v>
          </cell>
          <cell r="AD9" t="str">
            <v>Mar</v>
          </cell>
          <cell r="AE9" t="str">
            <v>June</v>
          </cell>
          <cell r="AF9" t="str">
            <v>Sept</v>
          </cell>
          <cell r="AG9" t="str">
            <v>Dec</v>
          </cell>
          <cell r="AH9" t="str">
            <v>Mar</v>
          </cell>
        </row>
        <row r="10">
          <cell r="B10" t="str">
            <v>Summary Financials</v>
          </cell>
        </row>
        <row r="12">
          <cell r="C12" t="str">
            <v>Government Systems Revenue</v>
          </cell>
          <cell r="J12">
            <v>62.41</v>
          </cell>
          <cell r="K12">
            <v>62.738</v>
          </cell>
          <cell r="L12">
            <v>82.328000000000003</v>
          </cell>
          <cell r="M12">
            <v>128.351</v>
          </cell>
          <cell r="N12">
            <v>175.44200000000001</v>
          </cell>
          <cell r="O12">
            <v>210.64</v>
          </cell>
          <cell r="P12">
            <v>278.35199999999998</v>
          </cell>
          <cell r="Q12">
            <v>319.53800000000001</v>
          </cell>
          <cell r="R12">
            <v>388.65600000000001</v>
          </cell>
          <cell r="S12">
            <v>385.15100000000001</v>
          </cell>
          <cell r="T12">
            <v>392.745</v>
          </cell>
          <cell r="U12">
            <v>426.54300000000001</v>
          </cell>
          <cell r="V12">
            <v>463.31828999999999</v>
          </cell>
          <cell r="W12">
            <v>491.7984012</v>
          </cell>
          <cell r="X12">
            <v>511.13481573600006</v>
          </cell>
          <cell r="Y12">
            <v>531.28044583308019</v>
          </cell>
          <cell r="AA12">
            <v>92.576999999999998</v>
          </cell>
          <cell r="AB12">
            <v>102.798</v>
          </cell>
          <cell r="AC12">
            <v>89.078000000000003</v>
          </cell>
          <cell r="AD12">
            <v>100.69799999999999</v>
          </cell>
          <cell r="AE12">
            <v>88.844999999999999</v>
          </cell>
          <cell r="AF12">
            <v>96.2</v>
          </cell>
          <cell r="AG12">
            <v>100.2</v>
          </cell>
          <cell r="AH12">
            <v>107.5</v>
          </cell>
        </row>
        <row r="13">
          <cell r="D13" t="str">
            <v>Y/Y Growth</v>
          </cell>
          <cell r="J13" t="str">
            <v xml:space="preserve">NA </v>
          </cell>
          <cell r="K13">
            <v>5.2555680179457998E-3</v>
          </cell>
          <cell r="L13">
            <v>0.31225094838853651</v>
          </cell>
          <cell r="M13">
            <v>0.5590200174910116</v>
          </cell>
          <cell r="N13">
            <v>0.36689234988430175</v>
          </cell>
          <cell r="O13">
            <v>0.20062470788066689</v>
          </cell>
          <cell r="P13">
            <v>0.32145841245727302</v>
          </cell>
          <cell r="Q13">
            <v>0.14796372937862867</v>
          </cell>
          <cell r="R13">
            <v>0.21630604184791791</v>
          </cell>
          <cell r="S13">
            <v>-9.018257790951334E-3</v>
          </cell>
          <cell r="T13">
            <v>1.9716942186311259E-2</v>
          </cell>
          <cell r="U13">
            <v>8.6055837757323506E-2</v>
          </cell>
          <cell r="V13">
            <v>8.6217075417953204E-2</v>
          </cell>
          <cell r="W13">
            <v>6.1469861679753768E-2</v>
          </cell>
          <cell r="X13">
            <v>3.9317766159504997E-2</v>
          </cell>
          <cell r="Y13">
            <v>3.941353528828162E-2</v>
          </cell>
          <cell r="AE13">
            <v>-4.0312388606241312E-2</v>
          </cell>
          <cell r="AF13">
            <v>8.2784624908548654E-2</v>
          </cell>
          <cell r="AG13">
            <v>4.1580041580041582E-2</v>
          </cell>
          <cell r="AH13">
            <v>7.2854291417165706E-2</v>
          </cell>
        </row>
        <row r="15">
          <cell r="C15" t="str">
            <v>Government Systems Operating Profit</v>
          </cell>
          <cell r="J15">
            <v>9.2780000000000005</v>
          </cell>
          <cell r="K15">
            <v>8.4849999999999994</v>
          </cell>
          <cell r="L15">
            <v>11.613</v>
          </cell>
          <cell r="M15">
            <v>15.19</v>
          </cell>
          <cell r="N15">
            <v>28.06</v>
          </cell>
          <cell r="O15">
            <v>41.908000000000001</v>
          </cell>
          <cell r="P15">
            <v>42.795000000000002</v>
          </cell>
          <cell r="Q15">
            <v>45.792999999999999</v>
          </cell>
          <cell r="R15">
            <v>57.018999999999998</v>
          </cell>
          <cell r="S15">
            <v>55.72</v>
          </cell>
          <cell r="T15">
            <v>45.444000000000003</v>
          </cell>
          <cell r="U15">
            <v>61.848735000000005</v>
          </cell>
          <cell r="V15">
            <v>66.022856324999992</v>
          </cell>
          <cell r="W15">
            <v>68.851776167999986</v>
          </cell>
          <cell r="X15">
            <v>70.281037163700006</v>
          </cell>
          <cell r="Y15">
            <v>71.722860187465798</v>
          </cell>
          <cell r="AA15">
            <v>12.143000000000001</v>
          </cell>
          <cell r="AB15">
            <v>14.259</v>
          </cell>
          <cell r="AC15">
            <v>10.78</v>
          </cell>
          <cell r="AD15">
            <v>18.538</v>
          </cell>
          <cell r="AE15">
            <v>1.6579999999999999</v>
          </cell>
          <cell r="AF15">
            <v>13.848000000000003</v>
          </cell>
          <cell r="AG15">
            <v>14.448</v>
          </cell>
          <cell r="AH15">
            <v>15.470000000000002</v>
          </cell>
        </row>
        <row r="16">
          <cell r="D16" t="str">
            <v>% Margin</v>
          </cell>
          <cell r="J16">
            <v>0.14866207338567539</v>
          </cell>
          <cell r="K16">
            <v>0.13524498708916446</v>
          </cell>
          <cell r="L16">
            <v>0.14105772033815955</v>
          </cell>
          <cell r="M16">
            <v>0.11834734439155128</v>
          </cell>
          <cell r="N16">
            <v>0.15993889718539459</v>
          </cell>
          <cell r="O16">
            <v>0.19895556399544248</v>
          </cell>
          <cell r="P16">
            <v>0.15374418003103985</v>
          </cell>
          <cell r="Q16">
            <v>0.14331002885415819</v>
          </cell>
          <cell r="R16">
            <v>0.1467081429335968</v>
          </cell>
          <cell r="S16">
            <v>0.14467053181739109</v>
          </cell>
          <cell r="T16">
            <v>0.11570866592827407</v>
          </cell>
          <cell r="U16">
            <v>0.14500000000000002</v>
          </cell>
          <cell r="V16">
            <v>0.14249999999999999</v>
          </cell>
          <cell r="W16">
            <v>0.13999999999999999</v>
          </cell>
          <cell r="X16">
            <v>0.13749999999999998</v>
          </cell>
          <cell r="Y16">
            <v>0.13499999999999995</v>
          </cell>
          <cell r="AA16">
            <v>0.13116648843665274</v>
          </cell>
          <cell r="AB16">
            <v>0.13870892429813811</v>
          </cell>
          <cell r="AC16">
            <v>0.12101753519387502</v>
          </cell>
          <cell r="AD16">
            <v>0.18409501678285567</v>
          </cell>
          <cell r="AE16">
            <v>1.8661714221396813E-2</v>
          </cell>
          <cell r="AF16">
            <v>0.14395010395010396</v>
          </cell>
          <cell r="AG16">
            <v>0.14419161676646708</v>
          </cell>
          <cell r="AH16">
            <v>0.14390697674418607</v>
          </cell>
        </row>
        <row r="18">
          <cell r="C18" t="str">
            <v>Total ViaSat Revenue</v>
          </cell>
          <cell r="J18">
            <v>164.35199999999998</v>
          </cell>
          <cell r="K18">
            <v>195.62799999999999</v>
          </cell>
          <cell r="L18">
            <v>185.02199999999999</v>
          </cell>
          <cell r="M18">
            <v>278.57900000000001</v>
          </cell>
          <cell r="N18">
            <v>345.93900000000002</v>
          </cell>
          <cell r="O18">
            <v>433.82299999999998</v>
          </cell>
          <cell r="P18">
            <v>516.56600000000003</v>
          </cell>
          <cell r="Q18">
            <v>574.65000000000009</v>
          </cell>
          <cell r="R18">
            <v>628.17900000000009</v>
          </cell>
          <cell r="S18">
            <v>688.07999999999993</v>
          </cell>
          <cell r="T18">
            <v>852.40589391387971</v>
          </cell>
          <cell r="U18">
            <v>1008.3384950443954</v>
          </cell>
          <cell r="V18">
            <v>1151.0503551268525</v>
          </cell>
          <cell r="W18">
            <v>1290.9946941740877</v>
          </cell>
          <cell r="X18">
            <v>1393.2006559624019</v>
          </cell>
          <cell r="Y18">
            <v>1482.2260108628577</v>
          </cell>
          <cell r="AA18">
            <v>158.40799999999999</v>
          </cell>
          <cell r="AB18">
            <v>160.666</v>
          </cell>
          <cell r="AC18">
            <v>156.36399999999998</v>
          </cell>
          <cell r="AD18">
            <v>212.642</v>
          </cell>
          <cell r="AE18">
            <v>192.00399999999999</v>
          </cell>
          <cell r="AF18">
            <v>197.88900000000001</v>
          </cell>
          <cell r="AG18">
            <v>218.72049419065155</v>
          </cell>
          <cell r="AH18">
            <v>243.79239972322819</v>
          </cell>
        </row>
        <row r="19">
          <cell r="D19" t="str">
            <v>Government Systems % Total</v>
          </cell>
          <cell r="J19">
            <v>0.37973374221183803</v>
          </cell>
          <cell r="K19">
            <v>0.32070051321896664</v>
          </cell>
          <cell r="L19">
            <v>0.44496330166142406</v>
          </cell>
          <cell r="M19">
            <v>0.46073465695547761</v>
          </cell>
          <cell r="N19">
            <v>0.50714721381515238</v>
          </cell>
          <cell r="O19">
            <v>0.4855436433752936</v>
          </cell>
          <cell r="P19">
            <v>0.53885079544530601</v>
          </cell>
          <cell r="Q19">
            <v>0.55605673018358992</v>
          </cell>
          <cell r="R19">
            <v>0.61870263093799693</v>
          </cell>
          <cell r="S19">
            <v>0.55974741309150111</v>
          </cell>
          <cell r="T19">
            <v>0.46074880852440447</v>
          </cell>
          <cell r="U19">
            <v>0.42301568580025312</v>
          </cell>
          <cell r="V19">
            <v>0.40251782898667327</v>
          </cell>
          <cell r="W19">
            <v>0.38094533108412765</v>
          </cell>
          <cell r="X19">
            <v>0.36687810441986612</v>
          </cell>
          <cell r="Y19">
            <v>0.35843416721840043</v>
          </cell>
          <cell r="AA19">
            <v>0.58442124135144691</v>
          </cell>
          <cell r="AB19">
            <v>0.63982423163581592</v>
          </cell>
          <cell r="AC19">
            <v>0.56968355887544453</v>
          </cell>
          <cell r="AD19">
            <v>0.47355649401341221</v>
          </cell>
          <cell r="AE19">
            <v>0.46272473490135624</v>
          </cell>
          <cell r="AF19">
            <v>0.48613111390729147</v>
          </cell>
          <cell r="AG19">
            <v>0.45811893563416567</v>
          </cell>
          <cell r="AH19">
            <v>0.44094893902370313</v>
          </cell>
        </row>
        <row r="22">
          <cell r="B22" t="str">
            <v>Revenue Build</v>
          </cell>
        </row>
        <row r="24">
          <cell r="C24" t="str">
            <v>Tactical Data Links (MIDS / MIDS-JTRS)</v>
          </cell>
          <cell r="J24">
            <v>28</v>
          </cell>
          <cell r="K24">
            <v>30</v>
          </cell>
          <cell r="L24">
            <v>33.303959999999996</v>
          </cell>
          <cell r="M24">
            <v>41.786850000000001</v>
          </cell>
          <cell r="N24">
            <v>76.106580000000008</v>
          </cell>
          <cell r="O24">
            <v>104.11751999999998</v>
          </cell>
          <cell r="P24">
            <v>118.81018000000002</v>
          </cell>
          <cell r="Q24">
            <v>137.91600000000003</v>
          </cell>
          <cell r="R24">
            <v>131.91759000000002</v>
          </cell>
          <cell r="S24">
            <v>127.98287999999998</v>
          </cell>
          <cell r="T24">
            <v>112</v>
          </cell>
          <cell r="U24">
            <v>112</v>
          </cell>
          <cell r="V24">
            <v>115.36</v>
          </cell>
          <cell r="W24">
            <v>118.82080000000001</v>
          </cell>
          <cell r="X24">
            <v>122.38542400000001</v>
          </cell>
          <cell r="Y24">
            <v>126.05698672000001</v>
          </cell>
          <cell r="AA24">
            <v>29.6</v>
          </cell>
          <cell r="AB24">
            <v>31.995719999999995</v>
          </cell>
          <cell r="AC24">
            <v>31.995719999999995</v>
          </cell>
          <cell r="AD24">
            <v>34.391439999999989</v>
          </cell>
          <cell r="AE24">
            <v>26</v>
          </cell>
          <cell r="AF24">
            <v>28</v>
          </cell>
          <cell r="AG24">
            <v>28</v>
          </cell>
          <cell r="AH24">
            <v>30</v>
          </cell>
        </row>
        <row r="25">
          <cell r="D25" t="str">
            <v>Y/Y Chg.</v>
          </cell>
          <cell r="K25">
            <v>7.1428571428571397E-2</v>
          </cell>
          <cell r="L25">
            <v>0.1101319999999999</v>
          </cell>
          <cell r="M25">
            <v>0.25471115146667267</v>
          </cell>
          <cell r="N25">
            <v>0.82130454915840767</v>
          </cell>
          <cell r="O25">
            <v>0.36804885990146952</v>
          </cell>
          <cell r="P25">
            <v>0.14111611571232241</v>
          </cell>
          <cell r="Q25">
            <v>0.16080962085908812</v>
          </cell>
          <cell r="R25">
            <v>-4.3493213260245356E-2</v>
          </cell>
          <cell r="S25">
            <v>-2.9827030648452824E-2</v>
          </cell>
          <cell r="T25">
            <v>-0.12488295309497632</v>
          </cell>
          <cell r="U25">
            <v>0</v>
          </cell>
          <cell r="V25">
            <v>0.03</v>
          </cell>
          <cell r="W25">
            <v>0.03</v>
          </cell>
          <cell r="X25">
            <v>0.03</v>
          </cell>
          <cell r="Y25">
            <v>0.03</v>
          </cell>
          <cell r="AE25">
            <v>-0.12162162162162171</v>
          </cell>
          <cell r="AF25">
            <v>-0.12488295309497632</v>
          </cell>
          <cell r="AG25">
            <v>-0.12488295309497632</v>
          </cell>
          <cell r="AH25">
            <v>-0.12768991353662396</v>
          </cell>
        </row>
        <row r="26">
          <cell r="D26" t="str">
            <v>% Government Systems Revenue</v>
          </cell>
          <cell r="J26">
            <v>0.44864605031244997</v>
          </cell>
          <cell r="K26">
            <v>0.47817909401000991</v>
          </cell>
          <cell r="L26">
            <v>0.40452774268778541</v>
          </cell>
          <cell r="M26">
            <v>0.32556699986755072</v>
          </cell>
          <cell r="N26">
            <v>0.43379909029764824</v>
          </cell>
          <cell r="O26">
            <v>0.49429130269654381</v>
          </cell>
          <cell r="P26">
            <v>0.42683429614301327</v>
          </cell>
          <cell r="Q26">
            <v>0.43161063785840814</v>
          </cell>
          <cell r="R26">
            <v>0.33941992404594296</v>
          </cell>
          <cell r="S26">
            <v>0.33229273713426671</v>
          </cell>
          <cell r="T26">
            <v>0.28517231282384242</v>
          </cell>
          <cell r="U26">
            <v>0.26257610604323595</v>
          </cell>
          <cell r="V26">
            <v>0.24898650126676417</v>
          </cell>
          <cell r="W26">
            <v>0.24160468946233737</v>
          </cell>
          <cell r="X26">
            <v>0.23943863777655836</v>
          </cell>
          <cell r="Y26">
            <v>0.2372701418030452</v>
          </cell>
          <cell r="AA26">
            <v>0.3197338431791914</v>
          </cell>
          <cell r="AB26">
            <v>0.31124846786902466</v>
          </cell>
          <cell r="AC26">
            <v>0.35918767821459835</v>
          </cell>
          <cell r="AD26">
            <v>0.34153051699139991</v>
          </cell>
          <cell r="AE26">
            <v>0.29264449321852665</v>
          </cell>
          <cell r="AF26">
            <v>0.29106029106029108</v>
          </cell>
          <cell r="AG26">
            <v>0.27944111776447106</v>
          </cell>
          <cell r="AH26">
            <v>0.27906976744186046</v>
          </cell>
        </row>
        <row r="27">
          <cell r="D27" t="str">
            <v>TDL % Total Revenue</v>
          </cell>
          <cell r="J27">
            <v>0.17036604361370719</v>
          </cell>
          <cell r="K27">
            <v>0.15335228085959066</v>
          </cell>
          <cell r="L27">
            <v>0.18</v>
          </cell>
          <cell r="M27">
            <v>0.15</v>
          </cell>
          <cell r="N27">
            <v>0.22</v>
          </cell>
          <cell r="O27">
            <v>0.24</v>
          </cell>
          <cell r="P27">
            <v>0.23</v>
          </cell>
          <cell r="Q27">
            <v>0.24</v>
          </cell>
          <cell r="R27">
            <v>0.21</v>
          </cell>
          <cell r="S27">
            <v>0.186</v>
          </cell>
          <cell r="T27">
            <v>0.13139280335773415</v>
          </cell>
          <cell r="U27">
            <v>0.11107381157263944</v>
          </cell>
          <cell r="V27">
            <v>0.10022150593688549</v>
          </cell>
          <cell r="W27">
            <v>9.2038178418707955E-2</v>
          </cell>
          <cell r="X27">
            <v>8.7844793552338679E-2</v>
          </cell>
          <cell r="Y27">
            <v>8.5045725682966297E-2</v>
          </cell>
          <cell r="AA27">
            <v>0.18685924953285191</v>
          </cell>
          <cell r="AB27">
            <v>0.19914431180212364</v>
          </cell>
          <cell r="AC27">
            <v>0.20462331482950039</v>
          </cell>
          <cell r="AD27">
            <v>0.16173399422503545</v>
          </cell>
          <cell r="AE27">
            <v>0.13541384554488448</v>
          </cell>
          <cell r="AF27">
            <v>0.14149346350731976</v>
          </cell>
          <cell r="AG27">
            <v>0.12801726744268102</v>
          </cell>
          <cell r="AH27">
            <v>0.12305551786707994</v>
          </cell>
        </row>
        <row r="29">
          <cell r="C29" t="str">
            <v>Video Data Links (UAVs)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9.1</v>
          </cell>
          <cell r="Q29">
            <v>13.2</v>
          </cell>
          <cell r="R29">
            <v>19.2</v>
          </cell>
          <cell r="S29">
            <v>20.5</v>
          </cell>
          <cell r="T29">
            <v>20.6</v>
          </cell>
          <cell r="U29">
            <v>21.218000000000004</v>
          </cell>
          <cell r="V29">
            <v>21.854540000000004</v>
          </cell>
          <cell r="W29">
            <v>22.510176200000004</v>
          </cell>
          <cell r="X29">
            <v>23.185481486000004</v>
          </cell>
          <cell r="Y29">
            <v>23.881045930580004</v>
          </cell>
          <cell r="AA29">
            <v>4.7</v>
          </cell>
          <cell r="AB29">
            <v>5.125</v>
          </cell>
          <cell r="AC29">
            <v>5.125</v>
          </cell>
          <cell r="AD29">
            <v>5.5500000000000007</v>
          </cell>
          <cell r="AE29">
            <v>4.7</v>
          </cell>
          <cell r="AF29">
            <v>5.2</v>
          </cell>
          <cell r="AG29">
            <v>5.2</v>
          </cell>
          <cell r="AH29">
            <v>5.5</v>
          </cell>
        </row>
        <row r="30">
          <cell r="D30" t="str">
            <v>Y/Y Chg.</v>
          </cell>
          <cell r="O30" t="str">
            <v xml:space="preserve">NM </v>
          </cell>
          <cell r="P30" t="str">
            <v xml:space="preserve">NM </v>
          </cell>
          <cell r="Q30">
            <v>0.4505494505494505</v>
          </cell>
          <cell r="R30">
            <v>0.45454545454545459</v>
          </cell>
          <cell r="S30">
            <v>6.7708333333333481E-2</v>
          </cell>
          <cell r="T30">
            <v>4.8780487804878092E-3</v>
          </cell>
          <cell r="U30">
            <v>0.03</v>
          </cell>
          <cell r="V30">
            <v>0.03</v>
          </cell>
          <cell r="W30">
            <v>0.03</v>
          </cell>
          <cell r="X30">
            <v>0.03</v>
          </cell>
          <cell r="Y30">
            <v>0.03</v>
          </cell>
          <cell r="AE30">
            <v>0</v>
          </cell>
          <cell r="AF30">
            <v>1.4634146341463428E-2</v>
          </cell>
          <cell r="AG30">
            <v>1.4634146341463428E-2</v>
          </cell>
          <cell r="AH30">
            <v>-9.009009009009139E-3</v>
          </cell>
        </row>
        <row r="31">
          <cell r="D31" t="str">
            <v>% Government Systems Revenue</v>
          </cell>
          <cell r="O31">
            <v>0</v>
          </cell>
          <cell r="P31">
            <v>3.2692418233028687E-2</v>
          </cell>
          <cell r="Q31">
            <v>4.1309640793896187E-2</v>
          </cell>
          <cell r="R31">
            <v>4.9401012720760765E-2</v>
          </cell>
          <cell r="S31">
            <v>5.3225877642794635E-2</v>
          </cell>
          <cell r="T31">
            <v>5.2451336108671025E-2</v>
          </cell>
          <cell r="U31">
            <v>4.9744105518083767E-2</v>
          </cell>
          <cell r="V31">
            <v>4.7169603427483955E-2</v>
          </cell>
          <cell r="W31">
            <v>4.5771145544748884E-2</v>
          </cell>
          <cell r="X31">
            <v>4.5360794788776922E-2</v>
          </cell>
          <cell r="Y31">
            <v>4.4949980971223338E-2</v>
          </cell>
          <cell r="AA31">
            <v>5.0768549423722956E-2</v>
          </cell>
          <cell r="AB31">
            <v>4.9855055545827739E-2</v>
          </cell>
          <cell r="AC31">
            <v>5.7533846741058395E-2</v>
          </cell>
          <cell r="AD31">
            <v>5.5115295239230179E-2</v>
          </cell>
          <cell r="AE31">
            <v>5.2901119927964438E-2</v>
          </cell>
          <cell r="AF31">
            <v>5.4054054054054057E-2</v>
          </cell>
          <cell r="AG31">
            <v>5.1896207584830337E-2</v>
          </cell>
          <cell r="AH31">
            <v>5.1162790697674418E-2</v>
          </cell>
        </row>
        <row r="33">
          <cell r="C33" t="str">
            <v>Total Data Links</v>
          </cell>
          <cell r="J33">
            <v>28</v>
          </cell>
          <cell r="K33">
            <v>30</v>
          </cell>
          <cell r="L33">
            <v>33.303959999999996</v>
          </cell>
          <cell r="M33">
            <v>41.786850000000001</v>
          </cell>
          <cell r="N33">
            <v>76.106580000000008</v>
          </cell>
          <cell r="O33">
            <v>104.11751999999998</v>
          </cell>
          <cell r="P33">
            <v>127.91018000000001</v>
          </cell>
          <cell r="Q33">
            <v>151.11600000000001</v>
          </cell>
          <cell r="R33">
            <v>151.11759000000001</v>
          </cell>
          <cell r="S33">
            <v>148.48287999999997</v>
          </cell>
          <cell r="T33">
            <v>132.6</v>
          </cell>
          <cell r="U33">
            <v>133.21800000000002</v>
          </cell>
          <cell r="V33">
            <v>137.21454</v>
          </cell>
          <cell r="W33">
            <v>141.33097620000001</v>
          </cell>
          <cell r="X33">
            <v>145.57090548600002</v>
          </cell>
          <cell r="Y33">
            <v>149.93803265058003</v>
          </cell>
          <cell r="AA33">
            <v>34.300000000000004</v>
          </cell>
          <cell r="AB33">
            <v>37.120719999999992</v>
          </cell>
          <cell r="AC33">
            <v>37.120719999999992</v>
          </cell>
          <cell r="AD33">
            <v>39.941439999999986</v>
          </cell>
          <cell r="AE33">
            <v>30.7</v>
          </cell>
          <cell r="AF33">
            <v>33.200000000000003</v>
          </cell>
          <cell r="AG33">
            <v>33.200000000000003</v>
          </cell>
          <cell r="AH33">
            <v>35.5</v>
          </cell>
        </row>
        <row r="34">
          <cell r="D34" t="str">
            <v>Y/Y Chg.</v>
          </cell>
          <cell r="P34">
            <v>0.22851735231496129</v>
          </cell>
          <cell r="Q34">
            <v>0.18142277651395688</v>
          </cell>
          <cell r="R34">
            <v>1.052171841497973E-5</v>
          </cell>
          <cell r="S34">
            <v>-1.7434833363872748E-2</v>
          </cell>
          <cell r="T34">
            <v>-0.10696775278065707</v>
          </cell>
          <cell r="U34">
            <v>4.6606334841630126E-3</v>
          </cell>
          <cell r="V34">
            <v>2.9999999999999805E-2</v>
          </cell>
          <cell r="W34">
            <v>3.0000000000000027E-2</v>
          </cell>
          <cell r="X34">
            <v>3.0000000000000027E-2</v>
          </cell>
          <cell r="Y34">
            <v>3.0000000000000027E-2</v>
          </cell>
          <cell r="AE34">
            <v>-0.10495626822157444</v>
          </cell>
          <cell r="AF34">
            <v>-0.10562079614835029</v>
          </cell>
          <cell r="AG34">
            <v>-0.10562079614835029</v>
          </cell>
          <cell r="AH34">
            <v>-0.11119879503593233</v>
          </cell>
        </row>
        <row r="35">
          <cell r="D35" t="str">
            <v>% Government Systems Revenue</v>
          </cell>
          <cell r="O35">
            <v>0.49429130269654381</v>
          </cell>
          <cell r="P35">
            <v>0.45952671437604192</v>
          </cell>
          <cell r="Q35">
            <v>0.47292027865230429</v>
          </cell>
          <cell r="R35">
            <v>0.38882093676670365</v>
          </cell>
          <cell r="S35">
            <v>0.38551861477706129</v>
          </cell>
          <cell r="T35">
            <v>0.33762364893251345</v>
          </cell>
          <cell r="U35">
            <v>0.31232021156131978</v>
          </cell>
          <cell r="V35">
            <v>0.29615610469424808</v>
          </cell>
          <cell r="W35">
            <v>0.28737583500708624</v>
          </cell>
          <cell r="X35">
            <v>0.28479943256533524</v>
          </cell>
          <cell r="Y35">
            <v>0.28222012277426856</v>
          </cell>
          <cell r="AA35">
            <v>0.3705023926029144</v>
          </cell>
          <cell r="AB35">
            <v>0.36110352341485236</v>
          </cell>
          <cell r="AC35">
            <v>0.41672152495565673</v>
          </cell>
          <cell r="AD35">
            <v>0.39664581223063006</v>
          </cell>
          <cell r="AE35">
            <v>0.34554561314649107</v>
          </cell>
          <cell r="AF35">
            <v>0.34511434511434513</v>
          </cell>
          <cell r="AG35">
            <v>0.33133732534930144</v>
          </cell>
          <cell r="AH35">
            <v>0.33023255813953489</v>
          </cell>
        </row>
        <row r="37">
          <cell r="C37" t="str">
            <v>Information Assurance</v>
          </cell>
          <cell r="J37">
            <v>5</v>
          </cell>
          <cell r="K37">
            <v>5</v>
          </cell>
          <cell r="L37">
            <v>7</v>
          </cell>
          <cell r="M37">
            <v>20</v>
          </cell>
          <cell r="N37">
            <v>47.6</v>
          </cell>
          <cell r="O37">
            <v>49.269919999999999</v>
          </cell>
          <cell r="P37">
            <v>76.469920000000002</v>
          </cell>
          <cell r="Q37">
            <v>78.869920000000008</v>
          </cell>
          <cell r="R37">
            <v>124.36992000000001</v>
          </cell>
          <cell r="S37">
            <v>107.96992</v>
          </cell>
          <cell r="T37">
            <v>102</v>
          </cell>
          <cell r="U37">
            <v>112.2</v>
          </cell>
          <cell r="V37">
            <v>117.81</v>
          </cell>
          <cell r="W37">
            <v>121.3443</v>
          </cell>
          <cell r="X37">
            <v>124.98462900000001</v>
          </cell>
          <cell r="Y37">
            <v>128.73416787000002</v>
          </cell>
          <cell r="AA37">
            <v>27.4</v>
          </cell>
          <cell r="AB37">
            <v>33</v>
          </cell>
          <cell r="AC37">
            <v>20</v>
          </cell>
          <cell r="AD37">
            <v>27.569919999999996</v>
          </cell>
          <cell r="AE37">
            <v>22</v>
          </cell>
          <cell r="AF37">
            <v>25</v>
          </cell>
          <cell r="AG37">
            <v>25</v>
          </cell>
          <cell r="AH37">
            <v>30</v>
          </cell>
        </row>
        <row r="38">
          <cell r="D38" t="str">
            <v>Y/Y Chg.</v>
          </cell>
          <cell r="K38">
            <v>0</v>
          </cell>
          <cell r="L38">
            <v>0.39999999999999991</v>
          </cell>
          <cell r="M38">
            <v>1.8571428571428572</v>
          </cell>
          <cell r="N38">
            <v>1.38</v>
          </cell>
          <cell r="O38">
            <v>3.5082352941176342E-2</v>
          </cell>
          <cell r="P38">
            <v>0.55206097351081551</v>
          </cell>
          <cell r="Q38">
            <v>3.1384889640266422E-2</v>
          </cell>
          <cell r="R38">
            <v>0.5768992792182368</v>
          </cell>
          <cell r="S38">
            <v>-0.13186468239265581</v>
          </cell>
          <cell r="T38">
            <v>-5.5292437004676898E-2</v>
          </cell>
          <cell r="U38">
            <v>0.1</v>
          </cell>
          <cell r="V38">
            <v>0.05</v>
          </cell>
          <cell r="W38">
            <v>0.03</v>
          </cell>
          <cell r="X38">
            <v>0.03</v>
          </cell>
          <cell r="Y38">
            <v>0.03</v>
          </cell>
          <cell r="AE38">
            <v>-0.1970802919708029</v>
          </cell>
          <cell r="AF38">
            <v>-0.24242424242424243</v>
          </cell>
          <cell r="AG38">
            <v>0.25</v>
          </cell>
          <cell r="AH38">
            <v>8.8142439296160502E-2</v>
          </cell>
        </row>
        <row r="39">
          <cell r="D39" t="str">
            <v>% Government Systems Revenue</v>
          </cell>
          <cell r="J39">
            <v>8.0115366127223211E-2</v>
          </cell>
          <cell r="K39">
            <v>7.969651566833498E-2</v>
          </cell>
          <cell r="L39">
            <v>8.5025750655912932E-2</v>
          </cell>
          <cell r="M39">
            <v>0.15582270492633482</v>
          </cell>
          <cell r="N39">
            <v>0.27131473649411203</v>
          </cell>
          <cell r="O39">
            <v>0.23390581086213447</v>
          </cell>
          <cell r="P39">
            <v>0.27472380295453241</v>
          </cell>
          <cell r="Q39">
            <v>0.24682485338207039</v>
          </cell>
          <cell r="R39">
            <v>0.32</v>
          </cell>
          <cell r="S39">
            <v>0.28033140248889393</v>
          </cell>
          <cell r="T39">
            <v>0.25971049917885652</v>
          </cell>
          <cell r="U39">
            <v>0.26304499194688463</v>
          </cell>
          <cell r="V39">
            <v>0.25427444273784228</v>
          </cell>
          <cell r="W39">
            <v>0.24673585701766612</v>
          </cell>
          <cell r="X39">
            <v>0.24452380302059934</v>
          </cell>
          <cell r="Y39">
            <v>0.24230925282434776</v>
          </cell>
          <cell r="AA39">
            <v>0.29596984132127852</v>
          </cell>
          <cell r="AB39">
            <v>0.32101791863654933</v>
          </cell>
          <cell r="AC39">
            <v>0.22452232874559375</v>
          </cell>
          <cell r="AD39">
            <v>0.27378815865260475</v>
          </cell>
          <cell r="AE39">
            <v>0.24762226349259947</v>
          </cell>
          <cell r="AF39">
            <v>0.25987525987525989</v>
          </cell>
          <cell r="AG39">
            <v>0.249500998003992</v>
          </cell>
          <cell r="AH39">
            <v>0.27906976744186046</v>
          </cell>
        </row>
        <row r="41">
          <cell r="C41" t="str">
            <v>Government SatCom</v>
          </cell>
          <cell r="J41">
            <v>19.8</v>
          </cell>
          <cell r="K41">
            <v>24.6</v>
          </cell>
          <cell r="L41">
            <v>31.8</v>
          </cell>
          <cell r="M41">
            <v>55.6</v>
          </cell>
          <cell r="N41">
            <v>51.710240000000006</v>
          </cell>
          <cell r="O41">
            <v>57.810240000000007</v>
          </cell>
          <cell r="P41">
            <v>57.810240000000007</v>
          </cell>
          <cell r="Q41">
            <v>83.110240000000005</v>
          </cell>
          <cell r="R41">
            <v>112.71024</v>
          </cell>
          <cell r="S41">
            <v>128.61024</v>
          </cell>
          <cell r="T41">
            <v>157.5</v>
          </cell>
          <cell r="U41">
            <v>181.125</v>
          </cell>
          <cell r="V41">
            <v>208.29374999999999</v>
          </cell>
          <cell r="W41">
            <v>229.12312500000002</v>
          </cell>
          <cell r="X41">
            <v>240.57928125000004</v>
          </cell>
          <cell r="Y41">
            <v>252.60824531250006</v>
          </cell>
          <cell r="AA41">
            <v>31.1</v>
          </cell>
          <cell r="AB41">
            <v>32.152560000000001</v>
          </cell>
          <cell r="AC41">
            <v>32.152560000000001</v>
          </cell>
          <cell r="AD41">
            <v>33.205119999999994</v>
          </cell>
          <cell r="AE41">
            <v>35.5</v>
          </cell>
          <cell r="AF41">
            <v>38</v>
          </cell>
          <cell r="AG41">
            <v>42</v>
          </cell>
          <cell r="AH41">
            <v>42</v>
          </cell>
        </row>
        <row r="42">
          <cell r="D42" t="str">
            <v>Y/Y Chg.</v>
          </cell>
          <cell r="K42">
            <v>0.24242424242424243</v>
          </cell>
          <cell r="L42">
            <v>0.29268292682926833</v>
          </cell>
          <cell r="M42">
            <v>0.7484276729559749</v>
          </cell>
          <cell r="N42">
            <v>-6.9959712230215798E-2</v>
          </cell>
          <cell r="O42">
            <v>0.1179650297503938</v>
          </cell>
          <cell r="P42">
            <v>0</v>
          </cell>
          <cell r="Q42">
            <v>0.4376387297475326</v>
          </cell>
          <cell r="R42">
            <v>0.35615346556573524</v>
          </cell>
          <cell r="S42">
            <v>0.14106970227372417</v>
          </cell>
          <cell r="T42">
            <v>0.22463032492591561</v>
          </cell>
          <cell r="U42">
            <v>0.15</v>
          </cell>
          <cell r="V42">
            <v>0.15</v>
          </cell>
          <cell r="W42">
            <v>0.1</v>
          </cell>
          <cell r="X42">
            <v>0.05</v>
          </cell>
          <cell r="Y42">
            <v>0.05</v>
          </cell>
          <cell r="AE42">
            <v>0.14147909967845651</v>
          </cell>
          <cell r="AF42">
            <v>0.18186545643643925</v>
          </cell>
          <cell r="AG42">
            <v>0.30627234658764335</v>
          </cell>
          <cell r="AH42">
            <v>0.26486517741842253</v>
          </cell>
        </row>
        <row r="43">
          <cell r="D43" t="str">
            <v>% Government Systems Revenue</v>
          </cell>
          <cell r="J43">
            <v>0.31725684986380392</v>
          </cell>
          <cell r="K43">
            <v>0.39210685708820814</v>
          </cell>
          <cell r="L43">
            <v>0.38625983869400449</v>
          </cell>
          <cell r="M43">
            <v>0.43318711969521079</v>
          </cell>
          <cell r="N43">
            <v>0.29474264999259014</v>
          </cell>
          <cell r="O43">
            <v>0.27445043676414743</v>
          </cell>
          <cell r="P43">
            <v>0.20768753233316092</v>
          </cell>
          <cell r="Q43">
            <v>0.26009501217382597</v>
          </cell>
          <cell r="R43">
            <v>0.28999999999999998</v>
          </cell>
          <cell r="S43">
            <v>0.33392160477319283</v>
          </cell>
          <cell r="T43">
            <v>0.40102356490852842</v>
          </cell>
          <cell r="U43">
            <v>0.42463479649179564</v>
          </cell>
          <cell r="V43">
            <v>0.44956945256790964</v>
          </cell>
          <cell r="W43">
            <v>0.46588830797524766</v>
          </cell>
          <cell r="X43">
            <v>0.47067676441406542</v>
          </cell>
          <cell r="Y43">
            <v>0.47547062440138355</v>
          </cell>
          <cell r="AA43">
            <v>0.33593657171867747</v>
          </cell>
          <cell r="AB43">
            <v>0.31277417848596278</v>
          </cell>
          <cell r="AC43">
            <v>0.36094838231662141</v>
          </cell>
          <cell r="AD43">
            <v>0.3297495481538858</v>
          </cell>
          <cell r="AE43">
            <v>0.3995722888176037</v>
          </cell>
          <cell r="AF43">
            <v>0.39501039501039498</v>
          </cell>
          <cell r="AG43">
            <v>0.41916167664670656</v>
          </cell>
          <cell r="AH43">
            <v>0.39069767441860465</v>
          </cell>
        </row>
        <row r="45">
          <cell r="C45" t="str">
            <v>Other</v>
          </cell>
          <cell r="J45">
            <v>9.6099999999999959</v>
          </cell>
          <cell r="K45">
            <v>3.1379999999999981</v>
          </cell>
          <cell r="L45">
            <v>10.224040000000006</v>
          </cell>
          <cell r="M45">
            <v>10.964149999999997</v>
          </cell>
          <cell r="N45">
            <v>2.5179999999991765E-2</v>
          </cell>
          <cell r="O45">
            <v>-0.55768000000000484</v>
          </cell>
          <cell r="P45">
            <v>16.161659999999941</v>
          </cell>
          <cell r="Q45">
            <v>6.4418399999999849</v>
          </cell>
          <cell r="R45">
            <v>0.4582499999999925</v>
          </cell>
          <cell r="S45">
            <v>8.7960000000038008E-2</v>
          </cell>
          <cell r="T45">
            <v>0.64499999999999602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AA45">
            <v>-0.22300000000000608</v>
          </cell>
          <cell r="AB45">
            <v>0.52472000000000918</v>
          </cell>
          <cell r="AC45">
            <v>-0.19527999999998968</v>
          </cell>
          <cell r="AD45">
            <v>-1.8479999999975405E-2</v>
          </cell>
          <cell r="AE45">
            <v>0.64499999999999602</v>
          </cell>
          <cell r="AF45">
            <v>0</v>
          </cell>
          <cell r="AG45">
            <v>0</v>
          </cell>
          <cell r="AH45">
            <v>0</v>
          </cell>
        </row>
        <row r="47">
          <cell r="C47" t="str">
            <v>Total Government Systems Revenue</v>
          </cell>
          <cell r="J47">
            <v>62.41</v>
          </cell>
          <cell r="K47">
            <v>62.738</v>
          </cell>
          <cell r="L47">
            <v>82.328000000000003</v>
          </cell>
          <cell r="M47">
            <v>128.351</v>
          </cell>
          <cell r="N47">
            <v>175.44200000000001</v>
          </cell>
          <cell r="O47">
            <v>210.64</v>
          </cell>
          <cell r="P47">
            <v>278.35199999999998</v>
          </cell>
          <cell r="Q47">
            <v>319.53800000000001</v>
          </cell>
          <cell r="R47">
            <v>388.65600000000006</v>
          </cell>
          <cell r="S47">
            <v>385.15100000000007</v>
          </cell>
          <cell r="T47">
            <v>392.745</v>
          </cell>
          <cell r="U47">
            <v>426.54300000000001</v>
          </cell>
          <cell r="V47">
            <v>463.31828999999999</v>
          </cell>
          <cell r="W47">
            <v>491.7984012</v>
          </cell>
          <cell r="X47">
            <v>511.13481573600006</v>
          </cell>
          <cell r="Y47">
            <v>531.28044583308019</v>
          </cell>
          <cell r="AA47">
            <v>92.576999999999998</v>
          </cell>
          <cell r="AB47">
            <v>102.798</v>
          </cell>
          <cell r="AC47">
            <v>89.078000000000003</v>
          </cell>
          <cell r="AD47">
            <v>100.69800000000001</v>
          </cell>
          <cell r="AE47">
            <v>88.844999999999999</v>
          </cell>
          <cell r="AF47">
            <v>96.2</v>
          </cell>
          <cell r="AG47">
            <v>100.2</v>
          </cell>
          <cell r="AH47">
            <v>107.5</v>
          </cell>
        </row>
        <row r="48">
          <cell r="D48" t="str">
            <v>Y/Y Chg.</v>
          </cell>
          <cell r="K48">
            <v>5.2555680179457998E-3</v>
          </cell>
          <cell r="L48">
            <v>0.31225094838853651</v>
          </cell>
          <cell r="M48">
            <v>0.5590200174910116</v>
          </cell>
          <cell r="N48">
            <v>0.36689234988430175</v>
          </cell>
          <cell r="O48">
            <v>0.20062470788066689</v>
          </cell>
          <cell r="P48">
            <v>0.32145841245727302</v>
          </cell>
          <cell r="Q48">
            <v>0.14796372937862867</v>
          </cell>
          <cell r="R48">
            <v>0.21630604184791813</v>
          </cell>
          <cell r="S48">
            <v>-9.018257790951334E-3</v>
          </cell>
          <cell r="T48">
            <v>1.9716942186311259E-2</v>
          </cell>
          <cell r="U48">
            <v>8.6055837757323506E-2</v>
          </cell>
          <cell r="V48">
            <v>8.6217075417953204E-2</v>
          </cell>
          <cell r="W48">
            <v>6.1469861679753768E-2</v>
          </cell>
          <cell r="X48">
            <v>3.9317766159504997E-2</v>
          </cell>
          <cell r="Y48">
            <v>3.941353528828162E-2</v>
          </cell>
          <cell r="AE48">
            <v>-4.0312388606241312E-2</v>
          </cell>
          <cell r="AF48">
            <v>-6.4184128095877369E-2</v>
          </cell>
          <cell r="AG48">
            <v>0.12485686701542464</v>
          </cell>
          <cell r="AH48">
            <v>6.7548511390494337E-2</v>
          </cell>
        </row>
        <row r="49">
          <cell r="D49" t="str">
            <v>Check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AA49">
            <v>0</v>
          </cell>
          <cell r="AB49">
            <v>0</v>
          </cell>
          <cell r="AC49">
            <v>0</v>
          </cell>
          <cell r="AD49">
            <v>0</v>
          </cell>
          <cell r="AE49">
            <v>0</v>
          </cell>
          <cell r="AF49">
            <v>0</v>
          </cell>
          <cell r="AG49">
            <v>0</v>
          </cell>
          <cell r="AH49">
            <v>0</v>
          </cell>
        </row>
        <row r="51">
          <cell r="C51" t="str">
            <v>Awards</v>
          </cell>
          <cell r="N51">
            <v>227.1</v>
          </cell>
          <cell r="O51">
            <v>199.6</v>
          </cell>
          <cell r="P51">
            <v>301.8</v>
          </cell>
          <cell r="Q51">
            <v>306.2</v>
          </cell>
          <cell r="R51">
            <v>407.3</v>
          </cell>
          <cell r="S51">
            <v>386.05100000000004</v>
          </cell>
          <cell r="AA51">
            <v>84.577000000000027</v>
          </cell>
          <cell r="AB51">
            <v>121.398</v>
          </cell>
          <cell r="AC51">
            <v>59.77800000000002</v>
          </cell>
          <cell r="AD51">
            <v>120.29799999999997</v>
          </cell>
          <cell r="AE51">
            <v>65.944999999999993</v>
          </cell>
        </row>
        <row r="52">
          <cell r="C52" t="str">
            <v>Book:Bill</v>
          </cell>
          <cell r="N52">
            <v>1.2944448877691772</v>
          </cell>
          <cell r="O52">
            <v>0.94758830231674895</v>
          </cell>
          <cell r="P52">
            <v>1.084238661838248</v>
          </cell>
          <cell r="Q52">
            <v>0.95825848568871297</v>
          </cell>
          <cell r="R52">
            <v>1.0479704417273885</v>
          </cell>
          <cell r="S52">
            <v>1.0023367458477324</v>
          </cell>
          <cell r="AA52">
            <v>0.91358544778940809</v>
          </cell>
          <cell r="AB52">
            <v>1.1809373723224186</v>
          </cell>
          <cell r="AC52">
            <v>0.6710747883877054</v>
          </cell>
          <cell r="AD52">
            <v>1.1946414030070107</v>
          </cell>
          <cell r="AE52">
            <v>0.74224773481906681</v>
          </cell>
        </row>
        <row r="54">
          <cell r="C54" t="str">
            <v>Beginning Backlog</v>
          </cell>
          <cell r="Q54">
            <v>193.2</v>
          </cell>
          <cell r="R54">
            <v>186.1</v>
          </cell>
          <cell r="S54">
            <v>209.1</v>
          </cell>
          <cell r="AA54">
            <v>209.1</v>
          </cell>
          <cell r="AB54">
            <v>201.1</v>
          </cell>
          <cell r="AC54">
            <v>219.7</v>
          </cell>
          <cell r="AD54">
            <v>190.4</v>
          </cell>
          <cell r="AE54">
            <v>210</v>
          </cell>
        </row>
        <row r="55">
          <cell r="C55" t="str">
            <v>Less: Revenue</v>
          </cell>
          <cell r="Q55">
            <v>-319.53800000000001</v>
          </cell>
          <cell r="R55">
            <v>-388.65600000000001</v>
          </cell>
          <cell r="S55">
            <v>-385.15100000000001</v>
          </cell>
          <cell r="AA55">
            <v>-92.576999999999998</v>
          </cell>
          <cell r="AB55">
            <v>-102.798</v>
          </cell>
          <cell r="AC55">
            <v>-89.078000000000003</v>
          </cell>
          <cell r="AD55">
            <v>-100.69799999999999</v>
          </cell>
          <cell r="AE55">
            <v>-88.844999999999999</v>
          </cell>
        </row>
        <row r="56">
          <cell r="C56" t="str">
            <v>Plus: Net Awards</v>
          </cell>
          <cell r="Q56">
            <v>312.43800000000005</v>
          </cell>
          <cell r="R56">
            <v>411.65599999999995</v>
          </cell>
          <cell r="S56">
            <v>386.05100000000004</v>
          </cell>
          <cell r="AA56">
            <v>84.577000000000027</v>
          </cell>
          <cell r="AB56">
            <v>121.398</v>
          </cell>
          <cell r="AC56">
            <v>59.77800000000002</v>
          </cell>
          <cell r="AD56">
            <v>120.29799999999997</v>
          </cell>
          <cell r="AE56">
            <v>65.944999999999993</v>
          </cell>
        </row>
        <row r="57">
          <cell r="C57" t="str">
            <v>Ending Backlog</v>
          </cell>
          <cell r="P57">
            <v>193.2</v>
          </cell>
          <cell r="Q57">
            <v>186.1</v>
          </cell>
          <cell r="R57">
            <v>209.1</v>
          </cell>
          <cell r="S57">
            <v>210</v>
          </cell>
          <cell r="Z57">
            <v>209.1</v>
          </cell>
          <cell r="AA57">
            <v>201.1</v>
          </cell>
          <cell r="AB57">
            <v>219.7</v>
          </cell>
          <cell r="AC57">
            <v>190.4</v>
          </cell>
          <cell r="AD57">
            <v>210</v>
          </cell>
          <cell r="AE57">
            <v>187.1</v>
          </cell>
        </row>
        <row r="59">
          <cell r="C59" t="str">
            <v>Incremental Revenue</v>
          </cell>
        </row>
        <row r="60">
          <cell r="C60" t="str">
            <v>Tactical Data Links (MIDS / MIDS-JTRS)</v>
          </cell>
          <cell r="N60">
            <v>33.700000000000003</v>
          </cell>
          <cell r="O60">
            <v>28.8</v>
          </cell>
          <cell r="P60">
            <v>21</v>
          </cell>
          <cell r="Q60">
            <v>5.9</v>
          </cell>
          <cell r="R60">
            <v>-10.8</v>
          </cell>
          <cell r="S60">
            <v>-4.3</v>
          </cell>
          <cell r="T60">
            <v>-15.98287999999998</v>
          </cell>
          <cell r="U60">
            <v>0</v>
          </cell>
          <cell r="V60">
            <v>3.3599999999999994</v>
          </cell>
          <cell r="W60">
            <v>3.4608000000000061</v>
          </cell>
          <cell r="X60">
            <v>3.5646240000000091</v>
          </cell>
          <cell r="Y60">
            <v>3.6715627199999972</v>
          </cell>
          <cell r="AA60">
            <v>1.5</v>
          </cell>
          <cell r="AB60">
            <v>-1.9</v>
          </cell>
          <cell r="AC60">
            <v>-6.8</v>
          </cell>
          <cell r="AD60">
            <v>2.8999999999999995</v>
          </cell>
          <cell r="AE60">
            <v>-3.6</v>
          </cell>
        </row>
        <row r="61">
          <cell r="C61" t="str">
            <v>Video Data Links (UAVs)</v>
          </cell>
          <cell r="N61" t="str">
            <v xml:space="preserve">NA </v>
          </cell>
          <cell r="O61" t="str">
            <v xml:space="preserve">NA </v>
          </cell>
          <cell r="P61">
            <v>9.1</v>
          </cell>
          <cell r="Q61">
            <v>4.0999999999999996</v>
          </cell>
          <cell r="R61">
            <v>6</v>
          </cell>
          <cell r="S61">
            <v>1.3</v>
          </cell>
          <cell r="T61">
            <v>0.10000000000000142</v>
          </cell>
          <cell r="U61">
            <v>0.6180000000000021</v>
          </cell>
          <cell r="V61">
            <v>0.63654000000000011</v>
          </cell>
          <cell r="W61">
            <v>0.6556362</v>
          </cell>
          <cell r="X61">
            <v>0.67530528600000039</v>
          </cell>
          <cell r="Y61">
            <v>0.69556444458000044</v>
          </cell>
          <cell r="AA61">
            <v>-1.3</v>
          </cell>
          <cell r="AB61">
            <v>1.9</v>
          </cell>
          <cell r="AC61">
            <v>-1.3</v>
          </cell>
          <cell r="AD61">
            <v>2</v>
          </cell>
          <cell r="AE61">
            <v>0</v>
          </cell>
        </row>
        <row r="62">
          <cell r="C62" t="str">
            <v>Information Assurance</v>
          </cell>
          <cell r="N62">
            <v>12.6</v>
          </cell>
          <cell r="P62">
            <v>27.2</v>
          </cell>
          <cell r="Q62">
            <v>2.4</v>
          </cell>
          <cell r="R62">
            <v>45.5</v>
          </cell>
          <cell r="S62">
            <v>-16.399999999999999</v>
          </cell>
          <cell r="T62">
            <v>-5.9699200000000019</v>
          </cell>
          <cell r="U62">
            <v>10.200000000000003</v>
          </cell>
          <cell r="V62">
            <v>5.6099999999999994</v>
          </cell>
          <cell r="W62">
            <v>3.5343000000000018</v>
          </cell>
          <cell r="X62">
            <v>3.6403290000000084</v>
          </cell>
          <cell r="Y62">
            <v>3.7495388700000092</v>
          </cell>
          <cell r="AB62">
            <v>-5.3</v>
          </cell>
          <cell r="AD62">
            <v>-11.099999999999998</v>
          </cell>
          <cell r="AE62">
            <v>-5.4</v>
          </cell>
        </row>
        <row r="63">
          <cell r="C63" t="str">
            <v>Government SatCom</v>
          </cell>
          <cell r="O63">
            <v>6.1</v>
          </cell>
          <cell r="Q63">
            <v>25.3</v>
          </cell>
          <cell r="R63">
            <v>29.6</v>
          </cell>
          <cell r="S63">
            <v>15.9</v>
          </cell>
          <cell r="T63">
            <v>28.889759999999995</v>
          </cell>
          <cell r="U63">
            <v>23.625</v>
          </cell>
          <cell r="V63">
            <v>27.168749999999989</v>
          </cell>
          <cell r="W63">
            <v>20.829375000000027</v>
          </cell>
          <cell r="X63">
            <v>11.456156250000021</v>
          </cell>
          <cell r="Y63">
            <v>12.028964062500023</v>
          </cell>
          <cell r="AA63">
            <v>2.6</v>
          </cell>
          <cell r="AB63">
            <v>10.199999999999999</v>
          </cell>
          <cell r="AC63">
            <v>4.0999999999999996</v>
          </cell>
          <cell r="AD63">
            <v>-0.99999999999999822</v>
          </cell>
          <cell r="AE63">
            <v>4.4000000000000004</v>
          </cell>
        </row>
        <row r="64">
          <cell r="C64" t="str">
            <v>Other</v>
          </cell>
          <cell r="Q64">
            <v>3.3</v>
          </cell>
          <cell r="R64">
            <v>-1.1000000000000001</v>
          </cell>
          <cell r="AD64">
            <v>0</v>
          </cell>
          <cell r="AE64">
            <v>0</v>
          </cell>
        </row>
        <row r="65">
          <cell r="C65" t="str">
            <v>Plug</v>
          </cell>
          <cell r="N65">
            <v>0.79100000000000392</v>
          </cell>
          <cell r="O65">
            <v>0.2979999999999805</v>
          </cell>
          <cell r="P65">
            <v>10.411999999999992</v>
          </cell>
          <cell r="Q65">
            <v>0.18600000000003547</v>
          </cell>
          <cell r="R65">
            <v>-8.2000000000022055E-2</v>
          </cell>
          <cell r="S65">
            <v>-4.9999999999972289E-3</v>
          </cell>
          <cell r="T65">
            <v>0.55703999999992249</v>
          </cell>
          <cell r="U65">
            <v>-0.64500000000000313</v>
          </cell>
          <cell r="V65">
            <v>0</v>
          </cell>
          <cell r="W65">
            <v>0</v>
          </cell>
          <cell r="X65">
            <v>0</v>
          </cell>
          <cell r="Y65">
            <v>9.9475983006414026E-14</v>
          </cell>
          <cell r="AA65">
            <v>1.1320000000000023</v>
          </cell>
          <cell r="AB65">
            <v>0.59599999999999564</v>
          </cell>
          <cell r="AC65">
            <v>-0.67900000000000205</v>
          </cell>
          <cell r="AD65">
            <v>-1.0540000000000083</v>
          </cell>
          <cell r="AE65">
            <v>0.86800000000000033</v>
          </cell>
        </row>
        <row r="66">
          <cell r="C66" t="str">
            <v>Total</v>
          </cell>
          <cell r="N66">
            <v>47.091000000000008</v>
          </cell>
          <cell r="O66">
            <v>35.197999999999979</v>
          </cell>
          <cell r="P66">
            <v>67.711999999999989</v>
          </cell>
          <cell r="Q66">
            <v>41.186000000000035</v>
          </cell>
          <cell r="R66">
            <v>69.117999999999995</v>
          </cell>
          <cell r="S66">
            <v>-3.5049999999999955</v>
          </cell>
          <cell r="T66">
            <v>7.5939999999999372</v>
          </cell>
          <cell r="U66">
            <v>33.798000000000002</v>
          </cell>
          <cell r="V66">
            <v>36.775289999999984</v>
          </cell>
          <cell r="W66">
            <v>28.480111200000035</v>
          </cell>
          <cell r="X66">
            <v>19.336414536000039</v>
          </cell>
          <cell r="Y66">
            <v>20.145630097080129</v>
          </cell>
          <cell r="AA66">
            <v>3.9320000000000022</v>
          </cell>
          <cell r="AB66">
            <v>5.4959999999999951</v>
          </cell>
          <cell r="AC66">
            <v>-4.679000000000002</v>
          </cell>
          <cell r="AD66">
            <v>-8.2540000000000049</v>
          </cell>
          <cell r="AE66">
            <v>-3.7319999999999993</v>
          </cell>
        </row>
        <row r="67">
          <cell r="C67" t="str">
            <v>Check</v>
          </cell>
          <cell r="N67">
            <v>47.091000000000008</v>
          </cell>
          <cell r="O67">
            <v>35.197999999999979</v>
          </cell>
          <cell r="P67">
            <v>67.711999999999989</v>
          </cell>
          <cell r="Q67">
            <v>41.186000000000035</v>
          </cell>
          <cell r="R67">
            <v>69.117999999999995</v>
          </cell>
          <cell r="S67">
            <v>-3.5049999999999955</v>
          </cell>
          <cell r="T67">
            <v>7.5939999999999941</v>
          </cell>
          <cell r="U67">
            <v>33.798000000000002</v>
          </cell>
          <cell r="V67">
            <v>36.775289999999984</v>
          </cell>
          <cell r="W67">
            <v>28.48011120000001</v>
          </cell>
          <cell r="X67">
            <v>19.336414536000063</v>
          </cell>
          <cell r="Y67">
            <v>20.145630097080129</v>
          </cell>
          <cell r="AA67">
            <v>3.9320000000000022</v>
          </cell>
          <cell r="AB67">
            <v>5.4959999999999951</v>
          </cell>
          <cell r="AC67">
            <v>-4.679000000000002</v>
          </cell>
          <cell r="AD67">
            <v>-8.2540000000000049</v>
          </cell>
          <cell r="AE67">
            <v>-3.7319999999999993</v>
          </cell>
        </row>
        <row r="69">
          <cell r="C69" t="str">
            <v>Blue Force Tracking</v>
          </cell>
          <cell r="T69">
            <v>12</v>
          </cell>
          <cell r="U69">
            <v>50</v>
          </cell>
          <cell r="V69">
            <v>95.4</v>
          </cell>
          <cell r="W69">
            <v>95.4</v>
          </cell>
          <cell r="X69">
            <v>95.4</v>
          </cell>
          <cell r="Y69">
            <v>95.4</v>
          </cell>
          <cell r="AG69">
            <v>6</v>
          </cell>
          <cell r="AH69">
            <v>6</v>
          </cell>
        </row>
        <row r="71">
          <cell r="B71" t="str">
            <v>Operating Profit Build</v>
          </cell>
        </row>
        <row r="73">
          <cell r="C73" t="str">
            <v>Total Data Links (MIDS + Video)</v>
          </cell>
          <cell r="R73">
            <v>21.156462600000005</v>
          </cell>
          <cell r="S73">
            <v>20.787603199999996</v>
          </cell>
          <cell r="T73">
            <v>18.564</v>
          </cell>
          <cell r="U73">
            <v>19.316610000000001</v>
          </cell>
          <cell r="V73">
            <v>19.55307195</v>
          </cell>
          <cell r="W73">
            <v>19.786336668000001</v>
          </cell>
          <cell r="X73">
            <v>20.015999504324999</v>
          </cell>
          <cell r="Y73">
            <v>20.2416344078283</v>
          </cell>
          <cell r="AE73">
            <v>4.298</v>
          </cell>
          <cell r="AF73">
            <v>4.6480000000000006</v>
          </cell>
          <cell r="AG73">
            <v>4.6480000000000006</v>
          </cell>
          <cell r="AH73">
            <v>4.9700000000000006</v>
          </cell>
        </row>
        <row r="74">
          <cell r="D74" t="str">
            <v>% Margin</v>
          </cell>
          <cell r="R74">
            <v>0.14000000000000001</v>
          </cell>
          <cell r="S74">
            <v>0.14000000000000001</v>
          </cell>
          <cell r="T74">
            <v>0.14000000000000001</v>
          </cell>
          <cell r="U74">
            <v>0.14499999999999999</v>
          </cell>
          <cell r="V74">
            <v>0.14249999999999999</v>
          </cell>
          <cell r="W74">
            <v>0.13999999999999999</v>
          </cell>
          <cell r="X74">
            <v>0.13749999999999998</v>
          </cell>
          <cell r="Y74">
            <v>0.13499999999999998</v>
          </cell>
          <cell r="AE74">
            <v>0.14000000000000001</v>
          </cell>
          <cell r="AF74">
            <v>0.14000000000000001</v>
          </cell>
          <cell r="AG74">
            <v>0.14000000000000001</v>
          </cell>
          <cell r="AH74">
            <v>0.14000000000000001</v>
          </cell>
        </row>
        <row r="76">
          <cell r="C76" t="str">
            <v>Information Assurance</v>
          </cell>
          <cell r="R76">
            <v>17.411788800000004</v>
          </cell>
          <cell r="S76">
            <v>15.115788800000002</v>
          </cell>
          <cell r="T76">
            <v>14.280000000000001</v>
          </cell>
          <cell r="U76">
            <v>16.268999999999998</v>
          </cell>
          <cell r="V76">
            <v>16.787924999999998</v>
          </cell>
          <cell r="W76">
            <v>16.988201999999998</v>
          </cell>
          <cell r="X76">
            <v>17.185386487500001</v>
          </cell>
          <cell r="Y76">
            <v>17.379112662450002</v>
          </cell>
          <cell r="AE76">
            <v>3.08</v>
          </cell>
          <cell r="AF76">
            <v>3.5000000000000004</v>
          </cell>
          <cell r="AG76">
            <v>3.5000000000000004</v>
          </cell>
          <cell r="AH76">
            <v>4.2</v>
          </cell>
        </row>
        <row r="77">
          <cell r="D77" t="str">
            <v>% Margin</v>
          </cell>
          <cell r="R77">
            <v>0.14000000000000001</v>
          </cell>
          <cell r="S77">
            <v>0.14000000000000001</v>
          </cell>
          <cell r="T77">
            <v>0.14000000000000001</v>
          </cell>
          <cell r="U77">
            <v>0.14499999999999999</v>
          </cell>
          <cell r="V77">
            <v>0.14249999999999999</v>
          </cell>
          <cell r="W77">
            <v>0.13999999999999999</v>
          </cell>
          <cell r="X77">
            <v>0.13749999999999998</v>
          </cell>
          <cell r="Y77">
            <v>0.13499999999999998</v>
          </cell>
          <cell r="AE77">
            <v>0.14000000000000001</v>
          </cell>
          <cell r="AF77">
            <v>0.14000000000000001</v>
          </cell>
          <cell r="AG77">
            <v>0.14000000000000001</v>
          </cell>
          <cell r="AH77">
            <v>0.14000000000000001</v>
          </cell>
        </row>
        <row r="79">
          <cell r="C79" t="str">
            <v>Government SatCom</v>
          </cell>
          <cell r="R79">
            <v>18.033638400000001</v>
          </cell>
          <cell r="S79">
            <v>20.577638400000001</v>
          </cell>
          <cell r="T79">
            <v>12.6</v>
          </cell>
          <cell r="U79">
            <v>26.263124999999999</v>
          </cell>
          <cell r="V79">
            <v>29.681859374999995</v>
          </cell>
          <cell r="W79">
            <v>32.077237499999995</v>
          </cell>
          <cell r="X79">
            <v>33.079651171875</v>
          </cell>
          <cell r="Y79">
            <v>34.1021131171875</v>
          </cell>
          <cell r="AE79">
            <v>-5.7</v>
          </cell>
          <cell r="AF79">
            <v>5.7</v>
          </cell>
          <cell r="AG79">
            <v>6.3</v>
          </cell>
          <cell r="AH79">
            <v>6.3</v>
          </cell>
        </row>
        <row r="80">
          <cell r="D80" t="str">
            <v>% Margin</v>
          </cell>
          <cell r="R80">
            <v>0.16</v>
          </cell>
          <cell r="S80">
            <v>0.16</v>
          </cell>
          <cell r="T80">
            <v>0.08</v>
          </cell>
          <cell r="U80">
            <v>0.14499999999999999</v>
          </cell>
          <cell r="V80">
            <v>0.14249999999999999</v>
          </cell>
          <cell r="W80">
            <v>0.13999999999999999</v>
          </cell>
          <cell r="X80">
            <v>0.13749999999999998</v>
          </cell>
          <cell r="Y80">
            <v>0.13499999999999998</v>
          </cell>
          <cell r="AE80">
            <v>-0.16056338028169015</v>
          </cell>
          <cell r="AF80">
            <v>0.15</v>
          </cell>
          <cell r="AG80">
            <v>0.15</v>
          </cell>
          <cell r="AH80">
            <v>0.15</v>
          </cell>
        </row>
        <row r="82">
          <cell r="C82" t="str">
            <v>Other / Plug</v>
          </cell>
          <cell r="R82">
            <v>0.41711019999998911</v>
          </cell>
          <cell r="S82">
            <v>-0.76103039999999922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AA82">
            <v>12.143000000000001</v>
          </cell>
          <cell r="AB82">
            <v>14.259</v>
          </cell>
          <cell r="AC82">
            <v>10.78</v>
          </cell>
          <cell r="AD82">
            <v>18.538</v>
          </cell>
          <cell r="AE82">
            <v>-2.0000000000000462E-2</v>
          </cell>
          <cell r="AF82">
            <v>0</v>
          </cell>
          <cell r="AG82">
            <v>0</v>
          </cell>
          <cell r="AH82">
            <v>0</v>
          </cell>
        </row>
        <row r="84">
          <cell r="C84" t="str">
            <v>Total Government Systems Revenue</v>
          </cell>
          <cell r="L84">
            <v>11.613</v>
          </cell>
          <cell r="M84">
            <v>15.19</v>
          </cell>
          <cell r="N84">
            <v>28.06</v>
          </cell>
          <cell r="O84">
            <v>41.908000000000001</v>
          </cell>
          <cell r="P84">
            <v>42.795000000000002</v>
          </cell>
          <cell r="Q84">
            <v>45.792999999999999</v>
          </cell>
          <cell r="R84">
            <v>57.018999999999998</v>
          </cell>
          <cell r="S84">
            <v>55.72</v>
          </cell>
          <cell r="T84">
            <v>45.444000000000003</v>
          </cell>
          <cell r="U84">
            <v>61.848735000000005</v>
          </cell>
          <cell r="V84">
            <v>66.022856324999992</v>
          </cell>
          <cell r="W84">
            <v>68.851776167999986</v>
          </cell>
          <cell r="X84">
            <v>70.281037163700006</v>
          </cell>
          <cell r="Y84">
            <v>71.722860187465798</v>
          </cell>
          <cell r="AA84">
            <v>12.143000000000001</v>
          </cell>
          <cell r="AB84">
            <v>14.259</v>
          </cell>
          <cell r="AC84">
            <v>10.78</v>
          </cell>
          <cell r="AD84">
            <v>18.538</v>
          </cell>
          <cell r="AE84">
            <v>1.6579999999999995</v>
          </cell>
          <cell r="AF84">
            <v>13.848000000000003</v>
          </cell>
          <cell r="AG84">
            <v>14.448</v>
          </cell>
          <cell r="AH84">
            <v>15.470000000000002</v>
          </cell>
        </row>
        <row r="85">
          <cell r="D85" t="str">
            <v>% Margin</v>
          </cell>
          <cell r="L85">
            <v>0.14105772033815955</v>
          </cell>
          <cell r="M85">
            <v>0.11834734439155128</v>
          </cell>
          <cell r="N85">
            <v>0.15993889718539459</v>
          </cell>
          <cell r="O85">
            <v>0.19895556399544248</v>
          </cell>
          <cell r="P85">
            <v>0.15374418003103985</v>
          </cell>
          <cell r="Q85">
            <v>0.14331002885415819</v>
          </cell>
          <cell r="R85">
            <v>0.14670814293359677</v>
          </cell>
          <cell r="S85">
            <v>0.14467053181739106</v>
          </cell>
          <cell r="T85">
            <v>0.11570866592827407</v>
          </cell>
          <cell r="U85">
            <v>0.14500000000000002</v>
          </cell>
          <cell r="V85">
            <v>0.14249999999999999</v>
          </cell>
          <cell r="W85">
            <v>0.13999999999999999</v>
          </cell>
          <cell r="X85">
            <v>0.13749999999999998</v>
          </cell>
          <cell r="Y85">
            <v>0.13499999999999995</v>
          </cell>
          <cell r="AE85">
            <v>1.866171422139681E-2</v>
          </cell>
          <cell r="AF85">
            <v>0.14395010395010396</v>
          </cell>
          <cell r="AG85">
            <v>0.14419161676646708</v>
          </cell>
          <cell r="AH85">
            <v>0.14390697674418607</v>
          </cell>
        </row>
        <row r="86">
          <cell r="D86" t="str">
            <v>Check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</row>
        <row r="88">
          <cell r="C88" t="str">
            <v>Incremental Expense</v>
          </cell>
        </row>
        <row r="89">
          <cell r="C89" t="str">
            <v>Selling, General and Administrative (SG&amp;A)</v>
          </cell>
          <cell r="R89">
            <v>0</v>
          </cell>
          <cell r="S89">
            <v>0</v>
          </cell>
          <cell r="AE89">
            <v>0</v>
          </cell>
        </row>
        <row r="90">
          <cell r="C90" t="str">
            <v>Internally-funded R&amp;D (IRAD)</v>
          </cell>
          <cell r="R90">
            <v>2.2000000000000002</v>
          </cell>
          <cell r="S90">
            <v>-3.4</v>
          </cell>
          <cell r="AE90">
            <v>0</v>
          </cell>
        </row>
        <row r="91">
          <cell r="C91" t="str">
            <v>Bid and Proposal (B&amp;P)</v>
          </cell>
          <cell r="R91">
            <v>0</v>
          </cell>
          <cell r="S91">
            <v>5.5</v>
          </cell>
          <cell r="AE91">
            <v>2.2999999999999998</v>
          </cell>
        </row>
        <row r="92">
          <cell r="C92" t="str">
            <v>Other / Plug</v>
          </cell>
          <cell r="R92">
            <v>9.0259999999999998</v>
          </cell>
          <cell r="S92">
            <v>-3.3989999999999996</v>
          </cell>
          <cell r="AE92">
            <v>-12.785</v>
          </cell>
        </row>
        <row r="93">
          <cell r="C93" t="str">
            <v>Total Change</v>
          </cell>
          <cell r="R93">
            <v>11.225999999999999</v>
          </cell>
          <cell r="S93">
            <v>-1.2989999999999995</v>
          </cell>
          <cell r="AE93">
            <v>-10.484999999999999</v>
          </cell>
        </row>
        <row r="94">
          <cell r="C94" t="str">
            <v>Check</v>
          </cell>
          <cell r="R94">
            <v>11.225999999999999</v>
          </cell>
          <cell r="S94">
            <v>-1.2989999999999995</v>
          </cell>
          <cell r="AE94">
            <v>-10.485000000000001</v>
          </cell>
        </row>
        <row r="97">
          <cell r="C97" t="str">
            <v>Consolidated Cost Structure</v>
          </cell>
        </row>
        <row r="98">
          <cell r="C98" t="str">
            <v>Cost of Goods Sold (COGS)</v>
          </cell>
          <cell r="P98">
            <v>0.73</v>
          </cell>
          <cell r="Q98">
            <v>0.73</v>
          </cell>
          <cell r="R98">
            <v>0.73</v>
          </cell>
          <cell r="S98">
            <v>0.73</v>
          </cell>
        </row>
        <row r="99">
          <cell r="C99" t="str">
            <v>Gross Profit</v>
          </cell>
          <cell r="P99">
            <v>0.27</v>
          </cell>
          <cell r="Q99">
            <v>0.27</v>
          </cell>
          <cell r="R99">
            <v>0.27</v>
          </cell>
          <cell r="S99">
            <v>0.27</v>
          </cell>
        </row>
        <row r="100">
          <cell r="C100" t="str">
            <v>Selling, General and Administrative (SG&amp;A)</v>
          </cell>
          <cell r="P100">
            <v>0.03</v>
          </cell>
          <cell r="Q100">
            <v>0.03</v>
          </cell>
          <cell r="R100">
            <v>0.03</v>
          </cell>
          <cell r="S100">
            <v>0.03</v>
          </cell>
        </row>
        <row r="101">
          <cell r="C101" t="str">
            <v>Bid and Proposal (B&amp;P)</v>
          </cell>
          <cell r="P101">
            <v>5.125581996896017E-2</v>
          </cell>
          <cell r="Q101">
            <v>6.1689971145841821E-2</v>
          </cell>
          <cell r="R101">
            <v>5.8291857066403219E-2</v>
          </cell>
          <cell r="S101">
            <v>6.0329468182608925E-2</v>
          </cell>
        </row>
        <row r="102">
          <cell r="C102" t="str">
            <v>Internal R&amp;D (IRAD)</v>
          </cell>
          <cell r="P102">
            <v>3.5000000000000003E-2</v>
          </cell>
          <cell r="Q102">
            <v>3.5000000000000003E-2</v>
          </cell>
          <cell r="R102">
            <v>3.5000000000000003E-2</v>
          </cell>
          <cell r="S102">
            <v>3.5000000000000003E-2</v>
          </cell>
        </row>
        <row r="103">
          <cell r="P103">
            <v>0.15374418003103985</v>
          </cell>
          <cell r="Q103">
            <v>0.14331002885415819</v>
          </cell>
          <cell r="R103">
            <v>0.1467081429335968</v>
          </cell>
          <cell r="S103">
            <v>0.14467053181739109</v>
          </cell>
        </row>
        <row r="104">
          <cell r="P104">
            <v>0.15374418003103985</v>
          </cell>
          <cell r="Q104">
            <v>0.14331002885415819</v>
          </cell>
          <cell r="R104">
            <v>0.1467081429335968</v>
          </cell>
          <cell r="S104">
            <v>0.14467053181739109</v>
          </cell>
        </row>
        <row r="106">
          <cell r="B106" t="str">
            <v>Scenario Drivers</v>
          </cell>
        </row>
        <row r="108">
          <cell r="E108" t="str">
            <v>Tactical Data Links (MIDS / MIDS-JTRS)</v>
          </cell>
        </row>
        <row r="109">
          <cell r="E109" t="str">
            <v>Bull Case</v>
          </cell>
          <cell r="U109">
            <v>0.05</v>
          </cell>
          <cell r="V109">
            <v>0.1</v>
          </cell>
          <cell r="W109">
            <v>0.1</v>
          </cell>
          <cell r="X109">
            <v>0.1</v>
          </cell>
          <cell r="Y109">
            <v>0.1</v>
          </cell>
        </row>
        <row r="110">
          <cell r="E110" t="str">
            <v>Base Case</v>
          </cell>
          <cell r="U110">
            <v>0</v>
          </cell>
          <cell r="V110">
            <v>0.03</v>
          </cell>
          <cell r="W110">
            <v>0.03</v>
          </cell>
          <cell r="X110">
            <v>0.03</v>
          </cell>
          <cell r="Y110">
            <v>0.03</v>
          </cell>
        </row>
        <row r="111">
          <cell r="E111" t="str">
            <v>Bear Case</v>
          </cell>
          <cell r="U111">
            <v>-0.1</v>
          </cell>
          <cell r="V111">
            <v>-0.1</v>
          </cell>
          <cell r="W111">
            <v>-0.05</v>
          </cell>
          <cell r="X111">
            <v>-0.05</v>
          </cell>
          <cell r="Y111">
            <v>-0.05</v>
          </cell>
        </row>
        <row r="112">
          <cell r="E112" t="str">
            <v>Using Base Case</v>
          </cell>
          <cell r="U112">
            <v>0</v>
          </cell>
          <cell r="V112">
            <v>0.03</v>
          </cell>
          <cell r="W112">
            <v>0.03</v>
          </cell>
          <cell r="X112">
            <v>0.03</v>
          </cell>
          <cell r="Y112">
            <v>0.03</v>
          </cell>
        </row>
        <row r="113">
          <cell r="E113">
            <v>2</v>
          </cell>
        </row>
        <row r="116">
          <cell r="E116" t="str">
            <v>Video Data Links (UAVs)</v>
          </cell>
        </row>
        <row r="117">
          <cell r="E117" t="str">
            <v>Bull Case</v>
          </cell>
          <cell r="U117">
            <v>0.05</v>
          </cell>
          <cell r="V117">
            <v>0.1</v>
          </cell>
          <cell r="W117">
            <v>0.1</v>
          </cell>
          <cell r="X117">
            <v>0.1</v>
          </cell>
          <cell r="Y117">
            <v>0.1</v>
          </cell>
        </row>
        <row r="118">
          <cell r="E118" t="str">
            <v>Base Case</v>
          </cell>
          <cell r="U118">
            <v>0.03</v>
          </cell>
          <cell r="V118">
            <v>0.03</v>
          </cell>
          <cell r="W118">
            <v>0.03</v>
          </cell>
          <cell r="X118">
            <v>0.03</v>
          </cell>
          <cell r="Y118">
            <v>0.03</v>
          </cell>
        </row>
        <row r="119">
          <cell r="E119" t="str">
            <v>Bear Case</v>
          </cell>
          <cell r="U119">
            <v>-0.05</v>
          </cell>
          <cell r="V119">
            <v>-0.1</v>
          </cell>
          <cell r="W119">
            <v>-0.1</v>
          </cell>
          <cell r="X119">
            <v>0</v>
          </cell>
          <cell r="Y119">
            <v>0</v>
          </cell>
        </row>
        <row r="120">
          <cell r="E120" t="str">
            <v>Using Base Case</v>
          </cell>
          <cell r="U120">
            <v>0.03</v>
          </cell>
          <cell r="V120">
            <v>0.03</v>
          </cell>
          <cell r="W120">
            <v>0.03</v>
          </cell>
          <cell r="X120">
            <v>0.03</v>
          </cell>
          <cell r="Y120">
            <v>0.03</v>
          </cell>
        </row>
        <row r="121">
          <cell r="E121">
            <v>2</v>
          </cell>
        </row>
        <row r="124">
          <cell r="E124" t="str">
            <v>Information Assurance</v>
          </cell>
        </row>
        <row r="125">
          <cell r="E125" t="str">
            <v>Bull Case</v>
          </cell>
          <cell r="U125">
            <v>0.15</v>
          </cell>
          <cell r="V125">
            <v>0.1</v>
          </cell>
          <cell r="W125">
            <v>0.05</v>
          </cell>
          <cell r="X125">
            <v>0.03</v>
          </cell>
          <cell r="Y125">
            <v>0.03</v>
          </cell>
        </row>
        <row r="126">
          <cell r="E126" t="str">
            <v>Base Case</v>
          </cell>
          <cell r="U126">
            <v>0.1</v>
          </cell>
          <cell r="V126">
            <v>0.05</v>
          </cell>
          <cell r="W126">
            <v>0.03</v>
          </cell>
          <cell r="X126">
            <v>0.03</v>
          </cell>
          <cell r="Y126">
            <v>0.03</v>
          </cell>
        </row>
        <row r="127">
          <cell r="E127" t="str">
            <v>Bear Case</v>
          </cell>
          <cell r="U127">
            <v>-0.1</v>
          </cell>
          <cell r="V127">
            <v>-0.1</v>
          </cell>
          <cell r="W127">
            <v>-0.05</v>
          </cell>
          <cell r="X127">
            <v>0</v>
          </cell>
          <cell r="Y127">
            <v>0</v>
          </cell>
        </row>
        <row r="128">
          <cell r="E128" t="str">
            <v>Using Base Case</v>
          </cell>
          <cell r="U128">
            <v>0.1</v>
          </cell>
          <cell r="V128">
            <v>0.05</v>
          </cell>
          <cell r="W128">
            <v>0.03</v>
          </cell>
          <cell r="X128">
            <v>0.03</v>
          </cell>
          <cell r="Y128">
            <v>0.03</v>
          </cell>
        </row>
        <row r="129">
          <cell r="E129">
            <v>2</v>
          </cell>
        </row>
        <row r="132">
          <cell r="E132" t="str">
            <v>Government SatCom</v>
          </cell>
        </row>
        <row r="133">
          <cell r="E133" t="str">
            <v>Bull Case</v>
          </cell>
          <cell r="U133">
            <v>0.25</v>
          </cell>
          <cell r="V133">
            <v>0.2</v>
          </cell>
          <cell r="W133">
            <v>0.2</v>
          </cell>
          <cell r="X133">
            <v>0.15</v>
          </cell>
          <cell r="Y133">
            <v>0.1</v>
          </cell>
        </row>
        <row r="134">
          <cell r="E134" t="str">
            <v>Base Case</v>
          </cell>
          <cell r="U134">
            <v>0.15</v>
          </cell>
          <cell r="V134">
            <v>0.15</v>
          </cell>
          <cell r="W134">
            <v>0.1</v>
          </cell>
          <cell r="X134">
            <v>0.05</v>
          </cell>
          <cell r="Y134">
            <v>0.05</v>
          </cell>
        </row>
        <row r="135">
          <cell r="E135" t="str">
            <v>Bear Case</v>
          </cell>
          <cell r="U135">
            <v>0.1</v>
          </cell>
          <cell r="V135">
            <v>0.05</v>
          </cell>
          <cell r="W135">
            <v>-0.05</v>
          </cell>
          <cell r="X135">
            <v>0</v>
          </cell>
          <cell r="Y135">
            <v>0</v>
          </cell>
        </row>
        <row r="136">
          <cell r="E136" t="str">
            <v>Using Base Case</v>
          </cell>
          <cell r="U136">
            <v>0.15</v>
          </cell>
          <cell r="V136">
            <v>0.15</v>
          </cell>
          <cell r="W136">
            <v>0.1</v>
          </cell>
          <cell r="X136">
            <v>0.05</v>
          </cell>
          <cell r="Y136">
            <v>0.05</v>
          </cell>
        </row>
        <row r="137">
          <cell r="E137">
            <v>2</v>
          </cell>
        </row>
        <row r="140">
          <cell r="E140" t="str">
            <v>Government Systems Margins</v>
          </cell>
        </row>
        <row r="141">
          <cell r="E141" t="str">
            <v>Bull Case</v>
          </cell>
          <cell r="U141">
            <v>0.14499999999999999</v>
          </cell>
          <cell r="V141">
            <v>0.14499999999999999</v>
          </cell>
          <cell r="W141">
            <v>0.14499999999999999</v>
          </cell>
          <cell r="X141">
            <v>0.14499999999999999</v>
          </cell>
          <cell r="Y141">
            <v>0.14499999999999999</v>
          </cell>
        </row>
        <row r="142">
          <cell r="E142" t="str">
            <v>Base Case</v>
          </cell>
          <cell r="U142">
            <v>0.14499999999999999</v>
          </cell>
          <cell r="V142">
            <v>0.14249999999999999</v>
          </cell>
          <cell r="W142">
            <v>0.13999999999999999</v>
          </cell>
          <cell r="X142">
            <v>0.13749999999999998</v>
          </cell>
          <cell r="Y142">
            <v>0.13499999999999998</v>
          </cell>
        </row>
        <row r="143">
          <cell r="E143" t="str">
            <v>Bear Case</v>
          </cell>
          <cell r="U143">
            <v>0.14000000000000001</v>
          </cell>
          <cell r="V143">
            <v>0.13500000000000001</v>
          </cell>
          <cell r="W143">
            <v>0.13</v>
          </cell>
          <cell r="X143">
            <v>0.125</v>
          </cell>
          <cell r="Y143">
            <v>0.12</v>
          </cell>
        </row>
        <row r="144">
          <cell r="E144" t="str">
            <v>Using Base Case</v>
          </cell>
          <cell r="U144">
            <v>0.14499999999999999</v>
          </cell>
          <cell r="V144">
            <v>0.14249999999999999</v>
          </cell>
          <cell r="W144">
            <v>0.13999999999999999</v>
          </cell>
          <cell r="X144">
            <v>0.13749999999999998</v>
          </cell>
          <cell r="Y144">
            <v>0.13499999999999998</v>
          </cell>
        </row>
        <row r="145">
          <cell r="E145">
            <v>2</v>
          </cell>
        </row>
      </sheetData>
      <sheetData sheetId="5" refreshError="1">
        <row r="1">
          <cell r="A1" t="str">
            <v>ViaSat Inc.</v>
          </cell>
        </row>
        <row r="2">
          <cell r="A2" t="str">
            <v>Commercial Networks Segment Model</v>
          </cell>
        </row>
        <row r="3">
          <cell r="A3" t="str">
            <v>Morgan Stanley Research</v>
          </cell>
        </row>
        <row r="4">
          <cell r="A4" t="str">
            <v>($ in Millions Except EPS)</v>
          </cell>
        </row>
        <row r="5">
          <cell r="A5" t="str">
            <v>Fisacl Year Ends March 31</v>
          </cell>
        </row>
        <row r="6">
          <cell r="AA6" t="str">
            <v>2010A</v>
          </cell>
          <cell r="AE6" t="str">
            <v>2011E</v>
          </cell>
        </row>
        <row r="8">
          <cell r="AA8" t="str">
            <v>Q1A</v>
          </cell>
          <cell r="AB8" t="str">
            <v>Q2A</v>
          </cell>
          <cell r="AC8" t="str">
            <v>Q3A</v>
          </cell>
          <cell r="AD8" t="str">
            <v>Q4A</v>
          </cell>
          <cell r="AE8" t="str">
            <v>Q1A</v>
          </cell>
          <cell r="AF8" t="str">
            <v>Q2E</v>
          </cell>
          <cell r="AG8" t="str">
            <v>Q3E</v>
          </cell>
          <cell r="AH8" t="str">
            <v>Q4E</v>
          </cell>
        </row>
        <row r="9">
          <cell r="J9">
            <v>2001</v>
          </cell>
          <cell r="K9">
            <v>2002</v>
          </cell>
          <cell r="L9">
            <v>2003</v>
          </cell>
          <cell r="M9">
            <v>2004</v>
          </cell>
          <cell r="N9">
            <v>2005</v>
          </cell>
          <cell r="O9">
            <v>2006</v>
          </cell>
          <cell r="P9">
            <v>2007</v>
          </cell>
          <cell r="Q9">
            <v>2008</v>
          </cell>
          <cell r="R9">
            <v>2009</v>
          </cell>
          <cell r="S9" t="str">
            <v xml:space="preserve">2010A </v>
          </cell>
          <cell r="T9" t="str">
            <v xml:space="preserve">2011E </v>
          </cell>
          <cell r="U9" t="str">
            <v xml:space="preserve">2012E </v>
          </cell>
          <cell r="V9" t="str">
            <v xml:space="preserve">2013E </v>
          </cell>
          <cell r="W9" t="str">
            <v xml:space="preserve">2014E </v>
          </cell>
          <cell r="X9" t="str">
            <v xml:space="preserve">2015E </v>
          </cell>
          <cell r="Y9" t="str">
            <v xml:space="preserve">2016E </v>
          </cell>
          <cell r="AA9" t="str">
            <v>June</v>
          </cell>
          <cell r="AB9" t="str">
            <v>Sept</v>
          </cell>
          <cell r="AC9" t="str">
            <v>Dec</v>
          </cell>
          <cell r="AD9" t="str">
            <v>Mar</v>
          </cell>
          <cell r="AE9" t="str">
            <v>June</v>
          </cell>
          <cell r="AF9" t="str">
            <v>Sept</v>
          </cell>
          <cell r="AG9" t="str">
            <v>Dec</v>
          </cell>
          <cell r="AH9" t="str">
            <v>Mar</v>
          </cell>
        </row>
        <row r="10">
          <cell r="B10" t="str">
            <v>Summary Financials</v>
          </cell>
        </row>
        <row r="12">
          <cell r="C12" t="str">
            <v>Commercial Networks Revenue</v>
          </cell>
          <cell r="J12">
            <v>101.94199999999999</v>
          </cell>
          <cell r="K12">
            <v>132.88999999999999</v>
          </cell>
          <cell r="L12">
            <v>102.694</v>
          </cell>
          <cell r="M12">
            <v>154.15600000000001</v>
          </cell>
          <cell r="N12">
            <v>177.39100000000002</v>
          </cell>
          <cell r="O12">
            <v>229.45599999999999</v>
          </cell>
          <cell r="P12">
            <v>231.52600000000001</v>
          </cell>
          <cell r="Q12">
            <v>248.297</v>
          </cell>
          <cell r="R12">
            <v>230.828</v>
          </cell>
          <cell r="S12">
            <v>227.12</v>
          </cell>
          <cell r="T12">
            <v>227.83699999999999</v>
          </cell>
          <cell r="U12">
            <v>290.04995500000001</v>
          </cell>
          <cell r="V12">
            <v>314.44844060000003</v>
          </cell>
          <cell r="W12">
            <v>350.09096778000003</v>
          </cell>
          <cell r="X12">
            <v>371.02291826000004</v>
          </cell>
          <cell r="Y12">
            <v>387.45202924300008</v>
          </cell>
          <cell r="AA12">
            <v>63.33</v>
          </cell>
          <cell r="AB12">
            <v>54.37</v>
          </cell>
          <cell r="AC12">
            <v>55.009</v>
          </cell>
          <cell r="AD12">
            <v>54.411000000000001</v>
          </cell>
          <cell r="AE12">
            <v>45.619</v>
          </cell>
          <cell r="AF12">
            <v>55.119</v>
          </cell>
          <cell r="AG12">
            <v>60.119</v>
          </cell>
          <cell r="AH12">
            <v>66.97999999999999</v>
          </cell>
        </row>
        <row r="13">
          <cell r="D13" t="str">
            <v>Y/Y Growth</v>
          </cell>
          <cell r="K13">
            <v>0.30358439112436475</v>
          </cell>
          <cell r="L13">
            <v>-0.22722552487019332</v>
          </cell>
          <cell r="M13">
            <v>0.50111983173311003</v>
          </cell>
          <cell r="N13">
            <v>0.1507239419808506</v>
          </cell>
          <cell r="O13">
            <v>0.29350418003168133</v>
          </cell>
          <cell r="P13">
            <v>9.0213374241685518E-3</v>
          </cell>
          <cell r="Q13">
            <v>7.2436788956747877E-2</v>
          </cell>
          <cell r="R13">
            <v>-7.0355260031333411E-2</v>
          </cell>
          <cell r="S13">
            <v>-1.606390905782662E-2</v>
          </cell>
          <cell r="T13">
            <v>3.1569214512150445E-3</v>
          </cell>
          <cell r="U13">
            <v>0.27305905098820649</v>
          </cell>
          <cell r="V13">
            <v>8.4118218877158535E-2</v>
          </cell>
          <cell r="W13">
            <v>0.11334935263787727</v>
          </cell>
          <cell r="X13">
            <v>5.9790032895546741E-2</v>
          </cell>
          <cell r="Y13">
            <v>4.4280582612115316E-2</v>
          </cell>
        </row>
        <row r="15">
          <cell r="C15" t="str">
            <v>Commercial Networks Operating Profit</v>
          </cell>
          <cell r="J15">
            <v>8.968</v>
          </cell>
          <cell r="K15">
            <v>3.4049999999999998</v>
          </cell>
          <cell r="L15">
            <v>-22.062000000000001</v>
          </cell>
          <cell r="M15">
            <v>9.3940000000000001</v>
          </cell>
          <cell r="N15">
            <v>1.8909999999999998</v>
          </cell>
          <cell r="O15">
            <v>-2.9239999999999999</v>
          </cell>
          <cell r="P15">
            <v>4.2789999999999999</v>
          </cell>
          <cell r="Q15">
            <v>9.8019999999999996</v>
          </cell>
          <cell r="R15">
            <v>6.3E-2</v>
          </cell>
          <cell r="S15">
            <v>6.0910000000000002</v>
          </cell>
          <cell r="T15">
            <v>-1.7543399999999991</v>
          </cell>
          <cell r="U15">
            <v>0.10050044999999841</v>
          </cell>
          <cell r="V15">
            <v>3.2295572030000024</v>
          </cell>
          <cell r="W15">
            <v>7.0270193556000002</v>
          </cell>
          <cell r="X15">
            <v>11.257604055599998</v>
          </cell>
          <cell r="Y15">
            <v>13.813851743715006</v>
          </cell>
          <cell r="AA15">
            <v>1.335</v>
          </cell>
          <cell r="AB15">
            <v>2.4500000000000002</v>
          </cell>
          <cell r="AC15">
            <v>-0.83499999999999996</v>
          </cell>
          <cell r="AD15">
            <v>3.141</v>
          </cell>
          <cell r="AE15">
            <v>-1.17</v>
          </cell>
          <cell r="AF15">
            <v>-0.56400000000000006</v>
          </cell>
          <cell r="AG15">
            <v>-0.2240000000000002</v>
          </cell>
          <cell r="AH15">
            <v>0.20366000000000106</v>
          </cell>
        </row>
        <row r="16">
          <cell r="D16" t="str">
            <v>% Margin</v>
          </cell>
          <cell r="J16">
            <v>8.7971591689392017E-2</v>
          </cell>
          <cell r="K16">
            <v>2.5622695462412522E-2</v>
          </cell>
          <cell r="L16">
            <v>-0.21483241474672329</v>
          </cell>
          <cell r="M16">
            <v>6.0938270323568335E-2</v>
          </cell>
          <cell r="N16">
            <v>1.0660067308939009E-2</v>
          </cell>
          <cell r="O16">
            <v>-1.2743183878390629E-2</v>
          </cell>
          <cell r="P16">
            <v>1.8481725594533659E-2</v>
          </cell>
          <cell r="Q16">
            <v>3.9476916756948331E-2</v>
          </cell>
          <cell r="R16">
            <v>2.729304937009375E-4</v>
          </cell>
          <cell r="S16">
            <v>2.6818421979570271E-2</v>
          </cell>
          <cell r="T16">
            <v>-7.6999784933965915E-3</v>
          </cell>
          <cell r="U16">
            <v>3.4649358935428349E-4</v>
          </cell>
          <cell r="V16">
            <v>1.0270546092827411E-2</v>
          </cell>
          <cell r="W16">
            <v>2.0071981291490605E-2</v>
          </cell>
          <cell r="X16">
            <v>3.0342071881691843E-2</v>
          </cell>
          <cell r="Y16">
            <v>3.5653063350072969E-2</v>
          </cell>
          <cell r="AA16">
            <v>2.108005684509711E-2</v>
          </cell>
          <cell r="AB16">
            <v>4.5061614861136662E-2</v>
          </cell>
          <cell r="AC16">
            <v>-1.5179334290752421E-2</v>
          </cell>
          <cell r="AD16">
            <v>5.772729778905001E-2</v>
          </cell>
          <cell r="AE16">
            <v>-2.5647208400008767E-2</v>
          </cell>
          <cell r="AF16">
            <v>-1.0232406248299136E-2</v>
          </cell>
          <cell r="AG16">
            <v>-3.7259435453018213E-3</v>
          </cell>
          <cell r="AH16">
            <v>3.0406091370558538E-3</v>
          </cell>
        </row>
        <row r="18">
          <cell r="C18" t="str">
            <v>Total ViaSat Revenue</v>
          </cell>
          <cell r="J18">
            <v>164.35199999999998</v>
          </cell>
          <cell r="K18">
            <v>195.62799999999999</v>
          </cell>
          <cell r="L18">
            <v>185.02199999999999</v>
          </cell>
          <cell r="M18">
            <v>278.57900000000001</v>
          </cell>
          <cell r="N18">
            <v>345.93900000000002</v>
          </cell>
          <cell r="O18">
            <v>433.82299999999998</v>
          </cell>
          <cell r="P18">
            <v>516.56600000000003</v>
          </cell>
          <cell r="Q18">
            <v>574.65000000000009</v>
          </cell>
          <cell r="R18">
            <v>628.17900000000009</v>
          </cell>
          <cell r="S18">
            <v>688.07999999999993</v>
          </cell>
          <cell r="T18">
            <v>852.40589391387971</v>
          </cell>
          <cell r="U18">
            <v>1008.3384950443954</v>
          </cell>
          <cell r="V18">
            <v>1151.0503551268525</v>
          </cell>
          <cell r="W18">
            <v>1290.9946941740877</v>
          </cell>
          <cell r="X18">
            <v>1393.2006559624019</v>
          </cell>
          <cell r="Y18">
            <v>1482.2260108628577</v>
          </cell>
          <cell r="AA18">
            <v>158.40799999999999</v>
          </cell>
          <cell r="AB18">
            <v>160.666</v>
          </cell>
          <cell r="AC18">
            <v>156.36399999999998</v>
          </cell>
          <cell r="AD18">
            <v>212.642</v>
          </cell>
          <cell r="AE18">
            <v>192.00399999999999</v>
          </cell>
          <cell r="AF18">
            <v>197.88900000000001</v>
          </cell>
          <cell r="AG18">
            <v>218.72049419065155</v>
          </cell>
          <cell r="AH18">
            <v>243.79239972322819</v>
          </cell>
        </row>
        <row r="19">
          <cell r="D19" t="str">
            <v>Commercial Networks % Total</v>
          </cell>
          <cell r="J19">
            <v>0.62026625778816202</v>
          </cell>
          <cell r="K19">
            <v>0.67929948678103336</v>
          </cell>
          <cell r="L19">
            <v>0.55503669833857594</v>
          </cell>
          <cell r="M19">
            <v>0.55336547263074387</v>
          </cell>
          <cell r="N19">
            <v>0.51278115505912891</v>
          </cell>
          <cell r="O19">
            <v>0.52891617088075094</v>
          </cell>
          <cell r="P19">
            <v>0.44820216584134459</v>
          </cell>
          <cell r="Q19">
            <v>0.43208387714260849</v>
          </cell>
          <cell r="R19">
            <v>0.36745577295643433</v>
          </cell>
          <cell r="S19">
            <v>0.33007789791884667</v>
          </cell>
          <cell r="T19">
            <v>0.26728698338050066</v>
          </cell>
          <cell r="U19">
            <v>0.28765137543145136</v>
          </cell>
          <cell r="V19">
            <v>0.2731839134573274</v>
          </cell>
          <cell r="W19">
            <v>0.27117924601848986</v>
          </cell>
          <cell r="X19">
            <v>0.26630974990727596</v>
          </cell>
          <cell r="Y19">
            <v>0.26139875187958017</v>
          </cell>
          <cell r="AA19">
            <v>0.399790414625524</v>
          </cell>
          <cell r="AB19">
            <v>0.3384038937920904</v>
          </cell>
          <cell r="AC19">
            <v>0.35180092604435809</v>
          </cell>
          <cell r="AD19">
            <v>0.25588077614017929</v>
          </cell>
          <cell r="AE19">
            <v>0.23759400845815712</v>
          </cell>
          <cell r="AF19">
            <v>0.27853493625214132</v>
          </cell>
          <cell r="AG19">
            <v>0.27486678933523356</v>
          </cell>
          <cell r="AH19">
            <v>0.27474195289123376</v>
          </cell>
        </row>
        <row r="22">
          <cell r="B22" t="str">
            <v>Revenue Build</v>
          </cell>
        </row>
        <row r="24">
          <cell r="C24" t="str">
            <v>Antenna Systems</v>
          </cell>
          <cell r="J24">
            <v>44</v>
          </cell>
          <cell r="K24">
            <v>43</v>
          </cell>
          <cell r="L24">
            <v>28.7</v>
          </cell>
          <cell r="M24">
            <v>42.606999999999999</v>
          </cell>
          <cell r="N24">
            <v>39.42</v>
          </cell>
          <cell r="O24">
            <v>47.191000000000003</v>
          </cell>
          <cell r="P24">
            <v>39.612000000000002</v>
          </cell>
          <cell r="Q24">
            <v>54.412000000000006</v>
          </cell>
          <cell r="R24">
            <v>50.782159999999998</v>
          </cell>
          <cell r="S24">
            <v>60.182159999999996</v>
          </cell>
          <cell r="T24">
            <v>80</v>
          </cell>
          <cell r="U24">
            <v>92</v>
          </cell>
          <cell r="V24">
            <v>101.2</v>
          </cell>
          <cell r="W24">
            <v>106.26</v>
          </cell>
          <cell r="X24">
            <v>111.57300000000001</v>
          </cell>
          <cell r="Y24">
            <v>117.15165000000002</v>
          </cell>
          <cell r="AA24">
            <v>11.2</v>
          </cell>
          <cell r="AB24">
            <v>14</v>
          </cell>
          <cell r="AC24">
            <v>16</v>
          </cell>
          <cell r="AD24">
            <v>18.982159999999993</v>
          </cell>
          <cell r="AE24">
            <v>20</v>
          </cell>
          <cell r="AF24">
            <v>20</v>
          </cell>
          <cell r="AG24">
            <v>20</v>
          </cell>
          <cell r="AH24">
            <v>20</v>
          </cell>
        </row>
        <row r="25">
          <cell r="D25" t="str">
            <v>Y/Y Growth</v>
          </cell>
          <cell r="N25">
            <v>-7.4799915506841508E-2</v>
          </cell>
          <cell r="O25">
            <v>0.19713343480466761</v>
          </cell>
          <cell r="P25">
            <v>-0.16060265728634693</v>
          </cell>
          <cell r="Q25">
            <v>0.37362415429667784</v>
          </cell>
          <cell r="R25">
            <v>-6.6710284496067196E-2</v>
          </cell>
          <cell r="S25">
            <v>0.18510437523728807</v>
          </cell>
          <cell r="T25">
            <v>0.32929758586265434</v>
          </cell>
          <cell r="U25">
            <v>0.15</v>
          </cell>
          <cell r="V25">
            <v>0.1</v>
          </cell>
          <cell r="W25">
            <v>0.05</v>
          </cell>
          <cell r="X25">
            <v>0.05</v>
          </cell>
          <cell r="Y25">
            <v>0.05</v>
          </cell>
          <cell r="AE25">
            <v>0.78571428571428581</v>
          </cell>
          <cell r="AF25">
            <v>0.4285714285714286</v>
          </cell>
          <cell r="AG25">
            <v>0.25</v>
          </cell>
          <cell r="AH25">
            <v>5.3620873493849253E-2</v>
          </cell>
        </row>
        <row r="26">
          <cell r="D26" t="str">
            <v>% Commercial Networks Revenue</v>
          </cell>
          <cell r="K26">
            <v>0.32357588983369706</v>
          </cell>
          <cell r="L26">
            <v>0.27947104991528227</v>
          </cell>
          <cell r="M26">
            <v>0.27638885285035936</v>
          </cell>
          <cell r="N26">
            <v>0.22222096949676137</v>
          </cell>
          <cell r="O26">
            <v>0.20566470260093442</v>
          </cell>
          <cell r="P26">
            <v>0.17109093579122864</v>
          </cell>
          <cell r="Q26">
            <v>0.21914078704132553</v>
          </cell>
          <cell r="R26">
            <v>0.22</v>
          </cell>
          <cell r="S26">
            <v>0.26497957027122226</v>
          </cell>
          <cell r="T26">
            <v>0.35112821885821882</v>
          </cell>
          <cell r="U26">
            <v>0.3171867411598116</v>
          </cell>
          <cell r="V26">
            <v>0.32183336577182564</v>
          </cell>
          <cell r="W26">
            <v>0.30352111245204888</v>
          </cell>
          <cell r="X26">
            <v>0.3007172724618955</v>
          </cell>
          <cell r="Y26">
            <v>0.30236427004625516</v>
          </cell>
        </row>
        <row r="28">
          <cell r="C28" t="str">
            <v>Enterprise VSAT Networks and Products</v>
          </cell>
          <cell r="J28">
            <v>47.662079999999989</v>
          </cell>
          <cell r="K28">
            <v>60.644679999999994</v>
          </cell>
          <cell r="L28">
            <v>62.90748</v>
          </cell>
          <cell r="M28">
            <v>78.002120000000005</v>
          </cell>
          <cell r="N28">
            <v>89.944140000000004</v>
          </cell>
          <cell r="O28">
            <v>82.426369999999991</v>
          </cell>
          <cell r="P28">
            <v>77.484899999999996</v>
          </cell>
          <cell r="Q28">
            <v>40.225500000000011</v>
          </cell>
          <cell r="R28">
            <v>43.972530000000013</v>
          </cell>
          <cell r="S28">
            <v>55.046399999999998</v>
          </cell>
          <cell r="T28">
            <v>35</v>
          </cell>
          <cell r="U28">
            <v>36.050000000000004</v>
          </cell>
          <cell r="V28">
            <v>37.131500000000003</v>
          </cell>
          <cell r="W28">
            <v>38.245445000000004</v>
          </cell>
          <cell r="X28">
            <v>39.392808350000003</v>
          </cell>
          <cell r="Y28">
            <v>40.574592600500004</v>
          </cell>
          <cell r="AA28">
            <v>19.600000000000001</v>
          </cell>
          <cell r="AB28">
            <v>12</v>
          </cell>
          <cell r="AC28">
            <v>12</v>
          </cell>
          <cell r="AD28">
            <v>11.446399999999997</v>
          </cell>
          <cell r="AE28">
            <v>5</v>
          </cell>
          <cell r="AF28">
            <v>8</v>
          </cell>
          <cell r="AG28">
            <v>10</v>
          </cell>
          <cell r="AH28">
            <v>12</v>
          </cell>
        </row>
        <row r="29">
          <cell r="D29" t="str">
            <v>Y/Y Growth</v>
          </cell>
          <cell r="K29">
            <v>0.27238844800730488</v>
          </cell>
          <cell r="L29">
            <v>3.7312423777320802E-2</v>
          </cell>
          <cell r="M29">
            <v>0.23994984380235862</v>
          </cell>
          <cell r="N29">
            <v>0.15309865936977096</v>
          </cell>
          <cell r="O29">
            <v>-8.3582654745489982E-2</v>
          </cell>
          <cell r="P29">
            <v>-5.9950110626004749E-2</v>
          </cell>
          <cell r="Q29">
            <v>-0.48086014178246328</v>
          </cell>
          <cell r="R29">
            <v>9.3150613416862482E-2</v>
          </cell>
          <cell r="S29">
            <v>0.25183608948586733</v>
          </cell>
          <cell r="T29">
            <v>-0.36417277060806885</v>
          </cell>
          <cell r="U29">
            <v>0.03</v>
          </cell>
          <cell r="V29">
            <v>0.03</v>
          </cell>
          <cell r="W29">
            <v>0.03</v>
          </cell>
          <cell r="X29">
            <v>0.03</v>
          </cell>
          <cell r="Y29">
            <v>0.03</v>
          </cell>
          <cell r="AE29">
            <v>-0.74489795918367352</v>
          </cell>
          <cell r="AF29">
            <v>-0.33333333333333337</v>
          </cell>
          <cell r="AG29">
            <v>-0.16666666666666663</v>
          </cell>
          <cell r="AH29">
            <v>4.8364551299972414E-2</v>
          </cell>
        </row>
        <row r="30">
          <cell r="D30" t="str">
            <v>% Commercial Networks Revenue</v>
          </cell>
          <cell r="K30">
            <v>0.4563524719692979</v>
          </cell>
          <cell r="L30">
            <v>0.61257210742594503</v>
          </cell>
          <cell r="M30">
            <v>0.50599470666078517</v>
          </cell>
          <cell r="N30">
            <v>0.50703891403735246</v>
          </cell>
          <cell r="O30">
            <v>0.35922516735234639</v>
          </cell>
          <cell r="P30">
            <v>0.33467040418786653</v>
          </cell>
          <cell r="Q30">
            <v>0.16200558202475265</v>
          </cell>
          <cell r="R30">
            <v>0.19049911622506807</v>
          </cell>
          <cell r="S30">
            <v>0.24236703064459317</v>
          </cell>
          <cell r="T30">
            <v>0.15361859575047074</v>
          </cell>
          <cell r="U30">
            <v>0.12428893498707835</v>
          </cell>
          <cell r="V30">
            <v>0.11808454171103305</v>
          </cell>
          <cell r="W30">
            <v>0.10924430653701911</v>
          </cell>
          <cell r="X30">
            <v>0.10617351762188147</v>
          </cell>
          <cell r="Y30">
            <v>0.10472159012761977</v>
          </cell>
        </row>
        <row r="31">
          <cell r="D31" t="str">
            <v>% Total Revenue</v>
          </cell>
          <cell r="J31">
            <v>0.28999999999999998</v>
          </cell>
          <cell r="K31">
            <v>0.31</v>
          </cell>
          <cell r="L31">
            <v>0.34</v>
          </cell>
          <cell r="M31">
            <v>0.28000000000000003</v>
          </cell>
          <cell r="N31">
            <v>0.26</v>
          </cell>
          <cell r="O31">
            <v>0.19</v>
          </cell>
          <cell r="P31">
            <v>0.15</v>
          </cell>
          <cell r="Q31">
            <v>7.0000000000000007E-2</v>
          </cell>
          <cell r="R31">
            <v>7.0000000000000007E-2</v>
          </cell>
          <cell r="S31">
            <v>0.08</v>
          </cell>
          <cell r="T31">
            <v>4.1060251049291924E-2</v>
          </cell>
          <cell r="U31">
            <v>3.5751883099943323E-2</v>
          </cell>
          <cell r="V31">
            <v>3.2258797223435019E-2</v>
          </cell>
          <cell r="W31">
            <v>2.9624788678521627E-2</v>
          </cell>
          <cell r="X31">
            <v>2.8275042924659009E-2</v>
          </cell>
          <cell r="Y31">
            <v>2.7374092954204777E-2</v>
          </cell>
        </row>
        <row r="33">
          <cell r="C33" t="str">
            <v>Consumer Broadband</v>
          </cell>
          <cell r="J33">
            <v>5</v>
          </cell>
          <cell r="K33">
            <v>15</v>
          </cell>
          <cell r="L33">
            <v>1</v>
          </cell>
          <cell r="M33">
            <v>6.5</v>
          </cell>
          <cell r="N33">
            <v>15</v>
          </cell>
          <cell r="O33">
            <v>49</v>
          </cell>
          <cell r="P33">
            <v>75.3</v>
          </cell>
          <cell r="Q33">
            <v>99</v>
          </cell>
          <cell r="R33">
            <v>65</v>
          </cell>
          <cell r="S33">
            <v>49.3</v>
          </cell>
          <cell r="T33">
            <v>42</v>
          </cell>
          <cell r="U33">
            <v>56.7</v>
          </cell>
          <cell r="V33">
            <v>85.050000000000011</v>
          </cell>
          <cell r="W33">
            <v>110.56500000000001</v>
          </cell>
          <cell r="X33">
            <v>121.62150000000003</v>
          </cell>
          <cell r="Y33">
            <v>133.78365000000005</v>
          </cell>
          <cell r="AA33">
            <v>12.5</v>
          </cell>
          <cell r="AB33">
            <v>12.5</v>
          </cell>
          <cell r="AC33">
            <v>12.5</v>
          </cell>
          <cell r="AD33">
            <v>11.799999999999997</v>
          </cell>
          <cell r="AE33">
            <v>5</v>
          </cell>
          <cell r="AF33">
            <v>10</v>
          </cell>
          <cell r="AG33">
            <v>12</v>
          </cell>
          <cell r="AH33">
            <v>15</v>
          </cell>
        </row>
        <row r="34">
          <cell r="D34" t="str">
            <v>Y/Y Growth</v>
          </cell>
          <cell r="K34">
            <v>2</v>
          </cell>
          <cell r="L34">
            <v>-0.93333333333333335</v>
          </cell>
          <cell r="M34">
            <v>5.5</v>
          </cell>
          <cell r="N34">
            <v>1.3076923076923075</v>
          </cell>
          <cell r="O34">
            <v>2.2666666666666666</v>
          </cell>
          <cell r="P34">
            <v>0.53673469387755102</v>
          </cell>
          <cell r="Q34">
            <v>0.31474103585657365</v>
          </cell>
          <cell r="R34">
            <v>-0.34343434343434343</v>
          </cell>
          <cell r="S34">
            <v>-0.24153846153846159</v>
          </cell>
          <cell r="T34">
            <v>-0.14807302231237318</v>
          </cell>
          <cell r="U34">
            <v>0.35</v>
          </cell>
          <cell r="V34">
            <v>0.5</v>
          </cell>
          <cell r="W34">
            <v>0.3</v>
          </cell>
          <cell r="X34">
            <v>0.1</v>
          </cell>
          <cell r="Y34">
            <v>0.1</v>
          </cell>
          <cell r="AE34">
            <v>-0.6</v>
          </cell>
          <cell r="AF34">
            <v>-0.19999999999999996</v>
          </cell>
          <cell r="AG34">
            <v>-4.0000000000000036E-2</v>
          </cell>
          <cell r="AH34">
            <v>0.27118644067796649</v>
          </cell>
        </row>
        <row r="35">
          <cell r="D35" t="str">
            <v>% Commercial Networks Revenue</v>
          </cell>
          <cell r="J35">
            <v>4.9047497596672623E-2</v>
          </cell>
          <cell r="K35">
            <v>0.11287531040710364</v>
          </cell>
          <cell r="L35">
            <v>9.7376672444349222E-3</v>
          </cell>
          <cell r="M35">
            <v>4.2165079529826927E-2</v>
          </cell>
          <cell r="N35">
            <v>8.4558968606073578E-2</v>
          </cell>
          <cell r="O35">
            <v>0.21354856704553379</v>
          </cell>
          <cell r="P35">
            <v>0.32523345110268392</v>
          </cell>
          <cell r="Q35">
            <v>0.39871605375820085</v>
          </cell>
          <cell r="R35">
            <v>0.28159495381842758</v>
          </cell>
          <cell r="S35">
            <v>0.21706586826347304</v>
          </cell>
          <cell r="T35">
            <v>0.18434231490056488</v>
          </cell>
          <cell r="U35">
            <v>0.19548356764957953</v>
          </cell>
          <cell r="V35">
            <v>0.27047359445547209</v>
          </cell>
          <cell r="W35">
            <v>0.31581791641502716</v>
          </cell>
          <cell r="X35">
            <v>0.32780050507492337</v>
          </cell>
          <cell r="Y35">
            <v>0.34529087448937928</v>
          </cell>
        </row>
        <row r="37">
          <cell r="C37" t="str">
            <v>Maritime</v>
          </cell>
          <cell r="T37">
            <v>25</v>
          </cell>
          <cell r="U37">
            <v>25</v>
          </cell>
          <cell r="V37">
            <v>25.005000000000003</v>
          </cell>
          <cell r="W37">
            <v>25.010000000000005</v>
          </cell>
          <cell r="X37">
            <v>25.015000000000004</v>
          </cell>
          <cell r="Y37">
            <v>25.020000000000007</v>
          </cell>
        </row>
        <row r="38">
          <cell r="C38" t="str">
            <v>Rails</v>
          </cell>
          <cell r="T38">
            <v>0</v>
          </cell>
          <cell r="U38">
            <v>6</v>
          </cell>
          <cell r="V38">
            <v>12</v>
          </cell>
          <cell r="W38">
            <v>12</v>
          </cell>
          <cell r="X38">
            <v>12</v>
          </cell>
          <cell r="Y38">
            <v>12</v>
          </cell>
        </row>
        <row r="39">
          <cell r="C39" t="str">
            <v>Business Jets</v>
          </cell>
          <cell r="T39">
            <v>11.361000000000002</v>
          </cell>
          <cell r="U39">
            <v>12.749955000000003</v>
          </cell>
          <cell r="V39">
            <v>16.061940600000007</v>
          </cell>
          <cell r="W39">
            <v>20.160522780000012</v>
          </cell>
          <cell r="X39">
            <v>23.120609910000013</v>
          </cell>
          <cell r="Y39">
            <v>22.722136642500018</v>
          </cell>
        </row>
        <row r="40">
          <cell r="C40" t="str">
            <v>Commercial Aircraft</v>
          </cell>
          <cell r="T40">
            <v>0</v>
          </cell>
          <cell r="U40">
            <v>26.55</v>
          </cell>
          <cell r="V40">
            <v>3</v>
          </cell>
          <cell r="W40">
            <v>2.85</v>
          </cell>
          <cell r="X40">
            <v>3.3</v>
          </cell>
          <cell r="Y40">
            <v>1.2</v>
          </cell>
        </row>
        <row r="41">
          <cell r="C41" t="str">
            <v>Mobile Broadband</v>
          </cell>
          <cell r="K41">
            <v>4</v>
          </cell>
          <cell r="L41">
            <v>6</v>
          </cell>
          <cell r="M41">
            <v>3</v>
          </cell>
          <cell r="N41">
            <v>11</v>
          </cell>
          <cell r="O41">
            <v>17.5</v>
          </cell>
          <cell r="P41">
            <v>7.7</v>
          </cell>
          <cell r="Q41">
            <v>20</v>
          </cell>
          <cell r="R41">
            <v>39.200000000000003</v>
          </cell>
          <cell r="S41">
            <v>27.400000000000002</v>
          </cell>
          <cell r="T41">
            <v>36.361000000000004</v>
          </cell>
          <cell r="U41">
            <v>70.299954999999997</v>
          </cell>
          <cell r="V41">
            <v>56.066940600000009</v>
          </cell>
          <cell r="W41">
            <v>60.020522780000015</v>
          </cell>
          <cell r="X41">
            <v>63.435609910000011</v>
          </cell>
          <cell r="Y41">
            <v>60.942136642500031</v>
          </cell>
          <cell r="AA41">
            <v>6.4110000000000014</v>
          </cell>
          <cell r="AB41">
            <v>7</v>
          </cell>
          <cell r="AC41">
            <v>7</v>
          </cell>
          <cell r="AD41">
            <v>6.9890000000000008</v>
          </cell>
          <cell r="AE41">
            <v>7</v>
          </cell>
          <cell r="AF41">
            <v>8.5</v>
          </cell>
          <cell r="AG41">
            <v>9.5</v>
          </cell>
          <cell r="AH41">
            <v>11.361000000000004</v>
          </cell>
        </row>
        <row r="42">
          <cell r="D42" t="str">
            <v>Y/Y Growth</v>
          </cell>
          <cell r="L42">
            <v>0.5</v>
          </cell>
          <cell r="M42">
            <v>-0.5</v>
          </cell>
          <cell r="N42">
            <v>2.6666666666666665</v>
          </cell>
          <cell r="O42">
            <v>0.59090909090909083</v>
          </cell>
          <cell r="P42">
            <v>-0.56000000000000005</v>
          </cell>
          <cell r="Q42">
            <v>1.5974025974025974</v>
          </cell>
          <cell r="R42">
            <v>0.96000000000000019</v>
          </cell>
          <cell r="S42">
            <v>-0.30102040816326525</v>
          </cell>
          <cell r="T42">
            <v>0.32704379562043795</v>
          </cell>
          <cell r="U42">
            <v>0.93338893319765659</v>
          </cell>
          <cell r="V42">
            <v>-0.20246121636919945</v>
          </cell>
          <cell r="W42">
            <v>7.0515389955128072E-2</v>
          </cell>
          <cell r="X42">
            <v>5.6898656856383845E-2</v>
          </cell>
          <cell r="Y42">
            <v>-3.9307153679733253E-2</v>
          </cell>
          <cell r="AE42">
            <v>9.1873342692247562E-2</v>
          </cell>
          <cell r="AF42">
            <v>0.21428571428571419</v>
          </cell>
          <cell r="AG42">
            <v>0.35714285714285721</v>
          </cell>
          <cell r="AH42">
            <v>0.62555444269566496</v>
          </cell>
        </row>
        <row r="43">
          <cell r="D43" t="str">
            <v>% Commercial Networks Revenue</v>
          </cell>
          <cell r="K43">
            <v>3.0100082775227636E-2</v>
          </cell>
          <cell r="L43">
            <v>5.842600346660954E-2</v>
          </cell>
          <cell r="M43">
            <v>1.9460805936843198E-2</v>
          </cell>
          <cell r="N43">
            <v>6.2009910311120624E-2</v>
          </cell>
          <cell r="O43">
            <v>7.6267345373404932E-2</v>
          </cell>
          <cell r="P43">
            <v>3.3257603897618407E-2</v>
          </cell>
          <cell r="Q43">
            <v>8.0548697728929475E-2</v>
          </cell>
          <cell r="R43">
            <v>0.16982341830280556</v>
          </cell>
          <cell r="S43">
            <v>0.12064107079957732</v>
          </cell>
          <cell r="T43">
            <v>0.15959216457379621</v>
          </cell>
          <cell r="U43">
            <v>0.24237188728403697</v>
          </cell>
          <cell r="V43">
            <v>0.17830249211291527</v>
          </cell>
          <cell r="W43">
            <v>0.17144264863673203</v>
          </cell>
          <cell r="X43">
            <v>0.17097490960260986</v>
          </cell>
          <cell r="Y43">
            <v>0.15728950177798312</v>
          </cell>
        </row>
        <row r="45">
          <cell r="C45" t="str">
            <v>Technology Labs and Other</v>
          </cell>
          <cell r="J45">
            <v>5.2799200000000042</v>
          </cell>
          <cell r="K45">
            <v>10.245319999999992</v>
          </cell>
          <cell r="L45">
            <v>4.0865200000000073</v>
          </cell>
          <cell r="M45">
            <v>24.046879999999987</v>
          </cell>
          <cell r="N45">
            <v>22.026859999999999</v>
          </cell>
          <cell r="O45">
            <v>33.338629999999995</v>
          </cell>
          <cell r="P45">
            <v>31.429100000000005</v>
          </cell>
          <cell r="Q45">
            <v>34.65949999999998</v>
          </cell>
          <cell r="R45">
            <v>31.873309999999975</v>
          </cell>
          <cell r="S45">
            <v>35.19144</v>
          </cell>
          <cell r="T45">
            <v>34.475999999999999</v>
          </cell>
          <cell r="U45">
            <v>35</v>
          </cell>
          <cell r="V45">
            <v>35</v>
          </cell>
          <cell r="W45">
            <v>35</v>
          </cell>
          <cell r="X45">
            <v>35</v>
          </cell>
          <cell r="Y45">
            <v>35</v>
          </cell>
          <cell r="AA45">
            <v>13.619</v>
          </cell>
          <cell r="AB45">
            <v>8.8699999999999974</v>
          </cell>
          <cell r="AC45">
            <v>7.5090000000000003</v>
          </cell>
          <cell r="AD45">
            <v>5.1934400000000096</v>
          </cell>
          <cell r="AE45">
            <v>8.6189999999999998</v>
          </cell>
          <cell r="AF45">
            <v>8.6189999999999998</v>
          </cell>
          <cell r="AG45">
            <v>8.6189999999999998</v>
          </cell>
          <cell r="AH45">
            <v>8.6189999999999998</v>
          </cell>
        </row>
        <row r="47">
          <cell r="C47" t="str">
            <v>Total Commercial Networks Revenue</v>
          </cell>
          <cell r="J47">
            <v>101.94199999999999</v>
          </cell>
          <cell r="K47">
            <v>132.88999999999999</v>
          </cell>
          <cell r="L47">
            <v>102.694</v>
          </cell>
          <cell r="M47">
            <v>154.15600000000001</v>
          </cell>
          <cell r="N47">
            <v>177.39100000000002</v>
          </cell>
          <cell r="O47">
            <v>229.45599999999999</v>
          </cell>
          <cell r="P47">
            <v>231.52600000000001</v>
          </cell>
          <cell r="Q47">
            <v>248.297</v>
          </cell>
          <cell r="R47">
            <v>230.828</v>
          </cell>
          <cell r="S47">
            <v>227.12</v>
          </cell>
          <cell r="T47">
            <v>227.83699999999999</v>
          </cell>
          <cell r="U47">
            <v>290.04995500000001</v>
          </cell>
          <cell r="V47">
            <v>314.44844060000003</v>
          </cell>
          <cell r="W47">
            <v>350.09096778000003</v>
          </cell>
          <cell r="X47">
            <v>371.02291826000004</v>
          </cell>
          <cell r="Y47">
            <v>387.45202924300008</v>
          </cell>
          <cell r="AA47">
            <v>63.33</v>
          </cell>
          <cell r="AB47">
            <v>54.37</v>
          </cell>
          <cell r="AC47">
            <v>55.009</v>
          </cell>
          <cell r="AD47">
            <v>54.411000000000001</v>
          </cell>
          <cell r="AE47">
            <v>45.619</v>
          </cell>
          <cell r="AF47">
            <v>55.119</v>
          </cell>
          <cell r="AG47">
            <v>60.119</v>
          </cell>
          <cell r="AH47">
            <v>66.98</v>
          </cell>
        </row>
        <row r="48">
          <cell r="D48" t="str">
            <v>Y/Y Growth</v>
          </cell>
          <cell r="K48">
            <v>0.30358439112436475</v>
          </cell>
          <cell r="L48">
            <v>-0.22722552487019332</v>
          </cell>
          <cell r="M48">
            <v>0.50111983173311003</v>
          </cell>
          <cell r="N48">
            <v>0.1507239419808506</v>
          </cell>
          <cell r="O48">
            <v>0.29350418003168133</v>
          </cell>
          <cell r="P48">
            <v>9.0213374241685518E-3</v>
          </cell>
          <cell r="Q48">
            <v>7.2436788956747877E-2</v>
          </cell>
          <cell r="R48">
            <v>-7.0355260031333411E-2</v>
          </cell>
          <cell r="S48">
            <v>-1.606390905782662E-2</v>
          </cell>
          <cell r="T48">
            <v>3.1569214512150445E-3</v>
          </cell>
          <cell r="U48">
            <v>0.27305905098820649</v>
          </cell>
          <cell r="V48">
            <v>8.4118218877158535E-2</v>
          </cell>
          <cell r="W48">
            <v>0.11334935263787727</v>
          </cell>
          <cell r="X48">
            <v>5.9790032895546741E-2</v>
          </cell>
          <cell r="Y48">
            <v>4.4280582612115316E-2</v>
          </cell>
          <cell r="AE48">
            <v>-0.27966208747828836</v>
          </cell>
          <cell r="AF48">
            <v>1.3775979400404648E-2</v>
          </cell>
          <cell r="AG48">
            <v>9.2893890090712361E-2</v>
          </cell>
          <cell r="AH48">
            <v>0.23100108433956379</v>
          </cell>
        </row>
        <row r="49">
          <cell r="D49" t="str">
            <v>Check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AA49">
            <v>0</v>
          </cell>
          <cell r="AB49">
            <v>0</v>
          </cell>
          <cell r="AC49">
            <v>0</v>
          </cell>
          <cell r="AD49">
            <v>0</v>
          </cell>
          <cell r="AE49">
            <v>0</v>
          </cell>
          <cell r="AF49">
            <v>0</v>
          </cell>
          <cell r="AG49">
            <v>0</v>
          </cell>
          <cell r="AH49">
            <v>0</v>
          </cell>
        </row>
        <row r="52">
          <cell r="C52" t="str">
            <v>Incremental Revenue</v>
          </cell>
        </row>
        <row r="53">
          <cell r="C53" t="str">
            <v>Antenna Systems</v>
          </cell>
          <cell r="J53">
            <v>35.200000000000003</v>
          </cell>
          <cell r="K53">
            <v>60.182159999999996</v>
          </cell>
          <cell r="L53">
            <v>95.382159999999999</v>
          </cell>
          <cell r="O53">
            <v>7.7710000000000008</v>
          </cell>
          <cell r="P53">
            <v>-7.5790000000000006</v>
          </cell>
          <cell r="Q53">
            <v>14.8</v>
          </cell>
          <cell r="R53">
            <v>-3.6298400000000086</v>
          </cell>
          <cell r="S53">
            <v>9.4</v>
          </cell>
          <cell r="AA53">
            <v>-2.6</v>
          </cell>
          <cell r="AB53">
            <v>2.5</v>
          </cell>
          <cell r="AC53">
            <v>4.7</v>
          </cell>
          <cell r="AD53">
            <v>4.8000000000000007</v>
          </cell>
          <cell r="AE53">
            <v>8.8000000000000007</v>
          </cell>
        </row>
        <row r="54">
          <cell r="C54" t="str">
            <v>Enterprise VSAT Networks and Products</v>
          </cell>
          <cell r="J54">
            <v>-58.4</v>
          </cell>
          <cell r="K54">
            <v>55.046399999999998</v>
          </cell>
          <cell r="L54">
            <v>-3.3536000000000001</v>
          </cell>
          <cell r="Q54">
            <v>-25.3</v>
          </cell>
          <cell r="R54">
            <v>-2.2000000000000002</v>
          </cell>
          <cell r="S54">
            <v>13.5</v>
          </cell>
          <cell r="AA54">
            <v>7.6</v>
          </cell>
          <cell r="AB54">
            <v>0.8</v>
          </cell>
          <cell r="AC54">
            <v>6.6</v>
          </cell>
          <cell r="AD54">
            <v>-1.5</v>
          </cell>
          <cell r="AE54">
            <v>-14.6</v>
          </cell>
        </row>
        <row r="55">
          <cell r="C55" t="str">
            <v>Consumer Broadband</v>
          </cell>
          <cell r="J55">
            <v>-30</v>
          </cell>
          <cell r="K55">
            <v>49.3</v>
          </cell>
          <cell r="L55">
            <v>19.299999999999997</v>
          </cell>
          <cell r="P55">
            <v>26.3</v>
          </cell>
          <cell r="Q55">
            <v>23.7</v>
          </cell>
          <cell r="R55">
            <v>-34</v>
          </cell>
          <cell r="S55">
            <v>-15.7</v>
          </cell>
          <cell r="AA55">
            <v>-4.2</v>
          </cell>
          <cell r="AB55">
            <v>-4.3</v>
          </cell>
          <cell r="AC55">
            <v>-4.2</v>
          </cell>
          <cell r="AD55">
            <v>-3</v>
          </cell>
          <cell r="AE55">
            <v>-7.5</v>
          </cell>
        </row>
        <row r="56">
          <cell r="C56" t="str">
            <v>Mobile Broadband</v>
          </cell>
          <cell r="J56">
            <v>0</v>
          </cell>
          <cell r="K56">
            <v>27.400000000000002</v>
          </cell>
          <cell r="L56">
            <v>27.400000000000002</v>
          </cell>
          <cell r="P56">
            <v>-9.8000000000000007</v>
          </cell>
          <cell r="R56">
            <v>19.2</v>
          </cell>
          <cell r="S56">
            <v>-11.8</v>
          </cell>
          <cell r="AB56">
            <v>-3.9</v>
          </cell>
          <cell r="AC56">
            <v>-5.4</v>
          </cell>
          <cell r="AD56">
            <v>-2.5</v>
          </cell>
        </row>
        <row r="57">
          <cell r="C57" t="str">
            <v>Technology Labs and Other</v>
          </cell>
          <cell r="J57">
            <v>-20</v>
          </cell>
          <cell r="K57">
            <v>35.19144</v>
          </cell>
          <cell r="L57">
            <v>15.19144</v>
          </cell>
          <cell r="AD57">
            <v>0</v>
          </cell>
          <cell r="AE57">
            <v>-5</v>
          </cell>
        </row>
        <row r="58">
          <cell r="C58" t="str">
            <v>Plug</v>
          </cell>
          <cell r="J58">
            <v>2.3559999999999945</v>
          </cell>
          <cell r="N58">
            <v>23.235000000000014</v>
          </cell>
          <cell r="O58">
            <v>44.293999999999969</v>
          </cell>
          <cell r="P58">
            <v>-6.8509999999999778</v>
          </cell>
          <cell r="Q58">
            <v>3.5709999999999873</v>
          </cell>
          <cell r="R58">
            <v>3.1608400000000181</v>
          </cell>
          <cell r="S58">
            <v>0.89200000000000301</v>
          </cell>
          <cell r="T58">
            <v>0.71699999999998454</v>
          </cell>
          <cell r="U58">
            <v>62.212955000000022</v>
          </cell>
          <cell r="V58">
            <v>24.398485600000015</v>
          </cell>
          <cell r="W58">
            <v>35.642527180000002</v>
          </cell>
          <cell r="X58">
            <v>20.931950480000012</v>
          </cell>
          <cell r="Y58">
            <v>16.429110983000044</v>
          </cell>
          <cell r="AA58">
            <v>-0.41800000000000193</v>
          </cell>
          <cell r="AB58">
            <v>6.1999999999999389E-2</v>
          </cell>
          <cell r="AC58">
            <v>-0.89899999999999824</v>
          </cell>
          <cell r="AD58">
            <v>2.147000000000002</v>
          </cell>
          <cell r="AE58">
            <v>0.58899999999999864</v>
          </cell>
        </row>
        <row r="59">
          <cell r="C59" t="str">
            <v>Total</v>
          </cell>
          <cell r="N59">
            <v>23.235000000000014</v>
          </cell>
          <cell r="O59">
            <v>52.064999999999969</v>
          </cell>
          <cell r="P59">
            <v>2.0700000000000216</v>
          </cell>
          <cell r="Q59">
            <v>16.770999999999987</v>
          </cell>
          <cell r="R59">
            <v>-17.468999999999994</v>
          </cell>
          <cell r="S59">
            <v>-3.7079999999999984</v>
          </cell>
          <cell r="T59">
            <v>0.71699999999998454</v>
          </cell>
          <cell r="U59">
            <v>62.212955000000022</v>
          </cell>
          <cell r="V59">
            <v>24.398485600000015</v>
          </cell>
          <cell r="W59">
            <v>35.642527180000002</v>
          </cell>
          <cell r="X59">
            <v>20.931950480000012</v>
          </cell>
          <cell r="Y59">
            <v>16.429110983000044</v>
          </cell>
          <cell r="AA59">
            <v>0.3819999999999979</v>
          </cell>
          <cell r="AB59">
            <v>-4.838000000000001</v>
          </cell>
          <cell r="AC59">
            <v>0.80100000000000193</v>
          </cell>
          <cell r="AD59">
            <v>-5.2999999999997272E-2</v>
          </cell>
          <cell r="AE59">
            <v>-17.710999999999999</v>
          </cell>
        </row>
        <row r="60">
          <cell r="C60" t="str">
            <v>Check</v>
          </cell>
          <cell r="N60">
            <v>23.235000000000014</v>
          </cell>
          <cell r="O60">
            <v>52.064999999999969</v>
          </cell>
          <cell r="P60">
            <v>2.0700000000000216</v>
          </cell>
          <cell r="Q60">
            <v>16.770999999999987</v>
          </cell>
          <cell r="R60">
            <v>-17.468999999999994</v>
          </cell>
          <cell r="S60">
            <v>-3.7079999999999984</v>
          </cell>
          <cell r="T60">
            <v>0.71699999999998454</v>
          </cell>
          <cell r="AA60">
            <v>0.3819999999999979</v>
          </cell>
          <cell r="AB60">
            <v>-4.838000000000001</v>
          </cell>
          <cell r="AC60">
            <v>0.80100000000000193</v>
          </cell>
          <cell r="AD60">
            <v>-5.2999999999997272E-2</v>
          </cell>
          <cell r="AE60">
            <v>-17.710999999999999</v>
          </cell>
        </row>
        <row r="62">
          <cell r="C62" t="str">
            <v>Beginning Backlog</v>
          </cell>
          <cell r="AE62">
            <v>283.5</v>
          </cell>
        </row>
        <row r="63">
          <cell r="C63" t="str">
            <v>Less: Revenue</v>
          </cell>
          <cell r="AE63">
            <v>-45.619</v>
          </cell>
        </row>
        <row r="64">
          <cell r="C64" t="str">
            <v>Plus: Net Awards</v>
          </cell>
          <cell r="AE64">
            <v>24.519000000000005</v>
          </cell>
        </row>
        <row r="65">
          <cell r="C65" t="str">
            <v>Ending Backlog</v>
          </cell>
          <cell r="AD65">
            <v>283.5</v>
          </cell>
          <cell r="AE65">
            <v>262.39999999999998</v>
          </cell>
        </row>
        <row r="68">
          <cell r="B68" t="str">
            <v>Operating Profit Build</v>
          </cell>
        </row>
        <row r="70">
          <cell r="C70" t="str">
            <v>Antenna Systems</v>
          </cell>
          <cell r="L70">
            <v>0.53600000000000003</v>
          </cell>
          <cell r="M70">
            <v>2.093</v>
          </cell>
          <cell r="N70">
            <v>3.6389999999999998</v>
          </cell>
          <cell r="O70">
            <v>3.887</v>
          </cell>
          <cell r="P70">
            <v>3.7130000000000001</v>
          </cell>
          <cell r="Q70">
            <v>5.4412000000000011</v>
          </cell>
          <cell r="R70">
            <v>5.0782160000000003</v>
          </cell>
          <cell r="S70">
            <v>6.0182159999999998</v>
          </cell>
          <cell r="T70">
            <v>8</v>
          </cell>
          <cell r="U70">
            <v>9.2000000000000011</v>
          </cell>
          <cell r="V70">
            <v>10.120000000000001</v>
          </cell>
          <cell r="W70">
            <v>10.626000000000001</v>
          </cell>
          <cell r="X70">
            <v>11.157300000000001</v>
          </cell>
          <cell r="Y70">
            <v>11.715165000000002</v>
          </cell>
          <cell r="AE70">
            <v>2</v>
          </cell>
          <cell r="AF70">
            <v>2</v>
          </cell>
          <cell r="AG70">
            <v>2</v>
          </cell>
          <cell r="AH70">
            <v>2</v>
          </cell>
        </row>
        <row r="71">
          <cell r="D71" t="str">
            <v>% Margin</v>
          </cell>
          <cell r="L71">
            <v>1.8675958188153312E-2</v>
          </cell>
          <cell r="M71">
            <v>4.9123383481587533E-2</v>
          </cell>
          <cell r="N71">
            <v>9.2313546423135454E-2</v>
          </cell>
          <cell r="O71">
            <v>8.2367400563666801E-2</v>
          </cell>
          <cell r="P71">
            <v>9.373422195294355E-2</v>
          </cell>
          <cell r="Q71">
            <v>0.1</v>
          </cell>
          <cell r="R71">
            <v>0.1</v>
          </cell>
          <cell r="S71">
            <v>0.1</v>
          </cell>
          <cell r="T71">
            <v>0.1</v>
          </cell>
          <cell r="U71">
            <v>0.1</v>
          </cell>
          <cell r="V71">
            <v>0.1</v>
          </cell>
          <cell r="W71">
            <v>0.1</v>
          </cell>
          <cell r="X71">
            <v>0.1</v>
          </cell>
          <cell r="Y71">
            <v>0.1</v>
          </cell>
          <cell r="AE71">
            <v>0.1</v>
          </cell>
          <cell r="AF71">
            <v>0.1</v>
          </cell>
          <cell r="AG71">
            <v>0.1</v>
          </cell>
          <cell r="AH71">
            <v>0.1</v>
          </cell>
        </row>
        <row r="73">
          <cell r="C73" t="str">
            <v>Enterprise VSAT Networks and Products</v>
          </cell>
          <cell r="T73">
            <v>2.8</v>
          </cell>
          <cell r="U73">
            <v>2.8840000000000003</v>
          </cell>
          <cell r="V73">
            <v>2.97052</v>
          </cell>
          <cell r="W73">
            <v>3.0596356000000005</v>
          </cell>
          <cell r="X73">
            <v>3.1514246680000002</v>
          </cell>
          <cell r="Y73">
            <v>3.2459674080400003</v>
          </cell>
          <cell r="AE73">
            <v>0.4</v>
          </cell>
          <cell r="AF73">
            <v>0.64</v>
          </cell>
          <cell r="AG73">
            <v>0.8</v>
          </cell>
          <cell r="AH73">
            <v>0.96</v>
          </cell>
        </row>
        <row r="74">
          <cell r="D74" t="str">
            <v>% Margin</v>
          </cell>
          <cell r="T74">
            <v>0.08</v>
          </cell>
          <cell r="U74">
            <v>0.08</v>
          </cell>
          <cell r="V74">
            <v>0.08</v>
          </cell>
          <cell r="W74">
            <v>0.08</v>
          </cell>
          <cell r="X74">
            <v>0.08</v>
          </cell>
          <cell r="Y74">
            <v>0.08</v>
          </cell>
          <cell r="AE74">
            <v>0.08</v>
          </cell>
          <cell r="AF74">
            <v>0.08</v>
          </cell>
          <cell r="AG74">
            <v>0.08</v>
          </cell>
          <cell r="AH74">
            <v>0.08</v>
          </cell>
        </row>
        <row r="76">
          <cell r="C76" t="str">
            <v>Consumer Broadband</v>
          </cell>
          <cell r="T76">
            <v>2.5199999999999996</v>
          </cell>
          <cell r="U76">
            <v>3.4020000000000001</v>
          </cell>
          <cell r="V76">
            <v>5.9535000000000018</v>
          </cell>
          <cell r="W76">
            <v>8.8452000000000019</v>
          </cell>
          <cell r="X76">
            <v>10.945935000000002</v>
          </cell>
          <cell r="Y76">
            <v>12.040528500000004</v>
          </cell>
          <cell r="AE76">
            <v>0.3</v>
          </cell>
          <cell r="AF76">
            <v>0.6</v>
          </cell>
          <cell r="AG76">
            <v>0.72</v>
          </cell>
          <cell r="AH76">
            <v>0.89999999999999991</v>
          </cell>
        </row>
        <row r="77">
          <cell r="D77" t="str">
            <v>% Margin</v>
          </cell>
          <cell r="T77">
            <v>5.9999999999999991E-2</v>
          </cell>
          <cell r="U77">
            <v>0.06</v>
          </cell>
          <cell r="V77">
            <v>7.0000000000000007E-2</v>
          </cell>
          <cell r="W77">
            <v>0.08</v>
          </cell>
          <cell r="X77">
            <v>0.09</v>
          </cell>
          <cell r="Y77">
            <v>0.09</v>
          </cell>
          <cell r="AE77">
            <v>0.06</v>
          </cell>
          <cell r="AF77">
            <v>0.06</v>
          </cell>
          <cell r="AG77">
            <v>0.06</v>
          </cell>
          <cell r="AH77">
            <v>0.06</v>
          </cell>
        </row>
        <row r="79">
          <cell r="C79" t="str">
            <v>Mobile Broadband</v>
          </cell>
          <cell r="T79">
            <v>2.1816600000000004</v>
          </cell>
          <cell r="U79">
            <v>4.2179972999999995</v>
          </cell>
          <cell r="V79">
            <v>3.924685842000001</v>
          </cell>
          <cell r="W79">
            <v>4.8016418224000015</v>
          </cell>
          <cell r="X79">
            <v>5.7092048919000007</v>
          </cell>
          <cell r="Y79">
            <v>5.4847922978250025</v>
          </cell>
          <cell r="AE79">
            <v>0.42</v>
          </cell>
          <cell r="AF79">
            <v>0.51</v>
          </cell>
          <cell r="AG79">
            <v>0.56999999999999995</v>
          </cell>
          <cell r="AH79">
            <v>0.68166000000000027</v>
          </cell>
        </row>
        <row r="80">
          <cell r="D80" t="str">
            <v>% Margin</v>
          </cell>
          <cell r="T80">
            <v>6.0000000000000005E-2</v>
          </cell>
          <cell r="U80">
            <v>0.06</v>
          </cell>
          <cell r="V80">
            <v>7.0000000000000007E-2</v>
          </cell>
          <cell r="W80">
            <v>0.08</v>
          </cell>
          <cell r="X80">
            <v>0.09</v>
          </cell>
          <cell r="Y80">
            <v>0.09</v>
          </cell>
          <cell r="AE80">
            <v>0.06</v>
          </cell>
          <cell r="AF80">
            <v>0.06</v>
          </cell>
          <cell r="AG80">
            <v>0.06</v>
          </cell>
          <cell r="AH80">
            <v>0.06</v>
          </cell>
        </row>
        <row r="82">
          <cell r="C82" t="str">
            <v>Technology Labs and Other</v>
          </cell>
          <cell r="T82">
            <v>0</v>
          </cell>
          <cell r="U82">
            <v>0.70000000000000007</v>
          </cell>
          <cell r="V82">
            <v>0.70000000000000007</v>
          </cell>
          <cell r="W82">
            <v>0.70000000000000007</v>
          </cell>
          <cell r="X82">
            <v>0.70000000000000007</v>
          </cell>
          <cell r="Y82">
            <v>0.70000000000000007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</row>
        <row r="83">
          <cell r="D83" t="str">
            <v>% Margin</v>
          </cell>
          <cell r="T83">
            <v>0</v>
          </cell>
          <cell r="U83">
            <v>0.02</v>
          </cell>
          <cell r="V83">
            <v>0.02</v>
          </cell>
          <cell r="W83">
            <v>0.02</v>
          </cell>
          <cell r="X83">
            <v>0.02</v>
          </cell>
          <cell r="Y83">
            <v>0.02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</row>
        <row r="85">
          <cell r="C85" t="str">
            <v>Pre-R&amp;D Profit</v>
          </cell>
          <cell r="T85">
            <v>15.501660000000001</v>
          </cell>
          <cell r="U85">
            <v>20.4039973</v>
          </cell>
          <cell r="V85">
            <v>23.668705842000005</v>
          </cell>
          <cell r="W85">
            <v>28.032477422400003</v>
          </cell>
          <cell r="X85">
            <v>31.663864559900002</v>
          </cell>
          <cell r="Y85">
            <v>33.186453205865014</v>
          </cell>
          <cell r="AE85">
            <v>3.1199999999999997</v>
          </cell>
          <cell r="AF85">
            <v>3.75</v>
          </cell>
          <cell r="AG85">
            <v>4.09</v>
          </cell>
          <cell r="AH85">
            <v>4.5416600000000003</v>
          </cell>
        </row>
        <row r="86">
          <cell r="D86" t="str">
            <v>% Margin</v>
          </cell>
          <cell r="T86">
            <v>6.8038378314321205E-2</v>
          </cell>
          <cell r="U86">
            <v>7.0346493589354284E-2</v>
          </cell>
          <cell r="V86">
            <v>7.527054609282742E-2</v>
          </cell>
          <cell r="W86">
            <v>8.007198129149061E-2</v>
          </cell>
          <cell r="X86">
            <v>8.534207188169185E-2</v>
          </cell>
          <cell r="Y86">
            <v>8.5653063350072972E-2</v>
          </cell>
          <cell r="AE86">
            <v>6.8392555733356702E-2</v>
          </cell>
          <cell r="AF86">
            <v>6.8034616012627225E-2</v>
          </cell>
          <cell r="AG86">
            <v>6.8031737054841224E-2</v>
          </cell>
          <cell r="AH86">
            <v>6.7806210809196771E-2</v>
          </cell>
        </row>
        <row r="88">
          <cell r="C88" t="str">
            <v>Company-funded R&amp;D (IRAD)</v>
          </cell>
          <cell r="T88">
            <v>-17.256</v>
          </cell>
          <cell r="U88">
            <v>-20.303496850000002</v>
          </cell>
          <cell r="V88">
            <v>-20.439148639000003</v>
          </cell>
          <cell r="W88">
            <v>-21.005458066800003</v>
          </cell>
          <cell r="X88">
            <v>-20.406260504300004</v>
          </cell>
          <cell r="Y88">
            <v>-19.372601462150008</v>
          </cell>
          <cell r="AE88">
            <v>-4.3140000000000001</v>
          </cell>
          <cell r="AF88">
            <v>-4.3140000000000001</v>
          </cell>
          <cell r="AG88">
            <v>-4.3140000000000001</v>
          </cell>
          <cell r="AH88">
            <v>-4.3140000000000001</v>
          </cell>
        </row>
        <row r="89">
          <cell r="D89" t="str">
            <v>% Sales</v>
          </cell>
          <cell r="T89">
            <v>7.5738356807717802E-2</v>
          </cell>
          <cell r="U89">
            <v>7.0000000000000007E-2</v>
          </cell>
          <cell r="V89">
            <v>6.5000000000000002E-2</v>
          </cell>
          <cell r="W89">
            <v>6.0000000000000005E-2</v>
          </cell>
          <cell r="X89">
            <v>5.5000000000000007E-2</v>
          </cell>
          <cell r="Y89">
            <v>5.000000000000001E-2</v>
          </cell>
          <cell r="AE89">
            <v>9.4565860715929762E-2</v>
          </cell>
          <cell r="AF89">
            <v>7.8267022260926356E-2</v>
          </cell>
          <cell r="AG89">
            <v>7.1757680600143051E-2</v>
          </cell>
          <cell r="AH89">
            <v>6.4407285756942365E-2</v>
          </cell>
        </row>
        <row r="91">
          <cell r="C91" t="str">
            <v>Total Commercial Networks Revenue</v>
          </cell>
          <cell r="T91">
            <v>-1.7543399999999991</v>
          </cell>
          <cell r="U91">
            <v>0.10050044999999841</v>
          </cell>
          <cell r="V91">
            <v>3.2295572030000024</v>
          </cell>
          <cell r="W91">
            <v>7.0270193556000002</v>
          </cell>
          <cell r="X91">
            <v>11.257604055599998</v>
          </cell>
          <cell r="Y91">
            <v>13.813851743715006</v>
          </cell>
          <cell r="AE91">
            <v>-1.1940000000000004</v>
          </cell>
          <cell r="AF91">
            <v>-0.56400000000000006</v>
          </cell>
          <cell r="AG91">
            <v>-0.2240000000000002</v>
          </cell>
          <cell r="AH91">
            <v>0.2276600000000002</v>
          </cell>
        </row>
        <row r="92">
          <cell r="D92" t="str">
            <v>% Margin</v>
          </cell>
          <cell r="T92">
            <v>-7.6999784933965915E-3</v>
          </cell>
          <cell r="U92">
            <v>3.4649358935428349E-4</v>
          </cell>
          <cell r="V92">
            <v>1.0270546092827411E-2</v>
          </cell>
          <cell r="W92">
            <v>2.0071981291490605E-2</v>
          </cell>
          <cell r="X92">
            <v>3.0342071881691843E-2</v>
          </cell>
          <cell r="Y92">
            <v>3.5653063350072969E-2</v>
          </cell>
          <cell r="AE92">
            <v>-2.6173304982573059E-2</v>
          </cell>
          <cell r="AF92">
            <v>-1.0232406248299136E-2</v>
          </cell>
          <cell r="AG92">
            <v>-3.7259435453018213E-3</v>
          </cell>
          <cell r="AH92">
            <v>3.3989250522544071E-3</v>
          </cell>
        </row>
        <row r="93">
          <cell r="D93" t="str">
            <v>Check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AE93">
            <v>-2.4000000000000465E-2</v>
          </cell>
          <cell r="AF93">
            <v>0</v>
          </cell>
          <cell r="AG93">
            <v>0</v>
          </cell>
          <cell r="AH93">
            <v>2.3999999999999133E-2</v>
          </cell>
        </row>
        <row r="95">
          <cell r="D95" t="str">
            <v>Government Systems IRAD</v>
          </cell>
          <cell r="Q95">
            <v>14.824999999999999</v>
          </cell>
          <cell r="R95">
            <v>17.024999999999999</v>
          </cell>
          <cell r="S95">
            <v>13.625</v>
          </cell>
          <cell r="AA95">
            <v>4</v>
          </cell>
          <cell r="AE95">
            <v>3</v>
          </cell>
        </row>
        <row r="96">
          <cell r="E96" t="str">
            <v>% Government Systems Sales</v>
          </cell>
        </row>
        <row r="98">
          <cell r="D98" t="str">
            <v>Commercial Networks IRAD</v>
          </cell>
          <cell r="Q98">
            <v>17.324999999999999</v>
          </cell>
          <cell r="R98">
            <v>12.525</v>
          </cell>
          <cell r="S98">
            <v>13.625</v>
          </cell>
          <cell r="AA98">
            <v>3.1139999999999999</v>
          </cell>
          <cell r="AE98">
            <v>4.3140000000000001</v>
          </cell>
          <cell r="AF98">
            <v>4.3140000000000001</v>
          </cell>
          <cell r="AG98">
            <v>4.3140000000000001</v>
          </cell>
          <cell r="AH98">
            <v>4.3140000000000001</v>
          </cell>
        </row>
        <row r="99">
          <cell r="E99" t="str">
            <v>% Commercial Networks Sales</v>
          </cell>
          <cell r="Q99">
            <v>6.9775309407685143E-2</v>
          </cell>
          <cell r="R99">
            <v>5.4261181485781622E-2</v>
          </cell>
          <cell r="S99">
            <v>5.9990313490665727E-2</v>
          </cell>
        </row>
        <row r="101">
          <cell r="D101" t="str">
            <v>Total IRAD</v>
          </cell>
          <cell r="K101">
            <v>9.4149999999999991</v>
          </cell>
          <cell r="L101">
            <v>16.047999999999998</v>
          </cell>
          <cell r="M101">
            <v>9.9600000000000009</v>
          </cell>
          <cell r="N101">
            <v>8.0820000000000007</v>
          </cell>
          <cell r="O101">
            <v>15.571</v>
          </cell>
          <cell r="P101">
            <v>21.631</v>
          </cell>
          <cell r="Q101">
            <v>32.273000000000003</v>
          </cell>
          <cell r="R101">
            <v>29.622</v>
          </cell>
          <cell r="S101">
            <v>27.25</v>
          </cell>
          <cell r="T101">
            <v>28</v>
          </cell>
          <cell r="AA101">
            <v>7.0030000000000001</v>
          </cell>
          <cell r="AE101">
            <v>7.3140000000000001</v>
          </cell>
          <cell r="AF101">
            <v>4.3140000000000001</v>
          </cell>
          <cell r="AG101">
            <v>4.3140000000000001</v>
          </cell>
          <cell r="AH101">
            <v>4.3140000000000001</v>
          </cell>
        </row>
        <row r="102">
          <cell r="E102" t="str">
            <v>% Total ViaSat Sales</v>
          </cell>
          <cell r="K102">
            <v>4.8127057476434865E-2</v>
          </cell>
          <cell r="L102">
            <v>8.6735631438423527E-2</v>
          </cell>
          <cell r="M102">
            <v>3.5752874409054523E-2</v>
          </cell>
          <cell r="N102">
            <v>2.3362500325201842E-2</v>
          </cell>
          <cell r="O102">
            <v>3.5892518377310563E-2</v>
          </cell>
          <cell r="P102">
            <v>4.1874610407963357E-2</v>
          </cell>
          <cell r="Q102">
            <v>5.6161141564430521E-2</v>
          </cell>
          <cell r="R102">
            <v>4.715534903268017E-2</v>
          </cell>
          <cell r="S102">
            <v>3.9602953144983147E-2</v>
          </cell>
          <cell r="AA102">
            <v>4.4208625826978439E-2</v>
          </cell>
          <cell r="AE102">
            <v>3.8092956396741734E-2</v>
          </cell>
          <cell r="AF102">
            <v>2.180010005609205E-2</v>
          </cell>
          <cell r="AG102">
            <v>1.9723803276704498E-2</v>
          </cell>
          <cell r="AH102">
            <v>1.7695383469286095E-2</v>
          </cell>
        </row>
        <row r="104">
          <cell r="D104" t="str">
            <v>Change in Government Systems IRAD</v>
          </cell>
          <cell r="R104">
            <v>2.2000000000000002</v>
          </cell>
          <cell r="S104">
            <v>-3.4</v>
          </cell>
          <cell r="AE104">
            <v>-1</v>
          </cell>
        </row>
        <row r="105">
          <cell r="D105" t="str">
            <v>Change in Commercial Networks IRAD</v>
          </cell>
          <cell r="R105">
            <v>-4.8</v>
          </cell>
          <cell r="S105">
            <v>1.1000000000000001</v>
          </cell>
          <cell r="AE105">
            <v>1.2</v>
          </cell>
        </row>
        <row r="106">
          <cell r="D106" t="str">
            <v>Total</v>
          </cell>
          <cell r="R106">
            <v>-2.6510000000000034</v>
          </cell>
          <cell r="S106">
            <v>-2.3719999999999999</v>
          </cell>
          <cell r="AE106">
            <v>0.31099999999999994</v>
          </cell>
        </row>
        <row r="110">
          <cell r="E110" t="str">
            <v>Consumer Broadband Revenue Growth</v>
          </cell>
        </row>
        <row r="111">
          <cell r="E111" t="str">
            <v>Bull Case</v>
          </cell>
          <cell r="U111">
            <v>0.7</v>
          </cell>
          <cell r="V111">
            <v>0.6</v>
          </cell>
          <cell r="W111">
            <v>0.4</v>
          </cell>
          <cell r="X111">
            <v>0.2</v>
          </cell>
          <cell r="Y111">
            <v>0.2</v>
          </cell>
        </row>
        <row r="112">
          <cell r="E112" t="str">
            <v>Base Case</v>
          </cell>
          <cell r="U112">
            <v>0.35</v>
          </cell>
          <cell r="V112">
            <v>0.5</v>
          </cell>
          <cell r="W112">
            <v>0.3</v>
          </cell>
          <cell r="X112">
            <v>0.1</v>
          </cell>
          <cell r="Y112">
            <v>0.1</v>
          </cell>
        </row>
        <row r="113">
          <cell r="E113" t="str">
            <v>Bear Case</v>
          </cell>
          <cell r="U113">
            <v>0.24999999999999997</v>
          </cell>
          <cell r="V113">
            <v>0.4</v>
          </cell>
          <cell r="W113">
            <v>0.19999999999999998</v>
          </cell>
          <cell r="X113">
            <v>0.05</v>
          </cell>
          <cell r="Y113">
            <v>0.05</v>
          </cell>
        </row>
        <row r="114">
          <cell r="E114" t="str">
            <v>Using Base Case</v>
          </cell>
          <cell r="U114">
            <v>0.35</v>
          </cell>
          <cell r="V114">
            <v>0.5</v>
          </cell>
          <cell r="W114">
            <v>0.3</v>
          </cell>
          <cell r="X114">
            <v>0.1</v>
          </cell>
          <cell r="Y114">
            <v>0.1</v>
          </cell>
        </row>
        <row r="115">
          <cell r="E115">
            <v>2</v>
          </cell>
        </row>
        <row r="117">
          <cell r="E117" t="str">
            <v>Mobile Broadband Revenue Growth</v>
          </cell>
        </row>
        <row r="118">
          <cell r="E118" t="str">
            <v>Bull Case</v>
          </cell>
          <cell r="U118">
            <v>0.2</v>
          </cell>
          <cell r="V118">
            <v>0.4</v>
          </cell>
          <cell r="W118">
            <v>0.30000000000000004</v>
          </cell>
          <cell r="X118">
            <v>0.2</v>
          </cell>
          <cell r="Y118">
            <v>0.2</v>
          </cell>
        </row>
        <row r="119">
          <cell r="E119" t="str">
            <v>Base Case</v>
          </cell>
          <cell r="U119">
            <v>0.1</v>
          </cell>
          <cell r="V119">
            <v>0.3</v>
          </cell>
          <cell r="W119">
            <v>0.2</v>
          </cell>
          <cell r="X119">
            <v>0.1</v>
          </cell>
          <cell r="Y119">
            <v>0.1</v>
          </cell>
        </row>
        <row r="120">
          <cell r="E120" t="str">
            <v>Bear Case</v>
          </cell>
          <cell r="U120">
            <v>0.1</v>
          </cell>
          <cell r="V120">
            <v>0.1</v>
          </cell>
          <cell r="W120">
            <v>0.1</v>
          </cell>
          <cell r="X120">
            <v>0.1</v>
          </cell>
          <cell r="Y120">
            <v>0.1</v>
          </cell>
        </row>
        <row r="121">
          <cell r="E121" t="str">
            <v>Using Base Case</v>
          </cell>
          <cell r="U121">
            <v>0.1</v>
          </cell>
          <cell r="V121">
            <v>0.3</v>
          </cell>
          <cell r="W121">
            <v>0.2</v>
          </cell>
          <cell r="X121">
            <v>0.1</v>
          </cell>
          <cell r="Y121">
            <v>0.1</v>
          </cell>
        </row>
        <row r="122">
          <cell r="E122">
            <v>2</v>
          </cell>
        </row>
      </sheetData>
      <sheetData sheetId="6" refreshError="1">
        <row r="1">
          <cell r="A1" t="str">
            <v>ViaSat Inc.</v>
          </cell>
        </row>
        <row r="2">
          <cell r="A2" t="str">
            <v>Satellite Services Segment Model</v>
          </cell>
        </row>
        <row r="3">
          <cell r="A3" t="str">
            <v>Morgan Stanley Research</v>
          </cell>
        </row>
        <row r="4">
          <cell r="A4" t="str">
            <v>($ in Millions Except EPS)</v>
          </cell>
        </row>
        <row r="5">
          <cell r="A5" t="str">
            <v>Fisacl Year Ends March 31</v>
          </cell>
        </row>
        <row r="6">
          <cell r="AA6" t="str">
            <v>2010A</v>
          </cell>
          <cell r="AE6" t="str">
            <v>2011E</v>
          </cell>
        </row>
        <row r="8">
          <cell r="AA8" t="str">
            <v>Q1A</v>
          </cell>
          <cell r="AB8" t="str">
            <v>Q2A</v>
          </cell>
          <cell r="AC8" t="str">
            <v>Q3A</v>
          </cell>
          <cell r="AD8" t="str">
            <v>Q4A</v>
          </cell>
          <cell r="AE8" t="str">
            <v>Q1A</v>
          </cell>
          <cell r="AF8" t="str">
            <v>Q2E</v>
          </cell>
          <cell r="AG8" t="str">
            <v>Q3E</v>
          </cell>
          <cell r="AH8" t="str">
            <v>Q4E</v>
          </cell>
        </row>
        <row r="9">
          <cell r="J9">
            <v>2001</v>
          </cell>
          <cell r="K9">
            <v>2002</v>
          </cell>
          <cell r="L9">
            <v>2003</v>
          </cell>
          <cell r="M9">
            <v>2004</v>
          </cell>
          <cell r="N9">
            <v>2005</v>
          </cell>
          <cell r="O9">
            <v>2006</v>
          </cell>
          <cell r="P9">
            <v>2007</v>
          </cell>
          <cell r="Q9">
            <v>2008</v>
          </cell>
          <cell r="R9">
            <v>2009</v>
          </cell>
          <cell r="S9" t="str">
            <v xml:space="preserve">2010A </v>
          </cell>
          <cell r="T9" t="str">
            <v xml:space="preserve">2011E </v>
          </cell>
          <cell r="U9" t="str">
            <v xml:space="preserve">2012E </v>
          </cell>
          <cell r="V9" t="str">
            <v xml:space="preserve">2013E </v>
          </cell>
          <cell r="W9" t="str">
            <v xml:space="preserve">2014E </v>
          </cell>
          <cell r="X9" t="str">
            <v xml:space="preserve">2015E </v>
          </cell>
          <cell r="Y9" t="str">
            <v xml:space="preserve">2016E </v>
          </cell>
          <cell r="AA9" t="str">
            <v>June</v>
          </cell>
          <cell r="AB9" t="str">
            <v>Sept</v>
          </cell>
          <cell r="AC9" t="str">
            <v>Dec</v>
          </cell>
          <cell r="AD9" t="str">
            <v>Mar</v>
          </cell>
          <cell r="AE9" t="str">
            <v>June</v>
          </cell>
          <cell r="AF9" t="str">
            <v>Sept</v>
          </cell>
          <cell r="AG9" t="str">
            <v>Dec</v>
          </cell>
          <cell r="AH9" t="str">
            <v>Mar</v>
          </cell>
        </row>
        <row r="10">
          <cell r="B10" t="str">
            <v>Summary Financials</v>
          </cell>
        </row>
        <row r="12">
          <cell r="C12" t="str">
            <v>Satellite Services Total Revenue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6.6879999999999997</v>
          </cell>
          <cell r="Q12">
            <v>6.8150000000000004</v>
          </cell>
          <cell r="R12">
            <v>8.6950000000000003</v>
          </cell>
          <cell r="S12">
            <v>75.808999999999997</v>
          </cell>
          <cell r="T12">
            <v>231.82389391387972</v>
          </cell>
          <cell r="U12">
            <v>291.74554004439523</v>
          </cell>
          <cell r="V12">
            <v>373.28362452685258</v>
          </cell>
          <cell r="W12">
            <v>449.1053251940877</v>
          </cell>
          <cell r="X12">
            <v>511.04292196640182</v>
          </cell>
          <cell r="Y12">
            <v>563.49353578677744</v>
          </cell>
          <cell r="AA12">
            <v>2.5009999999999999</v>
          </cell>
          <cell r="AB12">
            <v>3.4980000000000002</v>
          </cell>
          <cell r="AC12">
            <v>12.276999999999999</v>
          </cell>
          <cell r="AD12">
            <v>57.533000000000001</v>
          </cell>
          <cell r="AE12">
            <v>57.54</v>
          </cell>
          <cell r="AF12">
            <v>57.83783554288685</v>
          </cell>
          <cell r="AG12">
            <v>58.401494190651526</v>
          </cell>
          <cell r="AH12">
            <v>58.044564180341354</v>
          </cell>
        </row>
        <row r="13">
          <cell r="D13" t="str">
            <v>Y/Y Growth</v>
          </cell>
          <cell r="Q13">
            <v>1.8989234449760861E-2</v>
          </cell>
          <cell r="R13">
            <v>0.27586206896551713</v>
          </cell>
          <cell r="S13">
            <v>7.7186889016676243</v>
          </cell>
          <cell r="T13">
            <v>2.0579996295146978</v>
          </cell>
          <cell r="U13">
            <v>0.25847916329442655</v>
          </cell>
          <cell r="V13">
            <v>0.27948356800947027</v>
          </cell>
          <cell r="W13">
            <v>0.20312088633231973</v>
          </cell>
          <cell r="X13">
            <v>0.13791329850196465</v>
          </cell>
          <cell r="Y13">
            <v>0.10263445899721102</v>
          </cell>
        </row>
        <row r="15">
          <cell r="C15" t="str">
            <v>Satellite Services Operating Profit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-1.6990000000000001</v>
          </cell>
          <cell r="Q15">
            <v>-2.851</v>
          </cell>
          <cell r="R15">
            <v>-3.9780000000000002</v>
          </cell>
          <cell r="S15">
            <v>-9.3049999999999997</v>
          </cell>
          <cell r="T15">
            <v>42.809286130225182</v>
          </cell>
          <cell r="U15">
            <v>53.22539523862882</v>
          </cell>
          <cell r="V15">
            <v>100.6503796802657</v>
          </cell>
          <cell r="W15">
            <v>147.36947909391128</v>
          </cell>
          <cell r="X15">
            <v>179.08820288163099</v>
          </cell>
          <cell r="Y15">
            <v>205.08275419644897</v>
          </cell>
          <cell r="AA15">
            <v>-0.70699999999999996</v>
          </cell>
          <cell r="AB15">
            <v>-3.335</v>
          </cell>
          <cell r="AC15">
            <v>-6.1769999999999996</v>
          </cell>
          <cell r="AD15">
            <v>0.91400000000000003</v>
          </cell>
          <cell r="AE15">
            <v>11.461</v>
          </cell>
          <cell r="AF15">
            <v>10.725486537911769</v>
          </cell>
          <cell r="AG15">
            <v>10.201125571070767</v>
          </cell>
          <cell r="AH15">
            <v>10.421674021242653</v>
          </cell>
        </row>
        <row r="16">
          <cell r="D16" t="str">
            <v>% Margin</v>
          </cell>
          <cell r="P16">
            <v>-0.25403708133971292</v>
          </cell>
          <cell r="Q16">
            <v>-0.41834189288334556</v>
          </cell>
          <cell r="R16">
            <v>-0.45750431282346177</v>
          </cell>
          <cell r="S16">
            <v>-0.12274268226727697</v>
          </cell>
          <cell r="T16">
            <v>0.18466295862551774</v>
          </cell>
          <cell r="U16">
            <v>0.18243773402852861</v>
          </cell>
          <cell r="V16">
            <v>0.2696351328238491</v>
          </cell>
          <cell r="W16">
            <v>0.32814012844364143</v>
          </cell>
          <cell r="X16">
            <v>0.35043671516382929</v>
          </cell>
          <cell r="Y16">
            <v>0.36394872553436186</v>
          </cell>
        </row>
        <row r="18">
          <cell r="C18" t="str">
            <v>Total ViaSat Revenue</v>
          </cell>
          <cell r="J18">
            <v>164.35199999999998</v>
          </cell>
          <cell r="K18">
            <v>195.62799999999999</v>
          </cell>
          <cell r="L18">
            <v>185.02199999999999</v>
          </cell>
          <cell r="M18">
            <v>278.57900000000001</v>
          </cell>
          <cell r="N18">
            <v>345.93900000000002</v>
          </cell>
          <cell r="O18">
            <v>433.82299999999998</v>
          </cell>
          <cell r="P18">
            <v>516.56600000000003</v>
          </cell>
          <cell r="Q18">
            <v>574.65000000000009</v>
          </cell>
          <cell r="R18">
            <v>628.17900000000009</v>
          </cell>
          <cell r="S18">
            <v>688.07999999999993</v>
          </cell>
          <cell r="T18">
            <v>852.40589391387971</v>
          </cell>
          <cell r="U18">
            <v>1008.3384950443954</v>
          </cell>
          <cell r="V18">
            <v>1151.0503551268525</v>
          </cell>
          <cell r="W18">
            <v>1290.9946941740877</v>
          </cell>
          <cell r="X18">
            <v>1393.2006559624019</v>
          </cell>
          <cell r="Y18">
            <v>1482.2260108628577</v>
          </cell>
          <cell r="AA18">
            <v>158.40799999999999</v>
          </cell>
          <cell r="AB18">
            <v>160.666</v>
          </cell>
          <cell r="AC18">
            <v>156.36399999999998</v>
          </cell>
          <cell r="AD18">
            <v>212.642</v>
          </cell>
          <cell r="AE18">
            <v>192.00399999999999</v>
          </cell>
          <cell r="AF18">
            <v>197.88900000000001</v>
          </cell>
          <cell r="AG18">
            <v>218.72049419065155</v>
          </cell>
          <cell r="AH18">
            <v>243.79239972322819</v>
          </cell>
        </row>
        <row r="19">
          <cell r="D19" t="str">
            <v>Satellite Services % Total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1.2947038713349309E-2</v>
          </cell>
          <cell r="Q19">
            <v>1.1859392673801443E-2</v>
          </cell>
          <cell r="R19">
            <v>1.3841596105568635E-2</v>
          </cell>
          <cell r="S19">
            <v>0.11017468898965238</v>
          </cell>
          <cell r="T19">
            <v>0.27196420809509486</v>
          </cell>
          <cell r="U19">
            <v>0.28933293876829547</v>
          </cell>
          <cell r="V19">
            <v>0.32429825755599939</v>
          </cell>
          <cell r="W19">
            <v>0.34787542289738244</v>
          </cell>
          <cell r="X19">
            <v>0.36681214567285797</v>
          </cell>
          <cell r="Y19">
            <v>0.38016708090201934</v>
          </cell>
          <cell r="AA19">
            <v>1.578834402302914E-2</v>
          </cell>
          <cell r="AB19">
            <v>2.1771874572093661E-2</v>
          </cell>
          <cell r="AC19">
            <v>7.8515515080197495E-2</v>
          </cell>
          <cell r="AD19">
            <v>0.27056272984640856</v>
          </cell>
          <cell r="AE19">
            <v>0.29968125664048667</v>
          </cell>
          <cell r="AF19">
            <v>0.2922741311689222</v>
          </cell>
          <cell r="AG19">
            <v>0.26701427503060066</v>
          </cell>
          <cell r="AH19">
            <v>0.23809013015269545</v>
          </cell>
        </row>
        <row r="22">
          <cell r="B22" t="str">
            <v>Revenue Build</v>
          </cell>
        </row>
        <row r="24">
          <cell r="C24" t="str">
            <v>Period End Subscribers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95000</v>
          </cell>
          <cell r="P24">
            <v>140000</v>
          </cell>
          <cell r="Q24">
            <v>325000</v>
          </cell>
          <cell r="R24">
            <v>380000</v>
          </cell>
          <cell r="S24">
            <v>424000</v>
          </cell>
          <cell r="T24">
            <v>425400</v>
          </cell>
          <cell r="U24">
            <v>607400</v>
          </cell>
          <cell r="V24">
            <v>789400</v>
          </cell>
          <cell r="W24">
            <v>935000</v>
          </cell>
          <cell r="X24">
            <v>1036920</v>
          </cell>
          <cell r="Y24">
            <v>1108264</v>
          </cell>
          <cell r="AA24">
            <v>390000</v>
          </cell>
          <cell r="AB24">
            <v>405000</v>
          </cell>
          <cell r="AC24">
            <v>423000</v>
          </cell>
          <cell r="AD24">
            <v>424000</v>
          </cell>
          <cell r="AE24">
            <v>415000</v>
          </cell>
          <cell r="AF24">
            <v>416950</v>
          </cell>
          <cell r="AG24">
            <v>420850</v>
          </cell>
          <cell r="AH24">
            <v>425400</v>
          </cell>
        </row>
        <row r="25">
          <cell r="D25" t="str">
            <v>% Change</v>
          </cell>
          <cell r="P25">
            <v>0.47368421052631571</v>
          </cell>
          <cell r="Q25">
            <v>1.3214285714285716</v>
          </cell>
          <cell r="R25">
            <v>0.1692307692307693</v>
          </cell>
          <cell r="S25">
            <v>0.11578947368421044</v>
          </cell>
          <cell r="T25">
            <v>3.3018867924528017E-3</v>
          </cell>
          <cell r="U25">
            <v>0.42783262811471556</v>
          </cell>
          <cell r="V25">
            <v>0.29963780046098121</v>
          </cell>
          <cell r="W25">
            <v>0.18444388142893331</v>
          </cell>
          <cell r="X25">
            <v>0.10900534759358282</v>
          </cell>
          <cell r="Y25">
            <v>6.8803764996335337E-2</v>
          </cell>
        </row>
        <row r="27">
          <cell r="C27" t="str">
            <v>Average Subscribers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47500</v>
          </cell>
          <cell r="P27">
            <v>117500</v>
          </cell>
          <cell r="Q27">
            <v>232500</v>
          </cell>
          <cell r="R27">
            <v>352500</v>
          </cell>
          <cell r="S27">
            <v>402000</v>
          </cell>
          <cell r="T27">
            <v>424700</v>
          </cell>
          <cell r="U27">
            <v>516400</v>
          </cell>
          <cell r="V27">
            <v>698400</v>
          </cell>
          <cell r="W27">
            <v>862200</v>
          </cell>
          <cell r="X27">
            <v>985960</v>
          </cell>
          <cell r="Y27">
            <v>1072592</v>
          </cell>
          <cell r="AA27">
            <v>385000</v>
          </cell>
          <cell r="AB27">
            <v>397500</v>
          </cell>
          <cell r="AC27">
            <v>414000</v>
          </cell>
          <cell r="AD27">
            <v>423500</v>
          </cell>
          <cell r="AE27">
            <v>419500</v>
          </cell>
          <cell r="AF27">
            <v>415975</v>
          </cell>
          <cell r="AG27">
            <v>418900</v>
          </cell>
          <cell r="AH27">
            <v>423125</v>
          </cell>
        </row>
        <row r="28">
          <cell r="D28" t="str">
            <v>% Change</v>
          </cell>
          <cell r="P28">
            <v>1.4736842105263159</v>
          </cell>
          <cell r="Q28">
            <v>0.97872340425531923</v>
          </cell>
          <cell r="R28">
            <v>0.5161290322580645</v>
          </cell>
          <cell r="S28">
            <v>0.14042553191489371</v>
          </cell>
          <cell r="T28">
            <v>5.646766169154227E-2</v>
          </cell>
          <cell r="U28">
            <v>0.21591711796562274</v>
          </cell>
          <cell r="V28">
            <v>0.35243996901626651</v>
          </cell>
          <cell r="W28">
            <v>0.23453608247422686</v>
          </cell>
          <cell r="X28">
            <v>0.14353978195314321</v>
          </cell>
          <cell r="Y28">
            <v>8.7865633494259354E-2</v>
          </cell>
        </row>
        <row r="30">
          <cell r="C30" t="str">
            <v>Wholesale Revenue</v>
          </cell>
        </row>
        <row r="32">
          <cell r="C32" t="str">
            <v>Avg. Wholesale Subscribers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25000</v>
          </cell>
          <cell r="P32">
            <v>60000</v>
          </cell>
          <cell r="Q32">
            <v>121853.44827586207</v>
          </cell>
          <cell r="R32">
            <v>188405.1724137931</v>
          </cell>
          <cell r="S32">
            <v>215051.72413793104</v>
          </cell>
          <cell r="T32">
            <v>221000</v>
          </cell>
          <cell r="U32">
            <v>292350</v>
          </cell>
          <cell r="V32">
            <v>447050</v>
          </cell>
          <cell r="W32">
            <v>586280</v>
          </cell>
          <cell r="X32">
            <v>691476</v>
          </cell>
          <cell r="Y32">
            <v>765113.2</v>
          </cell>
          <cell r="AA32">
            <v>205775.86206896554</v>
          </cell>
          <cell r="AB32">
            <v>212456.89655172417</v>
          </cell>
          <cell r="AC32">
            <v>223232.75862068968</v>
          </cell>
          <cell r="AD32">
            <v>228500</v>
          </cell>
          <cell r="AE32">
            <v>220500</v>
          </cell>
          <cell r="AF32">
            <v>213500</v>
          </cell>
          <cell r="AG32">
            <v>213000</v>
          </cell>
          <cell r="AH32">
            <v>214000</v>
          </cell>
        </row>
        <row r="33">
          <cell r="D33" t="str">
            <v>% Change</v>
          </cell>
          <cell r="P33">
            <v>1.4</v>
          </cell>
          <cell r="Q33">
            <v>1.0308908045977012</v>
          </cell>
          <cell r="R33">
            <v>0.54616200919702851</v>
          </cell>
          <cell r="S33">
            <v>0.14143216655227642</v>
          </cell>
          <cell r="T33">
            <v>2.765974504930635E-2</v>
          </cell>
          <cell r="U33">
            <v>0.32285067873303164</v>
          </cell>
          <cell r="V33">
            <v>0.52916025312125869</v>
          </cell>
          <cell r="W33">
            <v>0.3114416731909182</v>
          </cell>
          <cell r="X33">
            <v>0.17942962407041008</v>
          </cell>
          <cell r="Y33">
            <v>0.10649277776813659</v>
          </cell>
        </row>
        <row r="35">
          <cell r="C35" t="str">
            <v>Wholesale ARPU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28.256823569113919</v>
          </cell>
          <cell r="P35">
            <v>28.256823569113919</v>
          </cell>
          <cell r="Q35">
            <v>28.256823569113919</v>
          </cell>
          <cell r="R35">
            <v>26.867816091954023</v>
          </cell>
          <cell r="S35">
            <v>27.317926260953545</v>
          </cell>
          <cell r="T35">
            <v>26.308706506475271</v>
          </cell>
          <cell r="U35">
            <v>26.308706506475264</v>
          </cell>
          <cell r="V35">
            <v>26.308706506475264</v>
          </cell>
          <cell r="W35">
            <v>26.308706506475264</v>
          </cell>
          <cell r="X35">
            <v>26.308706506475264</v>
          </cell>
          <cell r="Y35">
            <v>26.571793571540017</v>
          </cell>
          <cell r="AA35">
            <v>27.011494252873561</v>
          </cell>
          <cell r="AB35">
            <v>27.011494252873561</v>
          </cell>
          <cell r="AC35">
            <v>27.011494252873561</v>
          </cell>
          <cell r="AD35">
            <v>27.011494252873561</v>
          </cell>
          <cell r="AE35">
            <v>27.011494252873561</v>
          </cell>
          <cell r="AF35">
            <v>27.011494252873561</v>
          </cell>
          <cell r="AG35">
            <v>27.011494252873561</v>
          </cell>
          <cell r="AH35">
            <v>27.011494252873561</v>
          </cell>
        </row>
        <row r="36">
          <cell r="D36" t="str">
            <v>% Change</v>
          </cell>
          <cell r="P36">
            <v>0</v>
          </cell>
          <cell r="Q36">
            <v>0</v>
          </cell>
          <cell r="R36">
            <v>-4.9156532890630711E-2</v>
          </cell>
          <cell r="S36">
            <v>1.6752763509287005E-2</v>
          </cell>
          <cell r="T36">
            <v>-3.6943498010710507E-2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1.0000000000000009E-2</v>
          </cell>
        </row>
        <row r="38">
          <cell r="C38" t="str">
            <v>Wholesale Revenue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8.4770470707341765</v>
          </cell>
          <cell r="P38">
            <v>20.344912969762024</v>
          </cell>
          <cell r="Q38">
            <v>41.318296670630204</v>
          </cell>
          <cell r="R38">
            <v>60.744426278240191</v>
          </cell>
          <cell r="S38">
            <v>70.497205707491091</v>
          </cell>
          <cell r="T38">
            <v>69.770689655172418</v>
          </cell>
          <cell r="U38">
            <v>92.296204166016523</v>
          </cell>
          <cell r="V38">
            <v>141.13568692463718</v>
          </cell>
          <cell r="W38">
            <v>185.09122140739584</v>
          </cell>
          <cell r="X38">
            <v>218.30206968325788</v>
          </cell>
          <cell r="Y38">
            <v>243.9651601111249</v>
          </cell>
          <cell r="AA38">
            <v>16.674940546967896</v>
          </cell>
          <cell r="AB38">
            <v>17.21633472057075</v>
          </cell>
          <cell r="AC38">
            <v>18.08955112960761</v>
          </cell>
          <cell r="AD38">
            <v>18.516379310344828</v>
          </cell>
          <cell r="AE38">
            <v>17.868103448275861</v>
          </cell>
          <cell r="AF38">
            <v>17.300862068965518</v>
          </cell>
          <cell r="AG38">
            <v>17.260344827586209</v>
          </cell>
          <cell r="AH38">
            <v>17.341379310344827</v>
          </cell>
        </row>
        <row r="39">
          <cell r="D39" t="str">
            <v>% Change</v>
          </cell>
          <cell r="P39">
            <v>1.4</v>
          </cell>
          <cell r="Q39">
            <v>1.0308908045977012</v>
          </cell>
          <cell r="R39">
            <v>0.47015804553769103</v>
          </cell>
          <cell r="S39">
            <v>0.16055430970041984</v>
          </cell>
          <cell r="T39">
            <v>-1.0305600697609996E-2</v>
          </cell>
          <cell r="U39">
            <v>0.32285067873303142</v>
          </cell>
          <cell r="V39">
            <v>0.52916025312125847</v>
          </cell>
          <cell r="W39">
            <v>0.31144167319091864</v>
          </cell>
          <cell r="X39">
            <v>0.17942962407040985</v>
          </cell>
          <cell r="Y39">
            <v>0.11755770554581768</v>
          </cell>
          <cell r="AE39">
            <v>7.1554252199413249E-2</v>
          </cell>
          <cell r="AF39">
            <v>4.9097179955366332E-3</v>
          </cell>
          <cell r="AG39">
            <v>-4.5838965051168024E-2</v>
          </cell>
          <cell r="AH39">
            <v>-6.3457330415754964E-2</v>
          </cell>
        </row>
        <row r="41">
          <cell r="C41" t="str">
            <v>Retail Revenue</v>
          </cell>
        </row>
        <row r="43">
          <cell r="C43" t="str">
            <v>Avg. Retail Subscribers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22500</v>
          </cell>
          <cell r="P43">
            <v>57500</v>
          </cell>
          <cell r="Q43">
            <v>121271.55172413793</v>
          </cell>
          <cell r="R43">
            <v>162219.8275862069</v>
          </cell>
          <cell r="S43">
            <v>189948.27586206896</v>
          </cell>
          <cell r="T43">
            <v>198375</v>
          </cell>
          <cell r="U43">
            <v>224050</v>
          </cell>
          <cell r="V43">
            <v>251350</v>
          </cell>
          <cell r="W43">
            <v>275920</v>
          </cell>
          <cell r="X43">
            <v>294484</v>
          </cell>
          <cell r="Y43">
            <v>307478.80000000005</v>
          </cell>
          <cell r="AA43">
            <v>179224.13793103446</v>
          </cell>
          <cell r="AB43">
            <v>185043.10344827583</v>
          </cell>
          <cell r="AC43">
            <v>190767.24137931032</v>
          </cell>
          <cell r="AD43">
            <v>195000</v>
          </cell>
          <cell r="AE43">
            <v>199000</v>
          </cell>
          <cell r="AF43">
            <v>202475</v>
          </cell>
          <cell r="AG43">
            <v>205900</v>
          </cell>
          <cell r="AH43">
            <v>209125</v>
          </cell>
        </row>
        <row r="44">
          <cell r="D44" t="str">
            <v>% Change</v>
          </cell>
          <cell r="P44">
            <v>1.5555555555555554</v>
          </cell>
          <cell r="Q44">
            <v>1.1090704647676159</v>
          </cell>
          <cell r="R44">
            <v>0.33765772169895159</v>
          </cell>
          <cell r="S44">
            <v>0.17093131393649519</v>
          </cell>
          <cell r="T44">
            <v>4.4363256784968774E-2</v>
          </cell>
          <cell r="U44">
            <v>0.12942659105230003</v>
          </cell>
          <cell r="V44">
            <v>0.1218478018299487</v>
          </cell>
          <cell r="W44">
            <v>9.7752138452357196E-2</v>
          </cell>
          <cell r="X44">
            <v>6.728037112206442E-2</v>
          </cell>
          <cell r="Y44">
            <v>4.4127354966653654E-2</v>
          </cell>
        </row>
        <row r="46">
          <cell r="C46" t="str">
            <v>Retail ARPU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55.839666593490058</v>
          </cell>
          <cell r="P46">
            <v>55.839666593490058</v>
          </cell>
          <cell r="Q46">
            <v>55.839666593490058</v>
          </cell>
          <cell r="R46">
            <v>59.186927062574725</v>
          </cell>
          <cell r="S46">
            <v>57.614050160539271</v>
          </cell>
          <cell r="T46">
            <v>61.261475428988582</v>
          </cell>
          <cell r="U46">
            <v>61.261475428988582</v>
          </cell>
          <cell r="V46">
            <v>61.261475428988582</v>
          </cell>
          <cell r="W46">
            <v>61.261475428988582</v>
          </cell>
          <cell r="X46">
            <v>61.261475428988582</v>
          </cell>
          <cell r="Y46">
            <v>61.874090183278469</v>
          </cell>
          <cell r="AA46">
            <v>58.823529411764703</v>
          </cell>
          <cell r="AB46">
            <v>58.823529411764703</v>
          </cell>
          <cell r="AC46">
            <v>57.369124511809794</v>
          </cell>
          <cell r="AD46">
            <v>58.477556734453294</v>
          </cell>
          <cell r="AE46">
            <v>59.661887021313454</v>
          </cell>
          <cell r="AF46">
            <v>59.661887021313454</v>
          </cell>
          <cell r="AG46">
            <v>59.161887021313454</v>
          </cell>
          <cell r="AH46">
            <v>59.661887021313454</v>
          </cell>
        </row>
        <row r="47">
          <cell r="D47" t="str">
            <v>% Change</v>
          </cell>
          <cell r="P47">
            <v>0</v>
          </cell>
          <cell r="Q47">
            <v>0</v>
          </cell>
          <cell r="R47">
            <v>5.9944134220079714E-2</v>
          </cell>
          <cell r="S47">
            <v>-2.657473499802665E-2</v>
          </cell>
          <cell r="T47">
            <v>6.3307912883852291E-2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1.0000000000000009E-2</v>
          </cell>
        </row>
        <row r="49">
          <cell r="C49" t="str">
            <v>Retail Revenue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15.076709980242315</v>
          </cell>
          <cell r="P49">
            <v>38.529369949508137</v>
          </cell>
          <cell r="Q49">
            <v>81.261156186612567</v>
          </cell>
          <cell r="R49">
            <v>115.2155172413793</v>
          </cell>
          <cell r="S49">
            <v>131.3242739211023</v>
          </cell>
          <cell r="T49">
            <v>145.83294225870731</v>
          </cell>
          <cell r="U49">
            <v>164.7076028383787</v>
          </cell>
          <cell r="V49">
            <v>184.77686218891537</v>
          </cell>
          <cell r="W49">
            <v>202.83919560439833</v>
          </cell>
          <cell r="X49">
            <v>216.48629196276329</v>
          </cell>
          <cell r="Y49">
            <v>228.29965200775493</v>
          </cell>
          <cell r="AA49">
            <v>31.627789046653138</v>
          </cell>
          <cell r="AB49">
            <v>32.654665314401612</v>
          </cell>
          <cell r="AC49">
            <v>32.832448870392383</v>
          </cell>
          <cell r="AD49">
            <v>34.209370689655181</v>
          </cell>
          <cell r="AE49">
            <v>35.618146551724138</v>
          </cell>
          <cell r="AF49">
            <v>36.240121723921327</v>
          </cell>
          <cell r="AG49">
            <v>36.544297613065318</v>
          </cell>
          <cell r="AH49">
            <v>37.43037636999653</v>
          </cell>
        </row>
        <row r="50">
          <cell r="D50" t="str">
            <v>% Change</v>
          </cell>
          <cell r="P50">
            <v>1.5555555555555554</v>
          </cell>
          <cell r="Q50">
            <v>1.1090704647676164</v>
          </cell>
          <cell r="R50">
            <v>0.41784245570899925</v>
          </cell>
          <cell r="S50">
            <v>0.13981412456774178</v>
          </cell>
          <cell r="T50">
            <v>0.1104797148646075</v>
          </cell>
          <cell r="U50">
            <v>0.12942659105230003</v>
          </cell>
          <cell r="V50">
            <v>0.1218478018299487</v>
          </cell>
          <cell r="W50">
            <v>9.7752138452356974E-2</v>
          </cell>
          <cell r="X50">
            <v>6.7280371122064642E-2</v>
          </cell>
          <cell r="Y50">
            <v>5.456862851632005E-2</v>
          </cell>
          <cell r="AE50">
            <v>0.12616618566618576</v>
          </cell>
          <cell r="AF50">
            <v>0.10979920862757786</v>
          </cell>
          <cell r="AG50">
            <v>0.11305427619260544</v>
          </cell>
          <cell r="AH50">
            <v>9.4155654296071978E-2</v>
          </cell>
        </row>
        <row r="52">
          <cell r="C52" t="str">
            <v>WildBlue Revenue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23.55375705097649</v>
          </cell>
          <cell r="P52">
            <v>58.874282919270172</v>
          </cell>
          <cell r="Q52">
            <v>122.57945285724277</v>
          </cell>
          <cell r="R52">
            <v>175.95994351961949</v>
          </cell>
          <cell r="S52">
            <v>201.82147962859341</v>
          </cell>
          <cell r="T52">
            <v>215.60363191387972</v>
          </cell>
          <cell r="U52">
            <v>257.00380700439524</v>
          </cell>
          <cell r="V52">
            <v>325.91254911355259</v>
          </cell>
          <cell r="W52">
            <v>387.93041701179419</v>
          </cell>
          <cell r="X52">
            <v>434.78836164602114</v>
          </cell>
          <cell r="Y52">
            <v>472.26481211887989</v>
          </cell>
          <cell r="AA52">
            <v>48.302729593621038</v>
          </cell>
          <cell r="AB52">
            <v>49.871000034972361</v>
          </cell>
          <cell r="AC52">
            <v>50.921999999999997</v>
          </cell>
          <cell r="AD52">
            <v>52.725750000000005</v>
          </cell>
          <cell r="AE52">
            <v>53.486249999999998</v>
          </cell>
          <cell r="AF52">
            <v>53.540983792886848</v>
          </cell>
          <cell r="AG52">
            <v>53.804642440651527</v>
          </cell>
          <cell r="AH52">
            <v>54.771755680341357</v>
          </cell>
        </row>
        <row r="53">
          <cell r="D53" t="str">
            <v>% Change</v>
          </cell>
          <cell r="O53" t="str">
            <v>NM</v>
          </cell>
          <cell r="P53">
            <v>1.4995707815042341</v>
          </cell>
          <cell r="Q53">
            <v>1.0820542820933658</v>
          </cell>
          <cell r="R53">
            <v>0.43547665957152026</v>
          </cell>
          <cell r="S53">
            <v>0.14697399642032938</v>
          </cell>
          <cell r="T53">
            <v>6.8288827882191816E-2</v>
          </cell>
          <cell r="U53">
            <v>0.19201984086730195</v>
          </cell>
          <cell r="V53">
            <v>0.26812342942444767</v>
          </cell>
          <cell r="W53">
            <v>0.19028990465977325</v>
          </cell>
          <cell r="X53">
            <v>0.12078956065154944</v>
          </cell>
          <cell r="Y53">
            <v>8.6194695577821889E-2</v>
          </cell>
        </row>
        <row r="55">
          <cell r="C55" t="str">
            <v>Wholesale Broadband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63.4</v>
          </cell>
          <cell r="T55">
            <v>215.60363191387972</v>
          </cell>
          <cell r="U55">
            <v>257.00380700439524</v>
          </cell>
          <cell r="V55">
            <v>325.91254911355259</v>
          </cell>
          <cell r="W55">
            <v>387.93041701179419</v>
          </cell>
          <cell r="X55">
            <v>434.78836164602114</v>
          </cell>
          <cell r="Y55">
            <v>472.26481211887989</v>
          </cell>
          <cell r="AA55">
            <v>0</v>
          </cell>
          <cell r="AB55">
            <v>0</v>
          </cell>
          <cell r="AC55">
            <v>9</v>
          </cell>
          <cell r="AD55">
            <v>54.4</v>
          </cell>
          <cell r="AE55">
            <v>53.486249999999998</v>
          </cell>
          <cell r="AF55">
            <v>53.540983792886848</v>
          </cell>
          <cell r="AG55">
            <v>53.804642440651527</v>
          </cell>
          <cell r="AH55">
            <v>54.771755680341357</v>
          </cell>
        </row>
        <row r="56">
          <cell r="D56" t="str">
            <v>% Satellite Service</v>
          </cell>
          <cell r="R56">
            <v>0</v>
          </cell>
          <cell r="S56">
            <v>0.8363123112031553</v>
          </cell>
          <cell r="T56">
            <v>0.93003196639417307</v>
          </cell>
          <cell r="U56">
            <v>0.88091768931681591</v>
          </cell>
          <cell r="V56">
            <v>0.87309629380784071</v>
          </cell>
          <cell r="W56">
            <v>0.86378494141467632</v>
          </cell>
          <cell r="X56">
            <v>0.85078638790854055</v>
          </cell>
          <cell r="Y56">
            <v>0.83810156128850788</v>
          </cell>
          <cell r="AC56">
            <v>0.73307811354565455</v>
          </cell>
          <cell r="AD56">
            <v>0.94554429631689629</v>
          </cell>
          <cell r="AE56">
            <v>0.9295490093847758</v>
          </cell>
          <cell r="AF56">
            <v>0.9257086350194782</v>
          </cell>
          <cell r="AG56">
            <v>0.92128879896473903</v>
          </cell>
          <cell r="AH56">
            <v>0.94361559008641094</v>
          </cell>
        </row>
        <row r="58">
          <cell r="C58" t="str">
            <v>Maritime</v>
          </cell>
          <cell r="T58">
            <v>7.5</v>
          </cell>
          <cell r="U58">
            <v>9</v>
          </cell>
          <cell r="V58">
            <v>10.500299999999999</v>
          </cell>
          <cell r="W58">
            <v>12.000900000000001</v>
          </cell>
          <cell r="X58">
            <v>13.501800000000001</v>
          </cell>
          <cell r="Y58">
            <v>15.003</v>
          </cell>
        </row>
        <row r="59">
          <cell r="C59" t="str">
            <v>Rails</v>
          </cell>
          <cell r="T59">
            <v>1.6220250000000001</v>
          </cell>
          <cell r="U59">
            <v>2.1627000000000001</v>
          </cell>
          <cell r="V59">
            <v>3.2440500000000001</v>
          </cell>
          <cell r="W59">
            <v>4.3254000000000001</v>
          </cell>
          <cell r="X59">
            <v>5.4067500000000006</v>
          </cell>
          <cell r="Y59">
            <v>6.4881000000000002</v>
          </cell>
        </row>
        <row r="60">
          <cell r="C60" t="str">
            <v>Business Jets</v>
          </cell>
          <cell r="T60">
            <v>1.5108300000000001</v>
          </cell>
          <cell r="U60">
            <v>1.8555579000000002</v>
          </cell>
          <cell r="V60">
            <v>2.2910271705</v>
          </cell>
          <cell r="W60">
            <v>2.8385671746375003</v>
          </cell>
          <cell r="X60">
            <v>3.4612212925715631</v>
          </cell>
          <cell r="Y60">
            <v>4.0563548595322745</v>
          </cell>
        </row>
        <row r="61">
          <cell r="C61" t="str">
            <v>Commercial Aircraft</v>
          </cell>
          <cell r="T61">
            <v>0</v>
          </cell>
          <cell r="U61">
            <v>16.024319999999999</v>
          </cell>
          <cell r="V61">
            <v>25.522560000000002</v>
          </cell>
          <cell r="W61">
            <v>36.080640000000002</v>
          </cell>
          <cell r="X61">
            <v>47.836800000000011</v>
          </cell>
          <cell r="Y61">
            <v>59.512320000000003</v>
          </cell>
        </row>
        <row r="62">
          <cell r="C62" t="str">
            <v>Mobile Broadband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2.4745599999999999</v>
          </cell>
          <cell r="Q62">
            <v>2.52155</v>
          </cell>
          <cell r="R62">
            <v>3.2171500000000002</v>
          </cell>
          <cell r="S62">
            <v>6.9311500000000015</v>
          </cell>
          <cell r="T62">
            <v>10.632855000000001</v>
          </cell>
          <cell r="U62">
            <v>29.042577900000001</v>
          </cell>
          <cell r="V62">
            <v>41.557937170499997</v>
          </cell>
          <cell r="W62">
            <v>55.24550717463751</v>
          </cell>
          <cell r="X62">
            <v>70.206571292571567</v>
          </cell>
          <cell r="Y62">
            <v>85.059774859532268</v>
          </cell>
          <cell r="AA62">
            <v>1.1315374999999999</v>
          </cell>
          <cell r="AB62">
            <v>2.1285375000000002</v>
          </cell>
          <cell r="AC62">
            <v>1.9075374999999992</v>
          </cell>
          <cell r="AD62">
            <v>1.7635375000000026</v>
          </cell>
          <cell r="AE62">
            <v>2.6568982500000011</v>
          </cell>
          <cell r="AF62">
            <v>2.9</v>
          </cell>
          <cell r="AG62">
            <v>3.2</v>
          </cell>
          <cell r="AH62">
            <v>1.8759567499999994</v>
          </cell>
        </row>
        <row r="63">
          <cell r="D63" t="str">
            <v>% Satellite Service</v>
          </cell>
          <cell r="P63">
            <v>0.37</v>
          </cell>
          <cell r="Q63">
            <v>0.37</v>
          </cell>
          <cell r="R63">
            <v>0.37</v>
          </cell>
          <cell r="S63">
            <v>9.1429117914759481E-2</v>
          </cell>
          <cell r="T63">
            <v>4.5866087487728947E-2</v>
          </cell>
          <cell r="U63">
            <v>9.954763282955606E-2</v>
          </cell>
          <cell r="V63">
            <v>0.11133072666441193</v>
          </cell>
          <cell r="W63">
            <v>0.12301236274756333</v>
          </cell>
          <cell r="X63">
            <v>0.13737901118447982</v>
          </cell>
          <cell r="Y63">
            <v>0.15095075534587565</v>
          </cell>
          <cell r="AA63">
            <v>0.45243402638944419</v>
          </cell>
          <cell r="AB63">
            <v>0.60850128644939971</v>
          </cell>
          <cell r="AC63">
            <v>0.15537488800195481</v>
          </cell>
          <cell r="AD63">
            <v>3.0652625449741934E-2</v>
          </cell>
          <cell r="AE63">
            <v>4.6174804483837352E-2</v>
          </cell>
          <cell r="AF63">
            <v>5.0140188905403373E-2</v>
          </cell>
          <cell r="AG63">
            <v>5.4793118640999297E-2</v>
          </cell>
          <cell r="AH63">
            <v>3.2319249467900255E-2</v>
          </cell>
        </row>
        <row r="64">
          <cell r="D64" t="str">
            <v>% Change</v>
          </cell>
          <cell r="Q64">
            <v>1.8989234449760861E-2</v>
          </cell>
          <cell r="R64">
            <v>0.27586206896551735</v>
          </cell>
          <cell r="S64">
            <v>1.1544379341964164</v>
          </cell>
          <cell r="T64">
            <v>0.53406793966369204</v>
          </cell>
          <cell r="U64">
            <v>1.7313997886738792</v>
          </cell>
          <cell r="V64">
            <v>0.43093141778230359</v>
          </cell>
          <cell r="W64">
            <v>0.329361150626448</v>
          </cell>
          <cell r="X64">
            <v>0.2708105126203364</v>
          </cell>
          <cell r="Y64">
            <v>0.21156429225211704</v>
          </cell>
          <cell r="AE64">
            <v>1.3480425969090741</v>
          </cell>
          <cell r="AF64">
            <v>0.36243782409283343</v>
          </cell>
          <cell r="AG64">
            <v>0.67755548711362246</v>
          </cell>
          <cell r="AH64">
            <v>6.3746447126866723E-2</v>
          </cell>
        </row>
        <row r="66">
          <cell r="C66" t="str">
            <v>Managed Broadband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4.2134400000000003</v>
          </cell>
          <cell r="Q66">
            <v>4.29345</v>
          </cell>
          <cell r="R66">
            <v>5.4778500000000001</v>
          </cell>
          <cell r="S66">
            <v>5.4778500000000001</v>
          </cell>
          <cell r="T66">
            <v>5.5874069999999998</v>
          </cell>
          <cell r="U66">
            <v>5.6991551400000002</v>
          </cell>
          <cell r="V66">
            <v>5.8131382428</v>
          </cell>
          <cell r="W66">
            <v>5.9294010076559998</v>
          </cell>
          <cell r="X66">
            <v>6.0479890278091197</v>
          </cell>
          <cell r="Y66">
            <v>6.1689488083653021</v>
          </cell>
          <cell r="AA66">
            <v>1.3694625</v>
          </cell>
          <cell r="AB66">
            <v>1.3694625</v>
          </cell>
          <cell r="AC66">
            <v>1.3694625</v>
          </cell>
          <cell r="AD66">
            <v>1.3694625</v>
          </cell>
          <cell r="AE66">
            <v>1.3968517499999999</v>
          </cell>
          <cell r="AF66">
            <v>1.3968517499999999</v>
          </cell>
          <cell r="AG66">
            <v>1.3968517499999999</v>
          </cell>
          <cell r="AH66">
            <v>1.3968517499999999</v>
          </cell>
        </row>
        <row r="67">
          <cell r="D67" t="str">
            <v>% Satellite Service</v>
          </cell>
          <cell r="P67">
            <v>0.63</v>
          </cell>
          <cell r="Q67">
            <v>0.63</v>
          </cell>
          <cell r="R67">
            <v>0.63</v>
          </cell>
          <cell r="S67">
            <v>7.2258570882085246E-2</v>
          </cell>
          <cell r="T67">
            <v>2.4101946118098017E-2</v>
          </cell>
          <cell r="U67">
            <v>1.953467785362804E-2</v>
          </cell>
          <cell r="V67">
            <v>1.557297952774734E-2</v>
          </cell>
          <cell r="W67">
            <v>1.3202695837760372E-2</v>
          </cell>
          <cell r="X67">
            <v>1.1834600906979671E-2</v>
          </cell>
          <cell r="Y67">
            <v>1.0947683365616452E-2</v>
          </cell>
          <cell r="AA67">
            <v>0.54756597361055581</v>
          </cell>
          <cell r="AB67">
            <v>0.39149871355060034</v>
          </cell>
          <cell r="AC67">
            <v>0.11154699845239066</v>
          </cell>
          <cell r="AD67">
            <v>2.3803078233361724E-2</v>
          </cell>
          <cell r="AE67">
            <v>2.4276186131386861E-2</v>
          </cell>
          <cell r="AF67">
            <v>2.4151176075118373E-2</v>
          </cell>
          <cell r="AG67">
            <v>2.3918082394261714E-2</v>
          </cell>
          <cell r="AH67">
            <v>2.4065160445688873E-2</v>
          </cell>
        </row>
        <row r="68">
          <cell r="D68" t="str">
            <v>% Change</v>
          </cell>
          <cell r="Q68">
            <v>1.8989234449760639E-2</v>
          </cell>
          <cell r="R68">
            <v>0.27586206896551735</v>
          </cell>
          <cell r="S68">
            <v>0</v>
          </cell>
          <cell r="T68">
            <v>2.0000000000000018E-2</v>
          </cell>
          <cell r="U68">
            <v>2.0000000000000018E-2</v>
          </cell>
          <cell r="V68">
            <v>2.0000000000000018E-2</v>
          </cell>
          <cell r="W68">
            <v>2.0000000000000018E-2</v>
          </cell>
          <cell r="X68">
            <v>2.0000000000000018E-2</v>
          </cell>
          <cell r="Y68">
            <v>2.0000000000000018E-2</v>
          </cell>
          <cell r="AE68">
            <v>0.02</v>
          </cell>
          <cell r="AF68">
            <v>0.02</v>
          </cell>
          <cell r="AG68">
            <v>0.02</v>
          </cell>
          <cell r="AH68">
            <v>0.02</v>
          </cell>
        </row>
        <row r="70">
          <cell r="C70" t="str">
            <v>Other Satellite Services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6.6879999999999997</v>
          </cell>
          <cell r="Q70">
            <v>6.8150000000000004</v>
          </cell>
          <cell r="R70">
            <v>8.6950000000000003</v>
          </cell>
          <cell r="S70">
            <v>12.408999999999999</v>
          </cell>
          <cell r="T70">
            <v>16.220262000000002</v>
          </cell>
          <cell r="U70">
            <v>34.74173304</v>
          </cell>
          <cell r="V70">
            <v>47.371075413299998</v>
          </cell>
          <cell r="W70">
            <v>61.174908182293507</v>
          </cell>
          <cell r="X70">
            <v>76.254560320380691</v>
          </cell>
          <cell r="Y70">
            <v>91.228723667897569</v>
          </cell>
          <cell r="AA70">
            <v>2.5009999999999999</v>
          </cell>
          <cell r="AB70">
            <v>3.4980000000000002</v>
          </cell>
          <cell r="AC70">
            <v>3.2769999999999992</v>
          </cell>
          <cell r="AD70">
            <v>3.1330000000000027</v>
          </cell>
          <cell r="AE70">
            <v>4.0537500000000009</v>
          </cell>
          <cell r="AF70">
            <v>4.2968517500000001</v>
          </cell>
          <cell r="AG70">
            <v>4.5968517499999999</v>
          </cell>
          <cell r="AH70">
            <v>3.2728084999999991</v>
          </cell>
        </row>
        <row r="71">
          <cell r="D71" t="str">
            <v>% Change</v>
          </cell>
          <cell r="T71">
            <v>0.30713691675396926</v>
          </cell>
          <cell r="U71">
            <v>1.1418724950312145</v>
          </cell>
          <cell r="V71">
            <v>0.36352079381760172</v>
          </cell>
          <cell r="W71">
            <v>0.29139791842508855</v>
          </cell>
          <cell r="X71">
            <v>0.24650060925554196</v>
          </cell>
          <cell r="Y71">
            <v>0.19637072569304048</v>
          </cell>
        </row>
        <row r="73">
          <cell r="C73" t="str">
            <v>Satellite Services Revenue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6.6879999999999997</v>
          </cell>
          <cell r="Q73">
            <v>6.8150000000000004</v>
          </cell>
          <cell r="R73">
            <v>8.6950000000000003</v>
          </cell>
          <cell r="S73">
            <v>75.808999999999997</v>
          </cell>
          <cell r="T73">
            <v>231.82389391387972</v>
          </cell>
          <cell r="U73">
            <v>291.74554004439523</v>
          </cell>
          <cell r="V73">
            <v>373.28362452685258</v>
          </cell>
          <cell r="W73">
            <v>449.1053251940877</v>
          </cell>
          <cell r="X73">
            <v>511.04292196640182</v>
          </cell>
          <cell r="Y73">
            <v>563.49353578677744</v>
          </cell>
          <cell r="AA73">
            <v>2.5009999999999999</v>
          </cell>
          <cell r="AB73">
            <v>3.4980000000000002</v>
          </cell>
          <cell r="AC73">
            <v>12.276999999999999</v>
          </cell>
          <cell r="AD73">
            <v>57.533000000000001</v>
          </cell>
          <cell r="AE73">
            <v>57.54</v>
          </cell>
          <cell r="AF73">
            <v>57.83783554288685</v>
          </cell>
          <cell r="AG73">
            <v>58.401494190651526</v>
          </cell>
          <cell r="AH73">
            <v>58.044564180341354</v>
          </cell>
        </row>
        <row r="74">
          <cell r="D74" t="str">
            <v>% Change</v>
          </cell>
          <cell r="Q74">
            <v>1.8989234449760861E-2</v>
          </cell>
          <cell r="R74">
            <v>0.27586206896551713</v>
          </cell>
          <cell r="S74">
            <v>7.7186889016676243</v>
          </cell>
          <cell r="T74">
            <v>2.0579996295146978</v>
          </cell>
          <cell r="U74">
            <v>0.25847916329442655</v>
          </cell>
          <cell r="V74">
            <v>0.27948356800947027</v>
          </cell>
          <cell r="W74">
            <v>0.20312088633231973</v>
          </cell>
          <cell r="X74">
            <v>0.13791329850196465</v>
          </cell>
          <cell r="Y74">
            <v>0.10263445899721102</v>
          </cell>
        </row>
        <row r="75">
          <cell r="D75" t="str">
            <v>Check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</row>
        <row r="77">
          <cell r="B77" t="str">
            <v>Operating Profit Build</v>
          </cell>
        </row>
        <row r="79">
          <cell r="C79" t="str">
            <v>Uplink/Direct Network Expense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17.662284875781054</v>
          </cell>
          <cell r="Q79">
            <v>36.773835857172834</v>
          </cell>
          <cell r="R79">
            <v>52.787983055885846</v>
          </cell>
          <cell r="S79">
            <v>60.546443888578018</v>
          </cell>
          <cell r="T79">
            <v>64.68108957416392</v>
          </cell>
          <cell r="U79">
            <v>70.676046926208684</v>
          </cell>
          <cell r="V79">
            <v>78.219011787252612</v>
          </cell>
          <cell r="W79">
            <v>87.284343827653686</v>
          </cell>
          <cell r="X79">
            <v>97.827381370354743</v>
          </cell>
          <cell r="Y79">
            <v>106.25958272674796</v>
          </cell>
          <cell r="AA79">
            <v>14.49081887808631</v>
          </cell>
          <cell r="AB79">
            <v>14.961300010491708</v>
          </cell>
          <cell r="AC79">
            <v>15.276599999999998</v>
          </cell>
          <cell r="AD79">
            <v>15.817725000000001</v>
          </cell>
          <cell r="AE79">
            <v>16.045874999999999</v>
          </cell>
          <cell r="AF79">
            <v>16.062295137866055</v>
          </cell>
          <cell r="AG79">
            <v>16.141392732195456</v>
          </cell>
          <cell r="AH79">
            <v>16.431526704102406</v>
          </cell>
        </row>
        <row r="80">
          <cell r="D80" t="str">
            <v>% of Service Rev.</v>
          </cell>
          <cell r="P80">
            <v>0.30000000000000004</v>
          </cell>
          <cell r="Q80">
            <v>0.30000000000000004</v>
          </cell>
          <cell r="R80">
            <v>0.3</v>
          </cell>
          <cell r="S80">
            <v>0.3</v>
          </cell>
          <cell r="T80">
            <v>0.3</v>
          </cell>
          <cell r="U80">
            <v>0.27499999999999997</v>
          </cell>
          <cell r="V80">
            <v>0.23999999999999996</v>
          </cell>
          <cell r="W80">
            <v>0.22499999999999998</v>
          </cell>
          <cell r="X80">
            <v>0.22499999999999998</v>
          </cell>
          <cell r="Y80">
            <v>0.22499999999999998</v>
          </cell>
          <cell r="AA80">
            <v>0.3</v>
          </cell>
          <cell r="AB80">
            <v>0.3</v>
          </cell>
          <cell r="AC80">
            <v>0.3</v>
          </cell>
          <cell r="AD80">
            <v>0.3</v>
          </cell>
          <cell r="AE80">
            <v>0.3</v>
          </cell>
          <cell r="AF80">
            <v>0.3</v>
          </cell>
          <cell r="AG80">
            <v>0.3</v>
          </cell>
          <cell r="AH80">
            <v>0.3</v>
          </cell>
        </row>
        <row r="82">
          <cell r="C82" t="str">
            <v>WildBlue Gross Margin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41.211998043489118</v>
          </cell>
          <cell r="Q82">
            <v>85.80561700006993</v>
          </cell>
          <cell r="R82">
            <v>123.17196046373364</v>
          </cell>
          <cell r="S82">
            <v>141.2750357400154</v>
          </cell>
          <cell r="T82">
            <v>150.92254233971579</v>
          </cell>
          <cell r="U82">
            <v>186.32776007818654</v>
          </cell>
          <cell r="V82">
            <v>247.69353732629997</v>
          </cell>
          <cell r="W82">
            <v>300.6460731841405</v>
          </cell>
          <cell r="X82">
            <v>336.96098027566643</v>
          </cell>
          <cell r="Y82">
            <v>366.00522939213192</v>
          </cell>
          <cell r="AA82">
            <v>33.811910715534729</v>
          </cell>
          <cell r="AB82">
            <v>34.909700024480657</v>
          </cell>
          <cell r="AC82">
            <v>35.645399999999995</v>
          </cell>
          <cell r="AD82">
            <v>36.908025000000002</v>
          </cell>
          <cell r="AE82">
            <v>37.440375000000003</v>
          </cell>
          <cell r="AF82">
            <v>37.47868865502079</v>
          </cell>
          <cell r="AG82">
            <v>37.663249708456071</v>
          </cell>
          <cell r="AH82">
            <v>38.340228976238947</v>
          </cell>
        </row>
        <row r="83">
          <cell r="D83" t="str">
            <v>Gross Margin %</v>
          </cell>
          <cell r="P83">
            <v>0.7</v>
          </cell>
          <cell r="Q83">
            <v>0.7</v>
          </cell>
          <cell r="R83">
            <v>0.7</v>
          </cell>
          <cell r="S83">
            <v>0.70000000000000007</v>
          </cell>
          <cell r="T83">
            <v>0.7</v>
          </cell>
          <cell r="U83">
            <v>0.72499999999999998</v>
          </cell>
          <cell r="V83">
            <v>0.76</v>
          </cell>
          <cell r="W83">
            <v>0.77500000000000002</v>
          </cell>
          <cell r="X83">
            <v>0.77500000000000013</v>
          </cell>
          <cell r="Y83">
            <v>0.77500000000000002</v>
          </cell>
          <cell r="AA83">
            <v>0.70000000000000007</v>
          </cell>
          <cell r="AB83">
            <v>0.70000000000000007</v>
          </cell>
          <cell r="AC83">
            <v>0.7</v>
          </cell>
          <cell r="AD83">
            <v>0.7</v>
          </cell>
          <cell r="AE83">
            <v>0.70000000000000007</v>
          </cell>
          <cell r="AF83">
            <v>0.7</v>
          </cell>
          <cell r="AG83">
            <v>0.70000000000000007</v>
          </cell>
          <cell r="AH83">
            <v>0.7</v>
          </cell>
        </row>
        <row r="85">
          <cell r="C85" t="str">
            <v>WildBlue SG&amp;A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32.152949082203023</v>
          </cell>
          <cell r="Q85">
            <v>42.13308016399256</v>
          </cell>
          <cell r="R85">
            <v>46.278129422218328</v>
          </cell>
          <cell r="S85">
            <v>50.904672306550438</v>
          </cell>
          <cell r="T85">
            <v>53.092935896990625</v>
          </cell>
          <cell r="U85">
            <v>60.186096526643276</v>
          </cell>
          <cell r="V85">
            <v>67.203275902874694</v>
          </cell>
          <cell r="W85">
            <v>73.339579008857299</v>
          </cell>
          <cell r="X85">
            <v>79.187333289298635</v>
          </cell>
          <cell r="Y85">
            <v>84.405603171387185</v>
          </cell>
          <cell r="AA85">
            <v>11.319286190992866</v>
          </cell>
          <cell r="AB85">
            <v>12.640941611994647</v>
          </cell>
          <cell r="AC85">
            <v>13.096599653073723</v>
          </cell>
          <cell r="AD85">
            <v>13.847844850489206</v>
          </cell>
          <cell r="AE85">
            <v>12.1</v>
          </cell>
          <cell r="AF85">
            <v>13.039553679609019</v>
          </cell>
          <cell r="AG85">
            <v>13.748475699885304</v>
          </cell>
          <cell r="AH85">
            <v>14.204906517496294</v>
          </cell>
        </row>
        <row r="86">
          <cell r="D86" t="str">
            <v>% of Service Rev.</v>
          </cell>
          <cell r="P86">
            <v>0.54612892909951727</v>
          </cell>
          <cell r="Q86">
            <v>0.34372057618058677</v>
          </cell>
          <cell r="R86">
            <v>0.26300377515782919</v>
          </cell>
          <cell r="S86">
            <v>0.252226236772364</v>
          </cell>
          <cell r="T86">
            <v>0.24625251173040516</v>
          </cell>
          <cell r="U86">
            <v>0.23418367699749282</v>
          </cell>
          <cell r="V86">
            <v>0.20620033222304709</v>
          </cell>
          <cell r="W86">
            <v>0.18905343791752108</v>
          </cell>
          <cell r="X86">
            <v>0.18212845668065111</v>
          </cell>
          <cell r="Y86">
            <v>0.17872515801609279</v>
          </cell>
          <cell r="AA86">
            <v>0.23434050800490819</v>
          </cell>
          <cell r="AB86">
            <v>0.25347279186561539</v>
          </cell>
          <cell r="AC86">
            <v>0.25718942015383772</v>
          </cell>
          <cell r="AD86">
            <v>0.26263912510470133</v>
          </cell>
          <cell r="AE86">
            <v>0.22622636658954404</v>
          </cell>
          <cell r="AF86">
            <v>0.24354340835517821</v>
          </cell>
          <cell r="AG86">
            <v>0.25552582595545303</v>
          </cell>
          <cell r="AH86">
            <v>0.25934729206781132</v>
          </cell>
        </row>
        <row r="88">
          <cell r="C88" t="str">
            <v>WildBlue EBITDA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9.0590489612860949</v>
          </cell>
          <cell r="Q88">
            <v>43.67253683607737</v>
          </cell>
          <cell r="R88">
            <v>76.893831041515313</v>
          </cell>
          <cell r="S88">
            <v>90.370363433464959</v>
          </cell>
          <cell r="T88">
            <v>97.829606442725165</v>
          </cell>
          <cell r="U88">
            <v>126.14166355154327</v>
          </cell>
          <cell r="V88">
            <v>180.4902614234253</v>
          </cell>
          <cell r="W88">
            <v>227.30649417528321</v>
          </cell>
          <cell r="X88">
            <v>257.77364698636779</v>
          </cell>
          <cell r="Y88">
            <v>281.59962622074477</v>
          </cell>
          <cell r="AA88">
            <v>22.492624524541863</v>
          </cell>
          <cell r="AB88">
            <v>22.268758412486008</v>
          </cell>
          <cell r="AC88">
            <v>22.548800346926271</v>
          </cell>
          <cell r="AD88">
            <v>23.060180149510796</v>
          </cell>
          <cell r="AE88">
            <v>25.340375000000002</v>
          </cell>
          <cell r="AF88">
            <v>24.439134975411768</v>
          </cell>
          <cell r="AG88">
            <v>23.914774008570767</v>
          </cell>
          <cell r="AH88">
            <v>24.135322458742653</v>
          </cell>
        </row>
        <row r="89">
          <cell r="D89" t="str">
            <v>% Margins</v>
          </cell>
          <cell r="P89">
            <v>0.15387107090048263</v>
          </cell>
          <cell r="Q89">
            <v>0.35627942381941313</v>
          </cell>
          <cell r="R89">
            <v>0.43699622484217082</v>
          </cell>
          <cell r="S89">
            <v>0.44777376322763607</v>
          </cell>
          <cell r="T89">
            <v>0.45374748826959477</v>
          </cell>
          <cell r="U89">
            <v>0.49081632300250722</v>
          </cell>
          <cell r="V89">
            <v>0.553799667776953</v>
          </cell>
          <cell r="W89">
            <v>0.58594656208247897</v>
          </cell>
          <cell r="X89">
            <v>0.59287154331934899</v>
          </cell>
          <cell r="Y89">
            <v>0.59627484198390723</v>
          </cell>
          <cell r="AA89">
            <v>0.46565949199509188</v>
          </cell>
          <cell r="AB89">
            <v>0.44652720813438468</v>
          </cell>
          <cell r="AC89">
            <v>0.44281057984616223</v>
          </cell>
          <cell r="AD89">
            <v>0.43736087489529868</v>
          </cell>
          <cell r="AE89">
            <v>0.47377363341045603</v>
          </cell>
          <cell r="AF89">
            <v>0.45645659164482166</v>
          </cell>
          <cell r="AG89">
            <v>0.44447417404454698</v>
          </cell>
          <cell r="AH89">
            <v>0.44065270793218864</v>
          </cell>
        </row>
        <row r="91">
          <cell r="C91" t="str">
            <v>Wholesale Broadband EBITDA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26.818313540665173</v>
          </cell>
          <cell r="T91">
            <v>97.829606442725179</v>
          </cell>
          <cell r="U91">
            <v>126.14166355154327</v>
          </cell>
          <cell r="V91">
            <v>180.4902614234253</v>
          </cell>
          <cell r="W91">
            <v>227.30649417528321</v>
          </cell>
          <cell r="X91">
            <v>257.77364698636779</v>
          </cell>
          <cell r="Y91">
            <v>281.59962622074477</v>
          </cell>
          <cell r="AA91">
            <v>0</v>
          </cell>
          <cell r="AB91">
            <v>0</v>
          </cell>
          <cell r="AC91">
            <v>3.7581333911543782</v>
          </cell>
          <cell r="AD91">
            <v>23.060180149510796</v>
          </cell>
          <cell r="AE91">
            <v>25.340375000000002</v>
          </cell>
          <cell r="AF91">
            <v>24.439134975411768</v>
          </cell>
          <cell r="AG91">
            <v>23.914774008570767</v>
          </cell>
          <cell r="AH91">
            <v>24.135322458742653</v>
          </cell>
        </row>
        <row r="92">
          <cell r="D92" t="str">
            <v>% Margins</v>
          </cell>
          <cell r="S92">
            <v>0.42300179086222672</v>
          </cell>
          <cell r="T92">
            <v>0.45374748826959482</v>
          </cell>
          <cell r="U92">
            <v>0.49081632300250722</v>
          </cell>
          <cell r="V92">
            <v>0.553799667776953</v>
          </cell>
          <cell r="W92">
            <v>0.58594656208247897</v>
          </cell>
          <cell r="X92">
            <v>0.59287154331934899</v>
          </cell>
          <cell r="Y92">
            <v>0.59627484198390723</v>
          </cell>
        </row>
        <row r="94">
          <cell r="C94" t="str">
            <v>Other Satellite Services EBITDA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-1.6990000000000001</v>
          </cell>
          <cell r="Q94">
            <v>-2.851</v>
          </cell>
          <cell r="R94">
            <v>-3.9780000000000002</v>
          </cell>
          <cell r="S94">
            <v>-13.09594895733184</v>
          </cell>
          <cell r="T94">
            <v>0.33427343749999849</v>
          </cell>
          <cell r="U94">
            <v>0</v>
          </cell>
          <cell r="V94">
            <v>0.23685537706650001</v>
          </cell>
          <cell r="W94">
            <v>0.61174908182293508</v>
          </cell>
          <cell r="X94">
            <v>1.1438184048057103</v>
          </cell>
          <cell r="Y94">
            <v>1.8245744733579514</v>
          </cell>
          <cell r="AA94">
            <v>-0.70699999999999996</v>
          </cell>
          <cell r="AB94">
            <v>-0.83499999999999908</v>
          </cell>
          <cell r="AC94">
            <v>-0.97408130782104596</v>
          </cell>
          <cell r="AD94">
            <v>-10.579867649510797</v>
          </cell>
          <cell r="AE94">
            <v>0.33427343749999849</v>
          </cell>
          <cell r="AF94">
            <v>0</v>
          </cell>
          <cell r="AG94">
            <v>0</v>
          </cell>
          <cell r="AH94">
            <v>0</v>
          </cell>
        </row>
        <row r="95">
          <cell r="D95" t="str">
            <v>% Margins</v>
          </cell>
          <cell r="U95">
            <v>0</v>
          </cell>
          <cell r="V95">
            <v>5.0000000000000001E-3</v>
          </cell>
          <cell r="W95">
            <v>0.01</v>
          </cell>
          <cell r="X95">
            <v>1.4999999999999999E-2</v>
          </cell>
          <cell r="Y95">
            <v>0.02</v>
          </cell>
          <cell r="AE95">
            <v>-1.4728054278642129</v>
          </cell>
          <cell r="AF95">
            <v>0</v>
          </cell>
          <cell r="AG95">
            <v>0</v>
          </cell>
          <cell r="AH95">
            <v>0</v>
          </cell>
        </row>
        <row r="97">
          <cell r="C97" t="str">
            <v>Transaction Related Expenses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-11.4</v>
          </cell>
          <cell r="T97">
            <v>-0.5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>
            <v>0</v>
          </cell>
          <cell r="AA97">
            <v>0</v>
          </cell>
          <cell r="AB97">
            <v>-2.5000000000000009</v>
          </cell>
          <cell r="AC97">
            <v>-7.3</v>
          </cell>
          <cell r="AD97">
            <v>-1.6</v>
          </cell>
          <cell r="AE97">
            <v>-0.5</v>
          </cell>
          <cell r="AF97">
            <v>0</v>
          </cell>
          <cell r="AG97">
            <v>0</v>
          </cell>
          <cell r="AH97">
            <v>0</v>
          </cell>
        </row>
        <row r="99">
          <cell r="C99" t="str">
            <v>Total Satellite Services EBITDA</v>
          </cell>
          <cell r="P99">
            <v>-1.6990000000000001</v>
          </cell>
          <cell r="Q99">
            <v>-2.851</v>
          </cell>
          <cell r="R99">
            <v>-3.9780000000000002</v>
          </cell>
          <cell r="S99">
            <v>2.3223645833333322</v>
          </cell>
          <cell r="T99">
            <v>97.663879880225181</v>
          </cell>
          <cell r="U99">
            <v>126.14166355154327</v>
          </cell>
          <cell r="V99">
            <v>180.72711680049179</v>
          </cell>
          <cell r="W99">
            <v>227.91824325710613</v>
          </cell>
          <cell r="X99">
            <v>258.91746539117349</v>
          </cell>
          <cell r="Y99">
            <v>283.42420069410269</v>
          </cell>
          <cell r="AA99">
            <v>-0.70699999999999996</v>
          </cell>
          <cell r="AB99">
            <v>-3.335</v>
          </cell>
          <cell r="AC99">
            <v>-4.5159479166666667</v>
          </cell>
          <cell r="AD99">
            <v>10.880312499999999</v>
          </cell>
          <cell r="AE99">
            <v>25.1746484375</v>
          </cell>
          <cell r="AF99">
            <v>24.439134975411768</v>
          </cell>
          <cell r="AG99">
            <v>23.914774008570767</v>
          </cell>
          <cell r="AH99">
            <v>24.135322458742653</v>
          </cell>
        </row>
        <row r="100">
          <cell r="D100" t="str">
            <v>% Margins</v>
          </cell>
          <cell r="T100">
            <v>0.42128478747969933</v>
          </cell>
          <cell r="U100">
            <v>0.43236878113834459</v>
          </cell>
          <cell r="V100">
            <v>0.48415495597903191</v>
          </cell>
          <cell r="W100">
            <v>0.50749396738639829</v>
          </cell>
          <cell r="X100">
            <v>0.5066452430158026</v>
          </cell>
          <cell r="Y100">
            <v>0.50297684479800087</v>
          </cell>
        </row>
        <row r="102">
          <cell r="C102" t="str">
            <v>Satellite Depreciation Expense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11.627364583333332</v>
          </cell>
          <cell r="T102">
            <v>54.854593749999999</v>
          </cell>
          <cell r="U102">
            <v>72.916268312914454</v>
          </cell>
          <cell r="V102">
            <v>80.076737120226085</v>
          </cell>
          <cell r="W102">
            <v>80.548764163194846</v>
          </cell>
          <cell r="X102">
            <v>79.829262509542488</v>
          </cell>
          <cell r="Y102">
            <v>78.34144649765372</v>
          </cell>
          <cell r="AA102">
            <v>0</v>
          </cell>
          <cell r="AB102">
            <v>0</v>
          </cell>
          <cell r="AC102">
            <v>1.6610520833333333</v>
          </cell>
          <cell r="AD102">
            <v>9.966312499999999</v>
          </cell>
          <cell r="AE102">
            <v>13.7136484375</v>
          </cell>
          <cell r="AF102">
            <v>13.7136484375</v>
          </cell>
          <cell r="AG102">
            <v>13.7136484375</v>
          </cell>
          <cell r="AH102">
            <v>13.7136484375</v>
          </cell>
        </row>
        <row r="104">
          <cell r="C104" t="str">
            <v>Satellite Services EBITA</v>
          </cell>
          <cell r="N104">
            <v>0</v>
          </cell>
          <cell r="O104">
            <v>0</v>
          </cell>
          <cell r="P104">
            <v>-1.6990000000000001</v>
          </cell>
          <cell r="Q104">
            <v>-2.851</v>
          </cell>
          <cell r="R104">
            <v>-3.9780000000000002</v>
          </cell>
          <cell r="S104">
            <v>-9.3049999999999997</v>
          </cell>
          <cell r="T104">
            <v>42.809286130225182</v>
          </cell>
          <cell r="U104">
            <v>53.22539523862882</v>
          </cell>
          <cell r="V104">
            <v>100.6503796802657</v>
          </cell>
          <cell r="W104">
            <v>147.36947909391128</v>
          </cell>
          <cell r="X104">
            <v>179.08820288163099</v>
          </cell>
          <cell r="Y104">
            <v>205.08275419644897</v>
          </cell>
          <cell r="AA104">
            <v>-0.70699999999999996</v>
          </cell>
          <cell r="AB104">
            <v>-3.335</v>
          </cell>
          <cell r="AC104">
            <v>-6.1769999999999996</v>
          </cell>
          <cell r="AD104">
            <v>0.91400000000000003</v>
          </cell>
          <cell r="AE104">
            <v>11.461</v>
          </cell>
          <cell r="AF104">
            <v>10.725486537911769</v>
          </cell>
          <cell r="AG104">
            <v>10.201125571070767</v>
          </cell>
          <cell r="AH104">
            <v>10.421674021242653</v>
          </cell>
        </row>
        <row r="105">
          <cell r="D105" t="str">
            <v>% Margin</v>
          </cell>
          <cell r="P105">
            <v>-0.25403708133971292</v>
          </cell>
          <cell r="Q105">
            <v>-0.41834189288334556</v>
          </cell>
          <cell r="R105">
            <v>-0.45750431282346177</v>
          </cell>
          <cell r="S105">
            <v>-0.12274268226727697</v>
          </cell>
          <cell r="T105">
            <v>0.18466295862551774</v>
          </cell>
          <cell r="U105">
            <v>0.18243773402852861</v>
          </cell>
          <cell r="V105">
            <v>0.2696351328238491</v>
          </cell>
          <cell r="W105">
            <v>0.32814012844364143</v>
          </cell>
          <cell r="X105">
            <v>0.35043671516382929</v>
          </cell>
          <cell r="Y105">
            <v>0.36394872553436186</v>
          </cell>
          <cell r="AA105">
            <v>-0.28268692522990801</v>
          </cell>
          <cell r="AB105">
            <v>-0.95340194396798161</v>
          </cell>
          <cell r="AC105">
            <v>-0.50313594526350081</v>
          </cell>
          <cell r="AD105">
            <v>1.5886534684441973E-2</v>
          </cell>
          <cell r="AE105">
            <v>0.19918317692040322</v>
          </cell>
          <cell r="AF105">
            <v>0.18544066245284718</v>
          </cell>
          <cell r="AG105">
            <v>0.17467233865231629</v>
          </cell>
          <cell r="AH105">
            <v>0.17954608098810201</v>
          </cell>
        </row>
        <row r="110">
          <cell r="B110" t="str">
            <v>Satellite Capex</v>
          </cell>
        </row>
        <row r="111">
          <cell r="C111" t="str">
            <v>WildBlue-1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</row>
        <row r="112">
          <cell r="C112" t="str">
            <v>Anik F2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0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</row>
        <row r="113">
          <cell r="C113" t="str">
            <v>ViaSat-1</v>
          </cell>
          <cell r="P113">
            <v>0</v>
          </cell>
          <cell r="Q113">
            <v>8.1359999999999992</v>
          </cell>
          <cell r="R113">
            <v>102.452</v>
          </cell>
          <cell r="S113">
            <v>98.843999999999994</v>
          </cell>
          <cell r="T113">
            <v>102</v>
          </cell>
          <cell r="U113">
            <v>34</v>
          </cell>
          <cell r="V113">
            <v>0</v>
          </cell>
          <cell r="W113">
            <v>0</v>
          </cell>
          <cell r="X113">
            <v>0</v>
          </cell>
          <cell r="Y113">
            <v>0</v>
          </cell>
        </row>
        <row r="114">
          <cell r="C114" t="str">
            <v>Total Satellite Capital Expenditures</v>
          </cell>
          <cell r="P114">
            <v>0</v>
          </cell>
          <cell r="Q114">
            <v>8.1359999999999992</v>
          </cell>
          <cell r="R114">
            <v>102.452</v>
          </cell>
          <cell r="S114">
            <v>98.843999999999994</v>
          </cell>
          <cell r="T114">
            <v>102</v>
          </cell>
          <cell r="U114">
            <v>34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</row>
        <row r="115">
          <cell r="C115" t="str">
            <v>Non-Satellite CapEx</v>
          </cell>
          <cell r="Q115">
            <v>0</v>
          </cell>
          <cell r="R115">
            <v>0</v>
          </cell>
          <cell r="S115">
            <v>3.5581896551724164</v>
          </cell>
          <cell r="T115">
            <v>24.547499999999999</v>
          </cell>
          <cell r="U115">
            <v>33.478687499999999</v>
          </cell>
          <cell r="V115">
            <v>32.554753125000005</v>
          </cell>
          <cell r="W115">
            <v>28.341612374999997</v>
          </cell>
          <cell r="X115">
            <v>23.872172229375</v>
          </cell>
          <cell r="Y115">
            <v>60.899994532534365</v>
          </cell>
        </row>
        <row r="116">
          <cell r="C116" t="str">
            <v>Total Capital Expenditures</v>
          </cell>
          <cell r="P116">
            <v>0</v>
          </cell>
          <cell r="Q116">
            <v>8.1359999999999992</v>
          </cell>
          <cell r="R116">
            <v>102.452</v>
          </cell>
          <cell r="S116">
            <v>102.40218965517241</v>
          </cell>
          <cell r="T116">
            <v>126.5475</v>
          </cell>
          <cell r="U116">
            <v>67.478687500000007</v>
          </cell>
          <cell r="V116">
            <v>32.554753125000005</v>
          </cell>
          <cell r="W116">
            <v>28.341612374999997</v>
          </cell>
          <cell r="X116">
            <v>23.872172229375</v>
          </cell>
          <cell r="Y116">
            <v>60.899994532534365</v>
          </cell>
        </row>
        <row r="121">
          <cell r="B121" t="str">
            <v>Mobile Broadband Build - Maritime</v>
          </cell>
        </row>
        <row r="123">
          <cell r="C123" t="str">
            <v>Service Revenue Model</v>
          </cell>
        </row>
        <row r="125">
          <cell r="C125" t="str">
            <v>BOP Subs</v>
          </cell>
          <cell r="T125">
            <v>500</v>
          </cell>
          <cell r="U125">
            <v>625</v>
          </cell>
          <cell r="V125">
            <v>750</v>
          </cell>
          <cell r="W125">
            <v>875.02499999999998</v>
          </cell>
          <cell r="X125">
            <v>1000.075</v>
          </cell>
          <cell r="Y125">
            <v>1125.1500000000001</v>
          </cell>
        </row>
        <row r="126">
          <cell r="C126" t="str">
            <v>Additions</v>
          </cell>
          <cell r="T126">
            <v>250</v>
          </cell>
          <cell r="U126">
            <v>250</v>
          </cell>
          <cell r="V126">
            <v>250.05</v>
          </cell>
          <cell r="W126">
            <v>250.10000000000002</v>
          </cell>
          <cell r="X126">
            <v>250.15000000000003</v>
          </cell>
          <cell r="Y126">
            <v>250.20000000000005</v>
          </cell>
        </row>
        <row r="127">
          <cell r="C127" t="str">
            <v>Disconnects</v>
          </cell>
        </row>
        <row r="128">
          <cell r="C128" t="str">
            <v>Net Additions</v>
          </cell>
          <cell r="T128">
            <v>250</v>
          </cell>
          <cell r="U128">
            <v>250</v>
          </cell>
          <cell r="V128">
            <v>250.05</v>
          </cell>
          <cell r="W128">
            <v>250.10000000000002</v>
          </cell>
          <cell r="X128">
            <v>250.15000000000003</v>
          </cell>
          <cell r="Y128">
            <v>250.20000000000005</v>
          </cell>
        </row>
        <row r="129">
          <cell r="C129" t="str">
            <v>EOP Subs</v>
          </cell>
          <cell r="T129">
            <v>750</v>
          </cell>
          <cell r="U129">
            <v>875</v>
          </cell>
          <cell r="V129">
            <v>1000.05</v>
          </cell>
          <cell r="W129">
            <v>1125.125</v>
          </cell>
          <cell r="X129">
            <v>1250.2250000000001</v>
          </cell>
          <cell r="Y129">
            <v>1375.3500000000001</v>
          </cell>
        </row>
        <row r="130">
          <cell r="C130" t="str">
            <v>Avg. Subs</v>
          </cell>
          <cell r="S130">
            <v>500</v>
          </cell>
          <cell r="T130">
            <v>625</v>
          </cell>
          <cell r="U130">
            <v>750</v>
          </cell>
          <cell r="V130">
            <v>875.02499999999998</v>
          </cell>
          <cell r="W130">
            <v>1000.075</v>
          </cell>
          <cell r="X130">
            <v>1125.1500000000001</v>
          </cell>
          <cell r="Y130">
            <v>1250.25</v>
          </cell>
        </row>
        <row r="131">
          <cell r="D131" t="str">
            <v>Y/Y Chg.</v>
          </cell>
          <cell r="T131">
            <v>0.25</v>
          </cell>
          <cell r="U131">
            <v>0.19999999999999996</v>
          </cell>
          <cell r="V131">
            <v>0.16670000000000007</v>
          </cell>
          <cell r="W131">
            <v>0.14291020256564102</v>
          </cell>
          <cell r="X131">
            <v>0.12506562007849409</v>
          </cell>
          <cell r="Y131">
            <v>0.11118517530995864</v>
          </cell>
        </row>
        <row r="133">
          <cell r="C133" t="str">
            <v>ARPU (Monthly $)</v>
          </cell>
          <cell r="T133">
            <v>2000</v>
          </cell>
          <cell r="U133">
            <v>2000</v>
          </cell>
          <cell r="V133">
            <v>2000</v>
          </cell>
          <cell r="W133">
            <v>2000</v>
          </cell>
          <cell r="X133">
            <v>2000</v>
          </cell>
          <cell r="Y133">
            <v>2000</v>
          </cell>
        </row>
        <row r="134">
          <cell r="D134" t="str">
            <v>Y/Y Chg.</v>
          </cell>
          <cell r="U134">
            <v>0</v>
          </cell>
          <cell r="V134">
            <v>0</v>
          </cell>
          <cell r="W134">
            <v>0</v>
          </cell>
          <cell r="X134">
            <v>0</v>
          </cell>
          <cell r="Y134">
            <v>0</v>
          </cell>
        </row>
        <row r="136">
          <cell r="C136" t="str">
            <v>% ViaSat Share</v>
          </cell>
          <cell r="T136">
            <v>0.5</v>
          </cell>
          <cell r="U136">
            <v>0.5</v>
          </cell>
          <cell r="V136">
            <v>0.5</v>
          </cell>
          <cell r="W136">
            <v>0.5</v>
          </cell>
          <cell r="X136">
            <v>0.5</v>
          </cell>
          <cell r="Y136">
            <v>0.5</v>
          </cell>
        </row>
        <row r="137">
          <cell r="C137" t="str">
            <v>Total Service Revenue ($MM)</v>
          </cell>
          <cell r="T137">
            <v>7.5</v>
          </cell>
          <cell r="U137">
            <v>9</v>
          </cell>
          <cell r="V137">
            <v>10.500299999999999</v>
          </cell>
          <cell r="W137">
            <v>12.000900000000001</v>
          </cell>
          <cell r="X137">
            <v>13.501800000000001</v>
          </cell>
          <cell r="Y137">
            <v>15.003</v>
          </cell>
        </row>
        <row r="140">
          <cell r="C140" t="str">
            <v>Equipment Cost</v>
          </cell>
          <cell r="T140">
            <v>0.05</v>
          </cell>
          <cell r="U140">
            <v>0.05</v>
          </cell>
          <cell r="V140">
            <v>0.05</v>
          </cell>
          <cell r="W140">
            <v>0.05</v>
          </cell>
          <cell r="X140">
            <v>0.05</v>
          </cell>
          <cell r="Y140">
            <v>0.05</v>
          </cell>
        </row>
        <row r="141">
          <cell r="C141" t="str">
            <v>Installation Cost</v>
          </cell>
          <cell r="T141">
            <v>0.05</v>
          </cell>
          <cell r="U141">
            <v>0.05</v>
          </cell>
          <cell r="V141">
            <v>0.05</v>
          </cell>
          <cell r="W141">
            <v>0.05</v>
          </cell>
          <cell r="X141">
            <v>0.05</v>
          </cell>
          <cell r="Y141">
            <v>0.05</v>
          </cell>
        </row>
        <row r="142">
          <cell r="C142" t="str">
            <v>Total Product Revenue per Intsall</v>
          </cell>
          <cell r="T142">
            <v>0.1</v>
          </cell>
          <cell r="U142">
            <v>0.1</v>
          </cell>
          <cell r="V142">
            <v>0.1</v>
          </cell>
          <cell r="W142">
            <v>0.1</v>
          </cell>
          <cell r="X142">
            <v>0.1</v>
          </cell>
          <cell r="Y142">
            <v>0.1</v>
          </cell>
        </row>
        <row r="143">
          <cell r="C143" t="str">
            <v>Total Commercial Networks Revenue ($MM)</v>
          </cell>
          <cell r="T143">
            <v>25</v>
          </cell>
          <cell r="U143">
            <v>25</v>
          </cell>
          <cell r="V143">
            <v>25.005000000000003</v>
          </cell>
          <cell r="W143">
            <v>25.010000000000005</v>
          </cell>
          <cell r="X143">
            <v>25.015000000000004</v>
          </cell>
          <cell r="Y143">
            <v>25.020000000000007</v>
          </cell>
        </row>
        <row r="146">
          <cell r="C146" t="str">
            <v>Merchant Vessels (Less 10% have VSAT today)</v>
          </cell>
          <cell r="T146">
            <v>42000</v>
          </cell>
        </row>
        <row r="147">
          <cell r="C147" t="str">
            <v>Other Commercial Vessels (Fishing, Ferries, CG)</v>
          </cell>
          <cell r="T147">
            <v>40000</v>
          </cell>
        </row>
        <row r="148">
          <cell r="C148" t="str">
            <v>Large Yachts</v>
          </cell>
          <cell r="T148">
            <v>125000</v>
          </cell>
        </row>
        <row r="151">
          <cell r="E151" t="str">
            <v>Additions</v>
          </cell>
        </row>
        <row r="152">
          <cell r="E152" t="str">
            <v>Bull Case</v>
          </cell>
          <cell r="T152">
            <v>750</v>
          </cell>
          <cell r="U152">
            <v>500</v>
          </cell>
          <cell r="V152">
            <v>500</v>
          </cell>
          <cell r="W152">
            <v>500</v>
          </cell>
          <cell r="X152">
            <v>500</v>
          </cell>
          <cell r="Y152">
            <v>500</v>
          </cell>
        </row>
        <row r="153">
          <cell r="E153" t="str">
            <v>Base Case</v>
          </cell>
          <cell r="T153">
            <v>250</v>
          </cell>
          <cell r="U153">
            <v>250</v>
          </cell>
          <cell r="V153">
            <v>250.05</v>
          </cell>
          <cell r="W153">
            <v>250.10000000000002</v>
          </cell>
          <cell r="X153">
            <v>250.15000000000003</v>
          </cell>
          <cell r="Y153">
            <v>250.20000000000005</v>
          </cell>
        </row>
        <row r="154">
          <cell r="E154" t="str">
            <v>Bear Case</v>
          </cell>
          <cell r="T154">
            <v>200</v>
          </cell>
          <cell r="U154">
            <v>200</v>
          </cell>
          <cell r="V154">
            <v>150</v>
          </cell>
          <cell r="W154">
            <v>100</v>
          </cell>
          <cell r="X154">
            <v>100</v>
          </cell>
          <cell r="Y154">
            <v>100</v>
          </cell>
        </row>
        <row r="155">
          <cell r="E155" t="str">
            <v>Using Base Case</v>
          </cell>
          <cell r="T155">
            <v>250</v>
          </cell>
          <cell r="U155">
            <v>250</v>
          </cell>
          <cell r="V155">
            <v>250.05</v>
          </cell>
          <cell r="W155">
            <v>250.10000000000002</v>
          </cell>
          <cell r="X155">
            <v>250.15000000000003</v>
          </cell>
          <cell r="Y155">
            <v>250.20000000000005</v>
          </cell>
        </row>
        <row r="156">
          <cell r="E156">
            <v>2</v>
          </cell>
        </row>
        <row r="158">
          <cell r="E158" t="str">
            <v>Y/Y Chg. ARPU</v>
          </cell>
        </row>
        <row r="159">
          <cell r="E159" t="str">
            <v>Bull Case</v>
          </cell>
          <cell r="U159">
            <v>0.02</v>
          </cell>
          <cell r="V159">
            <v>0.02</v>
          </cell>
          <cell r="W159">
            <v>0.02</v>
          </cell>
          <cell r="X159">
            <v>0.02</v>
          </cell>
          <cell r="Y159">
            <v>0.02</v>
          </cell>
        </row>
        <row r="160">
          <cell r="E160" t="str">
            <v>Base Case</v>
          </cell>
          <cell r="U160">
            <v>0</v>
          </cell>
          <cell r="V160">
            <v>0</v>
          </cell>
          <cell r="W160">
            <v>0</v>
          </cell>
          <cell r="X160">
            <v>0</v>
          </cell>
          <cell r="Y160">
            <v>0</v>
          </cell>
        </row>
        <row r="161">
          <cell r="E161" t="str">
            <v>Bear Case</v>
          </cell>
          <cell r="U161">
            <v>-0.02</v>
          </cell>
          <cell r="V161">
            <v>-0.02</v>
          </cell>
          <cell r="W161">
            <v>-0.02</v>
          </cell>
          <cell r="X161">
            <v>-0.02</v>
          </cell>
          <cell r="Y161">
            <v>-0.02</v>
          </cell>
        </row>
        <row r="162">
          <cell r="E162" t="str">
            <v>Using Base Case</v>
          </cell>
          <cell r="U162">
            <v>0</v>
          </cell>
          <cell r="V162">
            <v>0</v>
          </cell>
          <cell r="W162">
            <v>0</v>
          </cell>
          <cell r="X162">
            <v>0</v>
          </cell>
          <cell r="Y162">
            <v>0</v>
          </cell>
        </row>
        <row r="163">
          <cell r="E163">
            <v>2</v>
          </cell>
        </row>
        <row r="165">
          <cell r="B165" t="str">
            <v>Mobile Broadband Build - Rails</v>
          </cell>
        </row>
        <row r="167">
          <cell r="C167" t="str">
            <v>TGV Model</v>
          </cell>
        </row>
        <row r="169">
          <cell r="C169" t="str">
            <v>Total TGV Fleet</v>
          </cell>
          <cell r="S169">
            <v>400</v>
          </cell>
          <cell r="T169">
            <v>400</v>
          </cell>
          <cell r="U169">
            <v>400</v>
          </cell>
          <cell r="V169">
            <v>400</v>
          </cell>
          <cell r="W169">
            <v>400</v>
          </cell>
          <cell r="X169">
            <v>400</v>
          </cell>
          <cell r="Y169">
            <v>400</v>
          </cell>
        </row>
        <row r="170">
          <cell r="C170" t="str">
            <v>% Fleet Penetration</v>
          </cell>
          <cell r="S170">
            <v>0.15</v>
          </cell>
          <cell r="T170">
            <v>0.15</v>
          </cell>
          <cell r="U170">
            <v>0.2</v>
          </cell>
          <cell r="V170">
            <v>0.3</v>
          </cell>
          <cell r="W170">
            <v>0.4</v>
          </cell>
          <cell r="X170">
            <v>0.5</v>
          </cell>
          <cell r="Y170">
            <v>0.6</v>
          </cell>
        </row>
        <row r="171">
          <cell r="C171" t="str">
            <v>ViaSat WiFi Equipped</v>
          </cell>
          <cell r="S171">
            <v>60</v>
          </cell>
          <cell r="T171">
            <v>60</v>
          </cell>
          <cell r="U171">
            <v>80</v>
          </cell>
          <cell r="V171">
            <v>120</v>
          </cell>
          <cell r="W171">
            <v>160</v>
          </cell>
          <cell r="X171">
            <v>200</v>
          </cell>
          <cell r="Y171">
            <v>240</v>
          </cell>
        </row>
        <row r="172">
          <cell r="C172" t="str">
            <v>Avg. Daily Pax per Train</v>
          </cell>
          <cell r="S172">
            <v>900</v>
          </cell>
          <cell r="T172">
            <v>900</v>
          </cell>
          <cell r="U172">
            <v>900</v>
          </cell>
          <cell r="V172">
            <v>900</v>
          </cell>
          <cell r="W172">
            <v>900</v>
          </cell>
          <cell r="X172">
            <v>900</v>
          </cell>
          <cell r="Y172">
            <v>900</v>
          </cell>
        </row>
        <row r="173">
          <cell r="C173" t="str">
            <v>% Pax Particpation</v>
          </cell>
          <cell r="S173">
            <v>0.05</v>
          </cell>
          <cell r="T173">
            <v>0.05</v>
          </cell>
          <cell r="U173">
            <v>0.05</v>
          </cell>
          <cell r="V173">
            <v>0.05</v>
          </cell>
          <cell r="W173">
            <v>0.05</v>
          </cell>
          <cell r="X173">
            <v>0.05</v>
          </cell>
          <cell r="Y173">
            <v>0.05</v>
          </cell>
        </row>
        <row r="174">
          <cell r="C174" t="str">
            <v>ARPU (Euros Per Useage)</v>
          </cell>
          <cell r="S174">
            <v>5</v>
          </cell>
          <cell r="T174">
            <v>5</v>
          </cell>
          <cell r="U174">
            <v>5</v>
          </cell>
          <cell r="V174">
            <v>5</v>
          </cell>
          <cell r="W174">
            <v>5</v>
          </cell>
          <cell r="X174">
            <v>5</v>
          </cell>
          <cell r="Y174">
            <v>5</v>
          </cell>
        </row>
        <row r="175">
          <cell r="C175" t="str">
            <v>EUR/USD Exchange Rate</v>
          </cell>
          <cell r="S175">
            <v>1.35</v>
          </cell>
          <cell r="T175">
            <v>1.35</v>
          </cell>
          <cell r="U175">
            <v>1.35</v>
          </cell>
          <cell r="V175">
            <v>1.35</v>
          </cell>
          <cell r="W175">
            <v>1.35</v>
          </cell>
          <cell r="X175">
            <v>1.35</v>
          </cell>
          <cell r="Y175">
            <v>1.35</v>
          </cell>
        </row>
        <row r="176">
          <cell r="C176" t="str">
            <v>% ViaSat Revenue Share</v>
          </cell>
          <cell r="S176">
            <v>0.25</v>
          </cell>
          <cell r="T176">
            <v>0.25</v>
          </cell>
          <cell r="U176">
            <v>0.25</v>
          </cell>
          <cell r="V176">
            <v>0.25</v>
          </cell>
          <cell r="W176">
            <v>0.25</v>
          </cell>
          <cell r="X176">
            <v>0.25</v>
          </cell>
          <cell r="Y176">
            <v>0.25</v>
          </cell>
        </row>
        <row r="177">
          <cell r="C177" t="str">
            <v>Total Service Revenue ($MM)</v>
          </cell>
          <cell r="S177">
            <v>1.6220250000000001</v>
          </cell>
          <cell r="T177">
            <v>1.6220250000000001</v>
          </cell>
          <cell r="U177">
            <v>2.1627000000000001</v>
          </cell>
          <cell r="V177">
            <v>3.2440500000000001</v>
          </cell>
          <cell r="W177">
            <v>4.3254000000000001</v>
          </cell>
          <cell r="X177">
            <v>5.4067500000000006</v>
          </cell>
          <cell r="Y177">
            <v>6.4881000000000002</v>
          </cell>
        </row>
        <row r="179">
          <cell r="C179" t="str">
            <v>Installations</v>
          </cell>
          <cell r="T179">
            <v>0</v>
          </cell>
          <cell r="U179">
            <v>20</v>
          </cell>
          <cell r="V179">
            <v>40</v>
          </cell>
          <cell r="W179">
            <v>40</v>
          </cell>
          <cell r="X179">
            <v>40</v>
          </cell>
          <cell r="Y179">
            <v>40</v>
          </cell>
        </row>
        <row r="180">
          <cell r="C180" t="str">
            <v>Revenue per Installation</v>
          </cell>
          <cell r="T180">
            <v>0.3</v>
          </cell>
          <cell r="U180">
            <v>0.3</v>
          </cell>
          <cell r="V180">
            <v>0.3</v>
          </cell>
          <cell r="W180">
            <v>0.3</v>
          </cell>
          <cell r="X180">
            <v>0.3</v>
          </cell>
          <cell r="Y180">
            <v>0.3</v>
          </cell>
        </row>
        <row r="181">
          <cell r="C181" t="str">
            <v>Total Commercial Networks Revenue ($MM)</v>
          </cell>
          <cell r="T181">
            <v>0</v>
          </cell>
          <cell r="U181">
            <v>6</v>
          </cell>
          <cell r="V181">
            <v>12</v>
          </cell>
          <cell r="W181">
            <v>12</v>
          </cell>
          <cell r="X181">
            <v>12</v>
          </cell>
          <cell r="Y181">
            <v>12</v>
          </cell>
        </row>
        <row r="183">
          <cell r="C183" t="str">
            <v>Total Annual TGV System Pax (MM)</v>
          </cell>
          <cell r="J183">
            <v>79.7</v>
          </cell>
          <cell r="K183">
            <v>83.5</v>
          </cell>
          <cell r="L183">
            <v>87.9</v>
          </cell>
          <cell r="M183">
            <v>86.7</v>
          </cell>
          <cell r="N183">
            <v>90.8</v>
          </cell>
          <cell r="O183">
            <v>94</v>
          </cell>
          <cell r="P183">
            <v>97</v>
          </cell>
          <cell r="Q183">
            <v>120</v>
          </cell>
          <cell r="R183">
            <v>128</v>
          </cell>
        </row>
        <row r="184">
          <cell r="D184" t="str">
            <v>Y/Y Chg.</v>
          </cell>
          <cell r="K184">
            <v>4.7678795483061531E-2</v>
          </cell>
          <cell r="L184">
            <v>5.2694610778443174E-2</v>
          </cell>
          <cell r="M184">
            <v>-1.3651877133105783E-2</v>
          </cell>
          <cell r="N184">
            <v>4.7289504036908792E-2</v>
          </cell>
          <cell r="O184">
            <v>3.524229074889873E-2</v>
          </cell>
          <cell r="P184">
            <v>3.1914893617021267E-2</v>
          </cell>
          <cell r="Q184">
            <v>0.23711340206185572</v>
          </cell>
          <cell r="R184">
            <v>6.6666666666666652E-2</v>
          </cell>
        </row>
        <row r="186">
          <cell r="C186" t="str">
            <v>Avg. Daily TGV System Pax</v>
          </cell>
          <cell r="R186">
            <v>359550.5617977528</v>
          </cell>
        </row>
        <row r="187">
          <cell r="C187" t="str">
            <v>Total TGV Fleet</v>
          </cell>
          <cell r="R187">
            <v>400</v>
          </cell>
        </row>
        <row r="188">
          <cell r="C188" t="str">
            <v>Avg. Daily Pax per Train</v>
          </cell>
          <cell r="R188">
            <v>898.87640449438197</v>
          </cell>
        </row>
        <row r="191">
          <cell r="E191" t="str">
            <v>% Fleet Penetration</v>
          </cell>
        </row>
        <row r="192">
          <cell r="E192" t="str">
            <v>Bull Case</v>
          </cell>
          <cell r="T192">
            <v>0.2</v>
          </cell>
          <cell r="U192">
            <v>0.4</v>
          </cell>
          <cell r="V192">
            <v>0.60000000000000009</v>
          </cell>
          <cell r="W192">
            <v>0.8</v>
          </cell>
          <cell r="X192">
            <v>1</v>
          </cell>
          <cell r="Y192">
            <v>1</v>
          </cell>
        </row>
        <row r="193">
          <cell r="E193" t="str">
            <v>Base Case</v>
          </cell>
          <cell r="T193">
            <v>0.15</v>
          </cell>
          <cell r="U193">
            <v>0.2</v>
          </cell>
          <cell r="V193">
            <v>0.3</v>
          </cell>
          <cell r="W193">
            <v>0.4</v>
          </cell>
          <cell r="X193">
            <v>0.5</v>
          </cell>
          <cell r="Y193">
            <v>0.6</v>
          </cell>
        </row>
        <row r="194">
          <cell r="E194" t="str">
            <v>Bear Case</v>
          </cell>
          <cell r="T194">
            <v>0.15</v>
          </cell>
          <cell r="U194">
            <v>0.15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</row>
        <row r="195">
          <cell r="E195" t="str">
            <v>Using Base Case</v>
          </cell>
          <cell r="T195">
            <v>0.15</v>
          </cell>
          <cell r="U195">
            <v>0.2</v>
          </cell>
          <cell r="V195">
            <v>0.3</v>
          </cell>
          <cell r="W195">
            <v>0.4</v>
          </cell>
          <cell r="X195">
            <v>0.5</v>
          </cell>
          <cell r="Y195">
            <v>0.6</v>
          </cell>
        </row>
        <row r="196">
          <cell r="E196">
            <v>2</v>
          </cell>
        </row>
        <row r="198">
          <cell r="E198" t="str">
            <v>Avg. Daily Pax per Train</v>
          </cell>
        </row>
        <row r="199">
          <cell r="E199" t="str">
            <v>Bull Case</v>
          </cell>
          <cell r="S199">
            <v>1000</v>
          </cell>
          <cell r="T199">
            <v>1000</v>
          </cell>
          <cell r="U199">
            <v>1000</v>
          </cell>
          <cell r="V199">
            <v>1000</v>
          </cell>
          <cell r="W199">
            <v>1000</v>
          </cell>
          <cell r="X199">
            <v>1000</v>
          </cell>
          <cell r="Y199">
            <v>1000</v>
          </cell>
        </row>
        <row r="200">
          <cell r="E200" t="str">
            <v>Base Case</v>
          </cell>
          <cell r="S200">
            <v>900</v>
          </cell>
          <cell r="T200">
            <v>900</v>
          </cell>
          <cell r="U200">
            <v>900</v>
          </cell>
          <cell r="V200">
            <v>900</v>
          </cell>
          <cell r="W200">
            <v>900</v>
          </cell>
          <cell r="X200">
            <v>900</v>
          </cell>
          <cell r="Y200">
            <v>900</v>
          </cell>
        </row>
        <row r="201">
          <cell r="E201" t="str">
            <v>Bear Case</v>
          </cell>
          <cell r="S201">
            <v>800</v>
          </cell>
          <cell r="T201">
            <v>800</v>
          </cell>
          <cell r="U201">
            <v>800</v>
          </cell>
          <cell r="V201">
            <v>800</v>
          </cell>
          <cell r="W201">
            <v>800</v>
          </cell>
          <cell r="X201">
            <v>800</v>
          </cell>
          <cell r="Y201">
            <v>800</v>
          </cell>
        </row>
        <row r="202">
          <cell r="E202" t="str">
            <v>Using Base Case</v>
          </cell>
          <cell r="S202">
            <v>900</v>
          </cell>
          <cell r="T202">
            <v>900</v>
          </cell>
          <cell r="U202">
            <v>900</v>
          </cell>
          <cell r="V202">
            <v>900</v>
          </cell>
          <cell r="W202">
            <v>900</v>
          </cell>
          <cell r="X202">
            <v>900</v>
          </cell>
          <cell r="Y202">
            <v>900</v>
          </cell>
        </row>
        <row r="203">
          <cell r="E203">
            <v>2</v>
          </cell>
        </row>
        <row r="205">
          <cell r="E205" t="str">
            <v>% Pax Particpation</v>
          </cell>
        </row>
        <row r="206">
          <cell r="E206" t="str">
            <v>Bull Case</v>
          </cell>
          <cell r="T206">
            <v>0.1</v>
          </cell>
          <cell r="U206">
            <v>0.15000000000000002</v>
          </cell>
          <cell r="V206">
            <v>0.2</v>
          </cell>
          <cell r="W206">
            <v>0.25</v>
          </cell>
          <cell r="X206">
            <v>0.25</v>
          </cell>
          <cell r="Y206">
            <v>0.25</v>
          </cell>
        </row>
        <row r="207">
          <cell r="E207" t="str">
            <v>Base Case</v>
          </cell>
          <cell r="T207">
            <v>0.05</v>
          </cell>
          <cell r="U207">
            <v>0.05</v>
          </cell>
          <cell r="V207">
            <v>0.05</v>
          </cell>
          <cell r="W207">
            <v>0.05</v>
          </cell>
          <cell r="X207">
            <v>0.05</v>
          </cell>
          <cell r="Y207">
            <v>0.05</v>
          </cell>
        </row>
        <row r="208">
          <cell r="E208" t="str">
            <v>Bear Case</v>
          </cell>
          <cell r="T208">
            <v>0.02</v>
          </cell>
          <cell r="U208">
            <v>0.02</v>
          </cell>
          <cell r="V208">
            <v>0.02</v>
          </cell>
          <cell r="W208">
            <v>0.02</v>
          </cell>
          <cell r="X208">
            <v>0.02</v>
          </cell>
          <cell r="Y208">
            <v>0.02</v>
          </cell>
        </row>
        <row r="209">
          <cell r="E209" t="str">
            <v>Using Base Case</v>
          </cell>
          <cell r="T209">
            <v>0.05</v>
          </cell>
          <cell r="U209">
            <v>0.05</v>
          </cell>
          <cell r="V209">
            <v>0.05</v>
          </cell>
          <cell r="W209">
            <v>0.05</v>
          </cell>
          <cell r="X209">
            <v>0.05</v>
          </cell>
          <cell r="Y209">
            <v>0.05</v>
          </cell>
        </row>
        <row r="210">
          <cell r="E210">
            <v>2</v>
          </cell>
        </row>
        <row r="212">
          <cell r="E212" t="str">
            <v>ARPU (Euros Per Useage)</v>
          </cell>
        </row>
        <row r="213">
          <cell r="E213" t="str">
            <v>Bull Case</v>
          </cell>
          <cell r="T213">
            <v>7.5</v>
          </cell>
          <cell r="U213">
            <v>7.5</v>
          </cell>
          <cell r="V213">
            <v>7.5</v>
          </cell>
          <cell r="W213">
            <v>7.5</v>
          </cell>
          <cell r="X213">
            <v>7.5</v>
          </cell>
          <cell r="Y213">
            <v>7.5</v>
          </cell>
        </row>
        <row r="214">
          <cell r="E214" t="str">
            <v>Base Case</v>
          </cell>
          <cell r="T214">
            <v>5</v>
          </cell>
          <cell r="U214">
            <v>5</v>
          </cell>
          <cell r="V214">
            <v>5</v>
          </cell>
          <cell r="W214">
            <v>5</v>
          </cell>
          <cell r="X214">
            <v>5</v>
          </cell>
          <cell r="Y214">
            <v>5</v>
          </cell>
        </row>
        <row r="215">
          <cell r="E215" t="str">
            <v>Bear Case</v>
          </cell>
          <cell r="T215">
            <v>2.5</v>
          </cell>
          <cell r="U215">
            <v>2.5</v>
          </cell>
          <cell r="V215">
            <v>2.5</v>
          </cell>
          <cell r="W215">
            <v>2.5</v>
          </cell>
          <cell r="X215">
            <v>2.5</v>
          </cell>
          <cell r="Y215">
            <v>2.5</v>
          </cell>
        </row>
        <row r="216">
          <cell r="E216" t="str">
            <v>Using Base Case</v>
          </cell>
          <cell r="T216">
            <v>5</v>
          </cell>
          <cell r="U216">
            <v>5</v>
          </cell>
          <cell r="V216">
            <v>5</v>
          </cell>
          <cell r="W216">
            <v>5</v>
          </cell>
          <cell r="X216">
            <v>5</v>
          </cell>
          <cell r="Y216">
            <v>5</v>
          </cell>
        </row>
        <row r="217">
          <cell r="E217">
            <v>2</v>
          </cell>
        </row>
        <row r="220">
          <cell r="B220" t="str">
            <v>Mobile Broadband Build - Business Jets</v>
          </cell>
        </row>
        <row r="222">
          <cell r="C222" t="str">
            <v>Service Revenue Model</v>
          </cell>
        </row>
        <row r="224">
          <cell r="C224" t="str">
            <v>BOP Subs</v>
          </cell>
          <cell r="T224">
            <v>100</v>
          </cell>
          <cell r="U224">
            <v>125.9025</v>
          </cell>
          <cell r="V224">
            <v>154.62982500000001</v>
          </cell>
          <cell r="W224">
            <v>190.918930875</v>
          </cell>
          <cell r="X224">
            <v>236.54726455312502</v>
          </cell>
          <cell r="Y224">
            <v>288.43510771429692</v>
          </cell>
        </row>
        <row r="225">
          <cell r="C225" t="str">
            <v>Additions</v>
          </cell>
          <cell r="T225">
            <v>56.805000000000007</v>
          </cell>
          <cell r="U225">
            <v>63.749775000000014</v>
          </cell>
          <cell r="V225">
            <v>80.309703000000027</v>
          </cell>
          <cell r="W225">
            <v>100.80261390000005</v>
          </cell>
          <cell r="X225">
            <v>115.60304955000007</v>
          </cell>
          <cell r="Y225">
            <v>113.61068321250008</v>
          </cell>
        </row>
        <row r="226">
          <cell r="C226" t="str">
            <v>Disconnects</v>
          </cell>
          <cell r="T226">
            <v>-5</v>
          </cell>
          <cell r="U226">
            <v>-6.2951250000000005</v>
          </cell>
          <cell r="V226">
            <v>-7.7314912500000013</v>
          </cell>
          <cell r="W226">
            <v>-9.5459465437500004</v>
          </cell>
          <cell r="X226">
            <v>-11.827363227656251</v>
          </cell>
          <cell r="Y226">
            <v>-14.421755385714846</v>
          </cell>
        </row>
        <row r="227">
          <cell r="C227" t="str">
            <v>Net Additions</v>
          </cell>
          <cell r="T227">
            <v>51.805000000000007</v>
          </cell>
          <cell r="U227">
            <v>57.454650000000015</v>
          </cell>
          <cell r="V227">
            <v>72.578211750000023</v>
          </cell>
          <cell r="W227">
            <v>91.256667356250048</v>
          </cell>
          <cell r="X227">
            <v>103.77568632234382</v>
          </cell>
          <cell r="Y227">
            <v>99.188927826785232</v>
          </cell>
        </row>
        <row r="228">
          <cell r="C228" t="str">
            <v>EOP Subs</v>
          </cell>
          <cell r="T228">
            <v>151.80500000000001</v>
          </cell>
          <cell r="U228">
            <v>183.35715000000002</v>
          </cell>
          <cell r="V228">
            <v>227.20803675000002</v>
          </cell>
          <cell r="W228">
            <v>282.17559823125004</v>
          </cell>
          <cell r="X228">
            <v>340.32295087546885</v>
          </cell>
          <cell r="Y228">
            <v>387.62403554108215</v>
          </cell>
        </row>
        <row r="229">
          <cell r="C229" t="str">
            <v>Avg. Subs</v>
          </cell>
          <cell r="S229">
            <v>100</v>
          </cell>
          <cell r="T229">
            <v>125.9025</v>
          </cell>
          <cell r="U229">
            <v>154.62982500000001</v>
          </cell>
          <cell r="V229">
            <v>190.918930875</v>
          </cell>
          <cell r="W229">
            <v>236.54726455312502</v>
          </cell>
          <cell r="X229">
            <v>288.43510771429692</v>
          </cell>
          <cell r="Y229">
            <v>338.02957162768951</v>
          </cell>
        </row>
        <row r="230">
          <cell r="D230" t="str">
            <v>Y/Y Chg.</v>
          </cell>
          <cell r="T230">
            <v>0.25902500000000006</v>
          </cell>
          <cell r="U230">
            <v>0.22817120390778589</v>
          </cell>
          <cell r="V230">
            <v>0.23468374147742832</v>
          </cell>
          <cell r="W230">
            <v>0.2389932390099081</v>
          </cell>
          <cell r="X230">
            <v>0.21935507586272962</v>
          </cell>
          <cell r="Y230">
            <v>0.17194322947162632</v>
          </cell>
        </row>
        <row r="232">
          <cell r="C232" t="str">
            <v>ARPU (Monthly $)</v>
          </cell>
          <cell r="T232">
            <v>2000</v>
          </cell>
          <cell r="U232">
            <v>2000</v>
          </cell>
          <cell r="V232">
            <v>2000</v>
          </cell>
          <cell r="W232">
            <v>2000</v>
          </cell>
          <cell r="X232">
            <v>2000</v>
          </cell>
          <cell r="Y232">
            <v>2000</v>
          </cell>
        </row>
        <row r="233">
          <cell r="D233" t="str">
            <v>Y/Y Chg.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</row>
        <row r="235">
          <cell r="C235" t="str">
            <v>% ViaSat Share</v>
          </cell>
          <cell r="T235">
            <v>0.5</v>
          </cell>
          <cell r="U235">
            <v>0.5</v>
          </cell>
          <cell r="V235">
            <v>0.5</v>
          </cell>
          <cell r="W235">
            <v>0.5</v>
          </cell>
          <cell r="X235">
            <v>0.5</v>
          </cell>
          <cell r="Y235">
            <v>0.5</v>
          </cell>
        </row>
        <row r="236">
          <cell r="C236" t="str">
            <v>Total Service Revenue ($MM)</v>
          </cell>
          <cell r="T236">
            <v>1.5108300000000001</v>
          </cell>
          <cell r="U236">
            <v>1.8555579000000002</v>
          </cell>
          <cell r="V236">
            <v>2.2910271705</v>
          </cell>
          <cell r="W236">
            <v>2.8385671746375003</v>
          </cell>
          <cell r="X236">
            <v>3.4612212925715631</v>
          </cell>
          <cell r="Y236">
            <v>4.0563548595322745</v>
          </cell>
        </row>
        <row r="239">
          <cell r="C239" t="str">
            <v>Installation Model</v>
          </cell>
        </row>
        <row r="241">
          <cell r="C241" t="str">
            <v>Total Biz Jet Industry Deliveries</v>
          </cell>
          <cell r="J241">
            <v>752</v>
          </cell>
          <cell r="K241">
            <v>784</v>
          </cell>
          <cell r="L241">
            <v>676</v>
          </cell>
          <cell r="M241">
            <v>518</v>
          </cell>
          <cell r="N241">
            <v>591</v>
          </cell>
          <cell r="O241">
            <v>750</v>
          </cell>
          <cell r="P241">
            <v>886</v>
          </cell>
          <cell r="Q241">
            <v>1136</v>
          </cell>
          <cell r="R241">
            <v>1313</v>
          </cell>
          <cell r="S241">
            <v>870</v>
          </cell>
          <cell r="T241">
            <v>896.1</v>
          </cell>
          <cell r="U241">
            <v>940.90500000000009</v>
          </cell>
          <cell r="V241">
            <v>1034.9955000000002</v>
          </cell>
          <cell r="W241">
            <v>1138.4950500000004</v>
          </cell>
          <cell r="X241">
            <v>1138.4950500000004</v>
          </cell>
          <cell r="Y241">
            <v>967.72079250000036</v>
          </cell>
        </row>
        <row r="242">
          <cell r="D242" t="str">
            <v>Y/Y Chg</v>
          </cell>
          <cell r="K242">
            <v>4.2553191489361764E-2</v>
          </cell>
          <cell r="L242">
            <v>-0.13775510204081631</v>
          </cell>
          <cell r="M242">
            <v>-0.23372781065088755</v>
          </cell>
          <cell r="N242">
            <v>0.14092664092664098</v>
          </cell>
          <cell r="O242">
            <v>0.26903553299492389</v>
          </cell>
          <cell r="P242">
            <v>0.18133333333333335</v>
          </cell>
          <cell r="Q242">
            <v>0.28216704288939054</v>
          </cell>
          <cell r="R242">
            <v>0.15580985915492951</v>
          </cell>
          <cell r="S242">
            <v>-0.33739527798933744</v>
          </cell>
          <cell r="T242">
            <v>0.03</v>
          </cell>
          <cell r="U242">
            <v>0.05</v>
          </cell>
          <cell r="V242">
            <v>0.1</v>
          </cell>
          <cell r="W242">
            <v>0.1</v>
          </cell>
          <cell r="X242">
            <v>0</v>
          </cell>
          <cell r="Y242">
            <v>-0.15</v>
          </cell>
        </row>
        <row r="244">
          <cell r="C244" t="str">
            <v>% Adopting Mobile Broadband</v>
          </cell>
          <cell r="T244">
            <v>0.5</v>
          </cell>
          <cell r="U244">
            <v>0.55000000000000004</v>
          </cell>
          <cell r="V244">
            <v>0.60000000000000009</v>
          </cell>
          <cell r="W244">
            <v>0.65000000000000013</v>
          </cell>
          <cell r="X244">
            <v>0.70000000000000018</v>
          </cell>
          <cell r="Y244">
            <v>0.75000000000000022</v>
          </cell>
        </row>
        <row r="245">
          <cell r="C245" t="str">
            <v>Addressable Market</v>
          </cell>
          <cell r="T245">
            <v>448.05</v>
          </cell>
          <cell r="U245">
            <v>517.49775000000011</v>
          </cell>
          <cell r="V245">
            <v>620.99730000000022</v>
          </cell>
          <cell r="W245">
            <v>740.02178250000043</v>
          </cell>
          <cell r="X245">
            <v>796.94653500000049</v>
          </cell>
          <cell r="Y245">
            <v>725.79059437500052</v>
          </cell>
        </row>
        <row r="246">
          <cell r="C246" t="str">
            <v>% Yonder Market Share</v>
          </cell>
          <cell r="T246">
            <v>0.1</v>
          </cell>
          <cell r="U246">
            <v>0.1</v>
          </cell>
          <cell r="V246">
            <v>0.11</v>
          </cell>
          <cell r="W246">
            <v>0.12</v>
          </cell>
          <cell r="X246">
            <v>0.13</v>
          </cell>
          <cell r="Y246">
            <v>0.14000000000000001</v>
          </cell>
        </row>
        <row r="247">
          <cell r="C247" t="str">
            <v>Yonder OEM Installations</v>
          </cell>
          <cell r="T247">
            <v>44.805000000000007</v>
          </cell>
          <cell r="U247">
            <v>51.749775000000014</v>
          </cell>
          <cell r="V247">
            <v>68.309703000000027</v>
          </cell>
          <cell r="W247">
            <v>88.802613900000054</v>
          </cell>
          <cell r="X247">
            <v>103.60304955000007</v>
          </cell>
          <cell r="Y247">
            <v>101.61068321250008</v>
          </cell>
        </row>
        <row r="248">
          <cell r="C248" t="str">
            <v>Yonder Aftermarket Installations</v>
          </cell>
          <cell r="T248">
            <v>12</v>
          </cell>
          <cell r="U248">
            <v>12</v>
          </cell>
          <cell r="V248">
            <v>12</v>
          </cell>
          <cell r="W248">
            <v>12</v>
          </cell>
          <cell r="X248">
            <v>12</v>
          </cell>
          <cell r="Y248">
            <v>12</v>
          </cell>
        </row>
        <row r="249">
          <cell r="C249" t="str">
            <v>Total Yonder Installations</v>
          </cell>
          <cell r="T249">
            <v>56.805000000000007</v>
          </cell>
          <cell r="U249">
            <v>63.749775000000014</v>
          </cell>
          <cell r="V249">
            <v>80.309703000000027</v>
          </cell>
          <cell r="W249">
            <v>100.80261390000005</v>
          </cell>
          <cell r="X249">
            <v>115.60304955000007</v>
          </cell>
          <cell r="Y249">
            <v>113.61068321250008</v>
          </cell>
        </row>
        <row r="252">
          <cell r="C252" t="str">
            <v>Equipment Cost</v>
          </cell>
          <cell r="T252">
            <v>0.1</v>
          </cell>
          <cell r="U252">
            <v>0.1</v>
          </cell>
          <cell r="V252">
            <v>0.1</v>
          </cell>
          <cell r="W252">
            <v>0.1</v>
          </cell>
          <cell r="X252">
            <v>0.1</v>
          </cell>
          <cell r="Y252">
            <v>0.1</v>
          </cell>
        </row>
        <row r="253">
          <cell r="C253" t="str">
            <v>Installation Cost</v>
          </cell>
          <cell r="T253">
            <v>0.1</v>
          </cell>
          <cell r="U253">
            <v>0.1</v>
          </cell>
          <cell r="V253">
            <v>0.1</v>
          </cell>
          <cell r="W253">
            <v>0.1</v>
          </cell>
          <cell r="X253">
            <v>0.1</v>
          </cell>
          <cell r="Y253">
            <v>0.1</v>
          </cell>
        </row>
        <row r="254">
          <cell r="C254" t="str">
            <v>Total Product Revenue per Intsall</v>
          </cell>
          <cell r="T254">
            <v>0.2</v>
          </cell>
          <cell r="U254">
            <v>0.2</v>
          </cell>
          <cell r="V254">
            <v>0.2</v>
          </cell>
          <cell r="W254">
            <v>0.2</v>
          </cell>
          <cell r="X254">
            <v>0.2</v>
          </cell>
          <cell r="Y254">
            <v>0.2</v>
          </cell>
        </row>
        <row r="255">
          <cell r="C255" t="str">
            <v>Total Commercial Networks Revenue ($MM)</v>
          </cell>
          <cell r="T255">
            <v>11.361000000000002</v>
          </cell>
          <cell r="U255">
            <v>12.749955000000003</v>
          </cell>
          <cell r="V255">
            <v>16.061940600000007</v>
          </cell>
          <cell r="W255">
            <v>20.160522780000012</v>
          </cell>
          <cell r="X255">
            <v>23.120609910000013</v>
          </cell>
          <cell r="Y255">
            <v>22.722136642500018</v>
          </cell>
        </row>
        <row r="259">
          <cell r="E259" t="str">
            <v>Y/Y Chg. ARPU</v>
          </cell>
        </row>
        <row r="260">
          <cell r="E260" t="str">
            <v>Bull Case</v>
          </cell>
          <cell r="U260">
            <v>0.02</v>
          </cell>
          <cell r="V260">
            <v>0.02</v>
          </cell>
          <cell r="W260">
            <v>0.02</v>
          </cell>
          <cell r="X260">
            <v>0.02</v>
          </cell>
          <cell r="Y260">
            <v>0.02</v>
          </cell>
        </row>
        <row r="261">
          <cell r="E261" t="str">
            <v>Base Case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</row>
        <row r="262">
          <cell r="E262" t="str">
            <v>Bear Case</v>
          </cell>
          <cell r="U262">
            <v>-0.02</v>
          </cell>
          <cell r="V262">
            <v>-0.02</v>
          </cell>
          <cell r="W262">
            <v>-0.02</v>
          </cell>
          <cell r="X262">
            <v>-0.02</v>
          </cell>
          <cell r="Y262">
            <v>-0.02</v>
          </cell>
        </row>
        <row r="263">
          <cell r="E263" t="str">
            <v>Using Base Case</v>
          </cell>
          <cell r="U263">
            <v>0</v>
          </cell>
          <cell r="V263">
            <v>0</v>
          </cell>
          <cell r="W263">
            <v>0</v>
          </cell>
          <cell r="X263">
            <v>0</v>
          </cell>
          <cell r="Y263">
            <v>0</v>
          </cell>
        </row>
        <row r="264">
          <cell r="E264">
            <v>2</v>
          </cell>
        </row>
        <row r="268">
          <cell r="B268" t="str">
            <v>Mobile Broadband Build - Commercial Aircraft</v>
          </cell>
        </row>
        <row r="270">
          <cell r="C270" t="str">
            <v>JetBlue Fleet</v>
          </cell>
        </row>
        <row r="272">
          <cell r="U272" t="str">
            <v xml:space="preserve">2012E </v>
          </cell>
          <cell r="V272" t="str">
            <v xml:space="preserve">2013E </v>
          </cell>
          <cell r="W272" t="str">
            <v xml:space="preserve">2014E </v>
          </cell>
          <cell r="X272" t="str">
            <v xml:space="preserve">2015E </v>
          </cell>
          <cell r="Y272" t="str">
            <v xml:space="preserve">2016E </v>
          </cell>
        </row>
        <row r="274">
          <cell r="C274" t="str">
            <v>Airbus 320</v>
          </cell>
        </row>
        <row r="275">
          <cell r="C275" t="str">
            <v>BOP Fleet</v>
          </cell>
          <cell r="U275">
            <v>191</v>
          </cell>
          <cell r="V275">
            <v>202</v>
          </cell>
          <cell r="W275">
            <v>215</v>
          </cell>
          <cell r="X275">
            <v>227</v>
          </cell>
          <cell r="Y275">
            <v>242</v>
          </cell>
        </row>
        <row r="276">
          <cell r="C276" t="str">
            <v>Firm Orders</v>
          </cell>
          <cell r="U276">
            <v>11</v>
          </cell>
          <cell r="V276">
            <v>13</v>
          </cell>
          <cell r="W276">
            <v>12</v>
          </cell>
          <cell r="X276">
            <v>15</v>
          </cell>
          <cell r="Y276">
            <v>0</v>
          </cell>
        </row>
        <row r="277">
          <cell r="C277" t="str">
            <v>Retirements</v>
          </cell>
          <cell r="U277">
            <v>0</v>
          </cell>
          <cell r="V277">
            <v>0</v>
          </cell>
          <cell r="W277">
            <v>0</v>
          </cell>
          <cell r="X277">
            <v>0</v>
          </cell>
          <cell r="Y277">
            <v>0</v>
          </cell>
        </row>
        <row r="278">
          <cell r="C278" t="str">
            <v>EOP Fleet</v>
          </cell>
          <cell r="U278">
            <v>202</v>
          </cell>
          <cell r="V278">
            <v>215</v>
          </cell>
          <cell r="W278">
            <v>227</v>
          </cell>
          <cell r="X278">
            <v>242</v>
          </cell>
          <cell r="Y278">
            <v>242</v>
          </cell>
        </row>
        <row r="279">
          <cell r="C279" t="str">
            <v>Avg. Fleet</v>
          </cell>
          <cell r="U279">
            <v>196.5</v>
          </cell>
          <cell r="V279">
            <v>208.5</v>
          </cell>
          <cell r="W279">
            <v>221</v>
          </cell>
          <cell r="X279">
            <v>234.5</v>
          </cell>
          <cell r="Y279">
            <v>242</v>
          </cell>
        </row>
        <row r="280">
          <cell r="C280" t="str">
            <v>Seats</v>
          </cell>
          <cell r="U280">
            <v>150</v>
          </cell>
          <cell r="V280">
            <v>150</v>
          </cell>
          <cell r="W280">
            <v>150</v>
          </cell>
          <cell r="X280">
            <v>150</v>
          </cell>
          <cell r="Y280">
            <v>150</v>
          </cell>
        </row>
        <row r="281">
          <cell r="C281" t="str">
            <v>Avg. Daily Flights</v>
          </cell>
          <cell r="U281">
            <v>4</v>
          </cell>
          <cell r="V281">
            <v>4</v>
          </cell>
          <cell r="W281">
            <v>4</v>
          </cell>
          <cell r="X281">
            <v>4</v>
          </cell>
          <cell r="Y281">
            <v>4</v>
          </cell>
        </row>
        <row r="282">
          <cell r="C282" t="str">
            <v>Load Factor</v>
          </cell>
          <cell r="U282">
            <v>0.8</v>
          </cell>
          <cell r="V282">
            <v>0.8</v>
          </cell>
          <cell r="W282">
            <v>0.8</v>
          </cell>
          <cell r="X282">
            <v>0.8</v>
          </cell>
          <cell r="Y282">
            <v>0.8</v>
          </cell>
        </row>
        <row r="283">
          <cell r="C283" t="str">
            <v>% Pax Participation</v>
          </cell>
          <cell r="U283">
            <v>0.1</v>
          </cell>
          <cell r="V283">
            <v>0.15000000000000002</v>
          </cell>
          <cell r="W283">
            <v>0.2</v>
          </cell>
          <cell r="X283">
            <v>0.25</v>
          </cell>
          <cell r="Y283">
            <v>0.3</v>
          </cell>
        </row>
        <row r="284">
          <cell r="C284" t="str">
            <v>Monthly Pax Subs (000s)</v>
          </cell>
          <cell r="U284">
            <v>282.95999999999998</v>
          </cell>
          <cell r="V284">
            <v>450.36000000000007</v>
          </cell>
          <cell r="W284">
            <v>636.48</v>
          </cell>
          <cell r="X284">
            <v>844.2</v>
          </cell>
          <cell r="Y284">
            <v>1045.44</v>
          </cell>
        </row>
        <row r="285">
          <cell r="C285" t="str">
            <v>ARPU (Per Flight)</v>
          </cell>
          <cell r="U285">
            <v>8</v>
          </cell>
          <cell r="V285">
            <v>8</v>
          </cell>
          <cell r="W285">
            <v>8</v>
          </cell>
          <cell r="X285">
            <v>8</v>
          </cell>
          <cell r="Y285">
            <v>8</v>
          </cell>
        </row>
        <row r="286">
          <cell r="C286" t="str">
            <v>% ViaSat Revenue Share (Illustrative)</v>
          </cell>
          <cell r="U286">
            <v>0.5</v>
          </cell>
          <cell r="V286">
            <v>0.5</v>
          </cell>
          <cell r="W286">
            <v>0.5</v>
          </cell>
          <cell r="X286">
            <v>0.5</v>
          </cell>
          <cell r="Y286">
            <v>0.5</v>
          </cell>
        </row>
        <row r="287">
          <cell r="C287" t="str">
            <v>Annual ViaSat Service Revenue ($MM) - A320</v>
          </cell>
          <cell r="U287">
            <v>13.582079999999998</v>
          </cell>
          <cell r="V287">
            <v>21.617280000000001</v>
          </cell>
          <cell r="W287">
            <v>30.55104</v>
          </cell>
          <cell r="X287">
            <v>40.521600000000007</v>
          </cell>
          <cell r="Y287">
            <v>50.18112</v>
          </cell>
        </row>
        <row r="288">
          <cell r="D288" t="str">
            <v>Y/Y Chg.</v>
          </cell>
          <cell r="V288">
            <v>0.59160305343511488</v>
          </cell>
          <cell r="W288">
            <v>0.41326938449240602</v>
          </cell>
          <cell r="X288">
            <v>0.32635746606334859</v>
          </cell>
          <cell r="Y288">
            <v>0.23837953091684416</v>
          </cell>
        </row>
        <row r="290">
          <cell r="C290" t="str">
            <v>Embraer 190</v>
          </cell>
        </row>
        <row r="291">
          <cell r="C291" t="str">
            <v>BOP Fleet</v>
          </cell>
          <cell r="U291">
            <v>100</v>
          </cell>
          <cell r="V291">
            <v>106</v>
          </cell>
          <cell r="W291">
            <v>113</v>
          </cell>
          <cell r="X291">
            <v>120</v>
          </cell>
          <cell r="Y291">
            <v>127</v>
          </cell>
        </row>
        <row r="292">
          <cell r="C292" t="str">
            <v>Firm Orders</v>
          </cell>
          <cell r="U292">
            <v>6</v>
          </cell>
          <cell r="V292">
            <v>7</v>
          </cell>
          <cell r="W292">
            <v>7</v>
          </cell>
          <cell r="X292">
            <v>7</v>
          </cell>
          <cell r="Y292">
            <v>8</v>
          </cell>
        </row>
        <row r="293">
          <cell r="C293" t="str">
            <v>Retirements</v>
          </cell>
          <cell r="U293">
            <v>0</v>
          </cell>
          <cell r="V293">
            <v>0</v>
          </cell>
          <cell r="W293">
            <v>0</v>
          </cell>
          <cell r="X293">
            <v>0</v>
          </cell>
          <cell r="Y293">
            <v>0</v>
          </cell>
        </row>
        <row r="294">
          <cell r="C294" t="str">
            <v>EOP Fleet</v>
          </cell>
          <cell r="U294">
            <v>106</v>
          </cell>
          <cell r="V294">
            <v>113</v>
          </cell>
          <cell r="W294">
            <v>120</v>
          </cell>
          <cell r="X294">
            <v>127</v>
          </cell>
          <cell r="Y294">
            <v>135</v>
          </cell>
        </row>
        <row r="295">
          <cell r="C295" t="str">
            <v>Avg. Fleet</v>
          </cell>
          <cell r="U295">
            <v>53</v>
          </cell>
          <cell r="V295">
            <v>56.5</v>
          </cell>
          <cell r="W295">
            <v>60</v>
          </cell>
          <cell r="X295">
            <v>63.5</v>
          </cell>
          <cell r="Y295">
            <v>67.5</v>
          </cell>
        </row>
        <row r="296">
          <cell r="C296" t="str">
            <v>Seats</v>
          </cell>
          <cell r="U296">
            <v>100</v>
          </cell>
          <cell r="V296">
            <v>100</v>
          </cell>
          <cell r="W296">
            <v>100</v>
          </cell>
          <cell r="X296">
            <v>100</v>
          </cell>
          <cell r="Y296">
            <v>100</v>
          </cell>
        </row>
        <row r="297">
          <cell r="C297" t="str">
            <v>Avg. Daily Flights</v>
          </cell>
          <cell r="U297">
            <v>4</v>
          </cell>
          <cell r="V297">
            <v>4</v>
          </cell>
          <cell r="W297">
            <v>4</v>
          </cell>
          <cell r="X297">
            <v>4</v>
          </cell>
          <cell r="Y297">
            <v>4</v>
          </cell>
        </row>
        <row r="298">
          <cell r="C298" t="str">
            <v>Load Factor</v>
          </cell>
          <cell r="U298">
            <v>0.8</v>
          </cell>
          <cell r="V298">
            <v>0.8</v>
          </cell>
          <cell r="W298">
            <v>0.8</v>
          </cell>
          <cell r="X298">
            <v>0.8</v>
          </cell>
          <cell r="Y298">
            <v>0.8</v>
          </cell>
        </row>
        <row r="299">
          <cell r="C299" t="str">
            <v>% Pax Participation</v>
          </cell>
          <cell r="U299">
            <v>0.1</v>
          </cell>
          <cell r="V299">
            <v>0.15000000000000002</v>
          </cell>
          <cell r="W299">
            <v>0.2</v>
          </cell>
          <cell r="X299">
            <v>0.25</v>
          </cell>
          <cell r="Y299">
            <v>0.3</v>
          </cell>
        </row>
        <row r="300">
          <cell r="C300" t="str">
            <v>Monthly Pax Subs (000s)</v>
          </cell>
          <cell r="U300">
            <v>50.88</v>
          </cell>
          <cell r="V300">
            <v>81.360000000000014</v>
          </cell>
          <cell r="W300">
            <v>115.2</v>
          </cell>
          <cell r="X300">
            <v>152.4</v>
          </cell>
          <cell r="Y300">
            <v>194.4</v>
          </cell>
        </row>
        <row r="301">
          <cell r="C301" t="str">
            <v>ARPU (Per Flight)</v>
          </cell>
          <cell r="U301">
            <v>8</v>
          </cell>
          <cell r="V301">
            <v>8</v>
          </cell>
          <cell r="W301">
            <v>8</v>
          </cell>
          <cell r="X301">
            <v>8</v>
          </cell>
          <cell r="Y301">
            <v>8</v>
          </cell>
        </row>
        <row r="302">
          <cell r="C302" t="str">
            <v>% ViaSat Revenue Share (Illustrative)</v>
          </cell>
          <cell r="U302">
            <v>0.5</v>
          </cell>
          <cell r="V302">
            <v>0.5</v>
          </cell>
          <cell r="W302">
            <v>0.5</v>
          </cell>
          <cell r="X302">
            <v>0.5</v>
          </cell>
          <cell r="Y302">
            <v>0.5</v>
          </cell>
        </row>
        <row r="303">
          <cell r="C303" t="str">
            <v>Annual ViaSat Service Revenue ($MM) - E190</v>
          </cell>
          <cell r="U303">
            <v>2.4422400000000004</v>
          </cell>
          <cell r="V303">
            <v>3.9052800000000008</v>
          </cell>
          <cell r="W303">
            <v>5.5296000000000003</v>
          </cell>
          <cell r="X303">
            <v>7.3152000000000008</v>
          </cell>
          <cell r="Y303">
            <v>9.3312000000000008</v>
          </cell>
        </row>
        <row r="304">
          <cell r="D304" t="str">
            <v>Y/Y Chg.</v>
          </cell>
          <cell r="V304">
            <v>0.59905660377358494</v>
          </cell>
          <cell r="W304">
            <v>0.41592920353982277</v>
          </cell>
          <cell r="X304">
            <v>0.32291666666666674</v>
          </cell>
          <cell r="Y304">
            <v>0.27559055118110232</v>
          </cell>
        </row>
        <row r="306">
          <cell r="C306" t="str">
            <v>Total Service Revenue ($MM)</v>
          </cell>
          <cell r="U306">
            <v>16.024319999999999</v>
          </cell>
          <cell r="V306">
            <v>25.522560000000002</v>
          </cell>
          <cell r="W306">
            <v>36.080640000000002</v>
          </cell>
          <cell r="X306">
            <v>47.836800000000011</v>
          </cell>
          <cell r="Y306">
            <v>59.512320000000003</v>
          </cell>
        </row>
        <row r="307">
          <cell r="D307" t="str">
            <v>Y/Y Chg.</v>
          </cell>
          <cell r="V307">
            <v>0.59273903666427041</v>
          </cell>
          <cell r="W307">
            <v>0.41367637102234256</v>
          </cell>
          <cell r="X307">
            <v>0.325830140485313</v>
          </cell>
          <cell r="Y307">
            <v>0.24406983744732069</v>
          </cell>
        </row>
        <row r="309">
          <cell r="C309" t="str">
            <v>Equipment/Installation Revenue ($000s)</v>
          </cell>
        </row>
        <row r="310">
          <cell r="C310" t="str">
            <v>Ka-band Antenna</v>
          </cell>
          <cell r="U310">
            <v>50</v>
          </cell>
          <cell r="V310">
            <v>50</v>
          </cell>
          <cell r="W310">
            <v>50</v>
          </cell>
          <cell r="X310">
            <v>50</v>
          </cell>
          <cell r="Y310">
            <v>50</v>
          </cell>
        </row>
        <row r="311">
          <cell r="C311" t="str">
            <v>SurfBeam Modem</v>
          </cell>
          <cell r="U311">
            <v>50</v>
          </cell>
          <cell r="V311">
            <v>50</v>
          </cell>
          <cell r="W311">
            <v>50</v>
          </cell>
          <cell r="X311">
            <v>50</v>
          </cell>
          <cell r="Y311">
            <v>50</v>
          </cell>
        </row>
        <row r="312">
          <cell r="C312" t="str">
            <v>Installation Fee</v>
          </cell>
          <cell r="U312">
            <v>50</v>
          </cell>
          <cell r="V312">
            <v>50</v>
          </cell>
          <cell r="W312">
            <v>50</v>
          </cell>
          <cell r="X312">
            <v>50</v>
          </cell>
          <cell r="Y312">
            <v>50</v>
          </cell>
        </row>
        <row r="313">
          <cell r="C313" t="str">
            <v>Total per Aircraft ($000s)</v>
          </cell>
          <cell r="U313">
            <v>150</v>
          </cell>
          <cell r="V313">
            <v>150</v>
          </cell>
          <cell r="W313">
            <v>150</v>
          </cell>
          <cell r="X313">
            <v>150</v>
          </cell>
          <cell r="Y313">
            <v>150</v>
          </cell>
        </row>
        <row r="315">
          <cell r="C315" t="str">
            <v>New Planes</v>
          </cell>
          <cell r="U315">
            <v>177</v>
          </cell>
          <cell r="V315">
            <v>20</v>
          </cell>
          <cell r="W315">
            <v>19</v>
          </cell>
          <cell r="X315">
            <v>22</v>
          </cell>
          <cell r="Y315">
            <v>8</v>
          </cell>
        </row>
        <row r="316">
          <cell r="C316" t="str">
            <v>Total Commercial Networks Revenue ($MM)</v>
          </cell>
          <cell r="U316">
            <v>26.55</v>
          </cell>
          <cell r="V316">
            <v>3</v>
          </cell>
          <cell r="W316">
            <v>2.85</v>
          </cell>
          <cell r="X316">
            <v>3.3</v>
          </cell>
          <cell r="Y316">
            <v>1.2</v>
          </cell>
        </row>
        <row r="319">
          <cell r="E319" t="str">
            <v>% Pax Participation</v>
          </cell>
        </row>
        <row r="320">
          <cell r="E320" t="str">
            <v>Bull Case</v>
          </cell>
          <cell r="U320">
            <v>0.1</v>
          </cell>
          <cell r="V320">
            <v>0.2</v>
          </cell>
          <cell r="W320">
            <v>0.30000000000000004</v>
          </cell>
          <cell r="X320">
            <v>0.4</v>
          </cell>
          <cell r="Y320">
            <v>0.5</v>
          </cell>
        </row>
        <row r="321">
          <cell r="E321" t="str">
            <v>Base Case</v>
          </cell>
          <cell r="U321">
            <v>0.1</v>
          </cell>
          <cell r="V321">
            <v>0.15000000000000002</v>
          </cell>
          <cell r="W321">
            <v>0.2</v>
          </cell>
          <cell r="X321">
            <v>0.25</v>
          </cell>
          <cell r="Y321">
            <v>0.3</v>
          </cell>
        </row>
        <row r="322">
          <cell r="E322" t="str">
            <v>Bear Case</v>
          </cell>
          <cell r="U322">
            <v>0.05</v>
          </cell>
          <cell r="V322">
            <v>0.1</v>
          </cell>
          <cell r="W322">
            <v>0.15000000000000002</v>
          </cell>
          <cell r="X322">
            <v>0.2</v>
          </cell>
          <cell r="Y322">
            <v>0.2</v>
          </cell>
        </row>
        <row r="323">
          <cell r="E323" t="str">
            <v>Using Base Case</v>
          </cell>
          <cell r="U323">
            <v>0.1</v>
          </cell>
          <cell r="V323">
            <v>0.15000000000000002</v>
          </cell>
          <cell r="W323">
            <v>0.2</v>
          </cell>
          <cell r="X323">
            <v>0.25</v>
          </cell>
          <cell r="Y323">
            <v>0.3</v>
          </cell>
        </row>
        <row r="324">
          <cell r="E324">
            <v>2</v>
          </cell>
        </row>
        <row r="326">
          <cell r="E326" t="str">
            <v>ARPU (Per Flight)</v>
          </cell>
        </row>
        <row r="327">
          <cell r="E327" t="str">
            <v>Bull Case</v>
          </cell>
          <cell r="U327">
            <v>10</v>
          </cell>
          <cell r="V327">
            <v>10</v>
          </cell>
          <cell r="W327">
            <v>10</v>
          </cell>
          <cell r="X327">
            <v>10</v>
          </cell>
          <cell r="Y327">
            <v>10</v>
          </cell>
        </row>
        <row r="328">
          <cell r="E328" t="str">
            <v>Base Case</v>
          </cell>
          <cell r="U328">
            <v>8</v>
          </cell>
          <cell r="V328">
            <v>8</v>
          </cell>
          <cell r="W328">
            <v>8</v>
          </cell>
          <cell r="X328">
            <v>8</v>
          </cell>
          <cell r="Y328">
            <v>8</v>
          </cell>
        </row>
        <row r="329">
          <cell r="E329" t="str">
            <v>Bear Case</v>
          </cell>
          <cell r="U329">
            <v>5</v>
          </cell>
          <cell r="V329">
            <v>5</v>
          </cell>
          <cell r="W329">
            <v>5</v>
          </cell>
          <cell r="X329">
            <v>5</v>
          </cell>
          <cell r="Y329">
            <v>5</v>
          </cell>
        </row>
        <row r="330">
          <cell r="E330" t="str">
            <v>Using Base Case</v>
          </cell>
          <cell r="U330">
            <v>8</v>
          </cell>
          <cell r="V330">
            <v>8</v>
          </cell>
          <cell r="W330">
            <v>8</v>
          </cell>
          <cell r="X330">
            <v>8</v>
          </cell>
          <cell r="Y330">
            <v>8</v>
          </cell>
        </row>
        <row r="331">
          <cell r="E331">
            <v>2</v>
          </cell>
        </row>
      </sheetData>
      <sheetData sheetId="7" refreshError="1"/>
      <sheetData sheetId="8" refreshError="1"/>
      <sheetData sheetId="9" refreshError="1">
        <row r="1">
          <cell r="A1" t="str">
            <v>ViaSat Inc.</v>
          </cell>
        </row>
        <row r="2">
          <cell r="A2" t="str">
            <v>Sum-of-the-Parts Valuation Analysis</v>
          </cell>
        </row>
        <row r="3">
          <cell r="A3" t="str">
            <v>Morgan Stanley Research</v>
          </cell>
        </row>
        <row r="4">
          <cell r="A4" t="str">
            <v>($ in Millions Except EPS)</v>
          </cell>
        </row>
        <row r="5">
          <cell r="G5" t="str">
            <v>EBITDA Check</v>
          </cell>
        </row>
        <row r="6">
          <cell r="B6" t="str">
            <v>Price Date</v>
          </cell>
          <cell r="E6">
            <v>40492</v>
          </cell>
          <cell r="G6">
            <v>0</v>
          </cell>
          <cell r="H6">
            <v>0</v>
          </cell>
        </row>
        <row r="8">
          <cell r="B8" t="str">
            <v>Sum-of-the-Parts Valuation</v>
          </cell>
        </row>
        <row r="10">
          <cell r="G10" t="str">
            <v>EBITDA</v>
          </cell>
          <cell r="J10" t="str">
            <v>Peer</v>
          </cell>
          <cell r="L10" t="str">
            <v>Implied Value</v>
          </cell>
        </row>
        <row r="11">
          <cell r="G11" t="str">
            <v>FY13</v>
          </cell>
          <cell r="H11" t="str">
            <v>FY14</v>
          </cell>
          <cell r="I11" t="str">
            <v>CY13</v>
          </cell>
          <cell r="J11" t="str">
            <v>Multiple</v>
          </cell>
          <cell r="L11" t="str">
            <v>Low</v>
          </cell>
          <cell r="M11" t="str">
            <v>High</v>
          </cell>
          <cell r="N11" t="str">
            <v>% Total</v>
          </cell>
          <cell r="O11" t="str">
            <v>Best Trading Comps</v>
          </cell>
        </row>
        <row r="12">
          <cell r="C12" t="str">
            <v>Segment EBITDA</v>
          </cell>
        </row>
        <row r="13">
          <cell r="C13" t="str">
            <v>Government Systems</v>
          </cell>
          <cell r="G13">
            <v>91.505362274999996</v>
          </cell>
          <cell r="H13">
            <v>95.900688233999986</v>
          </cell>
          <cell r="I13">
            <v>94.801856744249989</v>
          </cell>
          <cell r="J13">
            <v>5.5</v>
          </cell>
          <cell r="K13">
            <v>7.5</v>
          </cell>
          <cell r="L13">
            <v>521.41021209337498</v>
          </cell>
          <cell r="M13">
            <v>711.0139255818749</v>
          </cell>
          <cell r="N13">
            <v>0.27479406437465242</v>
          </cell>
          <cell r="O13" t="str">
            <v xml:space="preserve">   Harris, Rockwell Collins</v>
          </cell>
        </row>
        <row r="14">
          <cell r="C14" t="str">
            <v>Commercial Networks</v>
          </cell>
          <cell r="G14">
            <v>25.240948045000003</v>
          </cell>
          <cell r="H14">
            <v>31.533387100200002</v>
          </cell>
          <cell r="I14">
            <v>29.960277336400004</v>
          </cell>
          <cell r="J14">
            <v>3.3</v>
          </cell>
          <cell r="K14">
            <v>4</v>
          </cell>
          <cell r="L14">
            <v>98.868915210120008</v>
          </cell>
          <cell r="M14">
            <v>119.84110934560002</v>
          </cell>
          <cell r="N14">
            <v>4.876585481400484E-2</v>
          </cell>
          <cell r="O14" t="str">
            <v xml:space="preserve">   Hughes Communications</v>
          </cell>
        </row>
        <row r="15">
          <cell r="C15" t="str">
            <v>Satellite Services</v>
          </cell>
          <cell r="G15">
            <v>188.19278929102884</v>
          </cell>
          <cell r="H15">
            <v>236.90034976098789</v>
          </cell>
          <cell r="I15">
            <v>224.72345964349813</v>
          </cell>
          <cell r="J15">
            <v>5.5</v>
          </cell>
          <cell r="K15">
            <v>8</v>
          </cell>
          <cell r="L15">
            <v>1235.9790280392397</v>
          </cell>
          <cell r="M15">
            <v>1797.7876771479851</v>
          </cell>
          <cell r="N15">
            <v>0.67644008081134288</v>
          </cell>
          <cell r="O15" t="str">
            <v xml:space="preserve">   DirecTV, Inmarsat, Eutelsat</v>
          </cell>
        </row>
        <row r="16">
          <cell r="C16" t="str">
            <v>Total</v>
          </cell>
          <cell r="G16">
            <v>304.93909961102884</v>
          </cell>
          <cell r="H16">
            <v>364.3344250951879</v>
          </cell>
          <cell r="I16">
            <v>349.48559372414809</v>
          </cell>
          <cell r="J16">
            <v>5.3114010668144873</v>
          </cell>
          <cell r="K16">
            <v>7.5214622842229923</v>
          </cell>
          <cell r="L16">
            <v>1856.2581553427347</v>
          </cell>
          <cell r="M16">
            <v>2628.6427120754597</v>
          </cell>
          <cell r="N16">
            <v>1.0000000000000002</v>
          </cell>
        </row>
        <row r="17">
          <cell r="C17" t="str">
            <v>Less: Net Debt (Cash)</v>
          </cell>
          <cell r="L17">
            <v>268.923</v>
          </cell>
          <cell r="M17">
            <v>268.923</v>
          </cell>
        </row>
        <row r="18">
          <cell r="C18" t="str">
            <v>Equity Value</v>
          </cell>
          <cell r="L18">
            <v>1587.3351553427347</v>
          </cell>
          <cell r="M18">
            <v>2359.7197120754599</v>
          </cell>
        </row>
        <row r="19">
          <cell r="C19" t="str">
            <v>Diluted Shares</v>
          </cell>
          <cell r="L19">
            <v>43.401849094171482</v>
          </cell>
          <cell r="M19">
            <v>43.401849094171482</v>
          </cell>
        </row>
        <row r="20">
          <cell r="C20" t="str">
            <v>Equity Value per Share</v>
          </cell>
          <cell r="L20">
            <v>36.572984526502601</v>
          </cell>
          <cell r="M20">
            <v>54.369105494916603</v>
          </cell>
        </row>
        <row r="21">
          <cell r="C21" t="str">
            <v>Upside (Downside) vs. current</v>
          </cell>
          <cell r="G21">
            <v>41.52</v>
          </cell>
          <cell r="L21">
            <v>-0.11914777151968692</v>
          </cell>
          <cell r="M21">
            <v>0.30946785874076577</v>
          </cell>
        </row>
        <row r="24">
          <cell r="B24" t="str">
            <v>Public Comps</v>
          </cell>
          <cell r="AC24" t="str">
            <v>Consensus Estimates</v>
          </cell>
          <cell r="AM24" t="str">
            <v>10-12</v>
          </cell>
          <cell r="AN24" t="str">
            <v>LTG</v>
          </cell>
          <cell r="AO24" t="str">
            <v>Margins</v>
          </cell>
        </row>
        <row r="25">
          <cell r="AC25" t="str">
            <v>Sales</v>
          </cell>
          <cell r="AE25" t="str">
            <v>EBITDA</v>
          </cell>
          <cell r="AH25" t="str">
            <v>EBIT</v>
          </cell>
          <cell r="AJ25" t="str">
            <v>EPS</v>
          </cell>
          <cell r="AM25" t="str">
            <v>CAGR</v>
          </cell>
          <cell r="AN25" t="str">
            <v>Rate</v>
          </cell>
          <cell r="AO25" t="str">
            <v>EBITDA</v>
          </cell>
          <cell r="AQ25" t="str">
            <v>EBIT</v>
          </cell>
        </row>
        <row r="26">
          <cell r="J26" t="str">
            <v>Ent Val</v>
          </cell>
          <cell r="K26" t="str">
            <v>EV / EBITDA</v>
          </cell>
          <cell r="N26" t="str">
            <v>EBITDA Margin</v>
          </cell>
          <cell r="P26" t="str">
            <v>CY P/E</v>
          </cell>
          <cell r="R26" t="str">
            <v>PEG</v>
          </cell>
          <cell r="S26" t="str">
            <v>EV / Sales</v>
          </cell>
          <cell r="AB26" t="str">
            <v>Ent Val</v>
          </cell>
        </row>
        <row r="27">
          <cell r="D27" t="str">
            <v>Ticker</v>
          </cell>
          <cell r="F27" t="str">
            <v>Company</v>
          </cell>
          <cell r="J27" t="str">
            <v>($B)</v>
          </cell>
          <cell r="K27">
            <v>2011</v>
          </cell>
          <cell r="L27">
            <v>2012</v>
          </cell>
          <cell r="M27">
            <v>2013</v>
          </cell>
          <cell r="N27">
            <v>2011</v>
          </cell>
          <cell r="O27">
            <v>2012</v>
          </cell>
          <cell r="P27">
            <v>2011</v>
          </cell>
          <cell r="Q27">
            <v>2012</v>
          </cell>
          <cell r="R27">
            <v>2012</v>
          </cell>
          <cell r="S27">
            <v>2011</v>
          </cell>
          <cell r="T27">
            <v>2012</v>
          </cell>
          <cell r="U27" t="str">
            <v>Comments</v>
          </cell>
          <cell r="AA27" t="str">
            <v xml:space="preserve">Price </v>
          </cell>
          <cell r="AB27" t="str">
            <v>$MM</v>
          </cell>
          <cell r="AC27">
            <v>2011</v>
          </cell>
          <cell r="AD27">
            <v>2012</v>
          </cell>
          <cell r="AE27">
            <v>2011</v>
          </cell>
          <cell r="AF27">
            <v>2012</v>
          </cell>
          <cell r="AG27">
            <v>2013</v>
          </cell>
          <cell r="AH27">
            <v>2011</v>
          </cell>
          <cell r="AI27">
            <v>2012</v>
          </cell>
          <cell r="AJ27">
            <v>2010</v>
          </cell>
          <cell r="AK27">
            <v>2011</v>
          </cell>
          <cell r="AL27">
            <v>2012</v>
          </cell>
          <cell r="AO27">
            <v>2011</v>
          </cell>
          <cell r="AP27">
            <v>2012</v>
          </cell>
          <cell r="AQ27">
            <v>2011</v>
          </cell>
          <cell r="AR27">
            <v>2012</v>
          </cell>
          <cell r="AT27" t="str">
            <v>FYE</v>
          </cell>
        </row>
        <row r="29">
          <cell r="D29" t="str">
            <v>VSAT-US</v>
          </cell>
          <cell r="F29" t="str">
            <v>ViaSat Inc.</v>
          </cell>
          <cell r="G29" t="str">
            <v>Morgan Stanley estimates</v>
          </cell>
          <cell r="J29" t="e">
            <v>#VALUE!</v>
          </cell>
          <cell r="K29" t="e">
            <v>#VALUE!</v>
          </cell>
          <cell r="L29" t="e">
            <v>#VALUE!</v>
          </cell>
          <cell r="M29" t="e">
            <v>#VALUE!</v>
          </cell>
          <cell r="N29">
            <v>0.23233763407087488</v>
          </cell>
          <cell r="O29">
            <v>0.25858773283235698</v>
          </cell>
          <cell r="P29">
            <v>24.698272023597479</v>
          </cell>
          <cell r="Q29">
            <v>18.439896028306134</v>
          </cell>
          <cell r="R29">
            <v>1.1148541478154756</v>
          </cell>
          <cell r="S29" t="e">
            <v>#VALUE!</v>
          </cell>
          <cell r="T29" t="e">
            <v>#VALUE!</v>
          </cell>
          <cell r="U29" t="str">
            <v>Morgan Stanley estimates</v>
          </cell>
          <cell r="AA29">
            <v>41.6</v>
          </cell>
          <cell r="AB29" t="str">
            <v>#Calc</v>
          </cell>
          <cell r="AC29">
            <v>969.35534476176645</v>
          </cell>
          <cell r="AD29">
            <v>1115.3723901062383</v>
          </cell>
          <cell r="AE29">
            <v>225.21772737590604</v>
          </cell>
          <cell r="AF29">
            <v>288.42161762137937</v>
          </cell>
          <cell r="AG29">
            <v>349.78059372414816</v>
          </cell>
          <cell r="AJ29">
            <v>1.6610528158058511</v>
          </cell>
          <cell r="AK29">
            <v>1.6843283595003771</v>
          </cell>
          <cell r="AL29">
            <v>2.2559780128988791</v>
          </cell>
          <cell r="AM29">
            <v>0.16540186951305313</v>
          </cell>
          <cell r="AN29">
            <v>9.8666669999999998E-2</v>
          </cell>
          <cell r="AO29">
            <v>0.23233763407087488</v>
          </cell>
          <cell r="AP29">
            <v>0.25858773283235698</v>
          </cell>
          <cell r="AQ29">
            <v>0</v>
          </cell>
          <cell r="AR29">
            <v>0</v>
          </cell>
          <cell r="AT29" t="str">
            <v>03/2011</v>
          </cell>
        </row>
        <row r="30">
          <cell r="D30" t="str">
            <v>VSAT-US</v>
          </cell>
          <cell r="F30" t="str">
            <v>ViaSat Inc.</v>
          </cell>
          <cell r="G30" t="str">
            <v>Consensus estimates</v>
          </cell>
          <cell r="J30" t="e">
            <v>#VALUE!</v>
          </cell>
          <cell r="K30" t="e">
            <v>#VALUE!</v>
          </cell>
          <cell r="L30" t="e">
            <v>#VALUE!</v>
          </cell>
          <cell r="M30" t="e">
            <v>#VALUE!</v>
          </cell>
          <cell r="N30">
            <v>0.20868941044078546</v>
          </cell>
          <cell r="O30">
            <v>0.26185001618040299</v>
          </cell>
          <cell r="P30">
            <v>25.763140130425896</v>
          </cell>
          <cell r="Q30">
            <v>17.392278664440234</v>
          </cell>
          <cell r="R30">
            <v>0.82459818260516449</v>
          </cell>
          <cell r="S30" t="e">
            <v>#VALUE!</v>
          </cell>
          <cell r="T30" t="e">
            <v>#VALUE!</v>
          </cell>
          <cell r="U30" t="str">
            <v>Consensus estimates</v>
          </cell>
          <cell r="AA30">
            <v>41.6</v>
          </cell>
          <cell r="AB30" t="str">
            <v>#Calc</v>
          </cell>
          <cell r="AC30">
            <v>1012.6786000000001</v>
          </cell>
          <cell r="AD30">
            <v>1174.26</v>
          </cell>
          <cell r="AE30">
            <v>211.33530000000002</v>
          </cell>
          <cell r="AF30">
            <v>307.48</v>
          </cell>
          <cell r="AG30">
            <v>441.6866</v>
          </cell>
          <cell r="AH30">
            <v>101.61586000000001</v>
          </cell>
          <cell r="AI30">
            <v>157.6138</v>
          </cell>
          <cell r="AJ30">
            <v>1.6312</v>
          </cell>
          <cell r="AK30">
            <v>1.6147100000000001</v>
          </cell>
          <cell r="AL30">
            <v>2.3918659999999998</v>
          </cell>
          <cell r="AM30">
            <v>0.21091822697804849</v>
          </cell>
          <cell r="AN30">
            <v>9.8666669999999998E-2</v>
          </cell>
          <cell r="AO30">
            <v>0.20868941044078546</v>
          </cell>
          <cell r="AP30">
            <v>0.26185001618040299</v>
          </cell>
          <cell r="AQ30">
            <v>0.10034364308676021</v>
          </cell>
          <cell r="AR30">
            <v>0.13422393677720437</v>
          </cell>
          <cell r="AT30" t="str">
            <v>03/2011</v>
          </cell>
        </row>
        <row r="32">
          <cell r="C32" t="str">
            <v>Government Systems</v>
          </cell>
        </row>
        <row r="33">
          <cell r="C33" t="str">
            <v>Tier 1 Comps</v>
          </cell>
        </row>
        <row r="34">
          <cell r="D34" t="str">
            <v>COL-US</v>
          </cell>
          <cell r="F34" t="str">
            <v>Rockwell Collins Inc.</v>
          </cell>
          <cell r="J34" t="e">
            <v>#VALUE!</v>
          </cell>
          <cell r="K34" t="e">
            <v>#VALUE!</v>
          </cell>
          <cell r="L34" t="e">
            <v>#VALUE!</v>
          </cell>
          <cell r="M34" t="e">
            <v>#VALUE!</v>
          </cell>
          <cell r="N34">
            <v>0.21887902453283092</v>
          </cell>
          <cell r="O34">
            <v>0.22478009418790582</v>
          </cell>
          <cell r="P34">
            <v>14.735683272428455</v>
          </cell>
          <cell r="Q34">
            <v>12.888068899128053</v>
          </cell>
          <cell r="R34">
            <v>0.96106462391698877</v>
          </cell>
          <cell r="S34" t="e">
            <v>#VALUE!</v>
          </cell>
          <cell r="T34" t="e">
            <v>#VALUE!</v>
          </cell>
          <cell r="AA34">
            <v>60.18</v>
          </cell>
          <cell r="AB34" t="str">
            <v>#Calc</v>
          </cell>
          <cell r="AC34">
            <v>5035.8640000000005</v>
          </cell>
          <cell r="AD34">
            <v>5434.0309999999999</v>
          </cell>
          <cell r="AE34">
            <v>1102.2450000000001</v>
          </cell>
          <cell r="AF34">
            <v>1221.462</v>
          </cell>
          <cell r="AG34">
            <v>1312.367</v>
          </cell>
          <cell r="AH34">
            <v>967.82090000000005</v>
          </cell>
          <cell r="AI34">
            <v>1088.345</v>
          </cell>
          <cell r="AJ34">
            <v>3.6304469999999998</v>
          </cell>
          <cell r="AK34">
            <v>4.0839639999999999</v>
          </cell>
          <cell r="AL34">
            <v>4.669435</v>
          </cell>
          <cell r="AM34">
            <v>0.13410200082696261</v>
          </cell>
          <cell r="AN34">
            <v>8.8249999999999995E-2</v>
          </cell>
          <cell r="AO34">
            <v>0.21887902453283092</v>
          </cell>
          <cell r="AP34">
            <v>0.22478009418790582</v>
          </cell>
          <cell r="AQ34">
            <v>0.1921856706217642</v>
          </cell>
          <cell r="AR34">
            <v>0.20028317836243481</v>
          </cell>
          <cell r="AT34" t="str">
            <v>09/2010</v>
          </cell>
        </row>
        <row r="35">
          <cell r="D35" t="str">
            <v>HRS-US</v>
          </cell>
          <cell r="E35" t="str">
            <v>*</v>
          </cell>
          <cell r="F35" t="str">
            <v>Harris Corp.</v>
          </cell>
          <cell r="J35" t="e">
            <v>#VALUE!</v>
          </cell>
          <cell r="K35" t="e">
            <v>#VALUE!</v>
          </cell>
          <cell r="L35" t="e">
            <v>#VALUE!</v>
          </cell>
          <cell r="M35" t="e">
            <v>#VALUE!</v>
          </cell>
          <cell r="N35">
            <v>0.19734987125409884</v>
          </cell>
          <cell r="O35">
            <v>0.18403395521110194</v>
          </cell>
          <cell r="P35">
            <v>9.405200883627824</v>
          </cell>
          <cell r="Q35">
            <v>8.7270121140033918</v>
          </cell>
          <cell r="R35">
            <v>1.4781011652842881</v>
          </cell>
          <cell r="S35" t="e">
            <v>#VALUE!</v>
          </cell>
          <cell r="T35" t="e">
            <v>#VALUE!</v>
          </cell>
          <cell r="AA35">
            <v>44.47</v>
          </cell>
          <cell r="AB35" t="str">
            <v>#Calc</v>
          </cell>
          <cell r="AC35">
            <v>6004.4629999999997</v>
          </cell>
          <cell r="AD35">
            <v>6336.3469999999998</v>
          </cell>
          <cell r="AE35">
            <v>1184.98</v>
          </cell>
          <cell r="AF35">
            <v>1166.1030000000001</v>
          </cell>
          <cell r="AG35">
            <v>1161.886</v>
          </cell>
          <cell r="AH35">
            <v>997.32420000000002</v>
          </cell>
          <cell r="AI35">
            <v>1047.529</v>
          </cell>
          <cell r="AJ35">
            <v>4.5433389999999996</v>
          </cell>
          <cell r="AK35">
            <v>4.7282349999999997</v>
          </cell>
          <cell r="AL35">
            <v>5.0956729999999997</v>
          </cell>
          <cell r="AM35">
            <v>5.9042048805400253E-2</v>
          </cell>
          <cell r="AN35">
            <v>5.5E-2</v>
          </cell>
          <cell r="AO35">
            <v>0.19734987125409884</v>
          </cell>
          <cell r="AP35">
            <v>0.18403395521110194</v>
          </cell>
          <cell r="AQ35">
            <v>0.16609715140221534</v>
          </cell>
          <cell r="AR35">
            <v>0.16532064926368459</v>
          </cell>
          <cell r="AT35" t="str">
            <v>06/2011</v>
          </cell>
        </row>
        <row r="36">
          <cell r="D36" t="str">
            <v>CMTL-US</v>
          </cell>
          <cell r="E36" t="str">
            <v>*</v>
          </cell>
          <cell r="F36" t="str">
            <v>Comtech Telecommunications Corp.</v>
          </cell>
          <cell r="J36" t="e">
            <v>#VALUE!</v>
          </cell>
          <cell r="K36" t="e">
            <v>#VALUE!</v>
          </cell>
          <cell r="L36" t="e">
            <v>#VALUE!</v>
          </cell>
          <cell r="N36">
            <v>0.18765513649368559</v>
          </cell>
          <cell r="O36">
            <v>0.19106399805556595</v>
          </cell>
          <cell r="P36">
            <v>16.191953400310215</v>
          </cell>
          <cell r="Q36">
            <v>20.182093978861449</v>
          </cell>
          <cell r="R36">
            <v>-1.5039093067520461</v>
          </cell>
          <cell r="S36" t="e">
            <v>#VALUE!</v>
          </cell>
          <cell r="T36" t="e">
            <v>#VALUE!</v>
          </cell>
          <cell r="AA36">
            <v>29.71</v>
          </cell>
          <cell r="AB36" t="str">
            <v>#Calc</v>
          </cell>
          <cell r="AC36">
            <v>620.53420000000006</v>
          </cell>
          <cell r="AD36">
            <v>534.86</v>
          </cell>
          <cell r="AE36">
            <v>116.44643000000001</v>
          </cell>
          <cell r="AF36">
            <v>102.19249000000001</v>
          </cell>
          <cell r="AG36" t="str">
            <v>-</v>
          </cell>
          <cell r="AH36">
            <v>89.373570000000001</v>
          </cell>
          <cell r="AI36">
            <v>74.849430000000012</v>
          </cell>
          <cell r="AJ36">
            <v>1.9638069999999999</v>
          </cell>
          <cell r="AK36">
            <v>1.834862</v>
          </cell>
          <cell r="AL36">
            <v>1.472097</v>
          </cell>
          <cell r="AM36">
            <v>-0.13419754694149871</v>
          </cell>
          <cell r="AN36">
            <v>0.14000000000000001</v>
          </cell>
          <cell r="AO36">
            <v>0.18765513649368559</v>
          </cell>
          <cell r="AP36">
            <v>0.19106399805556595</v>
          </cell>
          <cell r="AQ36">
            <v>0.1440268239848827</v>
          </cell>
          <cell r="AR36">
            <v>0.13994209699734511</v>
          </cell>
          <cell r="AT36" t="str">
            <v>07/2011</v>
          </cell>
        </row>
        <row r="37">
          <cell r="D37" t="str">
            <v>Average</v>
          </cell>
          <cell r="J37" t="e">
            <v>#VALUE!</v>
          </cell>
          <cell r="K37" t="e">
            <v>#VALUE!</v>
          </cell>
          <cell r="L37" t="e">
            <v>#VALUE!</v>
          </cell>
          <cell r="M37" t="e">
            <v>#VALUE!</v>
          </cell>
          <cell r="N37">
            <v>0.20129467742687179</v>
          </cell>
          <cell r="O37">
            <v>0.19995934915152458</v>
          </cell>
          <cell r="P37">
            <v>13.4442791854555</v>
          </cell>
          <cell r="Q37">
            <v>13.932391663997629</v>
          </cell>
          <cell r="R37">
            <v>0.31175216081641022</v>
          </cell>
          <cell r="S37" t="e">
            <v>#VALUE!</v>
          </cell>
          <cell r="T37" t="e">
            <v>#VALUE!</v>
          </cell>
        </row>
        <row r="39">
          <cell r="C39" t="str">
            <v>Tier 2 Comps</v>
          </cell>
        </row>
        <row r="40">
          <cell r="D40" t="str">
            <v>GD-US</v>
          </cell>
          <cell r="F40" t="str">
            <v>General Dynamics Corp.</v>
          </cell>
          <cell r="J40" t="e">
            <v>#VALUE!</v>
          </cell>
          <cell r="K40" t="e">
            <v>#VALUE!</v>
          </cell>
          <cell r="L40" t="e">
            <v>#VALUE!</v>
          </cell>
          <cell r="M40" t="e">
            <v>#VALUE!</v>
          </cell>
          <cell r="N40">
            <v>0.1315775820626954</v>
          </cell>
          <cell r="O40">
            <v>0.13150848259039977</v>
          </cell>
          <cell r="P40">
            <v>9.0609584376543566</v>
          </cell>
          <cell r="Q40">
            <v>8.4325239798664082</v>
          </cell>
          <cell r="R40">
            <v>1.2779975863619926</v>
          </cell>
          <cell r="S40" t="e">
            <v>#VALUE!</v>
          </cell>
          <cell r="T40" t="e">
            <v>#VALUE!</v>
          </cell>
          <cell r="AA40">
            <v>63.93</v>
          </cell>
          <cell r="AB40" t="str">
            <v>#Calc</v>
          </cell>
          <cell r="AC40">
            <v>34655.82</v>
          </cell>
          <cell r="AD40">
            <v>36249.54</v>
          </cell>
          <cell r="AE40">
            <v>4559.9290000000001</v>
          </cell>
          <cell r="AF40">
            <v>4767.1220000000003</v>
          </cell>
          <cell r="AG40">
            <v>4332.3330000000005</v>
          </cell>
          <cell r="AH40">
            <v>4050.01</v>
          </cell>
          <cell r="AI40">
            <v>4265.9719999999998</v>
          </cell>
          <cell r="AJ40">
            <v>6.6718630000000001</v>
          </cell>
          <cell r="AK40">
            <v>7.0555449999999995</v>
          </cell>
          <cell r="AL40">
            <v>7.581360000000001</v>
          </cell>
          <cell r="AM40">
            <v>6.5982315380350778E-2</v>
          </cell>
          <cell r="AN40">
            <v>8.5000000000000006E-2</v>
          </cell>
          <cell r="AO40">
            <v>0.1315775820626954</v>
          </cell>
          <cell r="AP40">
            <v>0.13150848259039977</v>
          </cell>
          <cell r="AQ40">
            <v>0.11686377641619793</v>
          </cell>
          <cell r="AR40">
            <v>0.11768347956967178</v>
          </cell>
          <cell r="AT40" t="str">
            <v>12/2010</v>
          </cell>
        </row>
        <row r="41">
          <cell r="D41" t="str">
            <v>LLL-US</v>
          </cell>
          <cell r="F41" t="str">
            <v>L-3 Communications Holdings Inc.</v>
          </cell>
          <cell r="J41" t="e">
            <v>#VALUE!</v>
          </cell>
          <cell r="K41" t="e">
            <v>#VALUE!</v>
          </cell>
          <cell r="L41" t="e">
            <v>#VALUE!</v>
          </cell>
          <cell r="N41">
            <v>0.12360513977043688</v>
          </cell>
          <cell r="O41">
            <v>0.12211850275266259</v>
          </cell>
          <cell r="P41">
            <v>8.0549783734317444</v>
          </cell>
          <cell r="Q41">
            <v>7.5424628450106157</v>
          </cell>
          <cell r="R41">
            <v>1.0289892791783741</v>
          </cell>
          <cell r="S41" t="e">
            <v>#VALUE!</v>
          </cell>
          <cell r="T41" t="e">
            <v>#VALUE!</v>
          </cell>
          <cell r="AA41">
            <v>71.05</v>
          </cell>
          <cell r="AB41" t="str">
            <v>#Calc</v>
          </cell>
          <cell r="AC41">
            <v>16437.310000000001</v>
          </cell>
          <cell r="AD41">
            <v>16707.46</v>
          </cell>
          <cell r="AE41">
            <v>2031.7360000000001</v>
          </cell>
          <cell r="AF41">
            <v>2040.29</v>
          </cell>
          <cell r="AG41" t="str">
            <v>-</v>
          </cell>
          <cell r="AH41">
            <v>1797.3420000000001</v>
          </cell>
          <cell r="AI41">
            <v>1823.5070000000001</v>
          </cell>
          <cell r="AJ41">
            <v>8.1772800000000014</v>
          </cell>
          <cell r="AK41">
            <v>8.8206319999999998</v>
          </cell>
          <cell r="AL41">
            <v>9.42</v>
          </cell>
          <cell r="AM41">
            <v>7.3299722335621514E-2</v>
          </cell>
          <cell r="AN41">
            <v>9.3166670000000007E-2</v>
          </cell>
          <cell r="AO41">
            <v>0.12360513977043688</v>
          </cell>
          <cell r="AP41">
            <v>0.12211850275266259</v>
          </cell>
          <cell r="AQ41">
            <v>0.10934526391483765</v>
          </cell>
          <cell r="AR41">
            <v>0.10914328090565532</v>
          </cell>
          <cell r="AT41" t="str">
            <v>12/2010</v>
          </cell>
        </row>
        <row r="42">
          <cell r="D42" t="str">
            <v>Average</v>
          </cell>
          <cell r="J42" t="e">
            <v>#VALUE!</v>
          </cell>
          <cell r="K42" t="e">
            <v>#VALUE!</v>
          </cell>
          <cell r="L42" t="e">
            <v>#VALUE!</v>
          </cell>
          <cell r="M42" t="e">
            <v>#VALUE!</v>
          </cell>
          <cell r="N42">
            <v>0.12759136091656614</v>
          </cell>
          <cell r="O42">
            <v>0.12681349267153119</v>
          </cell>
          <cell r="P42">
            <v>8.5579684055430505</v>
          </cell>
          <cell r="Q42">
            <v>7.9874934124385124</v>
          </cell>
          <cell r="R42">
            <v>1.1534934327701833</v>
          </cell>
          <cell r="S42" t="e">
            <v>#VALUE!</v>
          </cell>
          <cell r="T42" t="e">
            <v>#VALUE!</v>
          </cell>
        </row>
        <row r="44">
          <cell r="C44" t="str">
            <v>Commercial Networks</v>
          </cell>
        </row>
        <row r="45">
          <cell r="C45" t="str">
            <v>Tier 1 Comps</v>
          </cell>
        </row>
        <row r="46">
          <cell r="D46" t="str">
            <v>HUGH-US</v>
          </cell>
          <cell r="E46" t="str">
            <v>*</v>
          </cell>
          <cell r="F46" t="str">
            <v>Hughes Communications Inc.</v>
          </cell>
          <cell r="J46" t="e">
            <v>#VALUE!</v>
          </cell>
          <cell r="K46" t="e">
            <v>#VALUE!</v>
          </cell>
          <cell r="L46" t="e">
            <v>#VALUE!</v>
          </cell>
          <cell r="M46" t="e">
            <v>#VALUE!</v>
          </cell>
          <cell r="N46">
            <v>0.23448802304696531</v>
          </cell>
          <cell r="O46">
            <v>0.23917122114364953</v>
          </cell>
          <cell r="P46">
            <v>15.565100671140938</v>
          </cell>
          <cell r="S46" t="e">
            <v>#VALUE!</v>
          </cell>
          <cell r="T46" t="e">
            <v>#VALUE!</v>
          </cell>
          <cell r="AA46">
            <v>28.99</v>
          </cell>
          <cell r="AB46" t="str">
            <v>#Calc</v>
          </cell>
          <cell r="AC46">
            <v>1124.6600000000001</v>
          </cell>
          <cell r="AD46">
            <v>1225.9000000000001</v>
          </cell>
          <cell r="AE46">
            <v>263.71930000000003</v>
          </cell>
          <cell r="AF46">
            <v>293.2</v>
          </cell>
          <cell r="AG46">
            <v>339.40000000000003</v>
          </cell>
          <cell r="AH46">
            <v>114.83933</v>
          </cell>
          <cell r="AI46">
            <v>136.5</v>
          </cell>
          <cell r="AJ46">
            <v>0.39500000000000002</v>
          </cell>
          <cell r="AK46">
            <v>1.8625</v>
          </cell>
          <cell r="AL46">
            <v>2.61</v>
          </cell>
          <cell r="AM46">
            <v>1.5705242532817505</v>
          </cell>
          <cell r="AN46">
            <v>0.1</v>
          </cell>
          <cell r="AO46">
            <v>0.23448802304696531</v>
          </cell>
          <cell r="AP46">
            <v>0.23917122114364953</v>
          </cell>
          <cell r="AQ46">
            <v>0.10211026443547383</v>
          </cell>
          <cell r="AR46">
            <v>0.11134676564156945</v>
          </cell>
          <cell r="AT46" t="str">
            <v>12/2010</v>
          </cell>
        </row>
        <row r="47">
          <cell r="D47" t="str">
            <v>IRDM-US</v>
          </cell>
          <cell r="E47" t="str">
            <v>*</v>
          </cell>
          <cell r="F47" t="str">
            <v>Iridium Communications Inc.</v>
          </cell>
          <cell r="J47" t="e">
            <v>#VALUE!</v>
          </cell>
          <cell r="K47" t="e">
            <v>#VALUE!</v>
          </cell>
          <cell r="L47" t="e">
            <v>#VALUE!</v>
          </cell>
          <cell r="M47" t="e">
            <v>#VALUE!</v>
          </cell>
          <cell r="N47">
            <v>0.46460151409716544</v>
          </cell>
          <cell r="P47">
            <v>9.5505617977528097</v>
          </cell>
          <cell r="S47" t="e">
            <v>#VALUE!</v>
          </cell>
          <cell r="AA47">
            <v>8.5</v>
          </cell>
          <cell r="AB47" t="str">
            <v>#Calc</v>
          </cell>
          <cell r="AC47">
            <v>380.53040000000004</v>
          </cell>
          <cell r="AD47">
            <v>416.14</v>
          </cell>
          <cell r="AE47">
            <v>176.79500000000002</v>
          </cell>
          <cell r="AF47">
            <v>231.33</v>
          </cell>
          <cell r="AG47">
            <v>273.06</v>
          </cell>
          <cell r="AH47">
            <v>106.414</v>
          </cell>
          <cell r="AI47">
            <v>129.74</v>
          </cell>
          <cell r="AJ47">
            <v>0.36333329999999997</v>
          </cell>
          <cell r="AK47">
            <v>0.89</v>
          </cell>
          <cell r="AL47">
            <v>0.84</v>
          </cell>
          <cell r="AM47">
            <v>0.5205021596853997</v>
          </cell>
          <cell r="AN47" t="e">
            <v>#N/A</v>
          </cell>
          <cell r="AO47">
            <v>0.46460151409716544</v>
          </cell>
          <cell r="AP47">
            <v>0.55589465083866008</v>
          </cell>
          <cell r="AQ47">
            <v>0.27964651444404964</v>
          </cell>
          <cell r="AR47">
            <v>0.3117700773778056</v>
          </cell>
          <cell r="AT47" t="str">
            <v>12/2010</v>
          </cell>
        </row>
        <row r="48">
          <cell r="D48" t="str">
            <v>GILT-US</v>
          </cell>
          <cell r="E48" t="str">
            <v>*</v>
          </cell>
          <cell r="F48" t="str">
            <v>Gilat Satellite Networks Ltd.</v>
          </cell>
          <cell r="J48" t="e">
            <v>#VALUE!</v>
          </cell>
          <cell r="AA48">
            <v>5.7</v>
          </cell>
          <cell r="AB48" t="str">
            <v>#Calc</v>
          </cell>
          <cell r="AC48" t="str">
            <v>-</v>
          </cell>
          <cell r="AD48" t="str">
            <v>-</v>
          </cell>
          <cell r="AH48" t="str">
            <v>-</v>
          </cell>
          <cell r="AI48" t="str">
            <v>-</v>
          </cell>
          <cell r="AJ48">
            <v>-0.02</v>
          </cell>
          <cell r="AK48" t="str">
            <v>-</v>
          </cell>
          <cell r="AL48" t="str">
            <v>-</v>
          </cell>
          <cell r="AT48" t="str">
            <v>12/2010</v>
          </cell>
        </row>
        <row r="49">
          <cell r="D49" t="str">
            <v>Average</v>
          </cell>
          <cell r="J49" t="e">
            <v>#VALUE!</v>
          </cell>
          <cell r="K49" t="e">
            <v>#VALUE!</v>
          </cell>
          <cell r="L49" t="e">
            <v>#VALUE!</v>
          </cell>
          <cell r="M49" t="e">
            <v>#VALUE!</v>
          </cell>
          <cell r="N49">
            <v>0.3495447685720654</v>
          </cell>
          <cell r="O49">
            <v>0.23917122114364953</v>
          </cell>
          <cell r="P49">
            <v>12.557831234446873</v>
          </cell>
          <cell r="S49" t="e">
            <v>#VALUE!</v>
          </cell>
          <cell r="T49" t="e">
            <v>#VALUE!</v>
          </cell>
        </row>
        <row r="51">
          <cell r="C51" t="str">
            <v>Satellite Services</v>
          </cell>
        </row>
        <row r="52">
          <cell r="C52" t="str">
            <v>Tier 1 Comps</v>
          </cell>
        </row>
        <row r="53">
          <cell r="D53" t="str">
            <v>DTV-US</v>
          </cell>
          <cell r="F53" t="str">
            <v>DIRECTV</v>
          </cell>
          <cell r="J53" t="e">
            <v>#VALUE!</v>
          </cell>
          <cell r="K53" t="e">
            <v>#VALUE!</v>
          </cell>
          <cell r="L53" t="e">
            <v>#VALUE!</v>
          </cell>
          <cell r="M53" t="e">
            <v>#VALUE!</v>
          </cell>
          <cell r="N53">
            <v>0.27461284020349341</v>
          </cell>
          <cell r="O53">
            <v>0.27835302819035196</v>
          </cell>
          <cell r="P53">
            <v>13.260442870809708</v>
          </cell>
          <cell r="Q53">
            <v>10.096610237702375</v>
          </cell>
          <cell r="R53">
            <v>0.30201450029109878</v>
          </cell>
          <cell r="S53" t="e">
            <v>#VALUE!</v>
          </cell>
          <cell r="T53" t="e">
            <v>#VALUE!</v>
          </cell>
          <cell r="AA53">
            <v>42.65</v>
          </cell>
          <cell r="AB53" t="str">
            <v>#Calc</v>
          </cell>
          <cell r="AC53">
            <v>25848.5</v>
          </cell>
          <cell r="AD53">
            <v>27689.97</v>
          </cell>
          <cell r="AE53">
            <v>7098.33</v>
          </cell>
          <cell r="AF53">
            <v>7707.5870000000004</v>
          </cell>
          <cell r="AG53">
            <v>8029.3</v>
          </cell>
          <cell r="AH53">
            <v>4653.0810000000001</v>
          </cell>
          <cell r="AI53">
            <v>5348.1080000000002</v>
          </cell>
          <cell r="AJ53">
            <v>2.3726339999999997</v>
          </cell>
          <cell r="AK53">
            <v>3.2163329999999997</v>
          </cell>
          <cell r="AL53">
            <v>4.2241900000000001</v>
          </cell>
          <cell r="AM53">
            <v>0.33430879073589798</v>
          </cell>
          <cell r="AN53">
            <v>0.25773932999999999</v>
          </cell>
          <cell r="AO53">
            <v>0.27461284020349341</v>
          </cell>
          <cell r="AP53">
            <v>0.27835302819035196</v>
          </cell>
          <cell r="AQ53">
            <v>0.18001357912451399</v>
          </cell>
          <cell r="AR53">
            <v>0.19314242666207293</v>
          </cell>
          <cell r="AT53" t="str">
            <v>12/2010</v>
          </cell>
        </row>
        <row r="54">
          <cell r="D54" t="str">
            <v>DISH-US</v>
          </cell>
          <cell r="F54" t="str">
            <v>DISH Network Corp. (Cl A)</v>
          </cell>
          <cell r="J54" t="e">
            <v>#VALUE!</v>
          </cell>
          <cell r="K54" t="e">
            <v>#VALUE!</v>
          </cell>
          <cell r="L54" t="e">
            <v>#VALUE!</v>
          </cell>
          <cell r="M54" t="e">
            <v>#VALUE!</v>
          </cell>
          <cell r="N54">
            <v>0.22994151636309676</v>
          </cell>
          <cell r="O54">
            <v>0.22709832104617186</v>
          </cell>
          <cell r="P54">
            <v>8.774776778795399</v>
          </cell>
          <cell r="Q54">
            <v>8.3942186726668986</v>
          </cell>
          <cell r="R54">
            <v>1.0801174847068935</v>
          </cell>
          <cell r="S54" t="e">
            <v>#VALUE!</v>
          </cell>
          <cell r="T54" t="e">
            <v>#VALUE!</v>
          </cell>
          <cell r="AA54">
            <v>19.25</v>
          </cell>
          <cell r="AB54" t="str">
            <v>#Calc</v>
          </cell>
          <cell r="AC54">
            <v>13107.085000000001</v>
          </cell>
          <cell r="AD54">
            <v>13737.781000000001</v>
          </cell>
          <cell r="AE54">
            <v>3013.8630000000003</v>
          </cell>
          <cell r="AF54">
            <v>3119.8270000000002</v>
          </cell>
          <cell r="AG54">
            <v>3217.1750000000002</v>
          </cell>
          <cell r="AH54">
            <v>1958.67</v>
          </cell>
          <cell r="AI54">
            <v>2075.3830000000003</v>
          </cell>
          <cell r="AJ54">
            <v>1.9744309999999998</v>
          </cell>
          <cell r="AK54">
            <v>2.1937880000000001</v>
          </cell>
          <cell r="AL54">
            <v>2.2932449999999998</v>
          </cell>
          <cell r="AM54">
            <v>7.7715792879186646E-2</v>
          </cell>
          <cell r="AN54">
            <v>3.3659000000000001E-2</v>
          </cell>
          <cell r="AO54">
            <v>0.22994151636309676</v>
          </cell>
          <cell r="AP54">
            <v>0.22709832104617186</v>
          </cell>
          <cell r="AQ54">
            <v>0.14943597298712871</v>
          </cell>
          <cell r="AR54">
            <v>0.15107119555916637</v>
          </cell>
          <cell r="AT54" t="str">
            <v>12/2010</v>
          </cell>
        </row>
        <row r="55">
          <cell r="D55" t="str">
            <v>Average</v>
          </cell>
          <cell r="J55" t="e">
            <v>#VALUE!</v>
          </cell>
          <cell r="K55" t="e">
            <v>#VALUE!</v>
          </cell>
          <cell r="L55" t="e">
            <v>#VALUE!</v>
          </cell>
          <cell r="M55" t="e">
            <v>#VALUE!</v>
          </cell>
          <cell r="N55">
            <v>0.2522771782832951</v>
          </cell>
          <cell r="O55">
            <v>0.2527256746182619</v>
          </cell>
          <cell r="P55">
            <v>11.017609824802554</v>
          </cell>
          <cell r="Q55">
            <v>9.2454144551846369</v>
          </cell>
          <cell r="R55">
            <v>0.69106599249899614</v>
          </cell>
          <cell r="S55" t="e">
            <v>#VALUE!</v>
          </cell>
          <cell r="T55" t="e">
            <v>#VALUE!</v>
          </cell>
        </row>
        <row r="57">
          <cell r="C57" t="str">
            <v>Tier 2 Comps</v>
          </cell>
        </row>
        <row r="58">
          <cell r="D58" t="str">
            <v>ISAT-GB</v>
          </cell>
          <cell r="F58" t="str">
            <v>Inmarsat PLC</v>
          </cell>
          <cell r="J58" t="e">
            <v>#VALUE!</v>
          </cell>
          <cell r="K58" t="e">
            <v>#VALUE!</v>
          </cell>
          <cell r="L58" t="e">
            <v>#VALUE!</v>
          </cell>
          <cell r="M58" t="e">
            <v>#VALUE!</v>
          </cell>
          <cell r="N58">
            <v>0.58428119665647504</v>
          </cell>
          <cell r="O58">
            <v>0.59479669738323415</v>
          </cell>
          <cell r="P58">
            <v>17.332064178956358</v>
          </cell>
          <cell r="Q58">
            <v>16.115888836757744</v>
          </cell>
          <cell r="R58">
            <v>1.4659688688148138</v>
          </cell>
          <cell r="S58" t="e">
            <v>#VALUE!</v>
          </cell>
          <cell r="T58" t="e">
            <v>#VALUE!</v>
          </cell>
          <cell r="AA58">
            <v>6.2</v>
          </cell>
          <cell r="AB58" t="str">
            <v>#Calc</v>
          </cell>
          <cell r="AC58">
            <v>762.97919999999999</v>
          </cell>
          <cell r="AD58">
            <v>795.26030000000003</v>
          </cell>
          <cell r="AE58">
            <v>445.7944</v>
          </cell>
          <cell r="AF58">
            <v>473.01820000000004</v>
          </cell>
          <cell r="AG58">
            <v>476.19</v>
          </cell>
          <cell r="AH58">
            <v>305.37</v>
          </cell>
          <cell r="AI58">
            <v>329.64410000000004</v>
          </cell>
          <cell r="AJ58">
            <v>0.31227959999999999</v>
          </cell>
          <cell r="AK58">
            <v>0.35771849999999999</v>
          </cell>
          <cell r="AL58">
            <v>0.38471349999999999</v>
          </cell>
          <cell r="AM58">
            <v>0.10993336338572383</v>
          </cell>
          <cell r="AN58">
            <v>0.18074999999999999</v>
          </cell>
          <cell r="AO58">
            <v>0.58428119665647504</v>
          </cell>
          <cell r="AP58">
            <v>0.59479669738323415</v>
          </cell>
          <cell r="AQ58">
            <v>0.40023371541452246</v>
          </cell>
          <cell r="AR58">
            <v>0.41451094691888934</v>
          </cell>
          <cell r="AT58" t="str">
            <v>12/2010</v>
          </cell>
        </row>
        <row r="59">
          <cell r="D59" t="str">
            <v>KVHI-US</v>
          </cell>
          <cell r="E59" t="str">
            <v>*</v>
          </cell>
          <cell r="F59" t="str">
            <v>KVH Industries Inc.</v>
          </cell>
          <cell r="J59" t="e">
            <v>#VALUE!</v>
          </cell>
          <cell r="K59" t="e">
            <v>#VALUE!</v>
          </cell>
          <cell r="N59">
            <v>0.18865807302259688</v>
          </cell>
          <cell r="P59">
            <v>19.916960241570205</v>
          </cell>
          <cell r="S59" t="e">
            <v>#VALUE!</v>
          </cell>
          <cell r="T59" t="e">
            <v>#VALUE!</v>
          </cell>
          <cell r="AA59">
            <v>15.83</v>
          </cell>
          <cell r="AB59" t="str">
            <v>#Calc</v>
          </cell>
          <cell r="AC59">
            <v>142.58600000000001</v>
          </cell>
          <cell r="AD59">
            <v>163.947</v>
          </cell>
          <cell r="AE59">
            <v>26.900000000000002</v>
          </cell>
          <cell r="AF59" t="str">
            <v>-</v>
          </cell>
          <cell r="AG59" t="str">
            <v>-</v>
          </cell>
          <cell r="AH59">
            <v>19.408760000000001</v>
          </cell>
          <cell r="AI59">
            <v>26.794</v>
          </cell>
          <cell r="AJ59">
            <v>0.64400000000000002</v>
          </cell>
          <cell r="AK59">
            <v>0.79480000000000006</v>
          </cell>
          <cell r="AL59">
            <v>1.1100000000000001</v>
          </cell>
          <cell r="AM59">
            <v>0.31286042078810089</v>
          </cell>
          <cell r="AN59" t="e">
            <v>#N/A</v>
          </cell>
          <cell r="AO59">
            <v>0.18865807302259688</v>
          </cell>
          <cell r="AQ59">
            <v>0.13611967514342221</v>
          </cell>
          <cell r="AR59">
            <v>0.16343086485266581</v>
          </cell>
          <cell r="AT59" t="str">
            <v>12/2010</v>
          </cell>
        </row>
        <row r="60">
          <cell r="D60" t="str">
            <v>SESG-FR</v>
          </cell>
          <cell r="F60" t="str">
            <v>SES S.A.</v>
          </cell>
          <cell r="J60" t="e">
            <v>#VALUE!</v>
          </cell>
          <cell r="K60" t="e">
            <v>#VALUE!</v>
          </cell>
          <cell r="L60" t="e">
            <v>#VALUE!</v>
          </cell>
          <cell r="M60" t="e">
            <v>#VALUE!</v>
          </cell>
          <cell r="N60">
            <v>0.73331010108741024</v>
          </cell>
          <cell r="O60">
            <v>0.73468139194454729</v>
          </cell>
          <cell r="P60">
            <v>13.102977915829582</v>
          </cell>
          <cell r="Q60">
            <v>12.22083938325382</v>
          </cell>
          <cell r="R60">
            <v>1.3507120167701629</v>
          </cell>
          <cell r="S60" t="e">
            <v>#VALUE!</v>
          </cell>
          <cell r="T60" t="e">
            <v>#VALUE!</v>
          </cell>
          <cell r="AA60">
            <v>17.675000000000001</v>
          </cell>
          <cell r="AB60" t="str">
            <v>#Calc</v>
          </cell>
          <cell r="AC60">
            <v>1842.2670000000001</v>
          </cell>
          <cell r="AD60">
            <v>1927.117</v>
          </cell>
          <cell r="AE60">
            <v>1350.953</v>
          </cell>
          <cell r="AF60">
            <v>1415.817</v>
          </cell>
          <cell r="AG60">
            <v>1501.4</v>
          </cell>
          <cell r="AH60">
            <v>814.91110000000003</v>
          </cell>
          <cell r="AI60">
            <v>866.96950000000004</v>
          </cell>
          <cell r="AJ60">
            <v>1.2162569999999999</v>
          </cell>
          <cell r="AK60">
            <v>1.3489300000000002</v>
          </cell>
          <cell r="AL60">
            <v>1.4463000000000001</v>
          </cell>
          <cell r="AM60">
            <v>9.0477016799453844E-2</v>
          </cell>
          <cell r="AN60">
            <v>8.6704500000000004E-2</v>
          </cell>
          <cell r="AO60">
            <v>0.73331010108741024</v>
          </cell>
          <cell r="AP60">
            <v>0.73468139194454729</v>
          </cell>
          <cell r="AQ60">
            <v>0.44234147384716765</v>
          </cell>
          <cell r="AR60">
            <v>0.44987901616767434</v>
          </cell>
          <cell r="AT60" t="str">
            <v>12/2010</v>
          </cell>
        </row>
        <row r="61">
          <cell r="D61" t="str">
            <v>ETL-FR</v>
          </cell>
          <cell r="F61" t="str">
            <v>Eutelsat Communications</v>
          </cell>
          <cell r="J61" t="e">
            <v>#VALUE!</v>
          </cell>
          <cell r="K61" t="e">
            <v>#VALUE!</v>
          </cell>
          <cell r="L61" t="e">
            <v>#VALUE!</v>
          </cell>
          <cell r="M61" t="e">
            <v>#VALUE!</v>
          </cell>
          <cell r="N61">
            <v>0.78586870246633866</v>
          </cell>
          <cell r="O61">
            <v>0.78733522015788082</v>
          </cell>
          <cell r="P61">
            <v>18.454399880634238</v>
          </cell>
          <cell r="Q61">
            <v>16.189626367615841</v>
          </cell>
          <cell r="R61">
            <v>1.2607822945006213</v>
          </cell>
          <cell r="S61" t="e">
            <v>#VALUE!</v>
          </cell>
          <cell r="T61" t="e">
            <v>#VALUE!</v>
          </cell>
          <cell r="AA61">
            <v>27.704999999999998</v>
          </cell>
          <cell r="AB61" t="str">
            <v>#Calc</v>
          </cell>
          <cell r="AC61">
            <v>1177.981</v>
          </cell>
          <cell r="AD61">
            <v>1273.7450000000001</v>
          </cell>
          <cell r="AE61">
            <v>925.73840000000007</v>
          </cell>
          <cell r="AF61">
            <v>1002.8643000000001</v>
          </cell>
          <cell r="AG61">
            <v>1069.2139999999999</v>
          </cell>
          <cell r="AH61">
            <v>598.25110000000006</v>
          </cell>
          <cell r="AI61">
            <v>664.50160000000005</v>
          </cell>
          <cell r="AJ61">
            <v>1.3439649999999999</v>
          </cell>
          <cell r="AK61">
            <v>1.5012679999999998</v>
          </cell>
          <cell r="AL61">
            <v>1.7112809999999998</v>
          </cell>
          <cell r="AM61">
            <v>0.12840937280157738</v>
          </cell>
          <cell r="AN61">
            <v>0.10455600000000001</v>
          </cell>
          <cell r="AO61">
            <v>0.78586870246633866</v>
          </cell>
          <cell r="AP61">
            <v>0.78733522015788082</v>
          </cell>
          <cell r="AQ61">
            <v>0.50786141711963106</v>
          </cell>
          <cell r="AR61">
            <v>0.52169123333163225</v>
          </cell>
          <cell r="AT61" t="str">
            <v>06/2011</v>
          </cell>
        </row>
        <row r="62">
          <cell r="D62" t="str">
            <v>Average</v>
          </cell>
          <cell r="J62" t="e">
            <v>#VALUE!</v>
          </cell>
          <cell r="K62" t="e">
            <v>#VALUE!</v>
          </cell>
          <cell r="L62" t="e">
            <v>#VALUE!</v>
          </cell>
          <cell r="M62" t="e">
            <v>#VALUE!</v>
          </cell>
          <cell r="N62">
            <v>0.57302951830820525</v>
          </cell>
          <cell r="O62">
            <v>0.70560443649522087</v>
          </cell>
          <cell r="P62">
            <v>17.201600554247598</v>
          </cell>
          <cell r="Q62">
            <v>14.842118195875804</v>
          </cell>
          <cell r="R62">
            <v>1.3591543933618659</v>
          </cell>
          <cell r="S62" t="e">
            <v>#VALUE!</v>
          </cell>
          <cell r="T62" t="e">
            <v>#VALUE!</v>
          </cell>
        </row>
        <row r="64">
          <cell r="C64" t="str">
            <v>Avg. of Tier 1 and 2</v>
          </cell>
          <cell r="K64" t="e">
            <v>#VALUE!</v>
          </cell>
          <cell r="L64" t="e">
            <v>#VALUE!</v>
          </cell>
          <cell r="M64" t="e">
            <v>#VALUE!</v>
          </cell>
          <cell r="P64">
            <v>14.109605189525077</v>
          </cell>
          <cell r="Q64">
            <v>12.043766325530221</v>
          </cell>
          <cell r="R64">
            <v>1.0251101929304309</v>
          </cell>
          <cell r="S64" t="e">
            <v>#VALUE!</v>
          </cell>
          <cell r="T64" t="e">
            <v>#VALUE!</v>
          </cell>
        </row>
        <row r="66">
          <cell r="D66" t="str">
            <v>Note: * indicates company not covered by Morgan Stanley Research.</v>
          </cell>
        </row>
      </sheetData>
      <sheetData sheetId="10" refreshError="1"/>
      <sheetData sheetId="11" refreshError="1"/>
      <sheetData sheetId="12" refreshError="1"/>
      <sheetData sheetId="13" refreshError="1">
        <row r="4">
          <cell r="R4">
            <v>0.15</v>
          </cell>
        </row>
        <row r="5">
          <cell r="L5" t="str">
            <v>ViaSat-1 Capitalization</v>
          </cell>
          <cell r="Q5" t="str">
            <v>Gross</v>
          </cell>
          <cell r="R5" t="str">
            <v>Loral</v>
          </cell>
          <cell r="S5" t="str">
            <v>VSAT</v>
          </cell>
        </row>
        <row r="7">
          <cell r="L7" t="str">
            <v>Purchase Price</v>
          </cell>
          <cell r="Q7">
            <v>246</v>
          </cell>
          <cell r="R7">
            <v>-36.9</v>
          </cell>
          <cell r="S7">
            <v>209.1</v>
          </cell>
        </row>
        <row r="9">
          <cell r="L9" t="str">
            <v xml:space="preserve">    International Launch Services</v>
          </cell>
          <cell r="Q9">
            <v>80</v>
          </cell>
          <cell r="R9">
            <v>-12</v>
          </cell>
          <cell r="S9">
            <v>68</v>
          </cell>
        </row>
        <row r="11">
          <cell r="L11" t="str">
            <v xml:space="preserve">    Launch Insurance</v>
          </cell>
          <cell r="Q11">
            <v>70</v>
          </cell>
          <cell r="R11">
            <v>-10.5</v>
          </cell>
          <cell r="S11">
            <v>59.5</v>
          </cell>
        </row>
        <row r="13">
          <cell r="L13" t="str">
            <v>Total Launch and Launch Insurance</v>
          </cell>
          <cell r="Q13">
            <v>150</v>
          </cell>
          <cell r="R13">
            <v>-22.5</v>
          </cell>
          <cell r="S13">
            <v>127.5</v>
          </cell>
        </row>
        <row r="14">
          <cell r="I14" t="str">
            <v>adj for stock comp etc</v>
          </cell>
        </row>
        <row r="15">
          <cell r="L15" t="str">
            <v>Total ViaSat-1 Cost</v>
          </cell>
          <cell r="Q15">
            <v>400</v>
          </cell>
          <cell r="R15">
            <v>-60</v>
          </cell>
          <cell r="S15">
            <v>340</v>
          </cell>
        </row>
        <row r="20">
          <cell r="I20" t="str">
            <v>VSAT stock performance since announcement of ViaSat-1 (prestock drop)</v>
          </cell>
        </row>
        <row r="21">
          <cell r="I21">
            <v>39454</v>
          </cell>
          <cell r="J21">
            <v>32.15</v>
          </cell>
          <cell r="K21">
            <v>375.09</v>
          </cell>
        </row>
        <row r="22">
          <cell r="I22">
            <v>40464</v>
          </cell>
          <cell r="J22">
            <v>41.89</v>
          </cell>
          <cell r="K22">
            <v>375</v>
          </cell>
        </row>
        <row r="23">
          <cell r="I23" t="str">
            <v>Abs</v>
          </cell>
          <cell r="J23">
            <v>0.30295489891135308</v>
          </cell>
          <cell r="K23">
            <v>-2.3994241382063741E-4</v>
          </cell>
        </row>
        <row r="24">
          <cell r="I24" t="str">
            <v>Rel</v>
          </cell>
          <cell r="J24">
            <v>0.30319484132517371</v>
          </cell>
        </row>
        <row r="26">
          <cell r="I26" t="str">
            <v>VSAT stock performance since announcement of ViaSat-1 (post stock drop)</v>
          </cell>
        </row>
        <row r="27">
          <cell r="I27">
            <v>39458</v>
          </cell>
          <cell r="J27">
            <v>22.72</v>
          </cell>
          <cell r="K27">
            <v>364.54</v>
          </cell>
        </row>
        <row r="28">
          <cell r="I28">
            <v>40464</v>
          </cell>
          <cell r="J28">
            <v>41.89</v>
          </cell>
          <cell r="K28">
            <v>375</v>
          </cell>
        </row>
        <row r="29">
          <cell r="I29" t="str">
            <v>Abs</v>
          </cell>
          <cell r="J29">
            <v>0.84375000000000022</v>
          </cell>
          <cell r="K29">
            <v>2.8693696165029925E-2</v>
          </cell>
        </row>
        <row r="30">
          <cell r="I30" t="str">
            <v>Rel</v>
          </cell>
          <cell r="J30">
            <v>0.8150563038349703</v>
          </cell>
        </row>
        <row r="32">
          <cell r="I32" t="str">
            <v>VSAT stock performance since announcement of WildBlue acquisition</v>
          </cell>
        </row>
        <row r="33">
          <cell r="I33">
            <v>40087</v>
          </cell>
          <cell r="J33">
            <v>27</v>
          </cell>
          <cell r="K33">
            <v>307.52999999999997</v>
          </cell>
        </row>
        <row r="34">
          <cell r="E34" t="str">
            <v>VSAT</v>
          </cell>
          <cell r="I34">
            <v>40464</v>
          </cell>
          <cell r="J34">
            <v>41.89</v>
          </cell>
          <cell r="K34">
            <v>375</v>
          </cell>
        </row>
        <row r="35">
          <cell r="D35">
            <v>39454</v>
          </cell>
          <cell r="E35">
            <v>977.27359999999999</v>
          </cell>
          <cell r="I35" t="str">
            <v>Abs</v>
          </cell>
          <cell r="J35">
            <v>0.55148148148148146</v>
          </cell>
          <cell r="K35">
            <v>0.21939322992878751</v>
          </cell>
        </row>
        <row r="36">
          <cell r="D36">
            <v>39455</v>
          </cell>
          <cell r="E36">
            <v>811.91219999999998</v>
          </cell>
          <cell r="F36">
            <v>-165.3614</v>
          </cell>
          <cell r="I36" t="str">
            <v>Rel</v>
          </cell>
          <cell r="J36">
            <v>0.33208825155269395</v>
          </cell>
        </row>
        <row r="37">
          <cell r="D37">
            <v>39456</v>
          </cell>
          <cell r="E37">
            <v>744.12616000000003</v>
          </cell>
          <cell r="F37">
            <v>-233.14743999999996</v>
          </cell>
        </row>
        <row r="38">
          <cell r="D38">
            <v>39457</v>
          </cell>
          <cell r="E38">
            <v>714.64080000000001</v>
          </cell>
          <cell r="F38">
            <v>-262.63279999999997</v>
          </cell>
          <cell r="I38" t="str">
            <v>VSAT stock performance since disclosure of 25% Baupost stake</v>
          </cell>
        </row>
        <row r="39">
          <cell r="D39">
            <v>39458</v>
          </cell>
          <cell r="E39">
            <v>690.62689999999998</v>
          </cell>
          <cell r="F39">
            <v>-286.64670000000001</v>
          </cell>
          <cell r="J39" t="str">
            <v>VSAT</v>
          </cell>
          <cell r="K39" t="str">
            <v>SML</v>
          </cell>
        </row>
        <row r="40">
          <cell r="D40">
            <v>39461</v>
          </cell>
          <cell r="E40">
            <v>692.45079999999996</v>
          </cell>
          <cell r="F40">
            <v>-284.82280000000003</v>
          </cell>
          <cell r="I40">
            <v>40087</v>
          </cell>
          <cell r="J40">
            <v>27</v>
          </cell>
          <cell r="K40">
            <v>307.52999999999997</v>
          </cell>
        </row>
        <row r="41">
          <cell r="D41">
            <v>39462</v>
          </cell>
          <cell r="E41">
            <v>683.63556000000005</v>
          </cell>
          <cell r="F41">
            <v>-293.63803999999993</v>
          </cell>
          <cell r="I41">
            <v>40493</v>
          </cell>
        </row>
        <row r="42">
          <cell r="I42" t="str">
            <v>Abs</v>
          </cell>
          <cell r="J42">
            <v>-1</v>
          </cell>
          <cell r="K42">
            <v>-1</v>
          </cell>
        </row>
        <row r="43">
          <cell r="E43" t="str">
            <v>VSAT</v>
          </cell>
          <cell r="I43" t="str">
            <v>Rel</v>
          </cell>
          <cell r="J43">
            <v>0</v>
          </cell>
        </row>
        <row r="44">
          <cell r="D44">
            <v>39454</v>
          </cell>
          <cell r="E44">
            <v>32.15</v>
          </cell>
        </row>
        <row r="45">
          <cell r="D45">
            <v>39455</v>
          </cell>
          <cell r="E45">
            <v>26.71</v>
          </cell>
          <cell r="F45">
            <v>-0.16920684292379462</v>
          </cell>
          <cell r="I45" t="str">
            <v>Past Year</v>
          </cell>
        </row>
        <row r="46">
          <cell r="D46">
            <v>39456</v>
          </cell>
          <cell r="E46">
            <v>24.48</v>
          </cell>
          <cell r="F46">
            <v>-0.23856920684292371</v>
          </cell>
          <cell r="J46" t="str">
            <v>VSAT</v>
          </cell>
          <cell r="K46" t="str">
            <v>SML</v>
          </cell>
        </row>
        <row r="47">
          <cell r="D47">
            <v>39457</v>
          </cell>
          <cell r="E47">
            <v>23.51</v>
          </cell>
          <cell r="F47">
            <v>-0.26874027993779148</v>
          </cell>
          <cell r="I47">
            <v>39734</v>
          </cell>
          <cell r="J47">
            <v>19.8</v>
          </cell>
          <cell r="K47">
            <v>306.08999999999997</v>
          </cell>
        </row>
        <row r="48">
          <cell r="D48">
            <v>39458</v>
          </cell>
          <cell r="E48">
            <v>22.72</v>
          </cell>
          <cell r="F48">
            <v>-0.29331259720062208</v>
          </cell>
          <cell r="I48">
            <v>40464</v>
          </cell>
          <cell r="J48">
            <v>41.89</v>
          </cell>
          <cell r="K48">
            <v>375</v>
          </cell>
        </row>
        <row r="49">
          <cell r="D49">
            <v>39461</v>
          </cell>
          <cell r="E49">
            <v>22.78</v>
          </cell>
          <cell r="F49">
            <v>-0.29144634525660962</v>
          </cell>
          <cell r="I49" t="str">
            <v>Abs</v>
          </cell>
          <cell r="J49">
            <v>1.1156565656565656</v>
          </cell>
          <cell r="K49">
            <v>0.22512986376555921</v>
          </cell>
        </row>
        <row r="50">
          <cell r="D50">
            <v>39462</v>
          </cell>
          <cell r="E50">
            <v>22.49</v>
          </cell>
          <cell r="F50">
            <v>-0.30046656298600316</v>
          </cell>
          <cell r="I50" t="str">
            <v>Rel</v>
          </cell>
          <cell r="J50">
            <v>0.89052670189100636</v>
          </cell>
        </row>
        <row r="51">
          <cell r="D51">
            <v>39463</v>
          </cell>
          <cell r="E51">
            <v>23.15</v>
          </cell>
          <cell r="F51">
            <v>-0.27993779160186627</v>
          </cell>
        </row>
        <row r="52">
          <cell r="D52">
            <v>39464</v>
          </cell>
          <cell r="E52">
            <v>22.35</v>
          </cell>
          <cell r="F52">
            <v>-0.30482115085536543</v>
          </cell>
          <cell r="I52" t="str">
            <v xml:space="preserve">CY13 Valuation - Market Implied Satellite Value </v>
          </cell>
          <cell r="R52" t="str">
            <v xml:space="preserve">CY13 Valuation - Market Implied Satellite Value </v>
          </cell>
        </row>
        <row r="53">
          <cell r="M53" t="str">
            <v>Firm</v>
          </cell>
          <cell r="V53" t="str">
            <v>Firm</v>
          </cell>
        </row>
        <row r="54">
          <cell r="M54" t="str">
            <v>Value</v>
          </cell>
          <cell r="N54" t="str">
            <v xml:space="preserve">Debt </v>
          </cell>
          <cell r="O54" t="str">
            <v>Equity</v>
          </cell>
          <cell r="P54" t="str">
            <v>Per Share</v>
          </cell>
          <cell r="V54" t="str">
            <v>Value</v>
          </cell>
          <cell r="W54" t="str">
            <v xml:space="preserve">Debt </v>
          </cell>
          <cell r="X54" t="str">
            <v>Equity</v>
          </cell>
          <cell r="Y54" t="str">
            <v>Per Share</v>
          </cell>
        </row>
        <row r="56">
          <cell r="I56" t="str">
            <v>Current VSAT Market Value</v>
          </cell>
          <cell r="M56">
            <v>2070.9677743900002</v>
          </cell>
          <cell r="N56">
            <v>268.923</v>
          </cell>
          <cell r="O56">
            <v>1802.0447743900002</v>
          </cell>
          <cell r="P56">
            <v>41.52</v>
          </cell>
          <cell r="R56" t="str">
            <v>Current VSAT Market Value</v>
          </cell>
          <cell r="V56">
            <v>2439.015454708574</v>
          </cell>
          <cell r="W56">
            <v>268.923</v>
          </cell>
          <cell r="X56">
            <v>2170.0924547085742</v>
          </cell>
          <cell r="Y56">
            <v>50</v>
          </cell>
        </row>
        <row r="58">
          <cell r="I58" t="str">
            <v>Assuming a peer value for Government Systems…</v>
          </cell>
          <cell r="R58" t="str">
            <v>Assuming a peer value for Government Systems…</v>
          </cell>
        </row>
        <row r="59">
          <cell r="I59" t="str">
            <v>Government Systems EBITDA</v>
          </cell>
          <cell r="M59">
            <v>94.801856744249989</v>
          </cell>
          <cell r="R59" t="str">
            <v>Government Systems EBITDA</v>
          </cell>
          <cell r="V59">
            <v>94.801856744249989</v>
          </cell>
        </row>
        <row r="60">
          <cell r="I60" t="str">
            <v>Harris Corp EV / EBITDA</v>
          </cell>
          <cell r="M60" t="e">
            <v>#VALUE!</v>
          </cell>
          <cell r="R60" t="str">
            <v>Harris Corp EV / EBITDA</v>
          </cell>
          <cell r="V60">
            <v>5</v>
          </cell>
        </row>
        <row r="61">
          <cell r="I61" t="str">
            <v>Government Systems Value</v>
          </cell>
          <cell r="M61" t="e">
            <v>#VALUE!</v>
          </cell>
          <cell r="N61">
            <v>0</v>
          </cell>
          <cell r="O61" t="e">
            <v>#VALUE!</v>
          </cell>
          <cell r="P61" t="e">
            <v>#VALUE!</v>
          </cell>
          <cell r="R61" t="str">
            <v>Government Systems Value</v>
          </cell>
          <cell r="V61">
            <v>474.00928372124997</v>
          </cell>
          <cell r="W61">
            <v>0</v>
          </cell>
          <cell r="X61">
            <v>474.00928372124997</v>
          </cell>
          <cell r="Y61">
            <v>10.921407580878981</v>
          </cell>
        </row>
        <row r="63">
          <cell r="I63" t="str">
            <v>...How is the market valuing the satellite businesses?</v>
          </cell>
          <cell r="R63" t="str">
            <v>...How is the market valuing the satellite businesses?</v>
          </cell>
        </row>
        <row r="64">
          <cell r="I64" t="str">
            <v>Implied Satellite Business Value</v>
          </cell>
          <cell r="M64" t="e">
            <v>#VALUE!</v>
          </cell>
          <cell r="N64">
            <v>268.923</v>
          </cell>
          <cell r="O64" t="e">
            <v>#VALUE!</v>
          </cell>
          <cell r="P64" t="e">
            <v>#VALUE!</v>
          </cell>
          <cell r="R64" t="str">
            <v>Implied Satellite Business Value</v>
          </cell>
          <cell r="V64">
            <v>1965.0061709873239</v>
          </cell>
          <cell r="W64">
            <v>268.923</v>
          </cell>
          <cell r="X64">
            <v>1696.0831709873239</v>
          </cell>
          <cell r="Y64">
            <v>39.078592419121016</v>
          </cell>
        </row>
        <row r="65">
          <cell r="I65" t="str">
            <v>Satellite Business EBITDA</v>
          </cell>
          <cell r="M65">
            <v>254.68373697989813</v>
          </cell>
          <cell r="R65" t="str">
            <v>Satellite Business EBITDA</v>
          </cell>
          <cell r="V65">
            <v>254.68373697989813</v>
          </cell>
        </row>
        <row r="66">
          <cell r="I66" t="str">
            <v>Satellite Business EV / EBITDA</v>
          </cell>
          <cell r="M66" t="e">
            <v>#VALUE!</v>
          </cell>
          <cell r="R66" t="str">
            <v>Satellite Business EV / EBITDA</v>
          </cell>
          <cell r="V66">
            <v>7.7154756494813777</v>
          </cell>
        </row>
        <row r="68">
          <cell r="I68" t="str">
            <v>Diluted Shares</v>
          </cell>
          <cell r="M68">
            <v>43.401849094171482</v>
          </cell>
          <cell r="R68" t="str">
            <v>Diluted Shares</v>
          </cell>
          <cell r="V68">
            <v>43.401849094171482</v>
          </cell>
        </row>
        <row r="69">
          <cell r="F69">
            <v>0.21091822697804849</v>
          </cell>
        </row>
        <row r="70">
          <cell r="F70">
            <v>22</v>
          </cell>
          <cell r="M70" t="str">
            <v>FY11</v>
          </cell>
        </row>
        <row r="71">
          <cell r="F71">
            <v>2.3918659999999998</v>
          </cell>
        </row>
        <row r="72">
          <cell r="F72">
            <v>52.621051999999999</v>
          </cell>
          <cell r="M72">
            <v>67.830465000000004</v>
          </cell>
          <cell r="N72">
            <v>85.308600000000013</v>
          </cell>
          <cell r="O72">
            <v>91.505362274999996</v>
          </cell>
          <cell r="P72">
            <v>95.900688233999986</v>
          </cell>
        </row>
        <row r="73">
          <cell r="F73">
            <v>41.384967989086448</v>
          </cell>
          <cell r="M73">
            <v>14.649923999999999</v>
          </cell>
          <cell r="N73">
            <v>20.4039973</v>
          </cell>
          <cell r="O73">
            <v>25.240948045000003</v>
          </cell>
          <cell r="P73">
            <v>31.533387100200002</v>
          </cell>
        </row>
        <row r="74">
          <cell r="M74">
            <v>102.76400554633054</v>
          </cell>
          <cell r="N74">
            <v>131.97657435243119</v>
          </cell>
          <cell r="O74">
            <v>188.19278929102884</v>
          </cell>
          <cell r="P74">
            <v>236.90034976098789</v>
          </cell>
        </row>
        <row r="76">
          <cell r="N76" t="str">
            <v>CY11</v>
          </cell>
          <cell r="O76" t="str">
            <v>CY12</v>
          </cell>
          <cell r="P76" t="str">
            <v>CY13</v>
          </cell>
        </row>
        <row r="77">
          <cell r="F77">
            <v>41274</v>
          </cell>
          <cell r="N77">
            <v>80.93906625000001</v>
          </cell>
          <cell r="O77">
            <v>89.956171706250004</v>
          </cell>
          <cell r="P77">
            <v>94.801856744249989</v>
          </cell>
        </row>
        <row r="78">
          <cell r="F78">
            <v>40493</v>
          </cell>
          <cell r="N78">
            <v>18.965478975</v>
          </cell>
          <cell r="O78">
            <v>24.031710358750001</v>
          </cell>
          <cell r="P78">
            <v>29.960277336400004</v>
          </cell>
        </row>
        <row r="79">
          <cell r="F79">
            <v>0.11879999999999999</v>
          </cell>
          <cell r="N79">
            <v>124.67343215090602</v>
          </cell>
          <cell r="O79">
            <v>174.13873555637943</v>
          </cell>
          <cell r="P79">
            <v>224.72345964349813</v>
          </cell>
        </row>
        <row r="110">
          <cell r="H110" t="str">
            <v>1Q08</v>
          </cell>
        </row>
        <row r="111">
          <cell r="H111" t="str">
            <v>2Q08</v>
          </cell>
        </row>
        <row r="112">
          <cell r="H112" t="str">
            <v>3Q08</v>
          </cell>
        </row>
        <row r="113">
          <cell r="H113" t="str">
            <v>4Q08</v>
          </cell>
        </row>
        <row r="114">
          <cell r="H114" t="str">
            <v>1Q09</v>
          </cell>
        </row>
        <row r="115">
          <cell r="H115" t="str">
            <v>2Q09</v>
          </cell>
        </row>
        <row r="116">
          <cell r="H116" t="str">
            <v>3Q09</v>
          </cell>
        </row>
        <row r="117">
          <cell r="H117" t="str">
            <v>4Q09</v>
          </cell>
        </row>
        <row r="118">
          <cell r="H118" t="str">
            <v>1Q10</v>
          </cell>
        </row>
        <row r="119">
          <cell r="H119" t="str">
            <v>2Q10</v>
          </cell>
        </row>
        <row r="120">
          <cell r="H120" t="str">
            <v>3Q10</v>
          </cell>
        </row>
        <row r="121">
          <cell r="H121" t="str">
            <v>4Q10</v>
          </cell>
        </row>
        <row r="122">
          <cell r="H122" t="str">
            <v>1Q11</v>
          </cell>
        </row>
        <row r="123">
          <cell r="H123" t="str">
            <v>2Q11E</v>
          </cell>
        </row>
        <row r="124">
          <cell r="H124" t="str">
            <v>3Q11E</v>
          </cell>
        </row>
        <row r="125">
          <cell r="H125" t="str">
            <v>4Q11E</v>
          </cell>
        </row>
        <row r="134">
          <cell r="H134" t="str">
            <v>FYE March 31</v>
          </cell>
        </row>
        <row r="135">
          <cell r="H135" t="str">
            <v xml:space="preserve">FY08 </v>
          </cell>
          <cell r="I135" t="str">
            <v xml:space="preserve">FY09 </v>
          </cell>
          <cell r="J135" t="str">
            <v xml:space="preserve">FY10 </v>
          </cell>
          <cell r="K135" t="str">
            <v xml:space="preserve">FY11 </v>
          </cell>
          <cell r="L135" t="str">
            <v xml:space="preserve">FY12 </v>
          </cell>
        </row>
        <row r="137">
          <cell r="F137" t="str">
            <v>Tactical Data Links</v>
          </cell>
          <cell r="H137">
            <v>137.91600000000003</v>
          </cell>
          <cell r="I137">
            <v>131.91759000000002</v>
          </cell>
          <cell r="J137">
            <v>127.98287999999998</v>
          </cell>
          <cell r="K137">
            <v>112</v>
          </cell>
          <cell r="L137">
            <v>112</v>
          </cell>
          <cell r="N137">
            <v>118.81018000000002</v>
          </cell>
        </row>
        <row r="138">
          <cell r="F138" t="str">
            <v xml:space="preserve">  Y/Y Chg.</v>
          </cell>
          <cell r="H138">
            <v>0.16080962085908812</v>
          </cell>
          <cell r="I138">
            <v>-4.3493213260245356E-2</v>
          </cell>
          <cell r="J138">
            <v>-2.9827030648452824E-2</v>
          </cell>
          <cell r="K138">
            <v>-0.12488295309497632</v>
          </cell>
          <cell r="L138">
            <v>0</v>
          </cell>
        </row>
        <row r="140">
          <cell r="F140" t="str">
            <v>UAV Video Links</v>
          </cell>
          <cell r="H140">
            <v>13.2</v>
          </cell>
          <cell r="I140">
            <v>19.2</v>
          </cell>
          <cell r="J140">
            <v>20.5</v>
          </cell>
          <cell r="K140">
            <v>20.6</v>
          </cell>
          <cell r="L140">
            <v>21.218000000000004</v>
          </cell>
          <cell r="N140">
            <v>9.1</v>
          </cell>
        </row>
        <row r="141">
          <cell r="F141" t="str">
            <v xml:space="preserve">  Y/Y Chg.</v>
          </cell>
          <cell r="H141">
            <v>0.4505494505494505</v>
          </cell>
          <cell r="I141">
            <v>0.45454545454545459</v>
          </cell>
          <cell r="J141">
            <v>6.7708333333333481E-2</v>
          </cell>
          <cell r="K141">
            <v>4.8780487804878092E-3</v>
          </cell>
          <cell r="L141">
            <v>3.0000000000000027E-2</v>
          </cell>
        </row>
        <row r="143">
          <cell r="F143" t="str">
            <v>Info Assurance</v>
          </cell>
          <cell r="H143">
            <v>78.869920000000008</v>
          </cell>
          <cell r="I143">
            <v>124.36992000000001</v>
          </cell>
          <cell r="J143">
            <v>107.96992</v>
          </cell>
          <cell r="K143">
            <v>102</v>
          </cell>
          <cell r="L143">
            <v>112.2</v>
          </cell>
          <cell r="N143">
            <v>76.469920000000002</v>
          </cell>
        </row>
        <row r="144">
          <cell r="F144" t="str">
            <v xml:space="preserve">  Y/Y Chg.</v>
          </cell>
          <cell r="H144">
            <v>3.1384889640266422E-2</v>
          </cell>
          <cell r="I144">
            <v>0.5768992792182368</v>
          </cell>
          <cell r="J144">
            <v>-0.13186468239265581</v>
          </cell>
          <cell r="K144">
            <v>-5.5292437004676898E-2</v>
          </cell>
          <cell r="L144">
            <v>0.10000000000000009</v>
          </cell>
        </row>
        <row r="146">
          <cell r="F146" t="str">
            <v>Govt SatCom</v>
          </cell>
          <cell r="H146">
            <v>83.110240000000005</v>
          </cell>
          <cell r="I146">
            <v>112.71024</v>
          </cell>
          <cell r="J146">
            <v>128.61024</v>
          </cell>
          <cell r="K146">
            <v>157.5</v>
          </cell>
          <cell r="L146">
            <v>181.125</v>
          </cell>
          <cell r="N146">
            <v>57.810240000000007</v>
          </cell>
        </row>
        <row r="147">
          <cell r="F147" t="str">
            <v xml:space="preserve">  Y/Y Chg.</v>
          </cell>
          <cell r="H147">
            <v>0.4376387297475326</v>
          </cell>
          <cell r="I147">
            <v>0.35615346556573524</v>
          </cell>
          <cell r="J147">
            <v>0.14106970227372417</v>
          </cell>
          <cell r="K147">
            <v>0.22463032492591561</v>
          </cell>
          <cell r="L147">
            <v>0.14999999999999991</v>
          </cell>
        </row>
        <row r="149">
          <cell r="F149" t="str">
            <v>Other/Rounding</v>
          </cell>
          <cell r="H149">
            <v>6.4418399999999849</v>
          </cell>
          <cell r="I149">
            <v>0.45825000000004934</v>
          </cell>
          <cell r="J149">
            <v>8.7960000000094851E-2</v>
          </cell>
          <cell r="K149">
            <v>0.64499999999998181</v>
          </cell>
          <cell r="L149">
            <v>0</v>
          </cell>
        </row>
        <row r="150">
          <cell r="F150" t="str">
            <v>Total</v>
          </cell>
          <cell r="H150">
            <v>319.53800000000001</v>
          </cell>
          <cell r="I150">
            <v>388.65600000000006</v>
          </cell>
          <cell r="J150">
            <v>385.15100000000007</v>
          </cell>
          <cell r="K150">
            <v>392.745</v>
          </cell>
          <cell r="L150">
            <v>426.54300000000001</v>
          </cell>
          <cell r="N150">
            <v>278.35199999999998</v>
          </cell>
        </row>
        <row r="151">
          <cell r="F151" t="str">
            <v xml:space="preserve">  Y/Y Chg.</v>
          </cell>
          <cell r="H151">
            <v>0.14796372937862867</v>
          </cell>
          <cell r="I151">
            <v>0.21630604184791813</v>
          </cell>
          <cell r="J151">
            <v>-9.018257790951334E-3</v>
          </cell>
          <cell r="K151">
            <v>1.9716942186311259E-2</v>
          </cell>
          <cell r="L151">
            <v>8.6055837757323506E-2</v>
          </cell>
        </row>
      </sheetData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C"/>
      <sheetName val="__FDSCACHE__"/>
      <sheetName val="Main"/>
      <sheetName val="Earnings Analysis"/>
      <sheetName val="QTR Analysis"/>
      <sheetName val="Valuation"/>
      <sheetName val="Act &amp; Landing"/>
      <sheetName val="Nac &amp; Interior"/>
      <sheetName val="Electronic Systems"/>
      <sheetName val="Revs by Market Channel"/>
      <sheetName val="Large Aircraft Build-Up"/>
      <sheetName val="Ship Set Values"/>
      <sheetName val="Bull Base Bear"/>
      <sheetName val="Aftermarket"/>
      <sheetName val="Aircraft Content"/>
      <sheetName val="DCF"/>
      <sheetName val="Output"/>
      <sheetName val="Guidance History"/>
      <sheetName val="MW-Cache"/>
      <sheetName val="MWA RR"/>
      <sheetName val="mwareDates"/>
      <sheetName val="mwareSettings"/>
      <sheetName val="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>
        <row r="1">
          <cell r="A1" t="str">
            <v>Goodrich Corp.</v>
          </cell>
        </row>
        <row r="2">
          <cell r="A2" t="str">
            <v>DCF</v>
          </cell>
        </row>
        <row r="3">
          <cell r="A3" t="str">
            <v>Morgan Stanley Research</v>
          </cell>
        </row>
        <row r="4">
          <cell r="A4" t="str">
            <v>Model Updated: 4/10</v>
          </cell>
          <cell r="J4" t="str">
            <v>red = factset code</v>
          </cell>
        </row>
        <row r="5">
          <cell r="A5" t="str">
            <v>GR</v>
          </cell>
        </row>
        <row r="6">
          <cell r="G6">
            <v>39447</v>
          </cell>
          <cell r="H6">
            <v>39813</v>
          </cell>
          <cell r="I6">
            <v>40178</v>
          </cell>
          <cell r="J6">
            <v>40543</v>
          </cell>
        </row>
        <row r="7">
          <cell r="B7" t="str">
            <v>($ in Millions)</v>
          </cell>
          <cell r="G7">
            <v>2007</v>
          </cell>
          <cell r="H7">
            <v>2008</v>
          </cell>
          <cell r="I7" t="str">
            <v>2009A</v>
          </cell>
          <cell r="J7" t="str">
            <v>2010E</v>
          </cell>
          <cell r="K7" t="str">
            <v>2011E</v>
          </cell>
          <cell r="L7" t="str">
            <v>2012E</v>
          </cell>
          <cell r="M7" t="str">
            <v>2013E</v>
          </cell>
        </row>
        <row r="9">
          <cell r="B9" t="str">
            <v>EBITDA</v>
          </cell>
        </row>
        <row r="10">
          <cell r="C10" t="str">
            <v>Operating Profit</v>
          </cell>
          <cell r="G10">
            <v>881.3</v>
          </cell>
          <cell r="H10">
            <v>1100.9000000000001</v>
          </cell>
          <cell r="I10">
            <v>929.19999999999982</v>
          </cell>
          <cell r="J10">
            <v>1012.7673172403875</v>
          </cell>
          <cell r="K10">
            <v>1180.3258922403872</v>
          </cell>
          <cell r="L10">
            <v>1297.7783044903874</v>
          </cell>
          <cell r="M10">
            <v>1392.5415591078875</v>
          </cell>
        </row>
        <row r="11">
          <cell r="C11" t="str">
            <v>D&amp;A</v>
          </cell>
          <cell r="G11">
            <v>250.2</v>
          </cell>
          <cell r="H11">
            <v>257.2</v>
          </cell>
          <cell r="I11">
            <v>249.3</v>
          </cell>
          <cell r="J11">
            <v>282.14499999999998</v>
          </cell>
          <cell r="K11">
            <v>300.14499999999998</v>
          </cell>
          <cell r="L11">
            <v>318.14499999999998</v>
          </cell>
          <cell r="M11">
            <v>336.14499999999998</v>
          </cell>
        </row>
        <row r="12">
          <cell r="B12" t="str">
            <v>Total</v>
          </cell>
          <cell r="G12">
            <v>1131.5</v>
          </cell>
          <cell r="H12">
            <v>1358.1000000000001</v>
          </cell>
          <cell r="I12">
            <v>1178.4999999999998</v>
          </cell>
          <cell r="J12">
            <v>1294.9123172403874</v>
          </cell>
          <cell r="K12">
            <v>1480.4708922403872</v>
          </cell>
          <cell r="L12">
            <v>1615.9233044903874</v>
          </cell>
          <cell r="M12">
            <v>1728.6865591078874</v>
          </cell>
        </row>
        <row r="14">
          <cell r="B14" t="str">
            <v>Enterprise Value</v>
          </cell>
        </row>
        <row r="15">
          <cell r="C15" t="str">
            <v>Equity Market Cap</v>
          </cell>
          <cell r="G15">
            <v>7713.3689999999997</v>
          </cell>
          <cell r="H15">
            <v>6101.0950000000003</v>
          </cell>
          <cell r="I15">
            <v>8786.5360000000019</v>
          </cell>
          <cell r="J15">
            <v>8772.5</v>
          </cell>
          <cell r="K15">
            <v>8655.9559901674966</v>
          </cell>
          <cell r="L15">
            <v>8491.9533266582257</v>
          </cell>
          <cell r="M15">
            <v>8329.2866217802275</v>
          </cell>
        </row>
        <row r="16">
          <cell r="C16" t="str">
            <v xml:space="preserve">Average/Current Net/Debt </v>
          </cell>
          <cell r="G16">
            <v>1437.65</v>
          </cell>
          <cell r="H16">
            <v>1270.4000000000001</v>
          </cell>
          <cell r="I16">
            <v>956.30000000000018</v>
          </cell>
          <cell r="J16">
            <v>985.90014700921961</v>
          </cell>
          <cell r="K16">
            <v>786.30251518595628</v>
          </cell>
          <cell r="L16">
            <v>424.08717862148092</v>
          </cell>
          <cell r="M16">
            <v>-64.488348509995149</v>
          </cell>
        </row>
        <row r="17">
          <cell r="B17" t="str">
            <v>Total</v>
          </cell>
          <cell r="G17">
            <v>9151.0190000000002</v>
          </cell>
          <cell r="H17">
            <v>7371.4950000000008</v>
          </cell>
          <cell r="I17">
            <v>9742.836000000003</v>
          </cell>
          <cell r="J17">
            <v>9758.4001470092189</v>
          </cell>
          <cell r="K17">
            <v>9442.2585053534531</v>
          </cell>
          <cell r="L17">
            <v>8916.0405052797068</v>
          </cell>
          <cell r="M17">
            <v>8264.798273270233</v>
          </cell>
        </row>
        <row r="19">
          <cell r="B19" t="str">
            <v>EV / EBITDA</v>
          </cell>
          <cell r="G19">
            <v>8.0875112682280168</v>
          </cell>
          <cell r="H19">
            <v>5.4277998674618955</v>
          </cell>
          <cell r="I19">
            <v>8.267149766652528</v>
          </cell>
          <cell r="J19">
            <v>7.5359543785988024</v>
          </cell>
          <cell r="K19">
            <v>6.3778751442147863</v>
          </cell>
          <cell r="L19">
            <v>5.5176136642769391</v>
          </cell>
          <cell r="M19">
            <v>4.7809698234336917</v>
          </cell>
        </row>
        <row r="20">
          <cell r="B20" t="str">
            <v>P/E Ratio (Cont. Ops.)</v>
          </cell>
          <cell r="G20">
            <v>15.551147177419354</v>
          </cell>
          <cell r="H20">
            <v>9.057176152727056</v>
          </cell>
          <cell r="I20">
            <v>15.831596396396403</v>
          </cell>
          <cell r="J20">
            <v>15.775110226807117</v>
          </cell>
          <cell r="K20">
            <v>12.76315945368774</v>
          </cell>
          <cell r="L20">
            <v>11.136637311832281</v>
          </cell>
          <cell r="M20">
            <v>10.027795841372653</v>
          </cell>
        </row>
        <row r="22">
          <cell r="B22" t="str">
            <v>52w High</v>
          </cell>
          <cell r="G22">
            <v>75.739999999999995</v>
          </cell>
          <cell r="H22">
            <v>71.350000000000009</v>
          </cell>
        </row>
        <row r="23">
          <cell r="B23" t="str">
            <v>52w Low</v>
          </cell>
          <cell r="G23">
            <v>44.97</v>
          </cell>
          <cell r="H23">
            <v>25.11</v>
          </cell>
        </row>
        <row r="24">
          <cell r="B24" t="str">
            <v>Current / Average Price</v>
          </cell>
          <cell r="G24">
            <v>60.354999999999997</v>
          </cell>
          <cell r="H24">
            <v>48.230000000000004</v>
          </cell>
          <cell r="I24">
            <v>70.180000000000007</v>
          </cell>
          <cell r="J24">
            <v>70.180000000000007</v>
          </cell>
          <cell r="K24">
            <v>70.180000000000007</v>
          </cell>
          <cell r="L24">
            <v>70.180000000000007</v>
          </cell>
          <cell r="M24">
            <v>70.180000000000007</v>
          </cell>
        </row>
        <row r="27">
          <cell r="A27" t="str">
            <v>DCF</v>
          </cell>
        </row>
        <row r="29">
          <cell r="G29">
            <v>2010</v>
          </cell>
          <cell r="H29">
            <v>2011</v>
          </cell>
          <cell r="I29">
            <v>2012</v>
          </cell>
          <cell r="J29">
            <v>2013</v>
          </cell>
          <cell r="K29">
            <v>2014</v>
          </cell>
        </row>
        <row r="31">
          <cell r="B31" t="str">
            <v>Revenue</v>
          </cell>
          <cell r="F31">
            <v>6685.5999999999995</v>
          </cell>
          <cell r="G31">
            <v>7146.35</v>
          </cell>
          <cell r="H31">
            <v>7769.9804999999997</v>
          </cell>
          <cell r="I31">
            <v>8381.1399149999997</v>
          </cell>
          <cell r="J31">
            <v>8800.1969107500008</v>
          </cell>
          <cell r="K31">
            <v>9064.202818072501</v>
          </cell>
        </row>
        <row r="32">
          <cell r="B32" t="str">
            <v>% Growth</v>
          </cell>
          <cell r="G32">
            <v>6.8916776355151477E-2</v>
          </cell>
          <cell r="H32">
            <v>8.7265597123006744E-2</v>
          </cell>
          <cell r="I32">
            <v>7.8656492767259945E-2</v>
          </cell>
          <cell r="J32">
            <v>0.05</v>
          </cell>
          <cell r="K32">
            <v>0.03</v>
          </cell>
        </row>
        <row r="34">
          <cell r="B34" t="str">
            <v>EBITDA</v>
          </cell>
          <cell r="G34">
            <v>1260.5123172403873</v>
          </cell>
          <cell r="H34">
            <v>1448.4708922403872</v>
          </cell>
          <cell r="I34">
            <v>1583.9233044903874</v>
          </cell>
          <cell r="J34">
            <v>1663.1194697149069</v>
          </cell>
          <cell r="K34">
            <v>1713.0130538063543</v>
          </cell>
        </row>
        <row r="35">
          <cell r="B35" t="str">
            <v>% Margin</v>
          </cell>
          <cell r="G35">
            <v>0.17638547191788637</v>
          </cell>
          <cell r="H35">
            <v>0.18641885809628317</v>
          </cell>
          <cell r="I35">
            <v>0.18898662002475203</v>
          </cell>
          <cell r="J35">
            <v>0.18898662002475203</v>
          </cell>
          <cell r="K35">
            <v>0.18898662002475203</v>
          </cell>
        </row>
        <row r="37">
          <cell r="B37" t="str">
            <v>EBIT</v>
          </cell>
          <cell r="G37">
            <v>978.36731724038748</v>
          </cell>
          <cell r="H37">
            <v>1148.3258922403872</v>
          </cell>
          <cell r="I37">
            <v>1265.7783044903874</v>
          </cell>
          <cell r="J37">
            <v>1329.067219714907</v>
          </cell>
          <cell r="K37">
            <v>1368.9392363063541</v>
          </cell>
        </row>
        <row r="38">
          <cell r="B38" t="str">
            <v>% Margin</v>
          </cell>
          <cell r="G38">
            <v>0.13690447812385168</v>
          </cell>
          <cell r="H38">
            <v>0.14779006102272552</v>
          </cell>
          <cell r="I38">
            <v>0.15102698646337864</v>
          </cell>
          <cell r="J38">
            <v>0.15102698646337864</v>
          </cell>
          <cell r="K38">
            <v>0.15102698646337864</v>
          </cell>
        </row>
        <row r="40">
          <cell r="B40" t="str">
            <v>Taxes</v>
          </cell>
          <cell r="G40">
            <v>-303.29386834452009</v>
          </cell>
          <cell r="H40">
            <v>-344.49776767211614</v>
          </cell>
          <cell r="I40">
            <v>-386.06238286956818</v>
          </cell>
          <cell r="J40">
            <v>-405.36550201304664</v>
          </cell>
          <cell r="K40">
            <v>-417.52646707343803</v>
          </cell>
        </row>
        <row r="41">
          <cell r="B41" t="str">
            <v>Tax-Effected EBIT</v>
          </cell>
          <cell r="G41">
            <v>675.07344889586739</v>
          </cell>
          <cell r="H41">
            <v>803.82812456827105</v>
          </cell>
          <cell r="I41">
            <v>879.71592162081924</v>
          </cell>
          <cell r="J41">
            <v>923.70171770186039</v>
          </cell>
          <cell r="K41">
            <v>951.41276923291616</v>
          </cell>
        </row>
        <row r="42">
          <cell r="B42" t="str">
            <v>Effective Tax Rate</v>
          </cell>
          <cell r="G42">
            <v>0.31</v>
          </cell>
          <cell r="H42">
            <v>0.3</v>
          </cell>
          <cell r="I42">
            <v>0.30499999999999999</v>
          </cell>
          <cell r="J42">
            <v>0.30499999999999999</v>
          </cell>
          <cell r="K42">
            <v>0.30499999999999999</v>
          </cell>
        </row>
        <row r="44">
          <cell r="B44" t="str">
            <v>Plus:  D&amp;A</v>
          </cell>
          <cell r="G44">
            <v>282.14499999999987</v>
          </cell>
          <cell r="H44">
            <v>300.14499999999998</v>
          </cell>
          <cell r="I44">
            <v>318.14499999999998</v>
          </cell>
          <cell r="J44">
            <v>334.05224999999996</v>
          </cell>
          <cell r="K44">
            <v>344.07381750000013</v>
          </cell>
        </row>
        <row r="45">
          <cell r="B45" t="str">
            <v>Less:  Capex</v>
          </cell>
          <cell r="G45">
            <v>-275</v>
          </cell>
          <cell r="H45">
            <v>-275</v>
          </cell>
          <cell r="I45">
            <v>-275</v>
          </cell>
          <cell r="J45">
            <v>-288.75000000000006</v>
          </cell>
          <cell r="K45">
            <v>-297.41250000000002</v>
          </cell>
        </row>
        <row r="46">
          <cell r="B46" t="str">
            <v>Less:  Change in WC</v>
          </cell>
          <cell r="G46">
            <v>64.856713025219335</v>
          </cell>
          <cell r="H46">
            <v>-130.43461654093767</v>
          </cell>
          <cell r="I46">
            <v>-61.327295758393291</v>
          </cell>
          <cell r="J46">
            <v>-41.905699575000114</v>
          </cell>
          <cell r="K46">
            <v>-26.400590732250024</v>
          </cell>
        </row>
        <row r="47">
          <cell r="B47" t="str">
            <v>Unlevered Free Cash Flow</v>
          </cell>
          <cell r="G47">
            <v>747.07516192108665</v>
          </cell>
          <cell r="H47">
            <v>698.53850802733336</v>
          </cell>
          <cell r="I47">
            <v>861.53362586242588</v>
          </cell>
          <cell r="J47">
            <v>927.09826812686015</v>
          </cell>
          <cell r="K47">
            <v>971.6734960006662</v>
          </cell>
        </row>
        <row r="49">
          <cell r="B49" t="str">
            <v>D&amp;A % of Sales</v>
          </cell>
          <cell r="G49">
            <v>3.9480993794034698E-2</v>
          </cell>
          <cell r="H49">
            <v>3.8628797073557646E-2</v>
          </cell>
          <cell r="I49">
            <v>3.7959633561373378E-2</v>
          </cell>
          <cell r="J49">
            <v>3.7959633561373378E-2</v>
          </cell>
          <cell r="K49">
            <v>3.7959633561373378E-2</v>
          </cell>
        </row>
        <row r="50">
          <cell r="B50" t="str">
            <v>CapEx % of Sales</v>
          </cell>
          <cell r="G50">
            <v>-3.8481182701658886E-2</v>
          </cell>
          <cell r="H50">
            <v>-3.5392624215723582E-2</v>
          </cell>
          <cell r="I50">
            <v>-3.2811765796657746E-2</v>
          </cell>
          <cell r="J50">
            <v>-3.2811765796657746E-2</v>
          </cell>
          <cell r="K50">
            <v>-3.2811765796657746E-2</v>
          </cell>
        </row>
        <row r="51">
          <cell r="B51" t="str">
            <v>Working Capital % Change in Rev</v>
          </cell>
          <cell r="H51">
            <v>0.20915368401792056</v>
          </cell>
          <cell r="I51">
            <v>0.10034582508786727</v>
          </cell>
          <cell r="J51">
            <v>0.1</v>
          </cell>
          <cell r="K51">
            <v>0.1</v>
          </cell>
        </row>
        <row r="53">
          <cell r="B53" t="str">
            <v>Discount Factor</v>
          </cell>
          <cell r="G53">
            <v>0.5</v>
          </cell>
          <cell r="H53">
            <v>1.5</v>
          </cell>
          <cell r="I53">
            <v>2.5</v>
          </cell>
          <cell r="J53">
            <v>3.5</v>
          </cell>
          <cell r="K53">
            <v>4.5</v>
          </cell>
        </row>
        <row r="54">
          <cell r="D54">
            <v>8.5000000000000006E-2</v>
          </cell>
          <cell r="G54">
            <v>717.21510669488327</v>
          </cell>
          <cell r="H54">
            <v>618.08150031271759</v>
          </cell>
          <cell r="I54">
            <v>702.58340454149902</v>
          </cell>
          <cell r="J54">
            <v>696.82173112349778</v>
          </cell>
          <cell r="K54">
            <v>673.11076301112791</v>
          </cell>
        </row>
        <row r="55">
          <cell r="D55">
            <v>9.0000000000000011E-2</v>
          </cell>
          <cell r="G55">
            <v>715.56822712386452</v>
          </cell>
          <cell r="H55">
            <v>613.83352681444592</v>
          </cell>
          <cell r="I55">
            <v>694.55395375213914</v>
          </cell>
          <cell r="J55">
            <v>685.69822775776697</v>
          </cell>
          <cell r="K55">
            <v>659.32738747012093</v>
          </cell>
        </row>
        <row r="56">
          <cell r="D56">
            <v>9.5000000000000015E-2</v>
          </cell>
          <cell r="G56">
            <v>713.93264046600086</v>
          </cell>
          <cell r="H56">
            <v>609.63399072252685</v>
          </cell>
          <cell r="I56">
            <v>686.65238804938633</v>
          </cell>
          <cell r="J56">
            <v>674.8019869147189</v>
          </cell>
          <cell r="K56">
            <v>645.88741206089378</v>
          </cell>
        </row>
        <row r="58">
          <cell r="F58" t="str">
            <v>PV of</v>
          </cell>
          <cell r="G58" t="str">
            <v>PV of Terminal Value at</v>
          </cell>
          <cell r="M58" t="str">
            <v>Implied Terminal</v>
          </cell>
        </row>
        <row r="59">
          <cell r="D59" t="str">
            <v>Discount</v>
          </cell>
          <cell r="F59" t="str">
            <v>Cash Flows</v>
          </cell>
          <cell r="G59" t="str">
            <v>Terminal EBITDA Multiple</v>
          </cell>
          <cell r="J59" t="str">
            <v>Enterprise Value</v>
          </cell>
          <cell r="M59" t="str">
            <v>Growth Rate</v>
          </cell>
        </row>
        <row r="60">
          <cell r="D60" t="str">
            <v>Rate</v>
          </cell>
          <cell r="F60" t="str">
            <v>'FY10-'14</v>
          </cell>
          <cell r="G60" t="str">
            <v>6.0x</v>
          </cell>
          <cell r="H60" t="str">
            <v>7.0x</v>
          </cell>
          <cell r="I60" t="str">
            <v>8.0x</v>
          </cell>
          <cell r="J60" t="str">
            <v>6.0x</v>
          </cell>
          <cell r="K60" t="str">
            <v>7.0x</v>
          </cell>
          <cell r="L60" t="str">
            <v>8.0x</v>
          </cell>
          <cell r="M60" t="str">
            <v>6.0x</v>
          </cell>
          <cell r="O60" t="str">
            <v>7.0x</v>
          </cell>
          <cell r="P60" t="str">
            <v>8.0x</v>
          </cell>
        </row>
        <row r="61">
          <cell r="D61">
            <v>8.5000000000000006E-2</v>
          </cell>
          <cell r="F61">
            <v>3407.8125056837257</v>
          </cell>
          <cell r="G61">
            <v>7119.9689717264473</v>
          </cell>
          <cell r="H61">
            <v>8306.6304670141872</v>
          </cell>
          <cell r="I61">
            <v>9493.2919623019297</v>
          </cell>
          <cell r="J61">
            <v>10527.781477410173</v>
          </cell>
          <cell r="K61">
            <v>11714.442972697912</v>
          </cell>
          <cell r="L61">
            <v>12901.104467985655</v>
          </cell>
          <cell r="M61">
            <v>-8.7145778980877858E-3</v>
          </cell>
          <cell r="O61">
            <v>3.6696855556254317E-3</v>
          </cell>
          <cell r="P61">
            <v>1.3162871607608416E-2</v>
          </cell>
        </row>
        <row r="62">
          <cell r="D62">
            <v>9.0000000000000011E-2</v>
          </cell>
          <cell r="F62">
            <v>3368.9813229183374</v>
          </cell>
          <cell r="G62">
            <v>6974.1724526831149</v>
          </cell>
          <cell r="H62">
            <v>8136.5345281303007</v>
          </cell>
          <cell r="I62">
            <v>9298.8966035774865</v>
          </cell>
          <cell r="J62">
            <v>10343.153775601451</v>
          </cell>
          <cell r="K62">
            <v>11505.515851048638</v>
          </cell>
          <cell r="L62">
            <v>12667.877926495825</v>
          </cell>
          <cell r="M62">
            <v>-4.1464423123646846E-3</v>
          </cell>
          <cell r="O62">
            <v>8.2948914798449108E-3</v>
          </cell>
          <cell r="P62">
            <v>1.7831824932989102E-2</v>
          </cell>
        </row>
        <row r="63">
          <cell r="D63">
            <v>9.5000000000000015E-2</v>
          </cell>
          <cell r="F63">
            <v>3330.9084182135266</v>
          </cell>
          <cell r="G63">
            <v>6832.0083198940492</v>
          </cell>
          <cell r="H63">
            <v>7970.6763732097234</v>
          </cell>
          <cell r="I63">
            <v>9109.3444265253984</v>
          </cell>
          <cell r="J63">
            <v>10162.916738107575</v>
          </cell>
          <cell r="K63">
            <v>11301.584791423251</v>
          </cell>
          <cell r="L63">
            <v>12440.252844738925</v>
          </cell>
          <cell r="M63">
            <v>4.216932733584155E-4</v>
          </cell>
          <cell r="O63">
            <v>1.2920097404064372E-2</v>
          </cell>
          <cell r="P63">
            <v>2.250077825836979E-2</v>
          </cell>
        </row>
        <row r="65">
          <cell r="D65" t="str">
            <v>Discount</v>
          </cell>
          <cell r="H65" t="str">
            <v>Equity Value</v>
          </cell>
          <cell r="K65" t="str">
            <v>Equity Value Per Share</v>
          </cell>
        </row>
        <row r="66">
          <cell r="D66" t="str">
            <v>Rate</v>
          </cell>
          <cell r="G66" t="str">
            <v>Net Debt</v>
          </cell>
          <cell r="H66" t="str">
            <v>6.0x</v>
          </cell>
          <cell r="I66" t="str">
            <v>7.0x</v>
          </cell>
          <cell r="J66" t="str">
            <v>8.0x</v>
          </cell>
          <cell r="K66" t="str">
            <v>6.0x</v>
          </cell>
          <cell r="L66" t="str">
            <v>7.0x</v>
          </cell>
          <cell r="M66" t="str">
            <v>8.0x</v>
          </cell>
        </row>
        <row r="67">
          <cell r="D67">
            <v>8.5000000000000006E-2</v>
          </cell>
          <cell r="G67">
            <v>-1200.6799999999996</v>
          </cell>
          <cell r="H67">
            <v>9327.1014774101732</v>
          </cell>
          <cell r="I67">
            <v>10513.762972697912</v>
          </cell>
          <cell r="J67">
            <v>11700.424467985655</v>
          </cell>
          <cell r="K67">
            <v>74.083411258222185</v>
          </cell>
          <cell r="L67">
            <v>83.508840132628364</v>
          </cell>
          <cell r="M67">
            <v>92.934269007034587</v>
          </cell>
        </row>
        <row r="68">
          <cell r="D68">
            <v>9.0000000000000011E-2</v>
          </cell>
          <cell r="G68">
            <v>-1200.6799999999996</v>
          </cell>
          <cell r="H68">
            <v>9142.4737756014511</v>
          </cell>
          <cell r="I68">
            <v>10304.835851048638</v>
          </cell>
          <cell r="J68">
            <v>11467.197926495825</v>
          </cell>
          <cell r="K68">
            <v>72.61694817793051</v>
          </cell>
          <cell r="L68">
            <v>81.849371334778695</v>
          </cell>
          <cell r="M68">
            <v>91.08179449162688</v>
          </cell>
        </row>
        <row r="69">
          <cell r="D69">
            <v>9.5000000000000015E-2</v>
          </cell>
          <cell r="G69">
            <v>-1200.6799999999996</v>
          </cell>
          <cell r="H69">
            <v>8962.2367381075746</v>
          </cell>
          <cell r="I69">
            <v>10100.904791423251</v>
          </cell>
          <cell r="J69">
            <v>11239.572844738925</v>
          </cell>
          <cell r="K69">
            <v>71.185359317772637</v>
          </cell>
          <cell r="L69">
            <v>80.22958531710286</v>
          </cell>
          <cell r="M69">
            <v>89.273811316433068</v>
          </cell>
        </row>
        <row r="71">
          <cell r="F71" t="str">
            <v>PV of</v>
          </cell>
          <cell r="G71" t="str">
            <v>PV of Terminal Value at</v>
          </cell>
          <cell r="M71" t="str">
            <v>Implied Terminal 2014E</v>
          </cell>
        </row>
        <row r="72">
          <cell r="D72" t="str">
            <v>Discount</v>
          </cell>
          <cell r="F72" t="str">
            <v>Cash Flows</v>
          </cell>
          <cell r="G72" t="str">
            <v>FCF Perpetual Growth Rate</v>
          </cell>
          <cell r="J72" t="str">
            <v>Enterprise Value</v>
          </cell>
          <cell r="M72" t="str">
            <v>EBITDA Multiple</v>
          </cell>
        </row>
        <row r="73">
          <cell r="D73" t="str">
            <v>Rate</v>
          </cell>
          <cell r="F73" t="str">
            <v>'FY10-'14</v>
          </cell>
          <cell r="G73" t="str">
            <v>1.5%</v>
          </cell>
          <cell r="H73" t="str">
            <v>2.0%</v>
          </cell>
          <cell r="I73" t="str">
            <v>2.5%</v>
          </cell>
          <cell r="J73" t="str">
            <v>1.5%</v>
          </cell>
          <cell r="K73" t="str">
            <v>2.0%</v>
          </cell>
          <cell r="L73" t="str">
            <v>2.5%</v>
          </cell>
          <cell r="M73" t="str">
            <v>1.5%</v>
          </cell>
          <cell r="O73" t="str">
            <v>2.0%</v>
          </cell>
          <cell r="P73" t="str">
            <v>2.5%</v>
          </cell>
        </row>
        <row r="74">
          <cell r="D74">
            <v>8.5000000000000006E-2</v>
          </cell>
          <cell r="F74">
            <v>3407.8125056837257</v>
          </cell>
          <cell r="G74">
            <v>9760.1060636613547</v>
          </cell>
          <cell r="H74">
            <v>10562.661204174623</v>
          </cell>
          <cell r="I74">
            <v>11498.975534773434</v>
          </cell>
          <cell r="J74">
            <v>13167.91856934508</v>
          </cell>
          <cell r="K74">
            <v>13970.473709858348</v>
          </cell>
          <cell r="L74">
            <v>14906.788040457159</v>
          </cell>
          <cell r="M74">
            <v>8.2248443236920963</v>
          </cell>
          <cell r="O74">
            <v>8.9011577826694328</v>
          </cell>
          <cell r="P74">
            <v>9.6901901514763207</v>
          </cell>
        </row>
        <row r="75">
          <cell r="D75">
            <v>9.0000000000000011E-2</v>
          </cell>
          <cell r="F75">
            <v>3368.9813229183374</v>
          </cell>
          <cell r="G75">
            <v>8922.8973104289671</v>
          </cell>
          <cell r="H75">
            <v>9607.3419317074749</v>
          </cell>
          <cell r="I75">
            <v>10397.085725490368</v>
          </cell>
          <cell r="J75">
            <v>12291.878633347304</v>
          </cell>
          <cell r="K75">
            <v>12976.323254625811</v>
          </cell>
          <cell r="L75">
            <v>13766.067048408706</v>
          </cell>
          <cell r="M75">
            <v>7.6765213687792899</v>
          </cell>
          <cell r="O75">
            <v>8.2653607981930435</v>
          </cell>
          <cell r="P75">
            <v>8.944790909055067</v>
          </cell>
        </row>
        <row r="76">
          <cell r="D76">
            <v>9.5000000000000015E-2</v>
          </cell>
          <cell r="F76">
            <v>3330.9084182135266</v>
          </cell>
          <cell r="G76">
            <v>8194.6965405225892</v>
          </cell>
          <cell r="H76">
            <v>8784.0688040281548</v>
          </cell>
          <cell r="I76">
            <v>9457.6371051773713</v>
          </cell>
          <cell r="J76">
            <v>11525.604958736116</v>
          </cell>
          <cell r="K76">
            <v>12114.977222241681</v>
          </cell>
          <cell r="L76">
            <v>12788.545523390898</v>
          </cell>
          <cell r="M76">
            <v>7.196738783230586</v>
          </cell>
          <cell r="O76">
            <v>7.7143367449801739</v>
          </cell>
          <cell r="P76">
            <v>8.3058772726939889</v>
          </cell>
        </row>
        <row r="78">
          <cell r="D78" t="str">
            <v>Discount</v>
          </cell>
          <cell r="H78" t="str">
            <v>Equity Value</v>
          </cell>
          <cell r="K78" t="str">
            <v>Equity Value Per Share</v>
          </cell>
        </row>
        <row r="79">
          <cell r="D79" t="str">
            <v>Rate</v>
          </cell>
          <cell r="G79" t="str">
            <v>Net Debt</v>
          </cell>
          <cell r="H79" t="str">
            <v>1.5%</v>
          </cell>
          <cell r="I79" t="str">
            <v>2.0%</v>
          </cell>
          <cell r="J79" t="str">
            <v>2.5%</v>
          </cell>
          <cell r="K79" t="str">
            <v>1.5%</v>
          </cell>
          <cell r="L79" t="str">
            <v>2.0%</v>
          </cell>
          <cell r="M79" t="str">
            <v>2.5%</v>
          </cell>
        </row>
        <row r="80">
          <cell r="D80">
            <v>8.5000000000000006E-2</v>
          </cell>
          <cell r="G80">
            <v>-1200.6799999999996</v>
          </cell>
          <cell r="H80">
            <v>11967.23856934508</v>
          </cell>
          <cell r="I80">
            <v>12769.793709858348</v>
          </cell>
          <cell r="J80">
            <v>13706.108040457158</v>
          </cell>
          <cell r="K80">
            <v>95.053523187808409</v>
          </cell>
          <cell r="L80">
            <v>101.42806759220292</v>
          </cell>
          <cell r="M80">
            <v>108.86503606399648</v>
          </cell>
        </row>
        <row r="81">
          <cell r="D81">
            <v>9.0000000000000011E-2</v>
          </cell>
          <cell r="G81">
            <v>-1200.6799999999996</v>
          </cell>
          <cell r="H81">
            <v>11091.198633347303</v>
          </cell>
          <cell r="I81">
            <v>11775.643254625811</v>
          </cell>
          <cell r="J81">
            <v>12565.387048408706</v>
          </cell>
          <cell r="K81">
            <v>88.095302885999232</v>
          </cell>
          <cell r="L81">
            <v>93.531717669784044</v>
          </cell>
          <cell r="M81">
            <v>99.804503958766517</v>
          </cell>
        </row>
        <row r="82">
          <cell r="D82">
            <v>9.5000000000000015E-2</v>
          </cell>
          <cell r="G82">
            <v>-1200.6799999999996</v>
          </cell>
          <cell r="H82">
            <v>10324.924958736116</v>
          </cell>
          <cell r="I82">
            <v>10914.297222241681</v>
          </cell>
          <cell r="J82">
            <v>11587.865523390898</v>
          </cell>
          <cell r="K82">
            <v>82.00893533547351</v>
          </cell>
          <cell r="L82">
            <v>86.690208278329479</v>
          </cell>
          <cell r="M82">
            <v>92.040234498736268</v>
          </cell>
        </row>
        <row r="84">
          <cell r="D84" t="str">
            <v>Terminal Multiple</v>
          </cell>
          <cell r="G84">
            <v>6</v>
          </cell>
          <cell r="H84">
            <v>7</v>
          </cell>
          <cell r="I84">
            <v>8</v>
          </cell>
        </row>
        <row r="85">
          <cell r="D85" t="str">
            <v>Terminal Growth Rate</v>
          </cell>
          <cell r="G85">
            <v>1.4999999999999999E-2</v>
          </cell>
          <cell r="H85">
            <v>0.02</v>
          </cell>
          <cell r="I85">
            <v>2.5000000000000001E-2</v>
          </cell>
        </row>
        <row r="86">
          <cell r="D86" t="str">
            <v>Sharecount</v>
          </cell>
          <cell r="G86">
            <v>125.9</v>
          </cell>
        </row>
        <row r="87">
          <cell r="D87" t="str">
            <v>Implied Terminal Value</v>
          </cell>
          <cell r="G87">
            <v>10278.078322838126</v>
          </cell>
          <cell r="H87">
            <v>11991.091376644479</v>
          </cell>
          <cell r="I87">
            <v>13704.104430450834</v>
          </cell>
        </row>
        <row r="88">
          <cell r="D88" t="str">
            <v>Mult. Of Revenue</v>
          </cell>
          <cell r="G88">
            <v>1.1339197201485123</v>
          </cell>
          <cell r="H88">
            <v>1.3229063401732641</v>
          </cell>
          <cell r="I88">
            <v>1.5118929601980162</v>
          </cell>
        </row>
        <row r="92">
          <cell r="D92" t="str">
            <v>Discount Rate</v>
          </cell>
          <cell r="F92" t="str">
            <v>Comments</v>
          </cell>
        </row>
        <row r="94">
          <cell r="D94" t="str">
            <v>Cost of Debt</v>
          </cell>
          <cell r="E94">
            <v>7.0000000000000007E-2</v>
          </cell>
        </row>
        <row r="95">
          <cell r="D95" t="str">
            <v>Corporate Tax Rate</v>
          </cell>
          <cell r="E95">
            <v>0.315</v>
          </cell>
        </row>
        <row r="96">
          <cell r="D96" t="str">
            <v>Beta</v>
          </cell>
          <cell r="E96">
            <v>1.24</v>
          </cell>
        </row>
        <row r="97">
          <cell r="D97" t="str">
            <v>E(RM)-RF</v>
          </cell>
          <cell r="E97">
            <v>0.05</v>
          </cell>
        </row>
        <row r="98">
          <cell r="D98" t="str">
            <v>RF</v>
          </cell>
          <cell r="E98">
            <v>3.6799999999999999E-2</v>
          </cell>
        </row>
        <row r="99">
          <cell r="D99" t="str">
            <v>Cost of Equity</v>
          </cell>
          <cell r="E99">
            <v>9.8799999999999999E-2</v>
          </cell>
        </row>
        <row r="100">
          <cell r="D100" t="str">
            <v>Target Debt ratio</v>
          </cell>
          <cell r="E100">
            <v>0.3</v>
          </cell>
        </row>
        <row r="101">
          <cell r="D101" t="str">
            <v>Target Equity ratio</v>
          </cell>
          <cell r="E101">
            <v>0.7</v>
          </cell>
        </row>
        <row r="103">
          <cell r="D103" t="str">
            <v>Cost of Capital</v>
          </cell>
          <cell r="E103">
            <v>8.3545000000000008E-2</v>
          </cell>
        </row>
      </sheetData>
      <sheetData sheetId="16"/>
      <sheetData sheetId="17"/>
      <sheetData sheetId="18"/>
      <sheetData sheetId="19">
        <row r="1">
          <cell r="A1" t="str">
            <v>RRS-5.13</v>
          </cell>
          <cell r="D1" t="str">
            <v>RISK-REWARD SNAPSHOT
(You must upload your model to ModelWare to capture changes to your scenario values and NOT delete this worksheet.)</v>
          </cell>
          <cell r="I1" t="str">
            <v>Select Language</v>
          </cell>
          <cell r="N1" t="str">
            <v>http://ChartGallery</v>
          </cell>
          <cell r="O1" t="str">
            <v>http://ChartGallery</v>
          </cell>
          <cell r="AA1" t="str">
            <v>ElementName</v>
          </cell>
          <cell r="AB1" t="str">
            <v>ScaleOverride</v>
          </cell>
          <cell r="AC1" t="str">
            <v>UnitOverride</v>
          </cell>
          <cell r="AD1" t="str">
            <v>ReverseSign</v>
          </cell>
          <cell r="AE1" t="str">
            <v>IsDrivingAssumption</v>
          </cell>
          <cell r="AF1" t="str">
            <v>SegmentID</v>
          </cell>
        </row>
        <row r="2">
          <cell r="B2" t="str">
            <v>Instructions:</v>
          </cell>
          <cell r="G2" t="str">
            <v>Is refreshing chart data too slow? Read below to improve performance.</v>
          </cell>
          <cell r="AQ2" t="str">
            <v>Refer to cell G2 to learn about improving chart refresh performance</v>
          </cell>
        </row>
        <row r="4">
          <cell r="B4" t="str">
            <v>Ticker:</v>
          </cell>
          <cell r="C4" t="str">
            <v>GR.N</v>
          </cell>
          <cell r="E4" t="str">
            <v>Company Name:</v>
          </cell>
          <cell r="F4" t="str">
            <v>Goodrich Corp</v>
          </cell>
          <cell r="I4" t="str">
            <v>Sedol:</v>
          </cell>
          <cell r="J4">
            <v>2377809</v>
          </cell>
          <cell r="K4">
            <v>2377809</v>
          </cell>
        </row>
        <row r="5">
          <cell r="B5" t="str">
            <v xml:space="preserve">Chart Data Inputs (decimal formats will reflect on chart): </v>
          </cell>
          <cell r="H5" t="str">
            <v>Risk Reward Chart Gallery 
(Click on the below image for other Risk-Reward Charts)</v>
          </cell>
        </row>
        <row r="6">
          <cell r="B6" t="str">
            <v>Bull Case</v>
          </cell>
          <cell r="C6">
            <v>105</v>
          </cell>
          <cell r="AA6" t="str">
            <v>mstag:bullCaseValueEstimatePerShare</v>
          </cell>
          <cell r="AB6">
            <v>0</v>
          </cell>
          <cell r="AC6" t="str">
            <v>ISO4217:USD</v>
          </cell>
          <cell r="AD6" t="b">
            <v>0</v>
          </cell>
        </row>
        <row r="7">
          <cell r="B7" t="str">
            <v>Base Case</v>
          </cell>
          <cell r="C7">
            <v>90</v>
          </cell>
          <cell r="AA7" t="str">
            <v>mstag:met_12monthIntrinsicValueEstimate</v>
          </cell>
          <cell r="AB7">
            <v>0</v>
          </cell>
          <cell r="AC7" t="str">
            <v>ISO4217:USD</v>
          </cell>
          <cell r="AD7" t="b">
            <v>0</v>
          </cell>
        </row>
        <row r="8">
          <cell r="B8" t="str">
            <v>Bear Case</v>
          </cell>
          <cell r="C8">
            <v>55</v>
          </cell>
          <cell r="K8" t="str">
            <v>日本語</v>
          </cell>
          <cell r="M8" t="str">
            <v>-</v>
          </cell>
          <cell r="AA8" t="str">
            <v>mstag:bearCaseValueEstimatePerShare</v>
          </cell>
          <cell r="AB8">
            <v>0</v>
          </cell>
          <cell r="AC8" t="str">
            <v>ISO4217:USD</v>
          </cell>
          <cell r="AD8" t="b">
            <v>0</v>
          </cell>
        </row>
        <row r="9">
          <cell r="B9" t="str">
            <v>Extreme Upside</v>
          </cell>
          <cell r="K9" t="str">
            <v>English</v>
          </cell>
          <cell r="L9" t="str">
            <v>年</v>
          </cell>
          <cell r="M9" t="str">
            <v>月</v>
          </cell>
          <cell r="N9" t="str">
            <v>-</v>
          </cell>
          <cell r="AA9" t="str">
            <v>mstag:extremeBullCaseValueEstimatePerShare</v>
          </cell>
          <cell r="AB9">
            <v>0</v>
          </cell>
          <cell r="AC9" t="str">
            <v>ISO4217:USD</v>
          </cell>
          <cell r="AD9" t="b">
            <v>0</v>
          </cell>
          <cell r="AH9" t="str">
            <v>Other Refresh Chart Option</v>
          </cell>
        </row>
        <row r="10">
          <cell r="B10" t="str">
            <v>Extreme Downside</v>
          </cell>
          <cell r="O10" t="b">
            <v>0</v>
          </cell>
          <cell r="AA10" t="str">
            <v>mstag:extremeBearCaseValueEstimatePerShare</v>
          </cell>
          <cell r="AB10">
            <v>0</v>
          </cell>
          <cell r="AC10" t="str">
            <v>ISO4217:USD</v>
          </cell>
          <cell r="AD10" t="b">
            <v>0</v>
          </cell>
        </row>
        <row r="11">
          <cell r="B11" t="str">
            <v>Price Target</v>
          </cell>
          <cell r="O11" t="b">
            <v>1</v>
          </cell>
        </row>
        <row r="12">
          <cell r="B12" t="str">
            <v>Currency</v>
          </cell>
          <cell r="C12" t="str">
            <v>USD American Dollar</v>
          </cell>
          <cell r="F12">
            <v>0</v>
          </cell>
        </row>
        <row r="13">
          <cell r="B13" t="str">
            <v>Currency Symbol</v>
          </cell>
          <cell r="C13" t="str">
            <v>$</v>
          </cell>
          <cell r="F13">
            <v>0</v>
          </cell>
          <cell r="I13" t="str">
            <v xml:space="preserve">WARNINGDONOTEDIT_RRS4RL~GR.N~ </v>
          </cell>
        </row>
        <row r="14">
          <cell r="B14" t="str">
            <v>"Refresh RR Chart" updates chart dates below, as of today. If your PT time horizon is &gt; 1yr. or price history is &lt; 2yrs., adjust Start/End dates and select "Apply Manually Adjusted Dates" option.</v>
          </cell>
        </row>
        <row r="15">
          <cell r="B15" t="str">
            <v>Start Date (-2 Yrs)</v>
          </cell>
          <cell r="C15">
            <v>39547</v>
          </cell>
          <cell r="E15" t="str">
            <v>NA</v>
          </cell>
          <cell r="F15" t="str">
            <v>USD</v>
          </cell>
        </row>
        <row r="16">
          <cell r="B16" t="str">
            <v>End Date (+1 Yr)</v>
          </cell>
          <cell r="C16">
            <v>40642</v>
          </cell>
          <cell r="E16" t="str">
            <v>USD</v>
          </cell>
          <cell r="F16" t="str">
            <v>USD</v>
          </cell>
        </row>
        <row r="17">
          <cell r="B17">
            <v>71.03</v>
          </cell>
          <cell r="C17" t="str">
            <v>Hand entert Share Price</v>
          </cell>
          <cell r="H17" t="str">
            <v>2007-FY</v>
          </cell>
        </row>
        <row r="18">
          <cell r="B18" t="b">
            <v>0</v>
          </cell>
          <cell r="C18">
            <v>40277</v>
          </cell>
        </row>
        <row r="19">
          <cell r="C19" t="str">
            <v>2009-FY</v>
          </cell>
        </row>
        <row r="34">
          <cell r="A34" t="str">
            <v>BullCase</v>
          </cell>
        </row>
        <row r="52">
          <cell r="A52">
            <v>40642</v>
          </cell>
          <cell r="B52">
            <v>758</v>
          </cell>
          <cell r="N52" t="str">
            <v>Apr-11</v>
          </cell>
          <cell r="R52" t="b">
            <v>1</v>
          </cell>
        </row>
        <row r="53">
          <cell r="A53" t="str">
            <v>Header</v>
          </cell>
          <cell r="B53" t="str">
            <v>Date</v>
          </cell>
          <cell r="C53" t="str">
            <v>Past/Future</v>
          </cell>
          <cell r="D53" t="str">
            <v>Historical Stock Performance</v>
          </cell>
          <cell r="E53" t="str">
            <v>Extreme Upside Cone</v>
          </cell>
          <cell r="F53" t="str">
            <v>Blue Cone</v>
          </cell>
          <cell r="G53" t="str">
            <v>Extreme Downside Cone</v>
          </cell>
          <cell r="H53" t="str">
            <v>White Mask</v>
          </cell>
          <cell r="I53" t="str">
            <v>Current Stock Price</v>
          </cell>
          <cell r="J53" t="str">
            <v>Extreme Upside Price(Apr-11)</v>
          </cell>
          <cell r="K53" t="str">
            <v>Bull Price(Apr-11)</v>
          </cell>
          <cell r="L53" t="str">
            <v>Bear Price(Apr-11)</v>
          </cell>
          <cell r="M53" t="str">
            <v>Extreme Downside Price(Apr-11)</v>
          </cell>
          <cell r="N53" t="str">
            <v>Base Case  (Apr-11)</v>
          </cell>
          <cell r="O53" t="str">
            <v>Gray Line</v>
          </cell>
          <cell r="P53" t="str">
            <v>Prices</v>
          </cell>
          <cell r="Q53" t="str">
            <v>Volume</v>
          </cell>
          <cell r="R53" t="str">
            <v>Base Case(Apr-11)</v>
          </cell>
          <cell r="S53" t="str">
            <v>Header Row</v>
          </cell>
          <cell r="T53">
            <v>53</v>
          </cell>
          <cell r="U53">
            <v>0</v>
          </cell>
          <cell r="AI53" t="str">
            <v xml:space="preserve">Display </v>
          </cell>
          <cell r="AJ53" t="str">
            <v>Symbol</v>
          </cell>
          <cell r="AK53" t="str">
            <v>Unit</v>
          </cell>
          <cell r="AL53" t="str">
            <v>FactsetUnit</v>
          </cell>
          <cell r="AM53" t="str">
            <v>Right alligned</v>
          </cell>
          <cell r="AN53" t="str">
            <v>Display 2 Decimal Places for Currency Amount</v>
          </cell>
        </row>
        <row r="54">
          <cell r="A54">
            <v>39547</v>
          </cell>
          <cell r="B54">
            <v>39547</v>
          </cell>
          <cell r="C54" t="str">
            <v>Past</v>
          </cell>
          <cell r="D54">
            <v>59.28</v>
          </cell>
          <cell r="E54" t="e">
            <v>#N/A</v>
          </cell>
          <cell r="F54" t="e">
            <v>#N/A</v>
          </cell>
          <cell r="G54" t="e">
            <v>#N/A</v>
          </cell>
          <cell r="H54" t="e">
            <v>#N/A</v>
          </cell>
          <cell r="I54" t="e">
            <v>#N/A</v>
          </cell>
          <cell r="J54" t="e">
            <v>#N/A</v>
          </cell>
          <cell r="K54" t="e">
            <v>#N/A</v>
          </cell>
          <cell r="L54" t="e">
            <v>#N/A</v>
          </cell>
          <cell r="M54" t="e">
            <v>#N/A</v>
          </cell>
          <cell r="N54" t="e">
            <v>#N/A</v>
          </cell>
          <cell r="O54" t="e">
            <v>#N/A</v>
          </cell>
          <cell r="P54">
            <v>59.28</v>
          </cell>
          <cell r="Q54">
            <v>1.614668</v>
          </cell>
          <cell r="R54" t="e">
            <v>#N/A</v>
          </cell>
          <cell r="S54" t="str">
            <v>Count</v>
          </cell>
          <cell r="T54">
            <v>758</v>
          </cell>
          <cell r="U54">
            <v>105</v>
          </cell>
          <cell r="AI54" t="str">
            <v>AED UAE Dirham</v>
          </cell>
          <cell r="AJ54" t="str">
            <v>AED</v>
          </cell>
          <cell r="AK54" t="str">
            <v>AED</v>
          </cell>
          <cell r="AL54" t="str">
            <v>AED</v>
          </cell>
          <cell r="AM54">
            <v>0</v>
          </cell>
          <cell r="AN54">
            <v>2</v>
          </cell>
        </row>
        <row r="55">
          <cell r="A55">
            <v>39548</v>
          </cell>
          <cell r="B55">
            <v>39548</v>
          </cell>
          <cell r="C55" t="str">
            <v>Past</v>
          </cell>
          <cell r="D55">
            <v>59.77</v>
          </cell>
          <cell r="E55" t="e">
            <v>#N/A</v>
          </cell>
          <cell r="F55" t="e">
            <v>#N/A</v>
          </cell>
          <cell r="G55" t="e">
            <v>#N/A</v>
          </cell>
          <cell r="H55" t="e">
            <v>#N/A</v>
          </cell>
          <cell r="I55" t="e">
            <v>#N/A</v>
          </cell>
          <cell r="J55" t="e">
            <v>#N/A</v>
          </cell>
          <cell r="K55" t="e">
            <v>#N/A</v>
          </cell>
          <cell r="L55" t="e">
            <v>#N/A</v>
          </cell>
          <cell r="M55" t="e">
            <v>#N/A</v>
          </cell>
          <cell r="N55" t="e">
            <v>#N/A</v>
          </cell>
          <cell r="O55" t="e">
            <v>#N/A</v>
          </cell>
          <cell r="P55">
            <v>59.77</v>
          </cell>
          <cell r="Q55">
            <v>1.5319039999999999</v>
          </cell>
          <cell r="R55" t="e">
            <v>#N/A</v>
          </cell>
          <cell r="S55" t="str">
            <v>Curr Price</v>
          </cell>
          <cell r="T55">
            <v>71.03</v>
          </cell>
          <cell r="U55">
            <v>505</v>
          </cell>
          <cell r="V55">
            <v>36.378945000000002</v>
          </cell>
          <cell r="AI55" t="str">
            <v>ARS Argentinian Pesos</v>
          </cell>
          <cell r="AJ55" t="str">
            <v>Ar$</v>
          </cell>
          <cell r="AK55" t="str">
            <v>ARS</v>
          </cell>
          <cell r="AL55" t="str">
            <v>ARS</v>
          </cell>
          <cell r="AM55">
            <v>0</v>
          </cell>
          <cell r="AN55">
            <v>2</v>
          </cell>
        </row>
        <row r="56">
          <cell r="A56">
            <v>39549</v>
          </cell>
          <cell r="B56">
            <v>39549</v>
          </cell>
          <cell r="C56" t="str">
            <v>Past</v>
          </cell>
          <cell r="D56">
            <v>58.39</v>
          </cell>
          <cell r="E56" t="e">
            <v>#N/A</v>
          </cell>
          <cell r="F56" t="e">
            <v>#N/A</v>
          </cell>
          <cell r="G56" t="e">
            <v>#N/A</v>
          </cell>
          <cell r="H56" t="e">
            <v>#N/A</v>
          </cell>
          <cell r="I56" t="e">
            <v>#N/A</v>
          </cell>
          <cell r="J56" t="e">
            <v>#N/A</v>
          </cell>
          <cell r="K56" t="e">
            <v>#N/A</v>
          </cell>
          <cell r="L56" t="e">
            <v>#N/A</v>
          </cell>
          <cell r="M56" t="e">
            <v>#N/A</v>
          </cell>
          <cell r="N56" t="e">
            <v>#N/A</v>
          </cell>
          <cell r="O56" t="e">
            <v>#N/A</v>
          </cell>
          <cell r="P56">
            <v>58.39</v>
          </cell>
          <cell r="Q56">
            <v>1.363524</v>
          </cell>
          <cell r="R56" t="e">
            <v>#N/A</v>
          </cell>
          <cell r="S56" t="str">
            <v>Curr Price Date</v>
          </cell>
          <cell r="T56">
            <v>40277</v>
          </cell>
          <cell r="U56">
            <v>40276.740370370368</v>
          </cell>
          <cell r="AI56" t="str">
            <v>AUD Australian Dollar</v>
          </cell>
          <cell r="AJ56" t="str">
            <v>A$</v>
          </cell>
          <cell r="AK56" t="str">
            <v>AUD</v>
          </cell>
          <cell r="AL56" t="str">
            <v>AUD</v>
          </cell>
          <cell r="AM56">
            <v>0</v>
          </cell>
          <cell r="AN56">
            <v>2</v>
          </cell>
        </row>
        <row r="57">
          <cell r="A57">
            <v>39552</v>
          </cell>
          <cell r="B57">
            <v>39552</v>
          </cell>
          <cell r="C57" t="str">
            <v>Past</v>
          </cell>
          <cell r="D57">
            <v>58.5</v>
          </cell>
          <cell r="E57" t="e">
            <v>#N/A</v>
          </cell>
          <cell r="F57" t="e">
            <v>#N/A</v>
          </cell>
          <cell r="G57" t="e">
            <v>#N/A</v>
          </cell>
          <cell r="H57" t="e">
            <v>#N/A</v>
          </cell>
          <cell r="I57" t="e">
            <v>#N/A</v>
          </cell>
          <cell r="J57" t="e">
            <v>#N/A</v>
          </cell>
          <cell r="K57" t="e">
            <v>#N/A</v>
          </cell>
          <cell r="L57" t="e">
            <v>#N/A</v>
          </cell>
          <cell r="M57" t="e">
            <v>#N/A</v>
          </cell>
          <cell r="N57" t="e">
            <v>#N/A</v>
          </cell>
          <cell r="O57" t="e">
            <v>#N/A</v>
          </cell>
          <cell r="P57">
            <v>58.5</v>
          </cell>
          <cell r="Q57">
            <v>1.358312</v>
          </cell>
          <cell r="R57" t="e">
            <v>#N/A</v>
          </cell>
          <cell r="S57" t="str">
            <v>Bull-Curr</v>
          </cell>
          <cell r="T57">
            <v>33.97</v>
          </cell>
          <cell r="U57">
            <v>0.13374015748031495</v>
          </cell>
          <cell r="AI57" t="str">
            <v>BGL Bulgarian levs</v>
          </cell>
          <cell r="AJ57" t="str">
            <v>BGL</v>
          </cell>
          <cell r="AK57" t="str">
            <v>BGL</v>
          </cell>
          <cell r="AL57" t="str">
            <v>BGN</v>
          </cell>
          <cell r="AM57">
            <v>0</v>
          </cell>
          <cell r="AN57">
            <v>2</v>
          </cell>
        </row>
        <row r="58">
          <cell r="A58">
            <v>39553</v>
          </cell>
          <cell r="B58">
            <v>39553</v>
          </cell>
          <cell r="C58" t="str">
            <v>Past</v>
          </cell>
          <cell r="D58">
            <v>58.66</v>
          </cell>
          <cell r="E58" t="e">
            <v>#N/A</v>
          </cell>
          <cell r="F58" t="e">
            <v>#N/A</v>
          </cell>
          <cell r="G58" t="e">
            <v>#N/A</v>
          </cell>
          <cell r="H58" t="e">
            <v>#N/A</v>
          </cell>
          <cell r="I58" t="e">
            <v>#N/A</v>
          </cell>
          <cell r="J58" t="e">
            <v>#N/A</v>
          </cell>
          <cell r="K58" t="e">
            <v>#N/A</v>
          </cell>
          <cell r="L58" t="e">
            <v>#N/A</v>
          </cell>
          <cell r="M58" t="e">
            <v>#N/A</v>
          </cell>
          <cell r="N58" t="e">
            <v>#N/A</v>
          </cell>
          <cell r="O58" t="e">
            <v>#N/A</v>
          </cell>
          <cell r="P58">
            <v>58.66</v>
          </cell>
          <cell r="Q58">
            <v>2.153565</v>
          </cell>
          <cell r="R58" t="e">
            <v>#N/A</v>
          </cell>
          <cell r="S58" t="str">
            <v>Upp-Cur</v>
          </cell>
          <cell r="T58">
            <v>-71.03</v>
          </cell>
          <cell r="U58">
            <v>-0.27964566929133861</v>
          </cell>
          <cell r="AI58" t="str">
            <v>BMD Bermudan Dollars</v>
          </cell>
          <cell r="AJ58" t="str">
            <v>BMD</v>
          </cell>
          <cell r="AK58" t="str">
            <v>BMD</v>
          </cell>
          <cell r="AL58" t="str">
            <v>BMD</v>
          </cell>
          <cell r="AM58">
            <v>0</v>
          </cell>
          <cell r="AN58">
            <v>2</v>
          </cell>
        </row>
        <row r="59">
          <cell r="A59">
            <v>39554</v>
          </cell>
          <cell r="B59">
            <v>39554</v>
          </cell>
          <cell r="C59" t="str">
            <v>Past</v>
          </cell>
          <cell r="D59">
            <v>60.33</v>
          </cell>
          <cell r="E59" t="e">
            <v>#N/A</v>
          </cell>
          <cell r="F59" t="e">
            <v>#N/A</v>
          </cell>
          <cell r="G59" t="e">
            <v>#N/A</v>
          </cell>
          <cell r="H59" t="e">
            <v>#N/A</v>
          </cell>
          <cell r="I59" t="e">
            <v>#N/A</v>
          </cell>
          <cell r="J59" t="e">
            <v>#N/A</v>
          </cell>
          <cell r="K59" t="e">
            <v>#N/A</v>
          </cell>
          <cell r="L59" t="e">
            <v>#N/A</v>
          </cell>
          <cell r="M59" t="e">
            <v>#N/A</v>
          </cell>
          <cell r="N59" t="e">
            <v>#N/A</v>
          </cell>
          <cell r="O59" t="e">
            <v>#N/A</v>
          </cell>
          <cell r="P59">
            <v>60.33</v>
          </cell>
          <cell r="Q59">
            <v>1.2908200000000001</v>
          </cell>
          <cell r="R59" t="e">
            <v>#N/A</v>
          </cell>
          <cell r="S59" t="str">
            <v>Curr-Bear</v>
          </cell>
          <cell r="T59">
            <v>16.03</v>
          </cell>
          <cell r="U59">
            <v>6.3110236220472446E-2</v>
          </cell>
          <cell r="AI59" t="str">
            <v>BRL Brazilian Real</v>
          </cell>
          <cell r="AJ59" t="str">
            <v>R$</v>
          </cell>
          <cell r="AK59" t="str">
            <v>BRL</v>
          </cell>
          <cell r="AL59" t="str">
            <v>BRL</v>
          </cell>
          <cell r="AM59">
            <v>0</v>
          </cell>
          <cell r="AN59">
            <v>2</v>
          </cell>
        </row>
        <row r="60">
          <cell r="A60">
            <v>39555</v>
          </cell>
          <cell r="B60">
            <v>39555</v>
          </cell>
          <cell r="C60" t="str">
            <v>Past</v>
          </cell>
          <cell r="D60">
            <v>59.59</v>
          </cell>
          <cell r="E60" t="e">
            <v>#N/A</v>
          </cell>
          <cell r="F60" t="e">
            <v>#N/A</v>
          </cell>
          <cell r="G60" t="e">
            <v>#N/A</v>
          </cell>
          <cell r="H60" t="e">
            <v>#N/A</v>
          </cell>
          <cell r="I60" t="e">
            <v>#N/A</v>
          </cell>
          <cell r="J60" t="e">
            <v>#N/A</v>
          </cell>
          <cell r="K60" t="e">
            <v>#N/A</v>
          </cell>
          <cell r="L60" t="e">
            <v>#N/A</v>
          </cell>
          <cell r="M60" t="e">
            <v>#N/A</v>
          </cell>
          <cell r="N60" t="e">
            <v>#N/A</v>
          </cell>
          <cell r="O60" t="e">
            <v>#N/A</v>
          </cell>
          <cell r="P60">
            <v>59.59</v>
          </cell>
          <cell r="Q60">
            <v>1.2312619999999999</v>
          </cell>
          <cell r="R60" t="e">
            <v>#N/A</v>
          </cell>
          <cell r="S60" t="str">
            <v>Curr-Lower</v>
          </cell>
          <cell r="T60">
            <v>71.03</v>
          </cell>
          <cell r="U60">
            <v>0.27964566929133861</v>
          </cell>
          <cell r="AI60" t="str">
            <v>CAD Canadian Dollars</v>
          </cell>
          <cell r="AJ60" t="str">
            <v>C$</v>
          </cell>
          <cell r="AK60" t="str">
            <v>CAD</v>
          </cell>
          <cell r="AL60" t="str">
            <v>CAD</v>
          </cell>
          <cell r="AM60">
            <v>0</v>
          </cell>
          <cell r="AN60">
            <v>2</v>
          </cell>
        </row>
        <row r="61">
          <cell r="A61">
            <v>39556</v>
          </cell>
          <cell r="B61">
            <v>39556</v>
          </cell>
          <cell r="C61" t="str">
            <v>Past</v>
          </cell>
          <cell r="D61">
            <v>61.75</v>
          </cell>
          <cell r="E61" t="e">
            <v>#N/A</v>
          </cell>
          <cell r="F61" t="e">
            <v>#N/A</v>
          </cell>
          <cell r="G61" t="e">
            <v>#N/A</v>
          </cell>
          <cell r="H61" t="e">
            <v>#N/A</v>
          </cell>
          <cell r="I61" t="e">
            <v>#N/A</v>
          </cell>
          <cell r="J61" t="e">
            <v>#N/A</v>
          </cell>
          <cell r="K61" t="e">
            <v>#N/A</v>
          </cell>
          <cell r="L61" t="e">
            <v>#N/A</v>
          </cell>
          <cell r="M61" t="e">
            <v>#N/A</v>
          </cell>
          <cell r="N61" t="e">
            <v>#N/A</v>
          </cell>
          <cell r="O61" t="e">
            <v>#N/A</v>
          </cell>
          <cell r="P61">
            <v>61.75</v>
          </cell>
          <cell r="Q61">
            <v>1.858247</v>
          </cell>
          <cell r="R61" t="e">
            <v>#N/A</v>
          </cell>
          <cell r="S61" t="str">
            <v>PriceFoundAt</v>
          </cell>
          <cell r="T61">
            <v>505</v>
          </cell>
          <cell r="AI61" t="str">
            <v>CHF Swiss Francs</v>
          </cell>
          <cell r="AJ61" t="str">
            <v>SFr</v>
          </cell>
          <cell r="AK61" t="str">
            <v>CHF</v>
          </cell>
          <cell r="AL61" t="str">
            <v>CHF</v>
          </cell>
          <cell r="AM61">
            <v>0</v>
          </cell>
          <cell r="AN61">
            <v>2</v>
          </cell>
        </row>
        <row r="62">
          <cell r="A62">
            <v>39559</v>
          </cell>
          <cell r="B62">
            <v>39559</v>
          </cell>
          <cell r="C62" t="str">
            <v>Past</v>
          </cell>
          <cell r="D62">
            <v>60.66</v>
          </cell>
          <cell r="E62" t="e">
            <v>#N/A</v>
          </cell>
          <cell r="F62" t="e">
            <v>#N/A</v>
          </cell>
          <cell r="G62" t="e">
            <v>#N/A</v>
          </cell>
          <cell r="H62" t="e">
            <v>#N/A</v>
          </cell>
          <cell r="I62" t="e">
            <v>#N/A</v>
          </cell>
          <cell r="J62" t="e">
            <v>#N/A</v>
          </cell>
          <cell r="K62" t="e">
            <v>#N/A</v>
          </cell>
          <cell r="L62" t="e">
            <v>#N/A</v>
          </cell>
          <cell r="M62" t="e">
            <v>#N/A</v>
          </cell>
          <cell r="N62" t="e">
            <v>#N/A</v>
          </cell>
          <cell r="O62" t="e">
            <v>#N/A</v>
          </cell>
          <cell r="P62">
            <v>60.66</v>
          </cell>
          <cell r="Q62">
            <v>1.0490729999999999</v>
          </cell>
          <cell r="R62" t="e">
            <v>#N/A</v>
          </cell>
          <cell r="S62" t="str">
            <v>Starting Point</v>
          </cell>
          <cell r="T62">
            <v>558</v>
          </cell>
          <cell r="AI62" t="str">
            <v>CLP Chilean Pesos</v>
          </cell>
          <cell r="AJ62" t="str">
            <v>CLP</v>
          </cell>
          <cell r="AK62" t="str">
            <v>CLP</v>
          </cell>
          <cell r="AL62" t="str">
            <v>CLP</v>
          </cell>
          <cell r="AM62">
            <v>0</v>
          </cell>
          <cell r="AN62">
            <v>2</v>
          </cell>
        </row>
        <row r="63">
          <cell r="A63">
            <v>39560</v>
          </cell>
          <cell r="B63">
            <v>39560</v>
          </cell>
          <cell r="C63" t="str">
            <v>Past</v>
          </cell>
          <cell r="D63">
            <v>60.28</v>
          </cell>
          <cell r="E63" t="e">
            <v>#N/A</v>
          </cell>
          <cell r="F63" t="e">
            <v>#N/A</v>
          </cell>
          <cell r="G63" t="e">
            <v>#N/A</v>
          </cell>
          <cell r="H63" t="e">
            <v>#N/A</v>
          </cell>
          <cell r="I63" t="e">
            <v>#N/A</v>
          </cell>
          <cell r="J63" t="e">
            <v>#N/A</v>
          </cell>
          <cell r="K63" t="e">
            <v>#N/A</v>
          </cell>
          <cell r="L63" t="e">
            <v>#N/A</v>
          </cell>
          <cell r="M63" t="e">
            <v>#N/A</v>
          </cell>
          <cell r="N63" t="e">
            <v>#N/A</v>
          </cell>
          <cell r="O63" t="e">
            <v>#N/A</v>
          </cell>
          <cell r="P63">
            <v>60.28</v>
          </cell>
          <cell r="Q63">
            <v>1.2401469999999999</v>
          </cell>
          <cell r="R63" t="e">
            <v>#N/A</v>
          </cell>
          <cell r="S63" t="str">
            <v>Saved</v>
          </cell>
          <cell r="T63">
            <v>254</v>
          </cell>
          <cell r="AI63" t="str">
            <v>CNY Chinese Renminbi Yuan</v>
          </cell>
          <cell r="AJ63" t="str">
            <v>Rmb</v>
          </cell>
          <cell r="AK63" t="str">
            <v>CNY</v>
          </cell>
          <cell r="AL63" t="str">
            <v>CNY</v>
          </cell>
          <cell r="AM63">
            <v>0</v>
          </cell>
          <cell r="AN63">
            <v>2</v>
          </cell>
        </row>
        <row r="64">
          <cell r="A64">
            <v>39561</v>
          </cell>
          <cell r="B64">
            <v>39561</v>
          </cell>
          <cell r="C64" t="str">
            <v>Past</v>
          </cell>
          <cell r="D64">
            <v>61.66</v>
          </cell>
          <cell r="E64" t="e">
            <v>#N/A</v>
          </cell>
          <cell r="F64" t="e">
            <v>#N/A</v>
          </cell>
          <cell r="G64" t="e">
            <v>#N/A</v>
          </cell>
          <cell r="H64" t="e">
            <v>#N/A</v>
          </cell>
          <cell r="I64" t="e">
            <v>#N/A</v>
          </cell>
          <cell r="J64" t="e">
            <v>#N/A</v>
          </cell>
          <cell r="K64" t="e">
            <v>#N/A</v>
          </cell>
          <cell r="L64" t="e">
            <v>#N/A</v>
          </cell>
          <cell r="M64" t="e">
            <v>#N/A</v>
          </cell>
          <cell r="N64" t="e">
            <v>#N/A</v>
          </cell>
          <cell r="O64" t="e">
            <v>#N/A</v>
          </cell>
          <cell r="P64">
            <v>61.66</v>
          </cell>
          <cell r="Q64">
            <v>1.4397179999999998</v>
          </cell>
          <cell r="R64" t="e">
            <v>#N/A</v>
          </cell>
          <cell r="S64" t="str">
            <v>Right alligned</v>
          </cell>
          <cell r="T64">
            <v>0</v>
          </cell>
          <cell r="AI64" t="str">
            <v>COP Colombian Peso</v>
          </cell>
          <cell r="AJ64" t="str">
            <v>COP</v>
          </cell>
          <cell r="AK64" t="str">
            <v>COP</v>
          </cell>
          <cell r="AL64" t="str">
            <v>COP</v>
          </cell>
          <cell r="AM64">
            <v>0</v>
          </cell>
          <cell r="AN64">
            <v>2</v>
          </cell>
        </row>
        <row r="65">
          <cell r="A65">
            <v>39562</v>
          </cell>
          <cell r="B65">
            <v>39562</v>
          </cell>
          <cell r="C65" t="str">
            <v>Past</v>
          </cell>
          <cell r="D65">
            <v>67.66</v>
          </cell>
          <cell r="E65" t="e">
            <v>#N/A</v>
          </cell>
          <cell r="F65" t="e">
            <v>#N/A</v>
          </cell>
          <cell r="G65" t="e">
            <v>#N/A</v>
          </cell>
          <cell r="H65" t="e">
            <v>#N/A</v>
          </cell>
          <cell r="I65" t="e">
            <v>#N/A</v>
          </cell>
          <cell r="J65" t="e">
            <v>#N/A</v>
          </cell>
          <cell r="K65" t="e">
            <v>#N/A</v>
          </cell>
          <cell r="L65" t="e">
            <v>#N/A</v>
          </cell>
          <cell r="M65" t="e">
            <v>#N/A</v>
          </cell>
          <cell r="N65" t="e">
            <v>#N/A</v>
          </cell>
          <cell r="O65" t="e">
            <v>#N/A</v>
          </cell>
          <cell r="P65">
            <v>67.66</v>
          </cell>
          <cell r="Q65">
            <v>2.9815619999999998</v>
          </cell>
          <cell r="R65" t="e">
            <v>#N/A</v>
          </cell>
          <cell r="S65" t="str">
            <v>Decimal</v>
          </cell>
          <cell r="T65">
            <v>2</v>
          </cell>
          <cell r="AI65" t="str">
            <v>CZK Czech Krona</v>
          </cell>
          <cell r="AJ65" t="str">
            <v>Kcs</v>
          </cell>
          <cell r="AK65" t="str">
            <v>CZK</v>
          </cell>
          <cell r="AL65" t="str">
            <v>CZK</v>
          </cell>
          <cell r="AM65">
            <v>0</v>
          </cell>
          <cell r="AN65">
            <v>2</v>
          </cell>
        </row>
        <row r="66">
          <cell r="A66">
            <v>39563</v>
          </cell>
          <cell r="B66">
            <v>39563</v>
          </cell>
          <cell r="C66" t="str">
            <v>Past</v>
          </cell>
          <cell r="D66">
            <v>67.61</v>
          </cell>
          <cell r="E66" t="e">
            <v>#N/A</v>
          </cell>
          <cell r="F66" t="e">
            <v>#N/A</v>
          </cell>
          <cell r="G66" t="e">
            <v>#N/A</v>
          </cell>
          <cell r="H66" t="e">
            <v>#N/A</v>
          </cell>
          <cell r="I66" t="e">
            <v>#N/A</v>
          </cell>
          <cell r="J66" t="e">
            <v>#N/A</v>
          </cell>
          <cell r="K66" t="e">
            <v>#N/A</v>
          </cell>
          <cell r="L66" t="e">
            <v>#N/A</v>
          </cell>
          <cell r="M66" t="e">
            <v>#N/A</v>
          </cell>
          <cell r="N66" t="e">
            <v>#N/A</v>
          </cell>
          <cell r="O66" t="e">
            <v>#N/A</v>
          </cell>
          <cell r="P66">
            <v>67.61</v>
          </cell>
          <cell r="Q66">
            <v>1.900412</v>
          </cell>
          <cell r="R66" t="e">
            <v>#N/A</v>
          </cell>
          <cell r="S66" t="str">
            <v>default StartDate</v>
          </cell>
          <cell r="T66">
            <v>39547</v>
          </cell>
          <cell r="AI66" t="str">
            <v>DKK Danish Krone</v>
          </cell>
          <cell r="AJ66" t="str">
            <v>DKr</v>
          </cell>
          <cell r="AK66" t="str">
            <v>DKK</v>
          </cell>
          <cell r="AL66" t="str">
            <v>DKK</v>
          </cell>
          <cell r="AM66">
            <v>0</v>
          </cell>
          <cell r="AN66">
            <v>2</v>
          </cell>
        </row>
        <row r="67">
          <cell r="A67">
            <v>39566</v>
          </cell>
          <cell r="B67">
            <v>39566</v>
          </cell>
          <cell r="C67" t="str">
            <v>Past</v>
          </cell>
          <cell r="D67">
            <v>67.81</v>
          </cell>
          <cell r="E67" t="e">
            <v>#N/A</v>
          </cell>
          <cell r="F67" t="e">
            <v>#N/A</v>
          </cell>
          <cell r="G67" t="e">
            <v>#N/A</v>
          </cell>
          <cell r="H67" t="e">
            <v>#N/A</v>
          </cell>
          <cell r="I67" t="e">
            <v>#N/A</v>
          </cell>
          <cell r="J67" t="e">
            <v>#N/A</v>
          </cell>
          <cell r="K67" t="e">
            <v>#N/A</v>
          </cell>
          <cell r="L67" t="e">
            <v>#N/A</v>
          </cell>
          <cell r="M67" t="e">
            <v>#N/A</v>
          </cell>
          <cell r="N67" t="e">
            <v>#N/A</v>
          </cell>
          <cell r="O67" t="e">
            <v>#N/A</v>
          </cell>
          <cell r="P67">
            <v>67.81</v>
          </cell>
          <cell r="Q67">
            <v>1.6659309999999998</v>
          </cell>
          <cell r="R67" t="e">
            <v>#N/A</v>
          </cell>
          <cell r="S67" t="str">
            <v>default EndDate</v>
          </cell>
          <cell r="T67">
            <v>40642</v>
          </cell>
          <cell r="AI67" t="str">
            <v>DZD Algerian Dinar</v>
          </cell>
          <cell r="AJ67" t="str">
            <v>DZD</v>
          </cell>
          <cell r="AK67" t="str">
            <v>DZD</v>
          </cell>
          <cell r="AL67" t="str">
            <v>DZD</v>
          </cell>
          <cell r="AM67">
            <v>0</v>
          </cell>
          <cell r="AN67">
            <v>2</v>
          </cell>
        </row>
        <row r="68">
          <cell r="A68">
            <v>39567</v>
          </cell>
          <cell r="B68">
            <v>39567</v>
          </cell>
          <cell r="C68" t="str">
            <v>Past</v>
          </cell>
          <cell r="D68">
            <v>67.790000000000006</v>
          </cell>
          <cell r="E68" t="e">
            <v>#N/A</v>
          </cell>
          <cell r="F68" t="e">
            <v>#N/A</v>
          </cell>
          <cell r="G68" t="e">
            <v>#N/A</v>
          </cell>
          <cell r="H68" t="e">
            <v>#N/A</v>
          </cell>
          <cell r="I68" t="e">
            <v>#N/A</v>
          </cell>
          <cell r="J68" t="e">
            <v>#N/A</v>
          </cell>
          <cell r="K68" t="e">
            <v>#N/A</v>
          </cell>
          <cell r="L68" t="e">
            <v>#N/A</v>
          </cell>
          <cell r="M68" t="e">
            <v>#N/A</v>
          </cell>
          <cell r="N68" t="e">
            <v>#N/A</v>
          </cell>
          <cell r="O68" t="e">
            <v>#N/A</v>
          </cell>
          <cell r="P68">
            <v>67.790000000000006</v>
          </cell>
          <cell r="Q68">
            <v>0.99023600000000001</v>
          </cell>
          <cell r="R68" t="e">
            <v>#N/A</v>
          </cell>
          <cell r="S68" t="str">
            <v>Max sharePrice</v>
          </cell>
          <cell r="T68">
            <v>72.650000000000006</v>
          </cell>
          <cell r="AI68" t="str">
            <v>EGP Egyptian Pound</v>
          </cell>
          <cell r="AJ68" t="str">
            <v>EGP</v>
          </cell>
          <cell r="AK68" t="str">
            <v>EGP</v>
          </cell>
          <cell r="AL68" t="str">
            <v>EGP</v>
          </cell>
          <cell r="AM68">
            <v>0</v>
          </cell>
          <cell r="AN68">
            <v>2</v>
          </cell>
        </row>
        <row r="69">
          <cell r="A69">
            <v>39568</v>
          </cell>
          <cell r="B69">
            <v>39568</v>
          </cell>
          <cell r="C69" t="str">
            <v>Past</v>
          </cell>
          <cell r="D69">
            <v>68.150000000000006</v>
          </cell>
          <cell r="E69" t="e">
            <v>#N/A</v>
          </cell>
          <cell r="F69" t="e">
            <v>#N/A</v>
          </cell>
          <cell r="G69" t="e">
            <v>#N/A</v>
          </cell>
          <cell r="H69" t="e">
            <v>#N/A</v>
          </cell>
          <cell r="I69" t="e">
            <v>#N/A</v>
          </cell>
          <cell r="J69" t="e">
            <v>#N/A</v>
          </cell>
          <cell r="K69" t="e">
            <v>#N/A</v>
          </cell>
          <cell r="L69" t="e">
            <v>#N/A</v>
          </cell>
          <cell r="M69" t="e">
            <v>#N/A</v>
          </cell>
          <cell r="N69" t="e">
            <v>#N/A</v>
          </cell>
          <cell r="O69" t="e">
            <v>#N/A</v>
          </cell>
          <cell r="P69">
            <v>68.150000000000006</v>
          </cell>
          <cell r="Q69">
            <v>1.49946</v>
          </cell>
          <cell r="R69" t="e">
            <v>#N/A</v>
          </cell>
          <cell r="AI69" t="str">
            <v>EUR Euro</v>
          </cell>
          <cell r="AJ69" t="str">
            <v>€</v>
          </cell>
          <cell r="AK69" t="str">
            <v>EUR</v>
          </cell>
          <cell r="AL69" t="str">
            <v>EUR</v>
          </cell>
          <cell r="AM69">
            <v>0</v>
          </cell>
          <cell r="AN69">
            <v>2</v>
          </cell>
        </row>
        <row r="70">
          <cell r="A70">
            <v>39569</v>
          </cell>
          <cell r="B70">
            <v>39569</v>
          </cell>
          <cell r="C70" t="str">
            <v>Past</v>
          </cell>
          <cell r="D70">
            <v>69.39</v>
          </cell>
          <cell r="E70" t="e">
            <v>#N/A</v>
          </cell>
          <cell r="F70" t="e">
            <v>#N/A</v>
          </cell>
          <cell r="G70" t="e">
            <v>#N/A</v>
          </cell>
          <cell r="H70" t="e">
            <v>#N/A</v>
          </cell>
          <cell r="I70" t="e">
            <v>#N/A</v>
          </cell>
          <cell r="J70" t="e">
            <v>#N/A</v>
          </cell>
          <cell r="K70" t="e">
            <v>#N/A</v>
          </cell>
          <cell r="L70" t="e">
            <v>#N/A</v>
          </cell>
          <cell r="M70" t="e">
            <v>#N/A</v>
          </cell>
          <cell r="N70" t="e">
            <v>#N/A</v>
          </cell>
          <cell r="O70" t="e">
            <v>#N/A</v>
          </cell>
          <cell r="P70">
            <v>69.39</v>
          </cell>
          <cell r="Q70">
            <v>1.146895</v>
          </cell>
          <cell r="R70" t="e">
            <v>#N/A</v>
          </cell>
          <cell r="AI70" t="str">
            <v>GBp British Pence</v>
          </cell>
          <cell r="AJ70" t="str">
            <v>p</v>
          </cell>
          <cell r="AK70" t="str">
            <v>GBp</v>
          </cell>
          <cell r="AL70" t="str">
            <v>GBX</v>
          </cell>
          <cell r="AM70">
            <v>1</v>
          </cell>
          <cell r="AN70">
            <v>0</v>
          </cell>
        </row>
        <row r="71">
          <cell r="A71">
            <v>39570</v>
          </cell>
          <cell r="B71">
            <v>39570</v>
          </cell>
          <cell r="C71" t="str">
            <v>Past</v>
          </cell>
          <cell r="D71">
            <v>68.489999999999995</v>
          </cell>
          <cell r="E71" t="e">
            <v>#N/A</v>
          </cell>
          <cell r="F71" t="e">
            <v>#N/A</v>
          </cell>
          <cell r="G71" t="e">
            <v>#N/A</v>
          </cell>
          <cell r="H71" t="e">
            <v>#N/A</v>
          </cell>
          <cell r="I71" t="e">
            <v>#N/A</v>
          </cell>
          <cell r="J71" t="e">
            <v>#N/A</v>
          </cell>
          <cell r="K71" t="e">
            <v>#N/A</v>
          </cell>
          <cell r="L71" t="e">
            <v>#N/A</v>
          </cell>
          <cell r="M71" t="e">
            <v>#N/A</v>
          </cell>
          <cell r="N71" t="e">
            <v>#N/A</v>
          </cell>
          <cell r="O71" t="e">
            <v>#N/A</v>
          </cell>
          <cell r="P71">
            <v>68.489999999999995</v>
          </cell>
          <cell r="Q71">
            <v>1.781042</v>
          </cell>
          <cell r="R71" t="e">
            <v>#N/A</v>
          </cell>
          <cell r="AI71" t="str">
            <v>GBP British Pound</v>
          </cell>
          <cell r="AJ71" t="str">
            <v>₤</v>
          </cell>
          <cell r="AK71" t="str">
            <v>GBP</v>
          </cell>
          <cell r="AL71" t="str">
            <v>GBP</v>
          </cell>
          <cell r="AM71">
            <v>0</v>
          </cell>
          <cell r="AN71">
            <v>2</v>
          </cell>
        </row>
        <row r="72">
          <cell r="A72">
            <v>39573</v>
          </cell>
          <cell r="B72">
            <v>39573</v>
          </cell>
          <cell r="C72" t="str">
            <v>Past</v>
          </cell>
          <cell r="D72">
            <v>68.48</v>
          </cell>
          <cell r="E72" t="e">
            <v>#N/A</v>
          </cell>
          <cell r="F72" t="e">
            <v>#N/A</v>
          </cell>
          <cell r="G72" t="e">
            <v>#N/A</v>
          </cell>
          <cell r="H72" t="e">
            <v>#N/A</v>
          </cell>
          <cell r="I72" t="e">
            <v>#N/A</v>
          </cell>
          <cell r="J72" t="e">
            <v>#N/A</v>
          </cell>
          <cell r="K72" t="e">
            <v>#N/A</v>
          </cell>
          <cell r="L72" t="e">
            <v>#N/A</v>
          </cell>
          <cell r="M72" t="e">
            <v>#N/A</v>
          </cell>
          <cell r="N72" t="e">
            <v>#N/A</v>
          </cell>
          <cell r="O72" t="e">
            <v>#N/A</v>
          </cell>
          <cell r="P72">
            <v>68.48</v>
          </cell>
          <cell r="Q72">
            <v>0.58542099999999997</v>
          </cell>
          <cell r="R72" t="e">
            <v>#N/A</v>
          </cell>
          <cell r="AI72" t="str">
            <v>HKD Hong Kong Dollar</v>
          </cell>
          <cell r="AJ72" t="str">
            <v>HK$</v>
          </cell>
          <cell r="AK72" t="str">
            <v>HKD</v>
          </cell>
          <cell r="AL72" t="str">
            <v>HKD</v>
          </cell>
          <cell r="AM72">
            <v>0</v>
          </cell>
          <cell r="AN72">
            <v>2</v>
          </cell>
        </row>
        <row r="73">
          <cell r="A73">
            <v>39574</v>
          </cell>
          <cell r="B73">
            <v>39574</v>
          </cell>
          <cell r="C73" t="str">
            <v>Past</v>
          </cell>
          <cell r="D73">
            <v>68.209999999999994</v>
          </cell>
          <cell r="E73" t="e">
            <v>#N/A</v>
          </cell>
          <cell r="F73" t="e">
            <v>#N/A</v>
          </cell>
          <cell r="G73" t="e">
            <v>#N/A</v>
          </cell>
          <cell r="H73" t="e">
            <v>#N/A</v>
          </cell>
          <cell r="I73" t="e">
            <v>#N/A</v>
          </cell>
          <cell r="J73" t="e">
            <v>#N/A</v>
          </cell>
          <cell r="K73" t="e">
            <v>#N/A</v>
          </cell>
          <cell r="L73" t="e">
            <v>#N/A</v>
          </cell>
          <cell r="M73" t="e">
            <v>#N/A</v>
          </cell>
          <cell r="N73" t="e">
            <v>#N/A</v>
          </cell>
          <cell r="O73" t="e">
            <v>#N/A</v>
          </cell>
          <cell r="P73">
            <v>68.209999999999994</v>
          </cell>
          <cell r="Q73">
            <v>0.82417799999999997</v>
          </cell>
          <cell r="R73" t="e">
            <v>#N/A</v>
          </cell>
          <cell r="AI73" t="str">
            <v>HUF Hungarian forint</v>
          </cell>
          <cell r="AJ73" t="str">
            <v>Ft</v>
          </cell>
          <cell r="AK73" t="str">
            <v>HUF</v>
          </cell>
          <cell r="AL73" t="str">
            <v>HUF</v>
          </cell>
          <cell r="AM73">
            <v>0</v>
          </cell>
          <cell r="AN73">
            <v>2</v>
          </cell>
        </row>
        <row r="74">
          <cell r="A74">
            <v>39575</v>
          </cell>
          <cell r="B74">
            <v>39575</v>
          </cell>
          <cell r="C74" t="str">
            <v>Past</v>
          </cell>
          <cell r="D74">
            <v>66.7</v>
          </cell>
          <cell r="E74" t="e">
            <v>#N/A</v>
          </cell>
          <cell r="F74" t="e">
            <v>#N/A</v>
          </cell>
          <cell r="G74" t="e">
            <v>#N/A</v>
          </cell>
          <cell r="H74" t="e">
            <v>#N/A</v>
          </cell>
          <cell r="I74" t="e">
            <v>#N/A</v>
          </cell>
          <cell r="J74" t="e">
            <v>#N/A</v>
          </cell>
          <cell r="K74" t="e">
            <v>#N/A</v>
          </cell>
          <cell r="L74" t="e">
            <v>#N/A</v>
          </cell>
          <cell r="M74" t="e">
            <v>#N/A</v>
          </cell>
          <cell r="N74" t="e">
            <v>#N/A</v>
          </cell>
          <cell r="O74" t="e">
            <v>#N/A</v>
          </cell>
          <cell r="P74">
            <v>66.7</v>
          </cell>
          <cell r="Q74">
            <v>0.75180899999999995</v>
          </cell>
          <cell r="R74" t="e">
            <v>#N/A</v>
          </cell>
          <cell r="AI74" t="str">
            <v>IDR Indonesian Rupiah</v>
          </cell>
          <cell r="AJ74" t="str">
            <v>Rp</v>
          </cell>
          <cell r="AK74" t="str">
            <v>IDR</v>
          </cell>
          <cell r="AL74" t="str">
            <v>IDR</v>
          </cell>
          <cell r="AM74">
            <v>0</v>
          </cell>
          <cell r="AN74">
            <v>0</v>
          </cell>
        </row>
        <row r="75">
          <cell r="A75">
            <v>39576</v>
          </cell>
          <cell r="B75">
            <v>39576</v>
          </cell>
          <cell r="C75" t="str">
            <v>Past</v>
          </cell>
          <cell r="D75">
            <v>67.599999999999994</v>
          </cell>
          <cell r="E75" t="e">
            <v>#N/A</v>
          </cell>
          <cell r="F75" t="e">
            <v>#N/A</v>
          </cell>
          <cell r="G75" t="e">
            <v>#N/A</v>
          </cell>
          <cell r="H75" t="e">
            <v>#N/A</v>
          </cell>
          <cell r="I75" t="e">
            <v>#N/A</v>
          </cell>
          <cell r="J75" t="e">
            <v>#N/A</v>
          </cell>
          <cell r="K75" t="e">
            <v>#N/A</v>
          </cell>
          <cell r="L75" t="e">
            <v>#N/A</v>
          </cell>
          <cell r="M75" t="e">
            <v>#N/A</v>
          </cell>
          <cell r="N75" t="e">
            <v>#N/A</v>
          </cell>
          <cell r="O75" t="e">
            <v>#N/A</v>
          </cell>
          <cell r="P75">
            <v>67.599999999999994</v>
          </cell>
          <cell r="Q75">
            <v>0.81272299999999997</v>
          </cell>
          <cell r="R75" t="e">
            <v>#N/A</v>
          </cell>
          <cell r="AI75" t="str">
            <v>ILS Israeli shekel</v>
          </cell>
          <cell r="AJ75" t="str">
            <v>ILS</v>
          </cell>
          <cell r="AK75" t="str">
            <v>ILS</v>
          </cell>
          <cell r="AL75" t="str">
            <v>ILS</v>
          </cell>
          <cell r="AM75">
            <v>0</v>
          </cell>
          <cell r="AN75">
            <v>2</v>
          </cell>
        </row>
        <row r="76">
          <cell r="A76">
            <v>39577</v>
          </cell>
          <cell r="B76">
            <v>39577</v>
          </cell>
          <cell r="C76" t="str">
            <v>Past</v>
          </cell>
          <cell r="D76">
            <v>67.069999999999993</v>
          </cell>
          <cell r="E76" t="e">
            <v>#N/A</v>
          </cell>
          <cell r="F76" t="e">
            <v>#N/A</v>
          </cell>
          <cell r="G76" t="e">
            <v>#N/A</v>
          </cell>
          <cell r="H76" t="e">
            <v>#N/A</v>
          </cell>
          <cell r="I76" t="e">
            <v>#N/A</v>
          </cell>
          <cell r="J76" t="e">
            <v>#N/A</v>
          </cell>
          <cell r="K76" t="e">
            <v>#N/A</v>
          </cell>
          <cell r="L76" t="e">
            <v>#N/A</v>
          </cell>
          <cell r="M76" t="e">
            <v>#N/A</v>
          </cell>
          <cell r="N76" t="e">
            <v>#N/A</v>
          </cell>
          <cell r="O76" t="e">
            <v>#N/A</v>
          </cell>
          <cell r="P76">
            <v>67.069999999999993</v>
          </cell>
          <cell r="Q76">
            <v>0.47185299999999997</v>
          </cell>
          <cell r="R76" t="e">
            <v>#N/A</v>
          </cell>
          <cell r="AI76" t="str">
            <v>INR Indian Rupee</v>
          </cell>
          <cell r="AJ76" t="str">
            <v>Rs.</v>
          </cell>
          <cell r="AK76" t="str">
            <v>INR</v>
          </cell>
          <cell r="AL76" t="str">
            <v>INR</v>
          </cell>
          <cell r="AM76">
            <v>0</v>
          </cell>
          <cell r="AN76">
            <v>2</v>
          </cell>
        </row>
        <row r="77">
          <cell r="A77">
            <v>39580</v>
          </cell>
          <cell r="B77">
            <v>39580</v>
          </cell>
          <cell r="C77" t="str">
            <v>Past</v>
          </cell>
          <cell r="D77">
            <v>67.47</v>
          </cell>
          <cell r="E77" t="e">
            <v>#N/A</v>
          </cell>
          <cell r="F77" t="e">
            <v>#N/A</v>
          </cell>
          <cell r="G77" t="e">
            <v>#N/A</v>
          </cell>
          <cell r="H77" t="e">
            <v>#N/A</v>
          </cell>
          <cell r="I77" t="e">
            <v>#N/A</v>
          </cell>
          <cell r="J77" t="e">
            <v>#N/A</v>
          </cell>
          <cell r="K77" t="e">
            <v>#N/A</v>
          </cell>
          <cell r="L77" t="e">
            <v>#N/A</v>
          </cell>
          <cell r="M77" t="e">
            <v>#N/A</v>
          </cell>
          <cell r="N77" t="e">
            <v>#N/A</v>
          </cell>
          <cell r="O77" t="e">
            <v>#N/A</v>
          </cell>
          <cell r="P77">
            <v>67.47</v>
          </cell>
          <cell r="Q77">
            <v>0.54441200000000001</v>
          </cell>
          <cell r="R77" t="e">
            <v>#N/A</v>
          </cell>
          <cell r="AI77" t="str">
            <v>IQD Iraqi Dinar</v>
          </cell>
          <cell r="AJ77" t="str">
            <v>IQD</v>
          </cell>
          <cell r="AK77" t="str">
            <v>IQD</v>
          </cell>
          <cell r="AL77" t="str">
            <v>IQD</v>
          </cell>
          <cell r="AM77">
            <v>0</v>
          </cell>
          <cell r="AN77">
            <v>2</v>
          </cell>
        </row>
        <row r="78">
          <cell r="A78">
            <v>39581</v>
          </cell>
          <cell r="B78">
            <v>39581</v>
          </cell>
          <cell r="C78" t="str">
            <v>Past</v>
          </cell>
          <cell r="D78">
            <v>67.84</v>
          </cell>
          <cell r="E78" t="e">
            <v>#N/A</v>
          </cell>
          <cell r="F78" t="e">
            <v>#N/A</v>
          </cell>
          <cell r="G78" t="e">
            <v>#N/A</v>
          </cell>
          <cell r="H78" t="e">
            <v>#N/A</v>
          </cell>
          <cell r="I78" t="e">
            <v>#N/A</v>
          </cell>
          <cell r="J78" t="e">
            <v>#N/A</v>
          </cell>
          <cell r="K78" t="e">
            <v>#N/A</v>
          </cell>
          <cell r="L78" t="e">
            <v>#N/A</v>
          </cell>
          <cell r="M78" t="e">
            <v>#N/A</v>
          </cell>
          <cell r="N78" t="e">
            <v>#N/A</v>
          </cell>
          <cell r="O78" t="e">
            <v>#N/A</v>
          </cell>
          <cell r="P78">
            <v>67.84</v>
          </cell>
          <cell r="Q78">
            <v>0.67736600000000002</v>
          </cell>
          <cell r="R78" t="e">
            <v>#N/A</v>
          </cell>
          <cell r="AI78" t="str">
            <v>IRR Iranian Rial</v>
          </cell>
          <cell r="AJ78" t="str">
            <v>IRR</v>
          </cell>
          <cell r="AK78" t="str">
            <v>IRR</v>
          </cell>
          <cell r="AL78" t="str">
            <v>IRR</v>
          </cell>
          <cell r="AM78">
            <v>0</v>
          </cell>
          <cell r="AN78">
            <v>2</v>
          </cell>
        </row>
        <row r="79">
          <cell r="A79">
            <v>39582</v>
          </cell>
          <cell r="B79">
            <v>39582</v>
          </cell>
          <cell r="C79" t="str">
            <v>Past</v>
          </cell>
          <cell r="D79">
            <v>68.13</v>
          </cell>
          <cell r="E79" t="e">
            <v>#N/A</v>
          </cell>
          <cell r="F79" t="e">
            <v>#N/A</v>
          </cell>
          <cell r="G79" t="e">
            <v>#N/A</v>
          </cell>
          <cell r="H79" t="e">
            <v>#N/A</v>
          </cell>
          <cell r="I79" t="e">
            <v>#N/A</v>
          </cell>
          <cell r="J79" t="e">
            <v>#N/A</v>
          </cell>
          <cell r="K79" t="e">
            <v>#N/A</v>
          </cell>
          <cell r="L79" t="e">
            <v>#N/A</v>
          </cell>
          <cell r="M79" t="e">
            <v>#N/A</v>
          </cell>
          <cell r="N79" t="e">
            <v>#N/A</v>
          </cell>
          <cell r="O79" t="e">
            <v>#N/A</v>
          </cell>
          <cell r="P79">
            <v>68.13</v>
          </cell>
          <cell r="Q79">
            <v>0.79796199999999995</v>
          </cell>
          <cell r="R79" t="e">
            <v>#N/A</v>
          </cell>
          <cell r="AI79" t="str">
            <v>ISK Iceland Krona</v>
          </cell>
          <cell r="AJ79" t="str">
            <v>kr</v>
          </cell>
          <cell r="AK79" t="str">
            <v>ISK</v>
          </cell>
          <cell r="AL79" t="str">
            <v>ISK</v>
          </cell>
          <cell r="AM79">
            <v>0</v>
          </cell>
          <cell r="AN79">
            <v>2</v>
          </cell>
        </row>
        <row r="80">
          <cell r="A80">
            <v>39583</v>
          </cell>
          <cell r="B80">
            <v>39583</v>
          </cell>
          <cell r="C80" t="str">
            <v>Past</v>
          </cell>
          <cell r="D80">
            <v>67.55</v>
          </cell>
          <cell r="E80" t="e">
            <v>#N/A</v>
          </cell>
          <cell r="F80" t="e">
            <v>#N/A</v>
          </cell>
          <cell r="G80" t="e">
            <v>#N/A</v>
          </cell>
          <cell r="H80" t="e">
            <v>#N/A</v>
          </cell>
          <cell r="I80" t="e">
            <v>#N/A</v>
          </cell>
          <cell r="J80" t="e">
            <v>#N/A</v>
          </cell>
          <cell r="K80" t="e">
            <v>#N/A</v>
          </cell>
          <cell r="L80" t="e">
            <v>#N/A</v>
          </cell>
          <cell r="M80" t="e">
            <v>#N/A</v>
          </cell>
          <cell r="N80" t="e">
            <v>#N/A</v>
          </cell>
          <cell r="O80" t="e">
            <v>#N/A</v>
          </cell>
          <cell r="P80">
            <v>67.55</v>
          </cell>
          <cell r="Q80">
            <v>0.88713699999999995</v>
          </cell>
          <cell r="R80" t="e">
            <v>#N/A</v>
          </cell>
          <cell r="AI80" t="str">
            <v>JMD Jamaican Dollars</v>
          </cell>
          <cell r="AJ80" t="str">
            <v>JMD</v>
          </cell>
          <cell r="AK80" t="str">
            <v>JMD</v>
          </cell>
          <cell r="AL80" t="str">
            <v>JMD</v>
          </cell>
          <cell r="AM80">
            <v>0</v>
          </cell>
          <cell r="AN80">
            <v>2</v>
          </cell>
        </row>
        <row r="81">
          <cell r="A81">
            <v>39584</v>
          </cell>
          <cell r="B81">
            <v>39584</v>
          </cell>
          <cell r="C81" t="str">
            <v>Past</v>
          </cell>
          <cell r="D81">
            <v>67.19</v>
          </cell>
          <cell r="E81" t="e">
            <v>#N/A</v>
          </cell>
          <cell r="F81" t="e">
            <v>#N/A</v>
          </cell>
          <cell r="G81" t="e">
            <v>#N/A</v>
          </cell>
          <cell r="H81" t="e">
            <v>#N/A</v>
          </cell>
          <cell r="I81" t="e">
            <v>#N/A</v>
          </cell>
          <cell r="J81" t="e">
            <v>#N/A</v>
          </cell>
          <cell r="K81" t="e">
            <v>#N/A</v>
          </cell>
          <cell r="L81" t="e">
            <v>#N/A</v>
          </cell>
          <cell r="M81" t="e">
            <v>#N/A</v>
          </cell>
          <cell r="N81" t="e">
            <v>#N/A</v>
          </cell>
          <cell r="O81" t="e">
            <v>#N/A</v>
          </cell>
          <cell r="P81">
            <v>67.19</v>
          </cell>
          <cell r="Q81">
            <v>0.79061700000000001</v>
          </cell>
          <cell r="R81" t="e">
            <v>#N/A</v>
          </cell>
          <cell r="AI81" t="str">
            <v>JPY Japanese Yen</v>
          </cell>
          <cell r="AJ81" t="str">
            <v>¥</v>
          </cell>
          <cell r="AK81" t="str">
            <v>JPY</v>
          </cell>
          <cell r="AL81" t="str">
            <v>JPY</v>
          </cell>
          <cell r="AM81">
            <v>0</v>
          </cell>
          <cell r="AN81">
            <v>0</v>
          </cell>
        </row>
        <row r="82">
          <cell r="A82">
            <v>39587</v>
          </cell>
          <cell r="B82">
            <v>39587</v>
          </cell>
          <cell r="C82" t="str">
            <v>Past</v>
          </cell>
          <cell r="D82">
            <v>67.31</v>
          </cell>
          <cell r="E82" t="e">
            <v>#N/A</v>
          </cell>
          <cell r="F82" t="e">
            <v>#N/A</v>
          </cell>
          <cell r="G82" t="e">
            <v>#N/A</v>
          </cell>
          <cell r="H82" t="e">
            <v>#N/A</v>
          </cell>
          <cell r="I82" t="e">
            <v>#N/A</v>
          </cell>
          <cell r="J82" t="e">
            <v>#N/A</v>
          </cell>
          <cell r="K82" t="e">
            <v>#N/A</v>
          </cell>
          <cell r="L82" t="e">
            <v>#N/A</v>
          </cell>
          <cell r="M82" t="e">
            <v>#N/A</v>
          </cell>
          <cell r="N82" t="e">
            <v>#N/A</v>
          </cell>
          <cell r="O82" t="e">
            <v>#N/A</v>
          </cell>
          <cell r="P82">
            <v>67.31</v>
          </cell>
          <cell r="Q82">
            <v>0.81963799999999998</v>
          </cell>
          <cell r="R82" t="e">
            <v>#N/A</v>
          </cell>
          <cell r="AI82" t="str">
            <v>KES Kenyan Shilling</v>
          </cell>
          <cell r="AJ82" t="str">
            <v>KES</v>
          </cell>
          <cell r="AK82" t="str">
            <v>KES</v>
          </cell>
          <cell r="AL82" t="str">
            <v>KES</v>
          </cell>
          <cell r="AM82">
            <v>0</v>
          </cell>
          <cell r="AN82">
            <v>0</v>
          </cell>
        </row>
        <row r="83">
          <cell r="A83">
            <v>39588</v>
          </cell>
          <cell r="B83">
            <v>39588</v>
          </cell>
          <cell r="C83" t="str">
            <v>Past</v>
          </cell>
          <cell r="D83">
            <v>67.349999999999994</v>
          </cell>
          <cell r="E83" t="e">
            <v>#N/A</v>
          </cell>
          <cell r="F83" t="e">
            <v>#N/A</v>
          </cell>
          <cell r="G83" t="e">
            <v>#N/A</v>
          </cell>
          <cell r="H83" t="e">
            <v>#N/A</v>
          </cell>
          <cell r="I83" t="e">
            <v>#N/A</v>
          </cell>
          <cell r="J83" t="e">
            <v>#N/A</v>
          </cell>
          <cell r="K83" t="e">
            <v>#N/A</v>
          </cell>
          <cell r="L83" t="e">
            <v>#N/A</v>
          </cell>
          <cell r="M83" t="e">
            <v>#N/A</v>
          </cell>
          <cell r="N83" t="e">
            <v>#N/A</v>
          </cell>
          <cell r="O83" t="e">
            <v>#N/A</v>
          </cell>
          <cell r="P83">
            <v>67.349999999999994</v>
          </cell>
          <cell r="Q83">
            <v>0.70514699999999997</v>
          </cell>
          <cell r="R83" t="e">
            <v>#N/A</v>
          </cell>
          <cell r="AI83" t="str">
            <v>KRW South Korean Won</v>
          </cell>
          <cell r="AJ83" t="str">
            <v>₩</v>
          </cell>
          <cell r="AK83" t="str">
            <v>KRW</v>
          </cell>
          <cell r="AL83" t="str">
            <v>KRW</v>
          </cell>
          <cell r="AM83">
            <v>0</v>
          </cell>
          <cell r="AN83">
            <v>0</v>
          </cell>
        </row>
        <row r="84">
          <cell r="A84">
            <v>39589</v>
          </cell>
          <cell r="B84">
            <v>39589</v>
          </cell>
          <cell r="C84" t="str">
            <v>Past</v>
          </cell>
          <cell r="D84">
            <v>65.86</v>
          </cell>
          <cell r="E84" t="e">
            <v>#N/A</v>
          </cell>
          <cell r="F84" t="e">
            <v>#N/A</v>
          </cell>
          <cell r="G84" t="e">
            <v>#N/A</v>
          </cell>
          <cell r="H84" t="e">
            <v>#N/A</v>
          </cell>
          <cell r="I84" t="e">
            <v>#N/A</v>
          </cell>
          <cell r="J84" t="e">
            <v>#N/A</v>
          </cell>
          <cell r="K84" t="e">
            <v>#N/A</v>
          </cell>
          <cell r="L84" t="e">
            <v>#N/A</v>
          </cell>
          <cell r="M84" t="e">
            <v>#N/A</v>
          </cell>
          <cell r="N84" t="e">
            <v>#N/A</v>
          </cell>
          <cell r="O84" t="e">
            <v>#N/A</v>
          </cell>
          <cell r="P84">
            <v>65.86</v>
          </cell>
          <cell r="Q84">
            <v>1.3927429999999998</v>
          </cell>
          <cell r="R84" t="e">
            <v>#N/A</v>
          </cell>
          <cell r="AI84" t="str">
            <v>KWD Kuwaiti Dinar</v>
          </cell>
          <cell r="AJ84" t="str">
            <v>KWD</v>
          </cell>
          <cell r="AK84" t="str">
            <v>KWD</v>
          </cell>
          <cell r="AL84" t="str">
            <v>KWD</v>
          </cell>
          <cell r="AM84">
            <v>0</v>
          </cell>
          <cell r="AN84">
            <v>2</v>
          </cell>
        </row>
        <row r="85">
          <cell r="A85">
            <v>39590</v>
          </cell>
          <cell r="B85">
            <v>39590</v>
          </cell>
          <cell r="C85" t="str">
            <v>Past</v>
          </cell>
          <cell r="D85">
            <v>64.8</v>
          </cell>
          <cell r="E85" t="e">
            <v>#N/A</v>
          </cell>
          <cell r="F85" t="e">
            <v>#N/A</v>
          </cell>
          <cell r="G85" t="e">
            <v>#N/A</v>
          </cell>
          <cell r="H85" t="e">
            <v>#N/A</v>
          </cell>
          <cell r="I85" t="e">
            <v>#N/A</v>
          </cell>
          <cell r="J85" t="e">
            <v>#N/A</v>
          </cell>
          <cell r="K85" t="e">
            <v>#N/A</v>
          </cell>
          <cell r="L85" t="e">
            <v>#N/A</v>
          </cell>
          <cell r="M85" t="e">
            <v>#N/A</v>
          </cell>
          <cell r="N85" t="e">
            <v>#N/A</v>
          </cell>
          <cell r="O85" t="e">
            <v>#N/A</v>
          </cell>
          <cell r="P85">
            <v>64.8</v>
          </cell>
          <cell r="Q85">
            <v>1.485079</v>
          </cell>
          <cell r="R85" t="e">
            <v>#N/A</v>
          </cell>
          <cell r="AI85" t="str">
            <v>KYD Cayman Dollars</v>
          </cell>
          <cell r="AJ85" t="str">
            <v>KYD</v>
          </cell>
          <cell r="AK85" t="str">
            <v>KYD</v>
          </cell>
          <cell r="AL85" t="str">
            <v>KYD</v>
          </cell>
          <cell r="AM85">
            <v>0</v>
          </cell>
          <cell r="AN85">
            <v>2</v>
          </cell>
        </row>
        <row r="86">
          <cell r="A86">
            <v>39591</v>
          </cell>
          <cell r="B86">
            <v>39591</v>
          </cell>
          <cell r="C86" t="str">
            <v>Past</v>
          </cell>
          <cell r="D86">
            <v>64.010000000000005</v>
          </cell>
          <cell r="E86" t="e">
            <v>#N/A</v>
          </cell>
          <cell r="F86" t="e">
            <v>#N/A</v>
          </cell>
          <cell r="G86" t="e">
            <v>#N/A</v>
          </cell>
          <cell r="H86" t="e">
            <v>#N/A</v>
          </cell>
          <cell r="I86" t="e">
            <v>#N/A</v>
          </cell>
          <cell r="J86" t="e">
            <v>#N/A</v>
          </cell>
          <cell r="K86" t="e">
            <v>#N/A</v>
          </cell>
          <cell r="L86" t="e">
            <v>#N/A</v>
          </cell>
          <cell r="M86" t="e">
            <v>#N/A</v>
          </cell>
          <cell r="N86" t="e">
            <v>#N/A</v>
          </cell>
          <cell r="O86" t="e">
            <v>#N/A</v>
          </cell>
          <cell r="P86">
            <v>64.010000000000005</v>
          </cell>
          <cell r="Q86">
            <v>1.287188</v>
          </cell>
          <cell r="R86" t="e">
            <v>#N/A</v>
          </cell>
          <cell r="AI86" t="str">
            <v>LKR Sri Lankan Rupee</v>
          </cell>
          <cell r="AJ86" t="str">
            <v>LKR</v>
          </cell>
          <cell r="AK86" t="str">
            <v>LKR</v>
          </cell>
          <cell r="AL86" t="str">
            <v>LKR</v>
          </cell>
          <cell r="AM86">
            <v>0</v>
          </cell>
          <cell r="AN86">
            <v>2</v>
          </cell>
        </row>
        <row r="87">
          <cell r="A87">
            <v>39595</v>
          </cell>
          <cell r="B87">
            <v>39595</v>
          </cell>
          <cell r="C87" t="str">
            <v>Past</v>
          </cell>
          <cell r="D87">
            <v>63.85</v>
          </cell>
          <cell r="E87" t="e">
            <v>#N/A</v>
          </cell>
          <cell r="F87" t="e">
            <v>#N/A</v>
          </cell>
          <cell r="G87" t="e">
            <v>#N/A</v>
          </cell>
          <cell r="H87" t="e">
            <v>#N/A</v>
          </cell>
          <cell r="I87" t="e">
            <v>#N/A</v>
          </cell>
          <cell r="J87" t="e">
            <v>#N/A</v>
          </cell>
          <cell r="K87" t="e">
            <v>#N/A</v>
          </cell>
          <cell r="L87" t="e">
            <v>#N/A</v>
          </cell>
          <cell r="M87" t="e">
            <v>#N/A</v>
          </cell>
          <cell r="N87" t="e">
            <v>#N/A</v>
          </cell>
          <cell r="O87" t="e">
            <v>#N/A</v>
          </cell>
          <cell r="P87">
            <v>63.85</v>
          </cell>
          <cell r="Q87">
            <v>1.5544229999999999</v>
          </cell>
          <cell r="R87" t="e">
            <v>#N/A</v>
          </cell>
          <cell r="AI87" t="str">
            <v>MAD Moroccan Dirham</v>
          </cell>
          <cell r="AJ87" t="str">
            <v>MAD</v>
          </cell>
          <cell r="AK87" t="str">
            <v>MAD</v>
          </cell>
          <cell r="AL87" t="str">
            <v>MAD</v>
          </cell>
          <cell r="AM87">
            <v>0</v>
          </cell>
          <cell r="AN87">
            <v>2</v>
          </cell>
        </row>
        <row r="88">
          <cell r="A88">
            <v>39596</v>
          </cell>
          <cell r="B88">
            <v>39596</v>
          </cell>
          <cell r="C88" t="str">
            <v>Past</v>
          </cell>
          <cell r="D88">
            <v>63.49</v>
          </cell>
          <cell r="E88" t="e">
            <v>#N/A</v>
          </cell>
          <cell r="F88" t="e">
            <v>#N/A</v>
          </cell>
          <cell r="G88" t="e">
            <v>#N/A</v>
          </cell>
          <cell r="H88" t="e">
            <v>#N/A</v>
          </cell>
          <cell r="I88" t="e">
            <v>#N/A</v>
          </cell>
          <cell r="J88" t="e">
            <v>#N/A</v>
          </cell>
          <cell r="K88" t="e">
            <v>#N/A</v>
          </cell>
          <cell r="L88" t="e">
            <v>#N/A</v>
          </cell>
          <cell r="M88" t="e">
            <v>#N/A</v>
          </cell>
          <cell r="N88" t="e">
            <v>#N/A</v>
          </cell>
          <cell r="O88" t="e">
            <v>#N/A</v>
          </cell>
          <cell r="P88">
            <v>63.49</v>
          </cell>
          <cell r="Q88">
            <v>1.9485509999999999</v>
          </cell>
          <cell r="R88" t="e">
            <v>#N/A</v>
          </cell>
          <cell r="AI88" t="str">
            <v>MXN Mexican Pesos (new)</v>
          </cell>
          <cell r="AJ88" t="str">
            <v>M$</v>
          </cell>
          <cell r="AK88" t="str">
            <v>MXN</v>
          </cell>
          <cell r="AL88" t="str">
            <v>MXN</v>
          </cell>
          <cell r="AM88">
            <v>0</v>
          </cell>
          <cell r="AN88">
            <v>2</v>
          </cell>
        </row>
        <row r="89">
          <cell r="A89">
            <v>39597</v>
          </cell>
          <cell r="B89">
            <v>39597</v>
          </cell>
          <cell r="C89" t="str">
            <v>Past</v>
          </cell>
          <cell r="D89">
            <v>62.2</v>
          </cell>
          <cell r="E89" t="e">
            <v>#N/A</v>
          </cell>
          <cell r="F89" t="e">
            <v>#N/A</v>
          </cell>
          <cell r="G89" t="e">
            <v>#N/A</v>
          </cell>
          <cell r="H89" t="e">
            <v>#N/A</v>
          </cell>
          <cell r="I89" t="e">
            <v>#N/A</v>
          </cell>
          <cell r="J89" t="e">
            <v>#N/A</v>
          </cell>
          <cell r="K89" t="e">
            <v>#N/A</v>
          </cell>
          <cell r="L89" t="e">
            <v>#N/A</v>
          </cell>
          <cell r="M89" t="e">
            <v>#N/A</v>
          </cell>
          <cell r="N89" t="e">
            <v>#N/A</v>
          </cell>
          <cell r="O89" t="e">
            <v>#N/A</v>
          </cell>
          <cell r="P89">
            <v>62.2</v>
          </cell>
          <cell r="Q89">
            <v>2.1770359999999997</v>
          </cell>
          <cell r="R89" t="e">
            <v>#N/A</v>
          </cell>
          <cell r="AI89" t="str">
            <v>MYR Malaysian Ringgit</v>
          </cell>
          <cell r="AJ89" t="str">
            <v>RM</v>
          </cell>
          <cell r="AK89" t="str">
            <v>MYR</v>
          </cell>
          <cell r="AL89" t="str">
            <v>MYR</v>
          </cell>
          <cell r="AM89">
            <v>0</v>
          </cell>
          <cell r="AN89">
            <v>2</v>
          </cell>
        </row>
        <row r="90">
          <cell r="A90">
            <v>39598</v>
          </cell>
          <cell r="B90">
            <v>39598</v>
          </cell>
          <cell r="C90" t="str">
            <v>Past</v>
          </cell>
          <cell r="D90">
            <v>64.81</v>
          </cell>
          <cell r="E90" t="e">
            <v>#N/A</v>
          </cell>
          <cell r="F90" t="e">
            <v>#N/A</v>
          </cell>
          <cell r="G90" t="e">
            <v>#N/A</v>
          </cell>
          <cell r="H90" t="e">
            <v>#N/A</v>
          </cell>
          <cell r="I90" t="e">
            <v>#N/A</v>
          </cell>
          <cell r="J90" t="e">
            <v>#N/A</v>
          </cell>
          <cell r="K90" t="e">
            <v>#N/A</v>
          </cell>
          <cell r="L90" t="e">
            <v>#N/A</v>
          </cell>
          <cell r="M90" t="e">
            <v>#N/A</v>
          </cell>
          <cell r="N90" t="e">
            <v>#N/A</v>
          </cell>
          <cell r="O90" t="e">
            <v>#N/A</v>
          </cell>
          <cell r="P90">
            <v>64.81</v>
          </cell>
          <cell r="Q90">
            <v>2.3512029999999999</v>
          </cell>
          <cell r="R90" t="e">
            <v>#N/A</v>
          </cell>
          <cell r="AI90" t="str">
            <v>NOK Norwegian Krone</v>
          </cell>
          <cell r="AJ90" t="str">
            <v>NKr</v>
          </cell>
          <cell r="AK90" t="str">
            <v>NOK</v>
          </cell>
          <cell r="AL90" t="str">
            <v>NOK</v>
          </cell>
          <cell r="AM90">
            <v>0</v>
          </cell>
          <cell r="AN90">
            <v>2</v>
          </cell>
        </row>
        <row r="91">
          <cell r="A91">
            <v>39601</v>
          </cell>
          <cell r="B91">
            <v>39601</v>
          </cell>
          <cell r="C91" t="str">
            <v>Past</v>
          </cell>
          <cell r="D91">
            <v>63.74</v>
          </cell>
          <cell r="E91" t="e">
            <v>#N/A</v>
          </cell>
          <cell r="F91" t="e">
            <v>#N/A</v>
          </cell>
          <cell r="G91" t="e">
            <v>#N/A</v>
          </cell>
          <cell r="H91" t="e">
            <v>#N/A</v>
          </cell>
          <cell r="I91" t="e">
            <v>#N/A</v>
          </cell>
          <cell r="J91" t="e">
            <v>#N/A</v>
          </cell>
          <cell r="K91" t="e">
            <v>#N/A</v>
          </cell>
          <cell r="L91" t="e">
            <v>#N/A</v>
          </cell>
          <cell r="M91" t="e">
            <v>#N/A</v>
          </cell>
          <cell r="N91" t="e">
            <v>#N/A</v>
          </cell>
          <cell r="O91" t="e">
            <v>#N/A</v>
          </cell>
          <cell r="P91">
            <v>63.74</v>
          </cell>
          <cell r="Q91">
            <v>1.1864000000000001</v>
          </cell>
          <cell r="R91" t="e">
            <v>#N/A</v>
          </cell>
          <cell r="AI91" t="str">
            <v>NZD New Zealand Dollars</v>
          </cell>
          <cell r="AJ91" t="str">
            <v>NZ$</v>
          </cell>
          <cell r="AK91" t="str">
            <v>NZD</v>
          </cell>
          <cell r="AL91" t="str">
            <v>NZD</v>
          </cell>
          <cell r="AM91">
            <v>0</v>
          </cell>
          <cell r="AN91">
            <v>2</v>
          </cell>
        </row>
        <row r="92">
          <cell r="A92">
            <v>39602</v>
          </cell>
          <cell r="B92">
            <v>39602</v>
          </cell>
          <cell r="C92" t="str">
            <v>Past</v>
          </cell>
          <cell r="D92">
            <v>59.5</v>
          </cell>
          <cell r="E92" t="e">
            <v>#N/A</v>
          </cell>
          <cell r="F92" t="e">
            <v>#N/A</v>
          </cell>
          <cell r="G92" t="e">
            <v>#N/A</v>
          </cell>
          <cell r="H92" t="e">
            <v>#N/A</v>
          </cell>
          <cell r="I92" t="e">
            <v>#N/A</v>
          </cell>
          <cell r="J92" t="e">
            <v>#N/A</v>
          </cell>
          <cell r="K92" t="e">
            <v>#N/A</v>
          </cell>
          <cell r="L92" t="e">
            <v>#N/A</v>
          </cell>
          <cell r="M92" t="e">
            <v>#N/A</v>
          </cell>
          <cell r="N92" t="e">
            <v>#N/A</v>
          </cell>
          <cell r="O92" t="e">
            <v>#N/A</v>
          </cell>
          <cell r="P92">
            <v>59.5</v>
          </cell>
          <cell r="Q92">
            <v>3.6609089999999997</v>
          </cell>
          <cell r="R92" t="e">
            <v>#N/A</v>
          </cell>
          <cell r="AI92" t="str">
            <v>OMR Rial Omani</v>
          </cell>
          <cell r="AJ92" t="str">
            <v>OMR</v>
          </cell>
          <cell r="AK92" t="str">
            <v>OMR</v>
          </cell>
          <cell r="AL92" t="str">
            <v>OMR</v>
          </cell>
          <cell r="AM92">
            <v>0</v>
          </cell>
          <cell r="AN92">
            <v>2</v>
          </cell>
        </row>
        <row r="93">
          <cell r="A93">
            <v>39603</v>
          </cell>
          <cell r="B93">
            <v>39603</v>
          </cell>
          <cell r="C93" t="str">
            <v>Past</v>
          </cell>
          <cell r="D93">
            <v>57.96</v>
          </cell>
          <cell r="E93" t="e">
            <v>#N/A</v>
          </cell>
          <cell r="F93" t="e">
            <v>#N/A</v>
          </cell>
          <cell r="G93" t="e">
            <v>#N/A</v>
          </cell>
          <cell r="H93" t="e">
            <v>#N/A</v>
          </cell>
          <cell r="I93" t="e">
            <v>#N/A</v>
          </cell>
          <cell r="J93" t="e">
            <v>#N/A</v>
          </cell>
          <cell r="K93" t="e">
            <v>#N/A</v>
          </cell>
          <cell r="L93" t="e">
            <v>#N/A</v>
          </cell>
          <cell r="M93" t="e">
            <v>#N/A</v>
          </cell>
          <cell r="N93" t="e">
            <v>#N/A</v>
          </cell>
          <cell r="O93" t="e">
            <v>#N/A</v>
          </cell>
          <cell r="P93">
            <v>57.96</v>
          </cell>
          <cell r="Q93">
            <v>3.3803179999999999</v>
          </cell>
          <cell r="R93" t="e">
            <v>#N/A</v>
          </cell>
          <cell r="AI93" t="str">
            <v>PAB Panamanian Balboa</v>
          </cell>
          <cell r="AJ93" t="str">
            <v>PAB</v>
          </cell>
          <cell r="AK93" t="str">
            <v>PAB</v>
          </cell>
          <cell r="AL93" t="str">
            <v>PAB</v>
          </cell>
          <cell r="AM93">
            <v>0</v>
          </cell>
          <cell r="AN93">
            <v>2</v>
          </cell>
        </row>
        <row r="94">
          <cell r="A94">
            <v>39604</v>
          </cell>
          <cell r="B94">
            <v>39604</v>
          </cell>
          <cell r="C94" t="str">
            <v>Past</v>
          </cell>
          <cell r="D94">
            <v>57.75</v>
          </cell>
          <cell r="E94" t="e">
            <v>#N/A</v>
          </cell>
          <cell r="F94" t="e">
            <v>#N/A</v>
          </cell>
          <cell r="G94" t="e">
            <v>#N/A</v>
          </cell>
          <cell r="H94" t="e">
            <v>#N/A</v>
          </cell>
          <cell r="I94" t="e">
            <v>#N/A</v>
          </cell>
          <cell r="J94" t="e">
            <v>#N/A</v>
          </cell>
          <cell r="K94" t="e">
            <v>#N/A</v>
          </cell>
          <cell r="L94" t="e">
            <v>#N/A</v>
          </cell>
          <cell r="M94" t="e">
            <v>#N/A</v>
          </cell>
          <cell r="N94" t="e">
            <v>#N/A</v>
          </cell>
          <cell r="O94" t="e">
            <v>#N/A</v>
          </cell>
          <cell r="P94">
            <v>57.75</v>
          </cell>
          <cell r="Q94">
            <v>2.5220849999999997</v>
          </cell>
          <cell r="R94" t="e">
            <v>#N/A</v>
          </cell>
          <cell r="AI94" t="str">
            <v>PEN Peruvian PEN</v>
          </cell>
          <cell r="AJ94" t="str">
            <v>PEN</v>
          </cell>
          <cell r="AK94" t="str">
            <v>PEN</v>
          </cell>
          <cell r="AL94" t="str">
            <v>PEN</v>
          </cell>
          <cell r="AM94">
            <v>0</v>
          </cell>
          <cell r="AN94">
            <v>2</v>
          </cell>
        </row>
        <row r="95">
          <cell r="A95">
            <v>39605</v>
          </cell>
          <cell r="B95">
            <v>39605</v>
          </cell>
          <cell r="C95" t="str">
            <v>Past</v>
          </cell>
          <cell r="D95">
            <v>55.89</v>
          </cell>
          <cell r="E95" t="e">
            <v>#N/A</v>
          </cell>
          <cell r="F95" t="e">
            <v>#N/A</v>
          </cell>
          <cell r="G95" t="e">
            <v>#N/A</v>
          </cell>
          <cell r="H95" t="e">
            <v>#N/A</v>
          </cell>
          <cell r="I95" t="e">
            <v>#N/A</v>
          </cell>
          <cell r="J95" t="e">
            <v>#N/A</v>
          </cell>
          <cell r="K95" t="e">
            <v>#N/A</v>
          </cell>
          <cell r="L95" t="e">
            <v>#N/A</v>
          </cell>
          <cell r="M95" t="e">
            <v>#N/A</v>
          </cell>
          <cell r="N95" t="e">
            <v>#N/A</v>
          </cell>
          <cell r="O95" t="e">
            <v>#N/A</v>
          </cell>
          <cell r="P95">
            <v>55.89</v>
          </cell>
          <cell r="Q95">
            <v>2.8522529999999997</v>
          </cell>
          <cell r="R95" t="e">
            <v>#N/A</v>
          </cell>
          <cell r="AI95" t="str">
            <v>PHP Philippino Peso</v>
          </cell>
          <cell r="AJ95" t="str">
            <v>PP</v>
          </cell>
          <cell r="AK95" t="str">
            <v>PHP</v>
          </cell>
          <cell r="AL95" t="str">
            <v>PHP</v>
          </cell>
          <cell r="AM95">
            <v>0</v>
          </cell>
          <cell r="AN95">
            <v>2</v>
          </cell>
        </row>
        <row r="96">
          <cell r="A96">
            <v>39608</v>
          </cell>
          <cell r="B96">
            <v>39608</v>
          </cell>
          <cell r="C96" t="str">
            <v>Past</v>
          </cell>
          <cell r="D96">
            <v>55.75</v>
          </cell>
          <cell r="E96" t="e">
            <v>#N/A</v>
          </cell>
          <cell r="F96" t="e">
            <v>#N/A</v>
          </cell>
          <cell r="G96" t="e">
            <v>#N/A</v>
          </cell>
          <cell r="H96" t="e">
            <v>#N/A</v>
          </cell>
          <cell r="I96" t="e">
            <v>#N/A</v>
          </cell>
          <cell r="J96" t="e">
            <v>#N/A</v>
          </cell>
          <cell r="K96" t="e">
            <v>#N/A</v>
          </cell>
          <cell r="L96" t="e">
            <v>#N/A</v>
          </cell>
          <cell r="M96" t="e">
            <v>#N/A</v>
          </cell>
          <cell r="N96" t="e">
            <v>#N/A</v>
          </cell>
          <cell r="O96" t="e">
            <v>#N/A</v>
          </cell>
          <cell r="P96">
            <v>55.75</v>
          </cell>
          <cell r="Q96">
            <v>1.777026</v>
          </cell>
          <cell r="R96" t="e">
            <v>#N/A</v>
          </cell>
          <cell r="AI96" t="str">
            <v>PKR Pakistani Rupee</v>
          </cell>
          <cell r="AJ96" t="str">
            <v>Rs.</v>
          </cell>
          <cell r="AK96" t="str">
            <v>PKR</v>
          </cell>
          <cell r="AL96" t="str">
            <v>PKR</v>
          </cell>
          <cell r="AM96">
            <v>0</v>
          </cell>
          <cell r="AN96">
            <v>2</v>
          </cell>
        </row>
        <row r="97">
          <cell r="A97">
            <v>39609</v>
          </cell>
          <cell r="B97">
            <v>39609</v>
          </cell>
          <cell r="C97" t="str">
            <v>Past</v>
          </cell>
          <cell r="D97">
            <v>54.96</v>
          </cell>
          <cell r="E97" t="e">
            <v>#N/A</v>
          </cell>
          <cell r="F97" t="e">
            <v>#N/A</v>
          </cell>
          <cell r="G97" t="e">
            <v>#N/A</v>
          </cell>
          <cell r="H97" t="e">
            <v>#N/A</v>
          </cell>
          <cell r="I97" t="e">
            <v>#N/A</v>
          </cell>
          <cell r="J97" t="e">
            <v>#N/A</v>
          </cell>
          <cell r="K97" t="e">
            <v>#N/A</v>
          </cell>
          <cell r="L97" t="e">
            <v>#N/A</v>
          </cell>
          <cell r="M97" t="e">
            <v>#N/A</v>
          </cell>
          <cell r="N97" t="e">
            <v>#N/A</v>
          </cell>
          <cell r="O97" t="e">
            <v>#N/A</v>
          </cell>
          <cell r="P97">
            <v>54.96</v>
          </cell>
          <cell r="Q97">
            <v>1.8523269999999998</v>
          </cell>
          <cell r="R97" t="e">
            <v>#N/A</v>
          </cell>
          <cell r="AI97" t="str">
            <v>PLN Polish Zloty</v>
          </cell>
          <cell r="AJ97" t="str">
            <v>zł</v>
          </cell>
          <cell r="AK97" t="str">
            <v>PLN</v>
          </cell>
          <cell r="AL97" t="str">
            <v>PLN</v>
          </cell>
          <cell r="AM97">
            <v>0</v>
          </cell>
          <cell r="AN97">
            <v>2</v>
          </cell>
        </row>
        <row r="98">
          <cell r="A98">
            <v>39610</v>
          </cell>
          <cell r="B98">
            <v>39610</v>
          </cell>
          <cell r="C98" t="str">
            <v>Past</v>
          </cell>
          <cell r="D98">
            <v>53.71</v>
          </cell>
          <cell r="E98" t="e">
            <v>#N/A</v>
          </cell>
          <cell r="F98" t="e">
            <v>#N/A</v>
          </cell>
          <cell r="G98" t="e">
            <v>#N/A</v>
          </cell>
          <cell r="H98" t="e">
            <v>#N/A</v>
          </cell>
          <cell r="I98" t="e">
            <v>#N/A</v>
          </cell>
          <cell r="J98" t="e">
            <v>#N/A</v>
          </cell>
          <cell r="K98" t="e">
            <v>#N/A</v>
          </cell>
          <cell r="L98" t="e">
            <v>#N/A</v>
          </cell>
          <cell r="M98" t="e">
            <v>#N/A</v>
          </cell>
          <cell r="N98" t="e">
            <v>#N/A</v>
          </cell>
          <cell r="O98" t="e">
            <v>#N/A</v>
          </cell>
          <cell r="P98">
            <v>53.71</v>
          </cell>
          <cell r="Q98">
            <v>2.134744</v>
          </cell>
          <cell r="R98" t="e">
            <v>#N/A</v>
          </cell>
          <cell r="AI98" t="str">
            <v>QAR Qatari Riyal</v>
          </cell>
          <cell r="AJ98" t="str">
            <v>QAR</v>
          </cell>
          <cell r="AK98" t="str">
            <v>QAR</v>
          </cell>
          <cell r="AL98" t="str">
            <v>QAR</v>
          </cell>
          <cell r="AM98">
            <v>0</v>
          </cell>
          <cell r="AN98">
            <v>2</v>
          </cell>
        </row>
        <row r="99">
          <cell r="A99">
            <v>39611</v>
          </cell>
          <cell r="B99">
            <v>39611</v>
          </cell>
          <cell r="C99" t="str">
            <v>Past</v>
          </cell>
          <cell r="D99">
            <v>53.81</v>
          </cell>
          <cell r="E99" t="e">
            <v>#N/A</v>
          </cell>
          <cell r="F99" t="e">
            <v>#N/A</v>
          </cell>
          <cell r="G99" t="e">
            <v>#N/A</v>
          </cell>
          <cell r="H99" t="e">
            <v>#N/A</v>
          </cell>
          <cell r="I99" t="e">
            <v>#N/A</v>
          </cell>
          <cell r="J99" t="e">
            <v>#N/A</v>
          </cell>
          <cell r="K99" t="e">
            <v>#N/A</v>
          </cell>
          <cell r="L99" t="e">
            <v>#N/A</v>
          </cell>
          <cell r="M99" t="e">
            <v>#N/A</v>
          </cell>
          <cell r="N99" t="e">
            <v>#N/A</v>
          </cell>
          <cell r="O99" t="e">
            <v>#N/A</v>
          </cell>
          <cell r="P99">
            <v>53.81</v>
          </cell>
          <cell r="Q99">
            <v>3.229787</v>
          </cell>
          <cell r="R99" t="e">
            <v>#N/A</v>
          </cell>
          <cell r="AI99" t="str">
            <v>RUB Russian Rouble</v>
          </cell>
          <cell r="AJ99" t="str">
            <v>RUB</v>
          </cell>
          <cell r="AK99" t="str">
            <v>RUB</v>
          </cell>
          <cell r="AL99" t="str">
            <v>RUB</v>
          </cell>
          <cell r="AM99">
            <v>0</v>
          </cell>
          <cell r="AN99">
            <v>2</v>
          </cell>
        </row>
        <row r="100">
          <cell r="A100">
            <v>39612</v>
          </cell>
          <cell r="B100">
            <v>39612</v>
          </cell>
          <cell r="C100" t="str">
            <v>Past</v>
          </cell>
          <cell r="D100">
            <v>54.19</v>
          </cell>
          <cell r="E100" t="e">
            <v>#N/A</v>
          </cell>
          <cell r="F100" t="e">
            <v>#N/A</v>
          </cell>
          <cell r="G100" t="e">
            <v>#N/A</v>
          </cell>
          <cell r="H100" t="e">
            <v>#N/A</v>
          </cell>
          <cell r="I100" t="e">
            <v>#N/A</v>
          </cell>
          <cell r="J100" t="e">
            <v>#N/A</v>
          </cell>
          <cell r="K100" t="e">
            <v>#N/A</v>
          </cell>
          <cell r="L100" t="e">
            <v>#N/A</v>
          </cell>
          <cell r="M100" t="e">
            <v>#N/A</v>
          </cell>
          <cell r="N100" t="e">
            <v>#N/A</v>
          </cell>
          <cell r="O100" t="e">
            <v>#N/A</v>
          </cell>
          <cell r="P100">
            <v>54.19</v>
          </cell>
          <cell r="Q100">
            <v>2.7294489999999998</v>
          </cell>
          <cell r="R100" t="e">
            <v>#N/A</v>
          </cell>
          <cell r="AI100" t="str">
            <v>SAR Saudi Riyal</v>
          </cell>
          <cell r="AJ100" t="str">
            <v>SAR</v>
          </cell>
          <cell r="AK100" t="str">
            <v>SAR</v>
          </cell>
          <cell r="AL100" t="str">
            <v>SAR</v>
          </cell>
          <cell r="AM100">
            <v>0</v>
          </cell>
          <cell r="AN100">
            <v>2</v>
          </cell>
        </row>
        <row r="101">
          <cell r="A101">
            <v>39615</v>
          </cell>
          <cell r="B101">
            <v>39615</v>
          </cell>
          <cell r="C101" t="str">
            <v>Past</v>
          </cell>
          <cell r="D101">
            <v>53.99</v>
          </cell>
          <cell r="E101" t="e">
            <v>#N/A</v>
          </cell>
          <cell r="F101" t="e">
            <v>#N/A</v>
          </cell>
          <cell r="G101" t="e">
            <v>#N/A</v>
          </cell>
          <cell r="H101" t="e">
            <v>#N/A</v>
          </cell>
          <cell r="I101" t="e">
            <v>#N/A</v>
          </cell>
          <cell r="J101" t="e">
            <v>#N/A</v>
          </cell>
          <cell r="K101" t="e">
            <v>#N/A</v>
          </cell>
          <cell r="L101" t="e">
            <v>#N/A</v>
          </cell>
          <cell r="M101" t="e">
            <v>#N/A</v>
          </cell>
          <cell r="N101" t="e">
            <v>#N/A</v>
          </cell>
          <cell r="O101" t="e">
            <v>#N/A</v>
          </cell>
          <cell r="P101">
            <v>53.99</v>
          </cell>
          <cell r="Q101">
            <v>1.8608629999999999</v>
          </cell>
          <cell r="R101" t="e">
            <v>#N/A</v>
          </cell>
          <cell r="AI101" t="str">
            <v>SEK Swedish Krona</v>
          </cell>
          <cell r="AJ101" t="str">
            <v>SKr</v>
          </cell>
          <cell r="AK101" t="str">
            <v>SEK</v>
          </cell>
          <cell r="AL101" t="str">
            <v>SEK</v>
          </cell>
          <cell r="AM101">
            <v>0</v>
          </cell>
          <cell r="AN101">
            <v>2</v>
          </cell>
        </row>
        <row r="102">
          <cell r="A102">
            <v>39616</v>
          </cell>
          <cell r="B102">
            <v>39616</v>
          </cell>
          <cell r="C102" t="str">
            <v>Past</v>
          </cell>
          <cell r="D102">
            <v>52.1</v>
          </cell>
          <cell r="E102" t="e">
            <v>#N/A</v>
          </cell>
          <cell r="F102" t="e">
            <v>#N/A</v>
          </cell>
          <cell r="G102" t="e">
            <v>#N/A</v>
          </cell>
          <cell r="H102" t="e">
            <v>#N/A</v>
          </cell>
          <cell r="I102" t="e">
            <v>#N/A</v>
          </cell>
          <cell r="J102" t="e">
            <v>#N/A</v>
          </cell>
          <cell r="K102" t="e">
            <v>#N/A</v>
          </cell>
          <cell r="L102" t="e">
            <v>#N/A</v>
          </cell>
          <cell r="M102" t="e">
            <v>#N/A</v>
          </cell>
          <cell r="N102" t="e">
            <v>#N/A</v>
          </cell>
          <cell r="O102" t="e">
            <v>#N/A</v>
          </cell>
          <cell r="P102">
            <v>52.1</v>
          </cell>
          <cell r="Q102">
            <v>3.3241559999999999</v>
          </cell>
          <cell r="R102" t="e">
            <v>#N/A</v>
          </cell>
          <cell r="AI102" t="str">
            <v>SGD Singapore Dollar</v>
          </cell>
          <cell r="AJ102" t="str">
            <v>S$</v>
          </cell>
          <cell r="AK102" t="str">
            <v>SGD</v>
          </cell>
          <cell r="AL102" t="str">
            <v>SGD</v>
          </cell>
          <cell r="AM102">
            <v>0</v>
          </cell>
          <cell r="AN102">
            <v>2</v>
          </cell>
        </row>
        <row r="103">
          <cell r="A103">
            <v>39617</v>
          </cell>
          <cell r="B103">
            <v>39617</v>
          </cell>
          <cell r="C103" t="str">
            <v>Past</v>
          </cell>
          <cell r="D103">
            <v>52.78</v>
          </cell>
          <cell r="E103" t="e">
            <v>#N/A</v>
          </cell>
          <cell r="F103" t="e">
            <v>#N/A</v>
          </cell>
          <cell r="G103" t="e">
            <v>#N/A</v>
          </cell>
          <cell r="H103" t="e">
            <v>#N/A</v>
          </cell>
          <cell r="I103" t="e">
            <v>#N/A</v>
          </cell>
          <cell r="J103" t="e">
            <v>#N/A</v>
          </cell>
          <cell r="K103" t="e">
            <v>#N/A</v>
          </cell>
          <cell r="L103" t="e">
            <v>#N/A</v>
          </cell>
          <cell r="M103" t="e">
            <v>#N/A</v>
          </cell>
          <cell r="N103" t="e">
            <v>#N/A</v>
          </cell>
          <cell r="O103" t="e">
            <v>#N/A</v>
          </cell>
          <cell r="P103">
            <v>52.78</v>
          </cell>
          <cell r="Q103">
            <v>2.2811879999999998</v>
          </cell>
          <cell r="R103" t="e">
            <v>#N/A</v>
          </cell>
          <cell r="AI103" t="str">
            <v>THB Thailand Baht</v>
          </cell>
          <cell r="AJ103" t="str">
            <v>Bt</v>
          </cell>
          <cell r="AK103" t="str">
            <v>THB</v>
          </cell>
          <cell r="AL103" t="str">
            <v>THB</v>
          </cell>
          <cell r="AM103">
            <v>0</v>
          </cell>
          <cell r="AN103">
            <v>2</v>
          </cell>
        </row>
        <row r="104">
          <cell r="A104">
            <v>39618</v>
          </cell>
          <cell r="B104">
            <v>39618</v>
          </cell>
          <cell r="C104" t="str">
            <v>Past</v>
          </cell>
          <cell r="D104">
            <v>52.62</v>
          </cell>
          <cell r="E104" t="e">
            <v>#N/A</v>
          </cell>
          <cell r="F104" t="e">
            <v>#N/A</v>
          </cell>
          <cell r="G104" t="e">
            <v>#N/A</v>
          </cell>
          <cell r="H104" t="e">
            <v>#N/A</v>
          </cell>
          <cell r="I104" t="e">
            <v>#N/A</v>
          </cell>
          <cell r="J104" t="e">
            <v>#N/A</v>
          </cell>
          <cell r="K104" t="e">
            <v>#N/A</v>
          </cell>
          <cell r="L104" t="e">
            <v>#N/A</v>
          </cell>
          <cell r="M104" t="e">
            <v>#N/A</v>
          </cell>
          <cell r="N104" t="e">
            <v>#N/A</v>
          </cell>
          <cell r="O104" t="e">
            <v>#N/A</v>
          </cell>
          <cell r="P104">
            <v>52.62</v>
          </cell>
          <cell r="Q104">
            <v>1.6197219999999999</v>
          </cell>
          <cell r="R104" t="e">
            <v>#N/A</v>
          </cell>
          <cell r="AI104" t="str">
            <v>TND Tunisian Dinar</v>
          </cell>
          <cell r="AJ104" t="str">
            <v>TND</v>
          </cell>
          <cell r="AK104" t="str">
            <v>TND</v>
          </cell>
          <cell r="AL104" t="str">
            <v>TND</v>
          </cell>
          <cell r="AM104">
            <v>0</v>
          </cell>
          <cell r="AN104">
            <v>2</v>
          </cell>
        </row>
        <row r="105">
          <cell r="A105">
            <v>39619</v>
          </cell>
          <cell r="B105">
            <v>39619</v>
          </cell>
          <cell r="C105" t="str">
            <v>Past</v>
          </cell>
          <cell r="D105">
            <v>52.15</v>
          </cell>
          <cell r="E105" t="e">
            <v>#N/A</v>
          </cell>
          <cell r="F105" t="e">
            <v>#N/A</v>
          </cell>
          <cell r="G105" t="e">
            <v>#N/A</v>
          </cell>
          <cell r="H105" t="e">
            <v>#N/A</v>
          </cell>
          <cell r="I105" t="e">
            <v>#N/A</v>
          </cell>
          <cell r="J105" t="e">
            <v>#N/A</v>
          </cell>
          <cell r="K105" t="e">
            <v>#N/A</v>
          </cell>
          <cell r="L105" t="e">
            <v>#N/A</v>
          </cell>
          <cell r="M105" t="e">
            <v>#N/A</v>
          </cell>
          <cell r="N105" t="e">
            <v>#N/A</v>
          </cell>
          <cell r="O105" t="e">
            <v>#N/A</v>
          </cell>
          <cell r="P105">
            <v>52.15</v>
          </cell>
          <cell r="Q105">
            <v>2.097534</v>
          </cell>
          <cell r="R105" t="e">
            <v>#N/A</v>
          </cell>
          <cell r="AI105" t="str">
            <v>TRY Turkish Lira</v>
          </cell>
          <cell r="AJ105" t="str">
            <v>TL</v>
          </cell>
          <cell r="AK105" t="str">
            <v>TRY</v>
          </cell>
          <cell r="AL105" t="str">
            <v>TRY</v>
          </cell>
          <cell r="AM105">
            <v>0</v>
          </cell>
          <cell r="AN105">
            <v>2</v>
          </cell>
        </row>
        <row r="106">
          <cell r="A106">
            <v>39622</v>
          </cell>
          <cell r="B106">
            <v>39622</v>
          </cell>
          <cell r="C106" t="str">
            <v>Past</v>
          </cell>
          <cell r="D106">
            <v>51.87</v>
          </cell>
          <cell r="E106" t="e">
            <v>#N/A</v>
          </cell>
          <cell r="F106" t="e">
            <v>#N/A</v>
          </cell>
          <cell r="G106" t="e">
            <v>#N/A</v>
          </cell>
          <cell r="H106" t="e">
            <v>#N/A</v>
          </cell>
          <cell r="I106" t="e">
            <v>#N/A</v>
          </cell>
          <cell r="J106" t="e">
            <v>#N/A</v>
          </cell>
          <cell r="K106" t="e">
            <v>#N/A</v>
          </cell>
          <cell r="L106" t="e">
            <v>#N/A</v>
          </cell>
          <cell r="M106" t="e">
            <v>#N/A</v>
          </cell>
          <cell r="N106" t="e">
            <v>#N/A</v>
          </cell>
          <cell r="O106" t="e">
            <v>#N/A</v>
          </cell>
          <cell r="P106">
            <v>51.87</v>
          </cell>
          <cell r="Q106">
            <v>1.374647</v>
          </cell>
          <cell r="R106" t="e">
            <v>#N/A</v>
          </cell>
          <cell r="AI106" t="str">
            <v>TWD New Taiwan Dollar</v>
          </cell>
          <cell r="AJ106" t="str">
            <v>NT$</v>
          </cell>
          <cell r="AK106" t="str">
            <v>TWD</v>
          </cell>
          <cell r="AL106" t="str">
            <v>TWD</v>
          </cell>
          <cell r="AM106">
            <v>0</v>
          </cell>
          <cell r="AN106">
            <v>2</v>
          </cell>
        </row>
        <row r="107">
          <cell r="A107">
            <v>39623</v>
          </cell>
          <cell r="B107">
            <v>39623</v>
          </cell>
          <cell r="C107" t="str">
            <v>Past</v>
          </cell>
          <cell r="D107">
            <v>51.78</v>
          </cell>
          <cell r="E107" t="e">
            <v>#N/A</v>
          </cell>
          <cell r="F107" t="e">
            <v>#N/A</v>
          </cell>
          <cell r="G107" t="e">
            <v>#N/A</v>
          </cell>
          <cell r="H107" t="e">
            <v>#N/A</v>
          </cell>
          <cell r="I107" t="e">
            <v>#N/A</v>
          </cell>
          <cell r="J107" t="e">
            <v>#N/A</v>
          </cell>
          <cell r="K107" t="e">
            <v>#N/A</v>
          </cell>
          <cell r="L107" t="e">
            <v>#N/A</v>
          </cell>
          <cell r="M107" t="e">
            <v>#N/A</v>
          </cell>
          <cell r="N107" t="e">
            <v>#N/A</v>
          </cell>
          <cell r="O107" t="e">
            <v>#N/A</v>
          </cell>
          <cell r="P107">
            <v>51.78</v>
          </cell>
          <cell r="Q107">
            <v>1.6075429999999999</v>
          </cell>
          <cell r="R107" t="e">
            <v>#N/A</v>
          </cell>
          <cell r="AI107" t="str">
            <v>UAH Ukrainian Hryvnia</v>
          </cell>
          <cell r="AJ107" t="str">
            <v>UAH</v>
          </cell>
          <cell r="AK107" t="str">
            <v>UAH</v>
          </cell>
          <cell r="AL107" t="str">
            <v>UAH</v>
          </cell>
          <cell r="AM107">
            <v>0</v>
          </cell>
          <cell r="AN107">
            <v>2</v>
          </cell>
        </row>
        <row r="108">
          <cell r="A108">
            <v>39624</v>
          </cell>
          <cell r="B108">
            <v>39624</v>
          </cell>
          <cell r="C108" t="str">
            <v>Past</v>
          </cell>
          <cell r="D108">
            <v>50.29</v>
          </cell>
          <cell r="E108" t="e">
            <v>#N/A</v>
          </cell>
          <cell r="F108" t="e">
            <v>#N/A</v>
          </cell>
          <cell r="G108" t="e">
            <v>#N/A</v>
          </cell>
          <cell r="H108" t="e">
            <v>#N/A</v>
          </cell>
          <cell r="I108" t="e">
            <v>#N/A</v>
          </cell>
          <cell r="J108" t="e">
            <v>#N/A</v>
          </cell>
          <cell r="K108" t="e">
            <v>#N/A</v>
          </cell>
          <cell r="L108" t="e">
            <v>#N/A</v>
          </cell>
          <cell r="M108" t="e">
            <v>#N/A</v>
          </cell>
          <cell r="N108" t="e">
            <v>#N/A</v>
          </cell>
          <cell r="O108" t="e">
            <v>#N/A</v>
          </cell>
          <cell r="P108">
            <v>50.29</v>
          </cell>
          <cell r="Q108">
            <v>2.872887</v>
          </cell>
          <cell r="R108" t="e">
            <v>#N/A</v>
          </cell>
          <cell r="AI108" t="str">
            <v>USD American Dollar</v>
          </cell>
          <cell r="AJ108" t="str">
            <v>$</v>
          </cell>
          <cell r="AK108" t="str">
            <v>USD</v>
          </cell>
          <cell r="AL108" t="str">
            <v>USD</v>
          </cell>
          <cell r="AM108">
            <v>0</v>
          </cell>
          <cell r="AN108">
            <v>2</v>
          </cell>
        </row>
        <row r="109">
          <cell r="A109">
            <v>39625</v>
          </cell>
          <cell r="B109">
            <v>39625</v>
          </cell>
          <cell r="C109" t="str">
            <v>Past</v>
          </cell>
          <cell r="D109">
            <v>49.25</v>
          </cell>
          <cell r="E109" t="e">
            <v>#N/A</v>
          </cell>
          <cell r="F109" t="e">
            <v>#N/A</v>
          </cell>
          <cell r="G109" t="e">
            <v>#N/A</v>
          </cell>
          <cell r="H109" t="e">
            <v>#N/A</v>
          </cell>
          <cell r="I109" t="e">
            <v>#N/A</v>
          </cell>
          <cell r="J109" t="e">
            <v>#N/A</v>
          </cell>
          <cell r="K109" t="e">
            <v>#N/A</v>
          </cell>
          <cell r="L109" t="e">
            <v>#N/A</v>
          </cell>
          <cell r="M109" t="e">
            <v>#N/A</v>
          </cell>
          <cell r="N109" t="e">
            <v>#N/A</v>
          </cell>
          <cell r="O109" t="e">
            <v>#N/A</v>
          </cell>
          <cell r="P109">
            <v>49.25</v>
          </cell>
          <cell r="Q109">
            <v>2.0091730000000001</v>
          </cell>
          <cell r="R109" t="e">
            <v>#N/A</v>
          </cell>
          <cell r="AI109" t="str">
            <v>VEB Venezuelan Bolivar</v>
          </cell>
          <cell r="AJ109" t="str">
            <v>VEB</v>
          </cell>
          <cell r="AK109" t="str">
            <v>VEB</v>
          </cell>
          <cell r="AL109" t="str">
            <v>VEB</v>
          </cell>
          <cell r="AM109">
            <v>0</v>
          </cell>
          <cell r="AN109">
            <v>2</v>
          </cell>
        </row>
        <row r="110">
          <cell r="A110">
            <v>39626</v>
          </cell>
          <cell r="B110">
            <v>39626</v>
          </cell>
          <cell r="C110" t="str">
            <v>Past</v>
          </cell>
          <cell r="D110">
            <v>48.33</v>
          </cell>
          <cell r="E110" t="e">
            <v>#N/A</v>
          </cell>
          <cell r="F110" t="e">
            <v>#N/A</v>
          </cell>
          <cell r="G110" t="e">
            <v>#N/A</v>
          </cell>
          <cell r="H110" t="e">
            <v>#N/A</v>
          </cell>
          <cell r="I110" t="e">
            <v>#N/A</v>
          </cell>
          <cell r="J110" t="e">
            <v>#N/A</v>
          </cell>
          <cell r="K110" t="e">
            <v>#N/A</v>
          </cell>
          <cell r="L110" t="e">
            <v>#N/A</v>
          </cell>
          <cell r="M110" t="e">
            <v>#N/A</v>
          </cell>
          <cell r="N110" t="e">
            <v>#N/A</v>
          </cell>
          <cell r="O110" t="e">
            <v>#N/A</v>
          </cell>
          <cell r="P110">
            <v>48.33</v>
          </cell>
          <cell r="Q110">
            <v>2.0914809999999999</v>
          </cell>
          <cell r="R110" t="e">
            <v>#N/A</v>
          </cell>
          <cell r="AI110" t="str">
            <v>ZAc South African Cent</v>
          </cell>
          <cell r="AJ110" t="str">
            <v>ZAc</v>
          </cell>
          <cell r="AK110" t="str">
            <v>ZAc</v>
          </cell>
          <cell r="AL110" t="str">
            <v>ZAc</v>
          </cell>
          <cell r="AM110">
            <v>0</v>
          </cell>
          <cell r="AN110">
            <v>0</v>
          </cell>
        </row>
        <row r="111">
          <cell r="A111">
            <v>39629</v>
          </cell>
          <cell r="B111">
            <v>39629</v>
          </cell>
          <cell r="C111" t="str">
            <v>Past</v>
          </cell>
          <cell r="D111">
            <v>47.46</v>
          </cell>
          <cell r="E111" t="e">
            <v>#N/A</v>
          </cell>
          <cell r="F111" t="e">
            <v>#N/A</v>
          </cell>
          <cell r="G111" t="e">
            <v>#N/A</v>
          </cell>
          <cell r="H111" t="e">
            <v>#N/A</v>
          </cell>
          <cell r="I111" t="e">
            <v>#N/A</v>
          </cell>
          <cell r="J111" t="e">
            <v>#N/A</v>
          </cell>
          <cell r="K111" t="e">
            <v>#N/A</v>
          </cell>
          <cell r="L111" t="e">
            <v>#N/A</v>
          </cell>
          <cell r="M111" t="e">
            <v>#N/A</v>
          </cell>
          <cell r="N111" t="e">
            <v>#N/A</v>
          </cell>
          <cell r="O111" t="e">
            <v>#N/A</v>
          </cell>
          <cell r="P111">
            <v>47.46</v>
          </cell>
          <cell r="Q111">
            <v>2.2978000000000001</v>
          </cell>
          <cell r="R111" t="e">
            <v>#N/A</v>
          </cell>
          <cell r="AI111" t="str">
            <v>ZAR South African rand</v>
          </cell>
          <cell r="AJ111" t="str">
            <v>ZAR</v>
          </cell>
          <cell r="AK111" t="str">
            <v>ZAR</v>
          </cell>
          <cell r="AL111" t="str">
            <v>ZAR</v>
          </cell>
          <cell r="AM111">
            <v>0</v>
          </cell>
          <cell r="AN111">
            <v>2</v>
          </cell>
        </row>
        <row r="112">
          <cell r="A112">
            <v>39630</v>
          </cell>
          <cell r="B112">
            <v>39630</v>
          </cell>
          <cell r="C112" t="str">
            <v>Past</v>
          </cell>
          <cell r="D112">
            <v>47.67</v>
          </cell>
          <cell r="E112" t="e">
            <v>#N/A</v>
          </cell>
          <cell r="F112" t="e">
            <v>#N/A</v>
          </cell>
          <cell r="G112" t="e">
            <v>#N/A</v>
          </cell>
          <cell r="H112" t="e">
            <v>#N/A</v>
          </cell>
          <cell r="I112" t="e">
            <v>#N/A</v>
          </cell>
          <cell r="J112" t="e">
            <v>#N/A</v>
          </cell>
          <cell r="K112" t="e">
            <v>#N/A</v>
          </cell>
          <cell r="L112" t="e">
            <v>#N/A</v>
          </cell>
          <cell r="M112" t="e">
            <v>#N/A</v>
          </cell>
          <cell r="N112" t="e">
            <v>#N/A</v>
          </cell>
          <cell r="O112" t="e">
            <v>#N/A</v>
          </cell>
          <cell r="P112">
            <v>47.67</v>
          </cell>
          <cell r="Q112">
            <v>2.2609269999999997</v>
          </cell>
          <cell r="R112" t="e">
            <v>#N/A</v>
          </cell>
          <cell r="AI112" t="str">
            <v xml:space="preserve">ZMK Zambian Kwacha </v>
          </cell>
          <cell r="AJ112" t="str">
            <v>ZMK</v>
          </cell>
          <cell r="AK112" t="str">
            <v>ZMK</v>
          </cell>
          <cell r="AL112" t="str">
            <v>ZMK</v>
          </cell>
          <cell r="AM112">
            <v>0</v>
          </cell>
          <cell r="AN112">
            <v>2</v>
          </cell>
        </row>
        <row r="113">
          <cell r="A113">
            <v>39631</v>
          </cell>
          <cell r="B113">
            <v>39631</v>
          </cell>
          <cell r="C113" t="str">
            <v>Past</v>
          </cell>
          <cell r="D113">
            <v>46.07</v>
          </cell>
          <cell r="E113" t="e">
            <v>#N/A</v>
          </cell>
          <cell r="F113" t="e">
            <v>#N/A</v>
          </cell>
          <cell r="G113" t="e">
            <v>#N/A</v>
          </cell>
          <cell r="H113" t="e">
            <v>#N/A</v>
          </cell>
          <cell r="I113" t="e">
            <v>#N/A</v>
          </cell>
          <cell r="J113" t="e">
            <v>#N/A</v>
          </cell>
          <cell r="K113" t="e">
            <v>#N/A</v>
          </cell>
          <cell r="L113" t="e">
            <v>#N/A</v>
          </cell>
          <cell r="M113" t="e">
            <v>#N/A</v>
          </cell>
          <cell r="N113" t="e">
            <v>#N/A</v>
          </cell>
          <cell r="O113" t="e">
            <v>#N/A</v>
          </cell>
          <cell r="P113">
            <v>46.07</v>
          </cell>
          <cell r="Q113">
            <v>1.8350629999999999</v>
          </cell>
          <cell r="R113" t="e">
            <v>#N/A</v>
          </cell>
        </row>
        <row r="114">
          <cell r="A114">
            <v>39632</v>
          </cell>
          <cell r="B114">
            <v>39632</v>
          </cell>
          <cell r="C114" t="str">
            <v>Past</v>
          </cell>
          <cell r="D114">
            <v>46.26</v>
          </cell>
          <cell r="E114" t="e">
            <v>#N/A</v>
          </cell>
          <cell r="F114" t="e">
            <v>#N/A</v>
          </cell>
          <cell r="G114" t="e">
            <v>#N/A</v>
          </cell>
          <cell r="H114" t="e">
            <v>#N/A</v>
          </cell>
          <cell r="I114" t="e">
            <v>#N/A</v>
          </cell>
          <cell r="J114" t="e">
            <v>#N/A</v>
          </cell>
          <cell r="K114" t="e">
            <v>#N/A</v>
          </cell>
          <cell r="L114" t="e">
            <v>#N/A</v>
          </cell>
          <cell r="M114" t="e">
            <v>#N/A</v>
          </cell>
          <cell r="N114" t="e">
            <v>#N/A</v>
          </cell>
          <cell r="O114" t="e">
            <v>#N/A</v>
          </cell>
          <cell r="P114">
            <v>46.26</v>
          </cell>
          <cell r="Q114">
            <v>1.0363419999999999</v>
          </cell>
          <cell r="R114" t="e">
            <v>#N/A</v>
          </cell>
        </row>
        <row r="115">
          <cell r="A115">
            <v>39636</v>
          </cell>
          <cell r="B115">
            <v>39636</v>
          </cell>
          <cell r="C115" t="str">
            <v>Past</v>
          </cell>
          <cell r="D115">
            <v>46.17</v>
          </cell>
          <cell r="E115" t="e">
            <v>#N/A</v>
          </cell>
          <cell r="F115" t="e">
            <v>#N/A</v>
          </cell>
          <cell r="G115" t="e">
            <v>#N/A</v>
          </cell>
          <cell r="H115" t="e">
            <v>#N/A</v>
          </cell>
          <cell r="I115" t="e">
            <v>#N/A</v>
          </cell>
          <cell r="J115" t="e">
            <v>#N/A</v>
          </cell>
          <cell r="K115" t="e">
            <v>#N/A</v>
          </cell>
          <cell r="L115" t="e">
            <v>#N/A</v>
          </cell>
          <cell r="M115" t="e">
            <v>#N/A</v>
          </cell>
          <cell r="N115" t="e">
            <v>#N/A</v>
          </cell>
          <cell r="O115" t="e">
            <v>#N/A</v>
          </cell>
          <cell r="P115">
            <v>46.17</v>
          </cell>
          <cell r="Q115">
            <v>1.9667629999999998</v>
          </cell>
          <cell r="R115" t="e">
            <v>#N/A</v>
          </cell>
        </row>
        <row r="116">
          <cell r="A116">
            <v>39637</v>
          </cell>
          <cell r="B116">
            <v>39637</v>
          </cell>
          <cell r="C116" t="str">
            <v>Past</v>
          </cell>
          <cell r="D116">
            <v>48</v>
          </cell>
          <cell r="E116" t="e">
            <v>#N/A</v>
          </cell>
          <cell r="F116" t="e">
            <v>#N/A</v>
          </cell>
          <cell r="G116" t="e">
            <v>#N/A</v>
          </cell>
          <cell r="H116" t="e">
            <v>#N/A</v>
          </cell>
          <cell r="I116" t="e">
            <v>#N/A</v>
          </cell>
          <cell r="J116" t="e">
            <v>#N/A</v>
          </cell>
          <cell r="K116" t="e">
            <v>#N/A</v>
          </cell>
          <cell r="L116" t="e">
            <v>#N/A</v>
          </cell>
          <cell r="M116" t="e">
            <v>#N/A</v>
          </cell>
          <cell r="N116" t="e">
            <v>#N/A</v>
          </cell>
          <cell r="O116" t="e">
            <v>#N/A</v>
          </cell>
          <cell r="P116">
            <v>48</v>
          </cell>
          <cell r="Q116">
            <v>2.1820360000000001</v>
          </cell>
          <cell r="R116" t="e">
            <v>#N/A</v>
          </cell>
        </row>
        <row r="117">
          <cell r="A117">
            <v>39638</v>
          </cell>
          <cell r="B117">
            <v>39638</v>
          </cell>
          <cell r="C117" t="str">
            <v>Past</v>
          </cell>
          <cell r="D117">
            <v>46.04</v>
          </cell>
          <cell r="E117" t="e">
            <v>#N/A</v>
          </cell>
          <cell r="F117" t="e">
            <v>#N/A</v>
          </cell>
          <cell r="G117" t="e">
            <v>#N/A</v>
          </cell>
          <cell r="H117" t="e">
            <v>#N/A</v>
          </cell>
          <cell r="I117" t="e">
            <v>#N/A</v>
          </cell>
          <cell r="J117" t="e">
            <v>#N/A</v>
          </cell>
          <cell r="K117" t="e">
            <v>#N/A</v>
          </cell>
          <cell r="L117" t="e">
            <v>#N/A</v>
          </cell>
          <cell r="M117" t="e">
            <v>#N/A</v>
          </cell>
          <cell r="N117" t="e">
            <v>#N/A</v>
          </cell>
          <cell r="O117" t="e">
            <v>#N/A</v>
          </cell>
          <cell r="P117">
            <v>46.04</v>
          </cell>
          <cell r="Q117">
            <v>2.0910159999999998</v>
          </cell>
          <cell r="R117" t="e">
            <v>#N/A</v>
          </cell>
        </row>
        <row r="118">
          <cell r="A118">
            <v>39639</v>
          </cell>
          <cell r="B118">
            <v>39639</v>
          </cell>
          <cell r="C118" t="str">
            <v>Past</v>
          </cell>
          <cell r="D118">
            <v>46.24</v>
          </cell>
          <cell r="E118" t="e">
            <v>#N/A</v>
          </cell>
          <cell r="F118" t="e">
            <v>#N/A</v>
          </cell>
          <cell r="G118" t="e">
            <v>#N/A</v>
          </cell>
          <cell r="H118" t="e">
            <v>#N/A</v>
          </cell>
          <cell r="I118" t="e">
            <v>#N/A</v>
          </cell>
          <cell r="J118" t="e">
            <v>#N/A</v>
          </cell>
          <cell r="K118" t="e">
            <v>#N/A</v>
          </cell>
          <cell r="L118" t="e">
            <v>#N/A</v>
          </cell>
          <cell r="M118" t="e">
            <v>#N/A</v>
          </cell>
          <cell r="N118" t="e">
            <v>#N/A</v>
          </cell>
          <cell r="O118" t="e">
            <v>#N/A</v>
          </cell>
          <cell r="P118">
            <v>46.24</v>
          </cell>
          <cell r="Q118">
            <v>1.1955900000000002</v>
          </cell>
          <cell r="R118" t="e">
            <v>#N/A</v>
          </cell>
        </row>
        <row r="119">
          <cell r="A119">
            <v>39640</v>
          </cell>
          <cell r="B119">
            <v>39640</v>
          </cell>
          <cell r="C119" t="str">
            <v>Past</v>
          </cell>
          <cell r="D119">
            <v>43.48</v>
          </cell>
          <cell r="E119" t="e">
            <v>#N/A</v>
          </cell>
          <cell r="F119" t="e">
            <v>#N/A</v>
          </cell>
          <cell r="G119" t="e">
            <v>#N/A</v>
          </cell>
          <cell r="H119" t="e">
            <v>#N/A</v>
          </cell>
          <cell r="I119" t="e">
            <v>#N/A</v>
          </cell>
          <cell r="J119" t="e">
            <v>#N/A</v>
          </cell>
          <cell r="K119" t="e">
            <v>#N/A</v>
          </cell>
          <cell r="L119" t="e">
            <v>#N/A</v>
          </cell>
          <cell r="M119" t="e">
            <v>#N/A</v>
          </cell>
          <cell r="N119" t="e">
            <v>#N/A</v>
          </cell>
          <cell r="O119" t="e">
            <v>#N/A</v>
          </cell>
          <cell r="P119">
            <v>43.48</v>
          </cell>
          <cell r="Q119">
            <v>2.7890630000000001</v>
          </cell>
          <cell r="R119" t="e">
            <v>#N/A</v>
          </cell>
        </row>
        <row r="120">
          <cell r="A120">
            <v>39643</v>
          </cell>
          <cell r="B120">
            <v>39643</v>
          </cell>
          <cell r="C120" t="str">
            <v>Past</v>
          </cell>
          <cell r="D120">
            <v>43.59</v>
          </cell>
          <cell r="E120" t="e">
            <v>#N/A</v>
          </cell>
          <cell r="F120" t="e">
            <v>#N/A</v>
          </cell>
          <cell r="G120" t="e">
            <v>#N/A</v>
          </cell>
          <cell r="H120" t="e">
            <v>#N/A</v>
          </cell>
          <cell r="I120" t="e">
            <v>#N/A</v>
          </cell>
          <cell r="J120" t="e">
            <v>#N/A</v>
          </cell>
          <cell r="K120" t="e">
            <v>#N/A</v>
          </cell>
          <cell r="L120" t="e">
            <v>#N/A</v>
          </cell>
          <cell r="M120" t="e">
            <v>#N/A</v>
          </cell>
          <cell r="N120" t="e">
            <v>#N/A</v>
          </cell>
          <cell r="O120" t="e">
            <v>#N/A</v>
          </cell>
          <cell r="P120">
            <v>43.59</v>
          </cell>
          <cell r="Q120">
            <v>1.566654</v>
          </cell>
          <cell r="R120" t="e">
            <v>#N/A</v>
          </cell>
        </row>
        <row r="121">
          <cell r="A121">
            <v>39644</v>
          </cell>
          <cell r="B121">
            <v>39644</v>
          </cell>
          <cell r="C121" t="str">
            <v>Past</v>
          </cell>
          <cell r="D121">
            <v>42.14</v>
          </cell>
          <cell r="E121" t="e">
            <v>#N/A</v>
          </cell>
          <cell r="F121" t="e">
            <v>#N/A</v>
          </cell>
          <cell r="G121" t="e">
            <v>#N/A</v>
          </cell>
          <cell r="H121" t="e">
            <v>#N/A</v>
          </cell>
          <cell r="I121" t="e">
            <v>#N/A</v>
          </cell>
          <cell r="J121" t="e">
            <v>#N/A</v>
          </cell>
          <cell r="K121" t="e">
            <v>#N/A</v>
          </cell>
          <cell r="L121" t="e">
            <v>#N/A</v>
          </cell>
          <cell r="M121" t="e">
            <v>#N/A</v>
          </cell>
          <cell r="N121" t="e">
            <v>#N/A</v>
          </cell>
          <cell r="O121" t="e">
            <v>#N/A</v>
          </cell>
          <cell r="P121">
            <v>42.14</v>
          </cell>
          <cell r="Q121">
            <v>3.0899200000000002</v>
          </cell>
          <cell r="R121" t="e">
            <v>#N/A</v>
          </cell>
        </row>
        <row r="122">
          <cell r="A122">
            <v>39645</v>
          </cell>
          <cell r="B122">
            <v>39645</v>
          </cell>
          <cell r="C122" t="str">
            <v>Past</v>
          </cell>
          <cell r="D122">
            <v>43.97</v>
          </cell>
          <cell r="E122" t="e">
            <v>#N/A</v>
          </cell>
          <cell r="F122" t="e">
            <v>#N/A</v>
          </cell>
          <cell r="G122" t="e">
            <v>#N/A</v>
          </cell>
          <cell r="H122" t="e">
            <v>#N/A</v>
          </cell>
          <cell r="I122" t="e">
            <v>#N/A</v>
          </cell>
          <cell r="J122" t="e">
            <v>#N/A</v>
          </cell>
          <cell r="K122" t="e">
            <v>#N/A</v>
          </cell>
          <cell r="L122" t="e">
            <v>#N/A</v>
          </cell>
          <cell r="M122" t="e">
            <v>#N/A</v>
          </cell>
          <cell r="N122" t="e">
            <v>#N/A</v>
          </cell>
          <cell r="O122" t="e">
            <v>#N/A</v>
          </cell>
          <cell r="P122">
            <v>43.97</v>
          </cell>
          <cell r="Q122">
            <v>1.901397</v>
          </cell>
          <cell r="R122" t="e">
            <v>#N/A</v>
          </cell>
        </row>
        <row r="123">
          <cell r="A123">
            <v>39646</v>
          </cell>
          <cell r="B123">
            <v>39646</v>
          </cell>
          <cell r="C123" t="str">
            <v>Past</v>
          </cell>
          <cell r="D123">
            <v>42.74</v>
          </cell>
          <cell r="E123" t="e">
            <v>#N/A</v>
          </cell>
          <cell r="F123" t="e">
            <v>#N/A</v>
          </cell>
          <cell r="G123" t="e">
            <v>#N/A</v>
          </cell>
          <cell r="H123" t="e">
            <v>#N/A</v>
          </cell>
          <cell r="I123" t="e">
            <v>#N/A</v>
          </cell>
          <cell r="J123" t="e">
            <v>#N/A</v>
          </cell>
          <cell r="K123" t="e">
            <v>#N/A</v>
          </cell>
          <cell r="L123" t="e">
            <v>#N/A</v>
          </cell>
          <cell r="M123" t="e">
            <v>#N/A</v>
          </cell>
          <cell r="N123" t="e">
            <v>#N/A</v>
          </cell>
          <cell r="O123" t="e">
            <v>#N/A</v>
          </cell>
          <cell r="P123">
            <v>42.74</v>
          </cell>
          <cell r="Q123">
            <v>3.1988939999999997</v>
          </cell>
          <cell r="R123" t="e">
            <v>#N/A</v>
          </cell>
        </row>
        <row r="124">
          <cell r="A124">
            <v>39647</v>
          </cell>
          <cell r="B124">
            <v>39647</v>
          </cell>
          <cell r="C124" t="str">
            <v>Past</v>
          </cell>
          <cell r="D124">
            <v>42.62</v>
          </cell>
          <cell r="E124" t="e">
            <v>#N/A</v>
          </cell>
          <cell r="F124" t="e">
            <v>#N/A</v>
          </cell>
          <cell r="G124" t="e">
            <v>#N/A</v>
          </cell>
          <cell r="H124" t="e">
            <v>#N/A</v>
          </cell>
          <cell r="I124" t="e">
            <v>#N/A</v>
          </cell>
          <cell r="J124" t="e">
            <v>#N/A</v>
          </cell>
          <cell r="K124" t="e">
            <v>#N/A</v>
          </cell>
          <cell r="L124" t="e">
            <v>#N/A</v>
          </cell>
          <cell r="M124" t="e">
            <v>#N/A</v>
          </cell>
          <cell r="N124" t="e">
            <v>#N/A</v>
          </cell>
          <cell r="O124" t="e">
            <v>#N/A</v>
          </cell>
          <cell r="P124">
            <v>42.62</v>
          </cell>
          <cell r="Q124">
            <v>2.8046880000000001</v>
          </cell>
          <cell r="R124" t="e">
            <v>#N/A</v>
          </cell>
        </row>
        <row r="125">
          <cell r="A125">
            <v>39650</v>
          </cell>
          <cell r="B125">
            <v>39650</v>
          </cell>
          <cell r="C125" t="str">
            <v>Past</v>
          </cell>
          <cell r="D125">
            <v>42.67</v>
          </cell>
          <cell r="E125" t="e">
            <v>#N/A</v>
          </cell>
          <cell r="F125" t="e">
            <v>#N/A</v>
          </cell>
          <cell r="G125" t="e">
            <v>#N/A</v>
          </cell>
          <cell r="H125" t="e">
            <v>#N/A</v>
          </cell>
          <cell r="I125" t="e">
            <v>#N/A</v>
          </cell>
          <cell r="J125" t="e">
            <v>#N/A</v>
          </cell>
          <cell r="K125" t="e">
            <v>#N/A</v>
          </cell>
          <cell r="L125" t="e">
            <v>#N/A</v>
          </cell>
          <cell r="M125" t="e">
            <v>#N/A</v>
          </cell>
          <cell r="N125" t="e">
            <v>#N/A</v>
          </cell>
          <cell r="O125" t="e">
            <v>#N/A</v>
          </cell>
          <cell r="P125">
            <v>42.67</v>
          </cell>
          <cell r="Q125">
            <v>3.6007889999999998</v>
          </cell>
          <cell r="R125" t="e">
            <v>#N/A</v>
          </cell>
        </row>
        <row r="126">
          <cell r="A126">
            <v>39651</v>
          </cell>
          <cell r="B126">
            <v>39651</v>
          </cell>
          <cell r="C126" t="str">
            <v>Past</v>
          </cell>
          <cell r="D126">
            <v>44.11</v>
          </cell>
          <cell r="E126" t="e">
            <v>#N/A</v>
          </cell>
          <cell r="F126" t="e">
            <v>#N/A</v>
          </cell>
          <cell r="G126" t="e">
            <v>#N/A</v>
          </cell>
          <cell r="H126" t="e">
            <v>#N/A</v>
          </cell>
          <cell r="I126" t="e">
            <v>#N/A</v>
          </cell>
          <cell r="J126" t="e">
            <v>#N/A</v>
          </cell>
          <cell r="K126" t="e">
            <v>#N/A</v>
          </cell>
          <cell r="L126" t="e">
            <v>#N/A</v>
          </cell>
          <cell r="M126" t="e">
            <v>#N/A</v>
          </cell>
          <cell r="N126" t="e">
            <v>#N/A</v>
          </cell>
          <cell r="O126" t="e">
            <v>#N/A</v>
          </cell>
          <cell r="P126">
            <v>44.11</v>
          </cell>
          <cell r="Q126">
            <v>2.4683519999999999</v>
          </cell>
          <cell r="R126" t="e">
            <v>#N/A</v>
          </cell>
        </row>
        <row r="127">
          <cell r="A127">
            <v>39652</v>
          </cell>
          <cell r="B127">
            <v>39652</v>
          </cell>
          <cell r="C127" t="str">
            <v>Past</v>
          </cell>
          <cell r="D127">
            <v>46.35</v>
          </cell>
          <cell r="E127" t="e">
            <v>#N/A</v>
          </cell>
          <cell r="F127" t="e">
            <v>#N/A</v>
          </cell>
          <cell r="G127" t="e">
            <v>#N/A</v>
          </cell>
          <cell r="H127" t="e">
            <v>#N/A</v>
          </cell>
          <cell r="I127" t="e">
            <v>#N/A</v>
          </cell>
          <cell r="J127" t="e">
            <v>#N/A</v>
          </cell>
          <cell r="K127" t="e">
            <v>#N/A</v>
          </cell>
          <cell r="L127" t="e">
            <v>#N/A</v>
          </cell>
          <cell r="M127" t="e">
            <v>#N/A</v>
          </cell>
          <cell r="N127" t="e">
            <v>#N/A</v>
          </cell>
          <cell r="O127" t="e">
            <v>#N/A</v>
          </cell>
          <cell r="P127">
            <v>46.35</v>
          </cell>
          <cell r="Q127">
            <v>3.661559</v>
          </cell>
          <cell r="R127" t="e">
            <v>#N/A</v>
          </cell>
        </row>
        <row r="128">
          <cell r="A128">
            <v>39653</v>
          </cell>
          <cell r="B128">
            <v>39653</v>
          </cell>
          <cell r="C128" t="str">
            <v>Past</v>
          </cell>
          <cell r="D128">
            <v>47.68</v>
          </cell>
          <cell r="E128" t="e">
            <v>#N/A</v>
          </cell>
          <cell r="F128" t="e">
            <v>#N/A</v>
          </cell>
          <cell r="G128" t="e">
            <v>#N/A</v>
          </cell>
          <cell r="H128" t="e">
            <v>#N/A</v>
          </cell>
          <cell r="I128" t="e">
            <v>#N/A</v>
          </cell>
          <cell r="J128" t="e">
            <v>#N/A</v>
          </cell>
          <cell r="K128" t="e">
            <v>#N/A</v>
          </cell>
          <cell r="L128" t="e">
            <v>#N/A</v>
          </cell>
          <cell r="M128" t="e">
            <v>#N/A</v>
          </cell>
          <cell r="N128" t="e">
            <v>#N/A</v>
          </cell>
          <cell r="O128" t="e">
            <v>#N/A</v>
          </cell>
          <cell r="P128">
            <v>47.68</v>
          </cell>
          <cell r="Q128">
            <v>6.552772</v>
          </cell>
          <cell r="R128" t="e">
            <v>#N/A</v>
          </cell>
        </row>
        <row r="129">
          <cell r="A129">
            <v>39654</v>
          </cell>
          <cell r="B129">
            <v>39654</v>
          </cell>
          <cell r="C129" t="str">
            <v>Past</v>
          </cell>
          <cell r="D129">
            <v>49.22</v>
          </cell>
          <cell r="E129" t="e">
            <v>#N/A</v>
          </cell>
          <cell r="F129" t="e">
            <v>#N/A</v>
          </cell>
          <cell r="G129" t="e">
            <v>#N/A</v>
          </cell>
          <cell r="H129" t="e">
            <v>#N/A</v>
          </cell>
          <cell r="I129" t="e">
            <v>#N/A</v>
          </cell>
          <cell r="J129" t="e">
            <v>#N/A</v>
          </cell>
          <cell r="K129" t="e">
            <v>#N/A</v>
          </cell>
          <cell r="L129" t="e">
            <v>#N/A</v>
          </cell>
          <cell r="M129" t="e">
            <v>#N/A</v>
          </cell>
          <cell r="N129" t="e">
            <v>#N/A</v>
          </cell>
          <cell r="O129" t="e">
            <v>#N/A</v>
          </cell>
          <cell r="P129">
            <v>49.22</v>
          </cell>
          <cell r="Q129">
            <v>2.7003309999999998</v>
          </cell>
          <cell r="R129" t="e">
            <v>#N/A</v>
          </cell>
        </row>
        <row r="130">
          <cell r="A130">
            <v>39657</v>
          </cell>
          <cell r="B130">
            <v>39657</v>
          </cell>
          <cell r="C130" t="str">
            <v>Past</v>
          </cell>
          <cell r="D130">
            <v>47.02</v>
          </cell>
          <cell r="E130" t="e">
            <v>#N/A</v>
          </cell>
          <cell r="F130" t="e">
            <v>#N/A</v>
          </cell>
          <cell r="G130" t="e">
            <v>#N/A</v>
          </cell>
          <cell r="H130" t="e">
            <v>#N/A</v>
          </cell>
          <cell r="I130" t="e">
            <v>#N/A</v>
          </cell>
          <cell r="J130" t="e">
            <v>#N/A</v>
          </cell>
          <cell r="K130" t="e">
            <v>#N/A</v>
          </cell>
          <cell r="L130" t="e">
            <v>#N/A</v>
          </cell>
          <cell r="M130" t="e">
            <v>#N/A</v>
          </cell>
          <cell r="N130" t="e">
            <v>#N/A</v>
          </cell>
          <cell r="O130" t="e">
            <v>#N/A</v>
          </cell>
          <cell r="P130">
            <v>47.02</v>
          </cell>
          <cell r="Q130">
            <v>3.4010289999999999</v>
          </cell>
          <cell r="R130" t="e">
            <v>#N/A</v>
          </cell>
        </row>
        <row r="131">
          <cell r="A131">
            <v>39658</v>
          </cell>
          <cell r="B131">
            <v>39658</v>
          </cell>
          <cell r="C131" t="str">
            <v>Past</v>
          </cell>
          <cell r="D131">
            <v>50.76</v>
          </cell>
          <cell r="E131" t="e">
            <v>#N/A</v>
          </cell>
          <cell r="F131" t="e">
            <v>#N/A</v>
          </cell>
          <cell r="G131" t="e">
            <v>#N/A</v>
          </cell>
          <cell r="H131" t="e">
            <v>#N/A</v>
          </cell>
          <cell r="I131" t="e">
            <v>#N/A</v>
          </cell>
          <cell r="J131" t="e">
            <v>#N/A</v>
          </cell>
          <cell r="K131" t="e">
            <v>#N/A</v>
          </cell>
          <cell r="L131" t="e">
            <v>#N/A</v>
          </cell>
          <cell r="M131" t="e">
            <v>#N/A</v>
          </cell>
          <cell r="N131" t="e">
            <v>#N/A</v>
          </cell>
          <cell r="O131" t="e">
            <v>#N/A</v>
          </cell>
          <cell r="P131">
            <v>50.76</v>
          </cell>
          <cell r="Q131">
            <v>2.8442800000000004</v>
          </cell>
          <cell r="R131" t="e">
            <v>#N/A</v>
          </cell>
        </row>
        <row r="132">
          <cell r="A132">
            <v>39659</v>
          </cell>
          <cell r="B132">
            <v>39659</v>
          </cell>
          <cell r="C132" t="str">
            <v>Past</v>
          </cell>
          <cell r="D132">
            <v>50.77</v>
          </cell>
          <cell r="E132" t="e">
            <v>#N/A</v>
          </cell>
          <cell r="F132" t="e">
            <v>#N/A</v>
          </cell>
          <cell r="G132" t="e">
            <v>#N/A</v>
          </cell>
          <cell r="H132" t="e">
            <v>#N/A</v>
          </cell>
          <cell r="I132" t="e">
            <v>#N/A</v>
          </cell>
          <cell r="J132" t="e">
            <v>#N/A</v>
          </cell>
          <cell r="K132" t="e">
            <v>#N/A</v>
          </cell>
          <cell r="L132" t="e">
            <v>#N/A</v>
          </cell>
          <cell r="M132" t="e">
            <v>#N/A</v>
          </cell>
          <cell r="N132" t="e">
            <v>#N/A</v>
          </cell>
          <cell r="O132" t="e">
            <v>#N/A</v>
          </cell>
          <cell r="P132">
            <v>50.77</v>
          </cell>
          <cell r="Q132">
            <v>2.630627</v>
          </cell>
          <cell r="R132" t="e">
            <v>#N/A</v>
          </cell>
        </row>
        <row r="133">
          <cell r="A133">
            <v>39660</v>
          </cell>
          <cell r="B133">
            <v>39660</v>
          </cell>
          <cell r="C133" t="str">
            <v>Past</v>
          </cell>
          <cell r="D133">
            <v>49.14</v>
          </cell>
          <cell r="E133" t="e">
            <v>#N/A</v>
          </cell>
          <cell r="F133" t="e">
            <v>#N/A</v>
          </cell>
          <cell r="G133" t="e">
            <v>#N/A</v>
          </cell>
          <cell r="H133" t="e">
            <v>#N/A</v>
          </cell>
          <cell r="I133" t="e">
            <v>#N/A</v>
          </cell>
          <cell r="J133" t="e">
            <v>#N/A</v>
          </cell>
          <cell r="K133" t="e">
            <v>#N/A</v>
          </cell>
          <cell r="L133" t="e">
            <v>#N/A</v>
          </cell>
          <cell r="M133" t="e">
            <v>#N/A</v>
          </cell>
          <cell r="N133" t="e">
            <v>#N/A</v>
          </cell>
          <cell r="O133" t="e">
            <v>#N/A</v>
          </cell>
          <cell r="P133">
            <v>49.14</v>
          </cell>
          <cell r="Q133">
            <v>2.5825519999999997</v>
          </cell>
          <cell r="R133" t="e">
            <v>#N/A</v>
          </cell>
        </row>
        <row r="134">
          <cell r="A134">
            <v>39661</v>
          </cell>
          <cell r="B134">
            <v>39661</v>
          </cell>
          <cell r="C134" t="str">
            <v>Past</v>
          </cell>
          <cell r="D134">
            <v>49.17</v>
          </cell>
          <cell r="E134" t="e">
            <v>#N/A</v>
          </cell>
          <cell r="F134" t="e">
            <v>#N/A</v>
          </cell>
          <cell r="G134" t="e">
            <v>#N/A</v>
          </cell>
          <cell r="H134" t="e">
            <v>#N/A</v>
          </cell>
          <cell r="I134" t="e">
            <v>#N/A</v>
          </cell>
          <cell r="J134" t="e">
            <v>#N/A</v>
          </cell>
          <cell r="K134" t="e">
            <v>#N/A</v>
          </cell>
          <cell r="L134" t="e">
            <v>#N/A</v>
          </cell>
          <cell r="M134" t="e">
            <v>#N/A</v>
          </cell>
          <cell r="N134" t="e">
            <v>#N/A</v>
          </cell>
          <cell r="O134" t="e">
            <v>#N/A</v>
          </cell>
          <cell r="P134">
            <v>49.17</v>
          </cell>
          <cell r="Q134">
            <v>1.8063469999999999</v>
          </cell>
          <cell r="R134" t="e">
            <v>#N/A</v>
          </cell>
        </row>
        <row r="135">
          <cell r="A135">
            <v>39664</v>
          </cell>
          <cell r="B135">
            <v>39664</v>
          </cell>
          <cell r="C135" t="str">
            <v>Past</v>
          </cell>
          <cell r="D135">
            <v>49.72</v>
          </cell>
          <cell r="E135" t="e">
            <v>#N/A</v>
          </cell>
          <cell r="F135" t="e">
            <v>#N/A</v>
          </cell>
          <cell r="G135" t="e">
            <v>#N/A</v>
          </cell>
          <cell r="H135" t="e">
            <v>#N/A</v>
          </cell>
          <cell r="I135" t="e">
            <v>#N/A</v>
          </cell>
          <cell r="J135" t="e">
            <v>#N/A</v>
          </cell>
          <cell r="K135" t="e">
            <v>#N/A</v>
          </cell>
          <cell r="L135" t="e">
            <v>#N/A</v>
          </cell>
          <cell r="M135" t="e">
            <v>#N/A</v>
          </cell>
          <cell r="N135" t="e">
            <v>#N/A</v>
          </cell>
          <cell r="O135" t="e">
            <v>#N/A</v>
          </cell>
          <cell r="P135">
            <v>49.72</v>
          </cell>
          <cell r="Q135">
            <v>1.5504749999999998</v>
          </cell>
          <cell r="R135" t="e">
            <v>#N/A</v>
          </cell>
        </row>
        <row r="136">
          <cell r="A136">
            <v>39665</v>
          </cell>
          <cell r="B136">
            <v>39665</v>
          </cell>
          <cell r="C136" t="str">
            <v>Past</v>
          </cell>
          <cell r="D136">
            <v>51.31</v>
          </cell>
          <cell r="E136" t="e">
            <v>#N/A</v>
          </cell>
          <cell r="F136" t="e">
            <v>#N/A</v>
          </cell>
          <cell r="G136" t="e">
            <v>#N/A</v>
          </cell>
          <cell r="H136" t="e">
            <v>#N/A</v>
          </cell>
          <cell r="I136" t="e">
            <v>#N/A</v>
          </cell>
          <cell r="J136" t="e">
            <v>#N/A</v>
          </cell>
          <cell r="K136" t="e">
            <v>#N/A</v>
          </cell>
          <cell r="L136" t="e">
            <v>#N/A</v>
          </cell>
          <cell r="M136" t="e">
            <v>#N/A</v>
          </cell>
          <cell r="N136" t="e">
            <v>#N/A</v>
          </cell>
          <cell r="O136" t="e">
            <v>#N/A</v>
          </cell>
          <cell r="P136">
            <v>51.31</v>
          </cell>
          <cell r="Q136">
            <v>2.6487529999999997</v>
          </cell>
          <cell r="R136" t="e">
            <v>#N/A</v>
          </cell>
        </row>
        <row r="137">
          <cell r="A137">
            <v>39666</v>
          </cell>
          <cell r="B137">
            <v>39666</v>
          </cell>
          <cell r="C137" t="str">
            <v>Past</v>
          </cell>
          <cell r="D137">
            <v>51.7</v>
          </cell>
          <cell r="E137" t="e">
            <v>#N/A</v>
          </cell>
          <cell r="F137" t="e">
            <v>#N/A</v>
          </cell>
          <cell r="G137" t="e">
            <v>#N/A</v>
          </cell>
          <cell r="H137" t="e">
            <v>#N/A</v>
          </cell>
          <cell r="I137" t="e">
            <v>#N/A</v>
          </cell>
          <cell r="J137" t="e">
            <v>#N/A</v>
          </cell>
          <cell r="K137" t="e">
            <v>#N/A</v>
          </cell>
          <cell r="L137" t="e">
            <v>#N/A</v>
          </cell>
          <cell r="M137" t="e">
            <v>#N/A</v>
          </cell>
          <cell r="N137" t="e">
            <v>#N/A</v>
          </cell>
          <cell r="O137" t="e">
            <v>#N/A</v>
          </cell>
          <cell r="P137">
            <v>51.7</v>
          </cell>
          <cell r="Q137">
            <v>2.6074000000000002</v>
          </cell>
          <cell r="R137" t="e">
            <v>#N/A</v>
          </cell>
        </row>
        <row r="138">
          <cell r="A138">
            <v>39667</v>
          </cell>
          <cell r="B138">
            <v>39667</v>
          </cell>
          <cell r="C138" t="str">
            <v>Past</v>
          </cell>
          <cell r="D138">
            <v>49.94</v>
          </cell>
          <cell r="E138" t="e">
            <v>#N/A</v>
          </cell>
          <cell r="F138" t="e">
            <v>#N/A</v>
          </cell>
          <cell r="G138" t="e">
            <v>#N/A</v>
          </cell>
          <cell r="H138" t="e">
            <v>#N/A</v>
          </cell>
          <cell r="I138" t="e">
            <v>#N/A</v>
          </cell>
          <cell r="J138" t="e">
            <v>#N/A</v>
          </cell>
          <cell r="K138" t="e">
            <v>#N/A</v>
          </cell>
          <cell r="L138" t="e">
            <v>#N/A</v>
          </cell>
          <cell r="M138" t="e">
            <v>#N/A</v>
          </cell>
          <cell r="N138" t="e">
            <v>#N/A</v>
          </cell>
          <cell r="O138" t="e">
            <v>#N/A</v>
          </cell>
          <cell r="P138">
            <v>49.94</v>
          </cell>
          <cell r="Q138">
            <v>2.3710649999999998</v>
          </cell>
          <cell r="R138" t="e">
            <v>#N/A</v>
          </cell>
        </row>
        <row r="139">
          <cell r="A139">
            <v>39668</v>
          </cell>
          <cell r="B139">
            <v>39668</v>
          </cell>
          <cell r="C139" t="str">
            <v>Past</v>
          </cell>
          <cell r="D139">
            <v>53.94</v>
          </cell>
          <cell r="E139" t="e">
            <v>#N/A</v>
          </cell>
          <cell r="F139" t="e">
            <v>#N/A</v>
          </cell>
          <cell r="G139" t="e">
            <v>#N/A</v>
          </cell>
          <cell r="H139" t="e">
            <v>#N/A</v>
          </cell>
          <cell r="I139" t="e">
            <v>#N/A</v>
          </cell>
          <cell r="J139" t="e">
            <v>#N/A</v>
          </cell>
          <cell r="K139" t="e">
            <v>#N/A</v>
          </cell>
          <cell r="L139" t="e">
            <v>#N/A</v>
          </cell>
          <cell r="M139" t="e">
            <v>#N/A</v>
          </cell>
          <cell r="N139" t="e">
            <v>#N/A</v>
          </cell>
          <cell r="O139" t="e">
            <v>#N/A</v>
          </cell>
          <cell r="P139">
            <v>53.94</v>
          </cell>
          <cell r="Q139">
            <v>2.273733</v>
          </cell>
          <cell r="R139" t="e">
            <v>#N/A</v>
          </cell>
        </row>
        <row r="140">
          <cell r="A140">
            <v>39671</v>
          </cell>
          <cell r="B140">
            <v>39671</v>
          </cell>
          <cell r="C140" t="str">
            <v>Past</v>
          </cell>
          <cell r="D140">
            <v>53.11</v>
          </cell>
          <cell r="E140" t="e">
            <v>#N/A</v>
          </cell>
          <cell r="F140" t="e">
            <v>#N/A</v>
          </cell>
          <cell r="G140" t="e">
            <v>#N/A</v>
          </cell>
          <cell r="H140" t="e">
            <v>#N/A</v>
          </cell>
          <cell r="I140" t="e">
            <v>#N/A</v>
          </cell>
          <cell r="J140" t="e">
            <v>#N/A</v>
          </cell>
          <cell r="K140" t="e">
            <v>#N/A</v>
          </cell>
          <cell r="L140" t="e">
            <v>#N/A</v>
          </cell>
          <cell r="M140" t="e">
            <v>#N/A</v>
          </cell>
          <cell r="N140" t="e">
            <v>#N/A</v>
          </cell>
          <cell r="O140" t="e">
            <v>#N/A</v>
          </cell>
          <cell r="P140">
            <v>53.11</v>
          </cell>
          <cell r="Q140">
            <v>1.9462969999999999</v>
          </cell>
          <cell r="R140" t="e">
            <v>#N/A</v>
          </cell>
        </row>
        <row r="141">
          <cell r="A141">
            <v>39672</v>
          </cell>
          <cell r="B141">
            <v>39672</v>
          </cell>
          <cell r="C141" t="str">
            <v>Past</v>
          </cell>
          <cell r="D141">
            <v>53.18</v>
          </cell>
          <cell r="E141" t="e">
            <v>#N/A</v>
          </cell>
          <cell r="F141" t="e">
            <v>#N/A</v>
          </cell>
          <cell r="G141" t="e">
            <v>#N/A</v>
          </cell>
          <cell r="H141" t="e">
            <v>#N/A</v>
          </cell>
          <cell r="I141" t="e">
            <v>#N/A</v>
          </cell>
          <cell r="J141" t="e">
            <v>#N/A</v>
          </cell>
          <cell r="K141" t="e">
            <v>#N/A</v>
          </cell>
          <cell r="L141" t="e">
            <v>#N/A</v>
          </cell>
          <cell r="M141" t="e">
            <v>#N/A</v>
          </cell>
          <cell r="N141" t="e">
            <v>#N/A</v>
          </cell>
          <cell r="O141" t="e">
            <v>#N/A</v>
          </cell>
          <cell r="P141">
            <v>53.18</v>
          </cell>
          <cell r="Q141">
            <v>2.39161</v>
          </cell>
          <cell r="R141" t="e">
            <v>#N/A</v>
          </cell>
        </row>
        <row r="142">
          <cell r="A142">
            <v>39673</v>
          </cell>
          <cell r="B142">
            <v>39673</v>
          </cell>
          <cell r="C142" t="str">
            <v>Past</v>
          </cell>
          <cell r="D142">
            <v>52.38</v>
          </cell>
          <cell r="E142" t="e">
            <v>#N/A</v>
          </cell>
          <cell r="F142" t="e">
            <v>#N/A</v>
          </cell>
          <cell r="G142" t="e">
            <v>#N/A</v>
          </cell>
          <cell r="H142" t="e">
            <v>#N/A</v>
          </cell>
          <cell r="I142" t="e">
            <v>#N/A</v>
          </cell>
          <cell r="J142" t="e">
            <v>#N/A</v>
          </cell>
          <cell r="K142" t="e">
            <v>#N/A</v>
          </cell>
          <cell r="L142" t="e">
            <v>#N/A</v>
          </cell>
          <cell r="M142" t="e">
            <v>#N/A</v>
          </cell>
          <cell r="N142" t="e">
            <v>#N/A</v>
          </cell>
          <cell r="O142" t="e">
            <v>#N/A</v>
          </cell>
          <cell r="P142">
            <v>52.38</v>
          </cell>
          <cell r="Q142">
            <v>1.833836</v>
          </cell>
          <cell r="R142" t="e">
            <v>#N/A</v>
          </cell>
        </row>
        <row r="143">
          <cell r="A143">
            <v>39674</v>
          </cell>
          <cell r="B143">
            <v>39674</v>
          </cell>
          <cell r="C143" t="str">
            <v>Past</v>
          </cell>
          <cell r="D143">
            <v>53.04</v>
          </cell>
          <cell r="E143" t="e">
            <v>#N/A</v>
          </cell>
          <cell r="F143" t="e">
            <v>#N/A</v>
          </cell>
          <cell r="G143" t="e">
            <v>#N/A</v>
          </cell>
          <cell r="H143" t="e">
            <v>#N/A</v>
          </cell>
          <cell r="I143" t="e">
            <v>#N/A</v>
          </cell>
          <cell r="J143" t="e">
            <v>#N/A</v>
          </cell>
          <cell r="K143" t="e">
            <v>#N/A</v>
          </cell>
          <cell r="L143" t="e">
            <v>#N/A</v>
          </cell>
          <cell r="M143" t="e">
            <v>#N/A</v>
          </cell>
          <cell r="N143" t="e">
            <v>#N/A</v>
          </cell>
          <cell r="O143" t="e">
            <v>#N/A</v>
          </cell>
          <cell r="P143">
            <v>53.04</v>
          </cell>
          <cell r="Q143">
            <v>1.9626459999999999</v>
          </cell>
          <cell r="R143" t="e">
            <v>#N/A</v>
          </cell>
        </row>
        <row r="144">
          <cell r="A144">
            <v>39675</v>
          </cell>
          <cell r="B144">
            <v>39675</v>
          </cell>
          <cell r="C144" t="str">
            <v>Past</v>
          </cell>
          <cell r="D144">
            <v>53.33</v>
          </cell>
          <cell r="E144" t="e">
            <v>#N/A</v>
          </cell>
          <cell r="F144" t="e">
            <v>#N/A</v>
          </cell>
          <cell r="G144" t="e">
            <v>#N/A</v>
          </cell>
          <cell r="H144" t="e">
            <v>#N/A</v>
          </cell>
          <cell r="I144" t="e">
            <v>#N/A</v>
          </cell>
          <cell r="J144" t="e">
            <v>#N/A</v>
          </cell>
          <cell r="K144" t="e">
            <v>#N/A</v>
          </cell>
          <cell r="L144" t="e">
            <v>#N/A</v>
          </cell>
          <cell r="M144" t="e">
            <v>#N/A</v>
          </cell>
          <cell r="N144" t="e">
            <v>#N/A</v>
          </cell>
          <cell r="O144" t="e">
            <v>#N/A</v>
          </cell>
          <cell r="P144">
            <v>53.33</v>
          </cell>
          <cell r="Q144">
            <v>1.0385119999999999</v>
          </cell>
          <cell r="R144" t="e">
            <v>#N/A</v>
          </cell>
        </row>
        <row r="145">
          <cell r="A145">
            <v>39678</v>
          </cell>
          <cell r="B145">
            <v>39678</v>
          </cell>
          <cell r="C145" t="str">
            <v>Past</v>
          </cell>
          <cell r="D145">
            <v>53.22</v>
          </cell>
          <cell r="E145" t="e">
            <v>#N/A</v>
          </cell>
          <cell r="F145" t="e">
            <v>#N/A</v>
          </cell>
          <cell r="G145" t="e">
            <v>#N/A</v>
          </cell>
          <cell r="H145" t="e">
            <v>#N/A</v>
          </cell>
          <cell r="I145" t="e">
            <v>#N/A</v>
          </cell>
          <cell r="J145" t="e">
            <v>#N/A</v>
          </cell>
          <cell r="K145" t="e">
            <v>#N/A</v>
          </cell>
          <cell r="L145" t="e">
            <v>#N/A</v>
          </cell>
          <cell r="M145" t="e">
            <v>#N/A</v>
          </cell>
          <cell r="N145" t="e">
            <v>#N/A</v>
          </cell>
          <cell r="O145" t="e">
            <v>#N/A</v>
          </cell>
          <cell r="P145">
            <v>53.22</v>
          </cell>
          <cell r="Q145">
            <v>1.4589829999999999</v>
          </cell>
          <cell r="R145" t="e">
            <v>#N/A</v>
          </cell>
        </row>
        <row r="146">
          <cell r="A146">
            <v>39679</v>
          </cell>
          <cell r="B146">
            <v>39679</v>
          </cell>
          <cell r="C146" t="str">
            <v>Past</v>
          </cell>
          <cell r="D146">
            <v>52.26</v>
          </cell>
          <cell r="E146" t="e">
            <v>#N/A</v>
          </cell>
          <cell r="F146" t="e">
            <v>#N/A</v>
          </cell>
          <cell r="G146" t="e">
            <v>#N/A</v>
          </cell>
          <cell r="H146" t="e">
            <v>#N/A</v>
          </cell>
          <cell r="I146" t="e">
            <v>#N/A</v>
          </cell>
          <cell r="J146" t="e">
            <v>#N/A</v>
          </cell>
          <cell r="K146" t="e">
            <v>#N/A</v>
          </cell>
          <cell r="L146" t="e">
            <v>#N/A</v>
          </cell>
          <cell r="M146" t="e">
            <v>#N/A</v>
          </cell>
          <cell r="N146" t="e">
            <v>#N/A</v>
          </cell>
          <cell r="O146" t="e">
            <v>#N/A</v>
          </cell>
          <cell r="P146">
            <v>52.26</v>
          </cell>
          <cell r="Q146">
            <v>1.398128</v>
          </cell>
          <cell r="R146" t="e">
            <v>#N/A</v>
          </cell>
        </row>
        <row r="147">
          <cell r="A147">
            <v>39680</v>
          </cell>
          <cell r="B147">
            <v>39680</v>
          </cell>
          <cell r="C147" t="str">
            <v>Past</v>
          </cell>
          <cell r="D147">
            <v>51.58</v>
          </cell>
          <cell r="E147" t="e">
            <v>#N/A</v>
          </cell>
          <cell r="F147" t="e">
            <v>#N/A</v>
          </cell>
          <cell r="G147" t="e">
            <v>#N/A</v>
          </cell>
          <cell r="H147" t="e">
            <v>#N/A</v>
          </cell>
          <cell r="I147" t="e">
            <v>#N/A</v>
          </cell>
          <cell r="J147" t="e">
            <v>#N/A</v>
          </cell>
          <cell r="K147" t="e">
            <v>#N/A</v>
          </cell>
          <cell r="L147" t="e">
            <v>#N/A</v>
          </cell>
          <cell r="M147" t="e">
            <v>#N/A</v>
          </cell>
          <cell r="N147" t="e">
            <v>#N/A</v>
          </cell>
          <cell r="O147" t="e">
            <v>#N/A</v>
          </cell>
          <cell r="P147">
            <v>51.58</v>
          </cell>
          <cell r="Q147">
            <v>1.3759889999999999</v>
          </cell>
          <cell r="R147" t="e">
            <v>#N/A</v>
          </cell>
        </row>
        <row r="148">
          <cell r="A148">
            <v>39681</v>
          </cell>
          <cell r="B148">
            <v>39681</v>
          </cell>
          <cell r="C148" t="str">
            <v>Past</v>
          </cell>
          <cell r="D148">
            <v>50.82</v>
          </cell>
          <cell r="E148" t="e">
            <v>#N/A</v>
          </cell>
          <cell r="F148" t="e">
            <v>#N/A</v>
          </cell>
          <cell r="G148" t="e">
            <v>#N/A</v>
          </cell>
          <cell r="H148" t="e">
            <v>#N/A</v>
          </cell>
          <cell r="I148" t="e">
            <v>#N/A</v>
          </cell>
          <cell r="J148" t="e">
            <v>#N/A</v>
          </cell>
          <cell r="K148" t="e">
            <v>#N/A</v>
          </cell>
          <cell r="L148" t="e">
            <v>#N/A</v>
          </cell>
          <cell r="M148" t="e">
            <v>#N/A</v>
          </cell>
          <cell r="N148" t="e">
            <v>#N/A</v>
          </cell>
          <cell r="O148" t="e">
            <v>#N/A</v>
          </cell>
          <cell r="P148">
            <v>50.82</v>
          </cell>
          <cell r="Q148">
            <v>1.258874</v>
          </cell>
          <cell r="R148" t="e">
            <v>#N/A</v>
          </cell>
        </row>
        <row r="149">
          <cell r="A149">
            <v>39682</v>
          </cell>
          <cell r="B149">
            <v>39682</v>
          </cell>
          <cell r="C149" t="str">
            <v>Past</v>
          </cell>
          <cell r="D149">
            <v>51.64</v>
          </cell>
          <cell r="E149" t="e">
            <v>#N/A</v>
          </cell>
          <cell r="F149" t="e">
            <v>#N/A</v>
          </cell>
          <cell r="G149" t="e">
            <v>#N/A</v>
          </cell>
          <cell r="H149" t="e">
            <v>#N/A</v>
          </cell>
          <cell r="I149" t="e">
            <v>#N/A</v>
          </cell>
          <cell r="J149" t="e">
            <v>#N/A</v>
          </cell>
          <cell r="K149" t="e">
            <v>#N/A</v>
          </cell>
          <cell r="L149" t="e">
            <v>#N/A</v>
          </cell>
          <cell r="M149" t="e">
            <v>#N/A</v>
          </cell>
          <cell r="N149" t="e">
            <v>#N/A</v>
          </cell>
          <cell r="O149" t="e">
            <v>#N/A</v>
          </cell>
          <cell r="P149">
            <v>51.64</v>
          </cell>
          <cell r="Q149">
            <v>1.1504839999999998</v>
          </cell>
          <cell r="R149" t="e">
            <v>#N/A</v>
          </cell>
        </row>
        <row r="150">
          <cell r="A150">
            <v>39685</v>
          </cell>
          <cell r="B150">
            <v>39685</v>
          </cell>
          <cell r="C150" t="str">
            <v>Past</v>
          </cell>
          <cell r="D150">
            <v>50.42</v>
          </cell>
          <cell r="E150" t="e">
            <v>#N/A</v>
          </cell>
          <cell r="F150" t="e">
            <v>#N/A</v>
          </cell>
          <cell r="G150" t="e">
            <v>#N/A</v>
          </cell>
          <cell r="H150" t="e">
            <v>#N/A</v>
          </cell>
          <cell r="I150" t="e">
            <v>#N/A</v>
          </cell>
          <cell r="J150" t="e">
            <v>#N/A</v>
          </cell>
          <cell r="K150" t="e">
            <v>#N/A</v>
          </cell>
          <cell r="L150" t="e">
            <v>#N/A</v>
          </cell>
          <cell r="M150" t="e">
            <v>#N/A</v>
          </cell>
          <cell r="N150" t="e">
            <v>#N/A</v>
          </cell>
          <cell r="O150" t="e">
            <v>#N/A</v>
          </cell>
          <cell r="P150">
            <v>50.42</v>
          </cell>
          <cell r="Q150">
            <v>0.9549979999999999</v>
          </cell>
          <cell r="R150" t="e">
            <v>#N/A</v>
          </cell>
        </row>
        <row r="151">
          <cell r="A151">
            <v>39686</v>
          </cell>
          <cell r="B151">
            <v>39686</v>
          </cell>
          <cell r="C151" t="str">
            <v>Past</v>
          </cell>
          <cell r="D151">
            <v>50.33</v>
          </cell>
          <cell r="E151" t="e">
            <v>#N/A</v>
          </cell>
          <cell r="F151" t="e">
            <v>#N/A</v>
          </cell>
          <cell r="G151" t="e">
            <v>#N/A</v>
          </cell>
          <cell r="H151" t="e">
            <v>#N/A</v>
          </cell>
          <cell r="I151" t="e">
            <v>#N/A</v>
          </cell>
          <cell r="J151" t="e">
            <v>#N/A</v>
          </cell>
          <cell r="K151" t="e">
            <v>#N/A</v>
          </cell>
          <cell r="L151" t="e">
            <v>#N/A</v>
          </cell>
          <cell r="M151" t="e">
            <v>#N/A</v>
          </cell>
          <cell r="N151" t="e">
            <v>#N/A</v>
          </cell>
          <cell r="O151" t="e">
            <v>#N/A</v>
          </cell>
          <cell r="P151">
            <v>50.33</v>
          </cell>
          <cell r="Q151">
            <v>0.71795100000000001</v>
          </cell>
          <cell r="R151" t="e">
            <v>#N/A</v>
          </cell>
        </row>
        <row r="152">
          <cell r="A152">
            <v>39687</v>
          </cell>
          <cell r="B152">
            <v>39687</v>
          </cell>
          <cell r="C152" t="str">
            <v>Past</v>
          </cell>
          <cell r="D152">
            <v>50.4</v>
          </cell>
          <cell r="E152" t="e">
            <v>#N/A</v>
          </cell>
          <cell r="F152" t="e">
            <v>#N/A</v>
          </cell>
          <cell r="G152" t="e">
            <v>#N/A</v>
          </cell>
          <cell r="H152" t="e">
            <v>#N/A</v>
          </cell>
          <cell r="I152" t="e">
            <v>#N/A</v>
          </cell>
          <cell r="J152" t="e">
            <v>#N/A</v>
          </cell>
          <cell r="K152" t="e">
            <v>#N/A</v>
          </cell>
          <cell r="L152" t="e">
            <v>#N/A</v>
          </cell>
          <cell r="M152" t="e">
            <v>#N/A</v>
          </cell>
          <cell r="N152" t="e">
            <v>#N/A</v>
          </cell>
          <cell r="O152" t="e">
            <v>#N/A</v>
          </cell>
          <cell r="P152">
            <v>50.4</v>
          </cell>
          <cell r="Q152">
            <v>0.690639</v>
          </cell>
          <cell r="R152" t="e">
            <v>#N/A</v>
          </cell>
        </row>
        <row r="153">
          <cell r="A153">
            <v>39688</v>
          </cell>
          <cell r="B153">
            <v>39688</v>
          </cell>
          <cell r="C153" t="str">
            <v>Past</v>
          </cell>
          <cell r="D153">
            <v>51.86</v>
          </cell>
          <cell r="E153" t="e">
            <v>#N/A</v>
          </cell>
          <cell r="F153" t="e">
            <v>#N/A</v>
          </cell>
          <cell r="G153" t="e">
            <v>#N/A</v>
          </cell>
          <cell r="H153" t="e">
            <v>#N/A</v>
          </cell>
          <cell r="I153" t="e">
            <v>#N/A</v>
          </cell>
          <cell r="J153" t="e">
            <v>#N/A</v>
          </cell>
          <cell r="K153" t="e">
            <v>#N/A</v>
          </cell>
          <cell r="L153" t="e">
            <v>#N/A</v>
          </cell>
          <cell r="M153" t="e">
            <v>#N/A</v>
          </cell>
          <cell r="N153" t="e">
            <v>#N/A</v>
          </cell>
          <cell r="O153" t="e">
            <v>#N/A</v>
          </cell>
          <cell r="P153">
            <v>51.86</v>
          </cell>
          <cell r="Q153">
            <v>0.83037499999999997</v>
          </cell>
          <cell r="R153" t="e">
            <v>#N/A</v>
          </cell>
        </row>
        <row r="154">
          <cell r="A154">
            <v>39689</v>
          </cell>
          <cell r="B154">
            <v>39689</v>
          </cell>
          <cell r="C154" t="str">
            <v>Past</v>
          </cell>
          <cell r="D154">
            <v>51.25</v>
          </cell>
          <cell r="E154" t="e">
            <v>#N/A</v>
          </cell>
          <cell r="F154" t="e">
            <v>#N/A</v>
          </cell>
          <cell r="G154" t="e">
            <v>#N/A</v>
          </cell>
          <cell r="H154" t="e">
            <v>#N/A</v>
          </cell>
          <cell r="I154" t="e">
            <v>#N/A</v>
          </cell>
          <cell r="J154" t="e">
            <v>#N/A</v>
          </cell>
          <cell r="K154" t="e">
            <v>#N/A</v>
          </cell>
          <cell r="L154" t="e">
            <v>#N/A</v>
          </cell>
          <cell r="M154" t="e">
            <v>#N/A</v>
          </cell>
          <cell r="N154" t="e">
            <v>#N/A</v>
          </cell>
          <cell r="O154" t="e">
            <v>#N/A</v>
          </cell>
          <cell r="P154">
            <v>51.25</v>
          </cell>
          <cell r="Q154">
            <v>0.65447599999999995</v>
          </cell>
          <cell r="R154" t="e">
            <v>#N/A</v>
          </cell>
        </row>
        <row r="155">
          <cell r="A155">
            <v>39693</v>
          </cell>
          <cell r="B155">
            <v>39693</v>
          </cell>
          <cell r="C155" t="str">
            <v>Past</v>
          </cell>
          <cell r="D155">
            <v>51.42</v>
          </cell>
          <cell r="E155" t="e">
            <v>#N/A</v>
          </cell>
          <cell r="F155" t="e">
            <v>#N/A</v>
          </cell>
          <cell r="G155" t="e">
            <v>#N/A</v>
          </cell>
          <cell r="H155" t="e">
            <v>#N/A</v>
          </cell>
          <cell r="I155" t="e">
            <v>#N/A</v>
          </cell>
          <cell r="J155" t="e">
            <v>#N/A</v>
          </cell>
          <cell r="K155" t="e">
            <v>#N/A</v>
          </cell>
          <cell r="L155" t="e">
            <v>#N/A</v>
          </cell>
          <cell r="M155" t="e">
            <v>#N/A</v>
          </cell>
          <cell r="N155" t="e">
            <v>#N/A</v>
          </cell>
          <cell r="O155" t="e">
            <v>#N/A</v>
          </cell>
          <cell r="P155">
            <v>51.42</v>
          </cell>
          <cell r="Q155">
            <v>1.7591639999999999</v>
          </cell>
          <cell r="R155" t="e">
            <v>#N/A</v>
          </cell>
        </row>
        <row r="156">
          <cell r="A156">
            <v>39694</v>
          </cell>
          <cell r="B156">
            <v>39694</v>
          </cell>
          <cell r="C156" t="str">
            <v>Past</v>
          </cell>
          <cell r="D156">
            <v>51.89</v>
          </cell>
          <cell r="E156" t="e">
            <v>#N/A</v>
          </cell>
          <cell r="F156" t="e">
            <v>#N/A</v>
          </cell>
          <cell r="G156" t="e">
            <v>#N/A</v>
          </cell>
          <cell r="H156" t="e">
            <v>#N/A</v>
          </cell>
          <cell r="I156" t="e">
            <v>#N/A</v>
          </cell>
          <cell r="J156" t="e">
            <v>#N/A</v>
          </cell>
          <cell r="K156" t="e">
            <v>#N/A</v>
          </cell>
          <cell r="L156" t="e">
            <v>#N/A</v>
          </cell>
          <cell r="M156" t="e">
            <v>#N/A</v>
          </cell>
          <cell r="N156" t="e">
            <v>#N/A</v>
          </cell>
          <cell r="O156" t="e">
            <v>#N/A</v>
          </cell>
          <cell r="P156">
            <v>51.89</v>
          </cell>
          <cell r="Q156">
            <v>1.8927</v>
          </cell>
          <cell r="R156" t="e">
            <v>#N/A</v>
          </cell>
        </row>
        <row r="157">
          <cell r="A157">
            <v>39695</v>
          </cell>
          <cell r="B157">
            <v>39695</v>
          </cell>
          <cell r="C157" t="str">
            <v>Past</v>
          </cell>
          <cell r="D157">
            <v>48.92</v>
          </cell>
          <cell r="E157" t="e">
            <v>#N/A</v>
          </cell>
          <cell r="F157" t="e">
            <v>#N/A</v>
          </cell>
          <cell r="G157" t="e">
            <v>#N/A</v>
          </cell>
          <cell r="H157" t="e">
            <v>#N/A</v>
          </cell>
          <cell r="I157" t="e">
            <v>#N/A</v>
          </cell>
          <cell r="J157" t="e">
            <v>#N/A</v>
          </cell>
          <cell r="K157" t="e">
            <v>#N/A</v>
          </cell>
          <cell r="L157" t="e">
            <v>#N/A</v>
          </cell>
          <cell r="M157" t="e">
            <v>#N/A</v>
          </cell>
          <cell r="N157" t="e">
            <v>#N/A</v>
          </cell>
          <cell r="O157" t="e">
            <v>#N/A</v>
          </cell>
          <cell r="P157">
            <v>48.92</v>
          </cell>
          <cell r="Q157">
            <v>1.6315109999999999</v>
          </cell>
          <cell r="R157" t="e">
            <v>#N/A</v>
          </cell>
        </row>
        <row r="158">
          <cell r="A158">
            <v>39696</v>
          </cell>
          <cell r="B158">
            <v>39696</v>
          </cell>
          <cell r="C158" t="str">
            <v>Past</v>
          </cell>
          <cell r="D158">
            <v>49.48</v>
          </cell>
          <cell r="E158" t="e">
            <v>#N/A</v>
          </cell>
          <cell r="F158" t="e">
            <v>#N/A</v>
          </cell>
          <cell r="G158" t="e">
            <v>#N/A</v>
          </cell>
          <cell r="H158" t="e">
            <v>#N/A</v>
          </cell>
          <cell r="I158" t="e">
            <v>#N/A</v>
          </cell>
          <cell r="J158" t="e">
            <v>#N/A</v>
          </cell>
          <cell r="K158" t="e">
            <v>#N/A</v>
          </cell>
          <cell r="L158" t="e">
            <v>#N/A</v>
          </cell>
          <cell r="M158" t="e">
            <v>#N/A</v>
          </cell>
          <cell r="N158" t="e">
            <v>#N/A</v>
          </cell>
          <cell r="O158" t="e">
            <v>#N/A</v>
          </cell>
          <cell r="P158">
            <v>49.48</v>
          </cell>
          <cell r="Q158">
            <v>1.5611919999999999</v>
          </cell>
          <cell r="R158" t="e">
            <v>#N/A</v>
          </cell>
        </row>
        <row r="159">
          <cell r="A159">
            <v>39699</v>
          </cell>
          <cell r="B159">
            <v>39699</v>
          </cell>
          <cell r="C159" t="str">
            <v>Past</v>
          </cell>
          <cell r="D159">
            <v>50.54</v>
          </cell>
          <cell r="E159" t="e">
            <v>#N/A</v>
          </cell>
          <cell r="F159" t="e">
            <v>#N/A</v>
          </cell>
          <cell r="G159" t="e">
            <v>#N/A</v>
          </cell>
          <cell r="H159" t="e">
            <v>#N/A</v>
          </cell>
          <cell r="I159" t="e">
            <v>#N/A</v>
          </cell>
          <cell r="J159" t="e">
            <v>#N/A</v>
          </cell>
          <cell r="K159" t="e">
            <v>#N/A</v>
          </cell>
          <cell r="L159" t="e">
            <v>#N/A</v>
          </cell>
          <cell r="M159" t="e">
            <v>#N/A</v>
          </cell>
          <cell r="N159" t="e">
            <v>#N/A</v>
          </cell>
          <cell r="O159" t="e">
            <v>#N/A</v>
          </cell>
          <cell r="P159">
            <v>50.54</v>
          </cell>
          <cell r="Q159">
            <v>1.5907629999999999</v>
          </cell>
          <cell r="R159" t="e">
            <v>#N/A</v>
          </cell>
        </row>
        <row r="160">
          <cell r="A160">
            <v>39700</v>
          </cell>
          <cell r="B160">
            <v>39700</v>
          </cell>
          <cell r="C160" t="str">
            <v>Past</v>
          </cell>
          <cell r="D160">
            <v>50.04</v>
          </cell>
          <cell r="E160" t="e">
            <v>#N/A</v>
          </cell>
          <cell r="F160" t="e">
            <v>#N/A</v>
          </cell>
          <cell r="G160" t="e">
            <v>#N/A</v>
          </cell>
          <cell r="H160" t="e">
            <v>#N/A</v>
          </cell>
          <cell r="I160" t="e">
            <v>#N/A</v>
          </cell>
          <cell r="J160" t="e">
            <v>#N/A</v>
          </cell>
          <cell r="K160" t="e">
            <v>#N/A</v>
          </cell>
          <cell r="L160" t="e">
            <v>#N/A</v>
          </cell>
          <cell r="M160" t="e">
            <v>#N/A</v>
          </cell>
          <cell r="N160" t="e">
            <v>#N/A</v>
          </cell>
          <cell r="O160" t="e">
            <v>#N/A</v>
          </cell>
          <cell r="P160">
            <v>50.04</v>
          </cell>
          <cell r="Q160">
            <v>1.533196</v>
          </cell>
          <cell r="R160" t="e">
            <v>#N/A</v>
          </cell>
        </row>
        <row r="161">
          <cell r="A161">
            <v>39701</v>
          </cell>
          <cell r="B161">
            <v>39701</v>
          </cell>
          <cell r="C161" t="str">
            <v>Past</v>
          </cell>
          <cell r="D161">
            <v>50</v>
          </cell>
          <cell r="E161" t="e">
            <v>#N/A</v>
          </cell>
          <cell r="F161" t="e">
            <v>#N/A</v>
          </cell>
          <cell r="G161" t="e">
            <v>#N/A</v>
          </cell>
          <cell r="H161" t="e">
            <v>#N/A</v>
          </cell>
          <cell r="I161" t="e">
            <v>#N/A</v>
          </cell>
          <cell r="J161" t="e">
            <v>#N/A</v>
          </cell>
          <cell r="K161" t="e">
            <v>#N/A</v>
          </cell>
          <cell r="L161" t="e">
            <v>#N/A</v>
          </cell>
          <cell r="M161" t="e">
            <v>#N/A</v>
          </cell>
          <cell r="N161" t="e">
            <v>#N/A</v>
          </cell>
          <cell r="O161" t="e">
            <v>#N/A</v>
          </cell>
          <cell r="P161">
            <v>50</v>
          </cell>
          <cell r="Q161">
            <v>1.310595</v>
          </cell>
          <cell r="R161" t="e">
            <v>#N/A</v>
          </cell>
        </row>
        <row r="162">
          <cell r="A162">
            <v>39702</v>
          </cell>
          <cell r="B162">
            <v>39702</v>
          </cell>
          <cell r="C162" t="str">
            <v>Past</v>
          </cell>
          <cell r="D162">
            <v>51.45</v>
          </cell>
          <cell r="E162" t="e">
            <v>#N/A</v>
          </cell>
          <cell r="F162" t="e">
            <v>#N/A</v>
          </cell>
          <cell r="G162" t="e">
            <v>#N/A</v>
          </cell>
          <cell r="H162" t="e">
            <v>#N/A</v>
          </cell>
          <cell r="I162" t="e">
            <v>#N/A</v>
          </cell>
          <cell r="J162" t="e">
            <v>#N/A</v>
          </cell>
          <cell r="K162" t="e">
            <v>#N/A</v>
          </cell>
          <cell r="L162" t="e">
            <v>#N/A</v>
          </cell>
          <cell r="M162" t="e">
            <v>#N/A</v>
          </cell>
          <cell r="N162" t="e">
            <v>#N/A</v>
          </cell>
          <cell r="O162" t="e">
            <v>#N/A</v>
          </cell>
          <cell r="P162">
            <v>51.45</v>
          </cell>
          <cell r="Q162">
            <v>1.7966900000000001</v>
          </cell>
          <cell r="R162" t="e">
            <v>#N/A</v>
          </cell>
        </row>
        <row r="163">
          <cell r="A163">
            <v>39703</v>
          </cell>
          <cell r="B163">
            <v>39703</v>
          </cell>
          <cell r="C163" t="str">
            <v>Past</v>
          </cell>
          <cell r="D163">
            <v>52.08</v>
          </cell>
          <cell r="E163" t="e">
            <v>#N/A</v>
          </cell>
          <cell r="F163" t="e">
            <v>#N/A</v>
          </cell>
          <cell r="G163" t="e">
            <v>#N/A</v>
          </cell>
          <cell r="H163" t="e">
            <v>#N/A</v>
          </cell>
          <cell r="I163" t="e">
            <v>#N/A</v>
          </cell>
          <cell r="J163" t="e">
            <v>#N/A</v>
          </cell>
          <cell r="K163" t="e">
            <v>#N/A</v>
          </cell>
          <cell r="L163" t="e">
            <v>#N/A</v>
          </cell>
          <cell r="M163" t="e">
            <v>#N/A</v>
          </cell>
          <cell r="N163" t="e">
            <v>#N/A</v>
          </cell>
          <cell r="O163" t="e">
            <v>#N/A</v>
          </cell>
          <cell r="P163">
            <v>52.08</v>
          </cell>
          <cell r="Q163">
            <v>0.92091000000000012</v>
          </cell>
          <cell r="R163" t="e">
            <v>#N/A</v>
          </cell>
        </row>
        <row r="164">
          <cell r="A164">
            <v>39706</v>
          </cell>
          <cell r="B164">
            <v>39706</v>
          </cell>
          <cell r="C164" t="str">
            <v>Past</v>
          </cell>
          <cell r="D164">
            <v>50.12</v>
          </cell>
          <cell r="E164" t="e">
            <v>#N/A</v>
          </cell>
          <cell r="F164" t="e">
            <v>#N/A</v>
          </cell>
          <cell r="G164" t="e">
            <v>#N/A</v>
          </cell>
          <cell r="H164" t="e">
            <v>#N/A</v>
          </cell>
          <cell r="I164" t="e">
            <v>#N/A</v>
          </cell>
          <cell r="J164" t="e">
            <v>#N/A</v>
          </cell>
          <cell r="K164" t="e">
            <v>#N/A</v>
          </cell>
          <cell r="L164" t="e">
            <v>#N/A</v>
          </cell>
          <cell r="M164" t="e">
            <v>#N/A</v>
          </cell>
          <cell r="N164" t="e">
            <v>#N/A</v>
          </cell>
          <cell r="O164" t="e">
            <v>#N/A</v>
          </cell>
          <cell r="P164">
            <v>50.12</v>
          </cell>
          <cell r="Q164">
            <v>1.912766</v>
          </cell>
          <cell r="R164" t="e">
            <v>#N/A</v>
          </cell>
        </row>
        <row r="165">
          <cell r="A165">
            <v>39707</v>
          </cell>
          <cell r="B165">
            <v>39707</v>
          </cell>
          <cell r="C165" t="str">
            <v>Past</v>
          </cell>
          <cell r="D165">
            <v>47.6</v>
          </cell>
          <cell r="E165" t="e">
            <v>#N/A</v>
          </cell>
          <cell r="F165" t="e">
            <v>#N/A</v>
          </cell>
          <cell r="G165" t="e">
            <v>#N/A</v>
          </cell>
          <cell r="H165" t="e">
            <v>#N/A</v>
          </cell>
          <cell r="I165" t="e">
            <v>#N/A</v>
          </cell>
          <cell r="J165" t="e">
            <v>#N/A</v>
          </cell>
          <cell r="K165" t="e">
            <v>#N/A</v>
          </cell>
          <cell r="L165" t="e">
            <v>#N/A</v>
          </cell>
          <cell r="M165" t="e">
            <v>#N/A</v>
          </cell>
          <cell r="N165" t="e">
            <v>#N/A</v>
          </cell>
          <cell r="O165" t="e">
            <v>#N/A</v>
          </cell>
          <cell r="P165">
            <v>47.6</v>
          </cell>
          <cell r="Q165">
            <v>3.2736700000000001</v>
          </cell>
          <cell r="R165" t="e">
            <v>#N/A</v>
          </cell>
        </row>
        <row r="166">
          <cell r="A166">
            <v>39708</v>
          </cell>
          <cell r="B166">
            <v>39708</v>
          </cell>
          <cell r="C166" t="str">
            <v>Past</v>
          </cell>
          <cell r="D166">
            <v>44.27</v>
          </cell>
          <cell r="E166" t="e">
            <v>#N/A</v>
          </cell>
          <cell r="F166" t="e">
            <v>#N/A</v>
          </cell>
          <cell r="G166" t="e">
            <v>#N/A</v>
          </cell>
          <cell r="H166" t="e">
            <v>#N/A</v>
          </cell>
          <cell r="I166" t="e">
            <v>#N/A</v>
          </cell>
          <cell r="J166" t="e">
            <v>#N/A</v>
          </cell>
          <cell r="K166" t="e">
            <v>#N/A</v>
          </cell>
          <cell r="L166" t="e">
            <v>#N/A</v>
          </cell>
          <cell r="M166" t="e">
            <v>#N/A</v>
          </cell>
          <cell r="N166" t="e">
            <v>#N/A</v>
          </cell>
          <cell r="O166" t="e">
            <v>#N/A</v>
          </cell>
          <cell r="P166">
            <v>44.27</v>
          </cell>
          <cell r="Q166">
            <v>1.9026179999999999</v>
          </cell>
          <cell r="R166" t="e">
            <v>#N/A</v>
          </cell>
        </row>
        <row r="167">
          <cell r="A167">
            <v>39709</v>
          </cell>
          <cell r="B167">
            <v>39709</v>
          </cell>
          <cell r="C167" t="str">
            <v>Past</v>
          </cell>
          <cell r="D167">
            <v>46.33</v>
          </cell>
          <cell r="E167" t="e">
            <v>#N/A</v>
          </cell>
          <cell r="F167" t="e">
            <v>#N/A</v>
          </cell>
          <cell r="G167" t="e">
            <v>#N/A</v>
          </cell>
          <cell r="H167" t="e">
            <v>#N/A</v>
          </cell>
          <cell r="I167" t="e">
            <v>#N/A</v>
          </cell>
          <cell r="J167" t="e">
            <v>#N/A</v>
          </cell>
          <cell r="K167" t="e">
            <v>#N/A</v>
          </cell>
          <cell r="L167" t="e">
            <v>#N/A</v>
          </cell>
          <cell r="M167" t="e">
            <v>#N/A</v>
          </cell>
          <cell r="N167" t="e">
            <v>#N/A</v>
          </cell>
          <cell r="O167" t="e">
            <v>#N/A</v>
          </cell>
          <cell r="P167">
            <v>46.33</v>
          </cell>
          <cell r="Q167">
            <v>2.5361449999999999</v>
          </cell>
          <cell r="R167" t="e">
            <v>#N/A</v>
          </cell>
        </row>
        <row r="168">
          <cell r="A168">
            <v>39710</v>
          </cell>
          <cell r="B168">
            <v>39710</v>
          </cell>
          <cell r="C168" t="str">
            <v>Past</v>
          </cell>
          <cell r="D168">
            <v>47.52</v>
          </cell>
          <cell r="E168" t="e">
            <v>#N/A</v>
          </cell>
          <cell r="F168" t="e">
            <v>#N/A</v>
          </cell>
          <cell r="G168" t="e">
            <v>#N/A</v>
          </cell>
          <cell r="H168" t="e">
            <v>#N/A</v>
          </cell>
          <cell r="I168" t="e">
            <v>#N/A</v>
          </cell>
          <cell r="J168" t="e">
            <v>#N/A</v>
          </cell>
          <cell r="K168" t="e">
            <v>#N/A</v>
          </cell>
          <cell r="L168" t="e">
            <v>#N/A</v>
          </cell>
          <cell r="M168" t="e">
            <v>#N/A</v>
          </cell>
          <cell r="N168" t="e">
            <v>#N/A</v>
          </cell>
          <cell r="O168" t="e">
            <v>#N/A</v>
          </cell>
          <cell r="P168">
            <v>47.52</v>
          </cell>
          <cell r="Q168">
            <v>1.758321</v>
          </cell>
          <cell r="R168" t="e">
            <v>#N/A</v>
          </cell>
        </row>
        <row r="169">
          <cell r="A169">
            <v>39713</v>
          </cell>
          <cell r="B169">
            <v>39713</v>
          </cell>
          <cell r="C169" t="str">
            <v>Past</v>
          </cell>
          <cell r="D169">
            <v>45.51</v>
          </cell>
          <cell r="E169" t="e">
            <v>#N/A</v>
          </cell>
          <cell r="F169" t="e">
            <v>#N/A</v>
          </cell>
          <cell r="G169" t="e">
            <v>#N/A</v>
          </cell>
          <cell r="H169" t="e">
            <v>#N/A</v>
          </cell>
          <cell r="I169" t="e">
            <v>#N/A</v>
          </cell>
          <cell r="J169" t="e">
            <v>#N/A</v>
          </cell>
          <cell r="K169" t="e">
            <v>#N/A</v>
          </cell>
          <cell r="L169" t="e">
            <v>#N/A</v>
          </cell>
          <cell r="M169" t="e">
            <v>#N/A</v>
          </cell>
          <cell r="N169" t="e">
            <v>#N/A</v>
          </cell>
          <cell r="O169" t="e">
            <v>#N/A</v>
          </cell>
          <cell r="P169">
            <v>45.51</v>
          </cell>
          <cell r="Q169">
            <v>1.1481600000000001</v>
          </cell>
          <cell r="R169" t="e">
            <v>#N/A</v>
          </cell>
        </row>
        <row r="170">
          <cell r="A170">
            <v>39714</v>
          </cell>
          <cell r="B170">
            <v>39714</v>
          </cell>
          <cell r="C170" t="str">
            <v>Past</v>
          </cell>
          <cell r="D170">
            <v>43.75</v>
          </cell>
          <cell r="E170" t="e">
            <v>#N/A</v>
          </cell>
          <cell r="F170" t="e">
            <v>#N/A</v>
          </cell>
          <cell r="G170" t="e">
            <v>#N/A</v>
          </cell>
          <cell r="H170" t="e">
            <v>#N/A</v>
          </cell>
          <cell r="I170" t="e">
            <v>#N/A</v>
          </cell>
          <cell r="J170" t="e">
            <v>#N/A</v>
          </cell>
          <cell r="K170" t="e">
            <v>#N/A</v>
          </cell>
          <cell r="L170" t="e">
            <v>#N/A</v>
          </cell>
          <cell r="M170" t="e">
            <v>#N/A</v>
          </cell>
          <cell r="N170" t="e">
            <v>#N/A</v>
          </cell>
          <cell r="O170" t="e">
            <v>#N/A</v>
          </cell>
          <cell r="P170">
            <v>43.75</v>
          </cell>
          <cell r="Q170">
            <v>1.4097279999999999</v>
          </cell>
          <cell r="R170" t="e">
            <v>#N/A</v>
          </cell>
        </row>
        <row r="171">
          <cell r="A171">
            <v>39715</v>
          </cell>
          <cell r="B171">
            <v>39715</v>
          </cell>
          <cell r="C171" t="str">
            <v>Past</v>
          </cell>
          <cell r="D171">
            <v>43.41</v>
          </cell>
          <cell r="E171" t="e">
            <v>#N/A</v>
          </cell>
          <cell r="F171" t="e">
            <v>#N/A</v>
          </cell>
          <cell r="G171" t="e">
            <v>#N/A</v>
          </cell>
          <cell r="H171" t="e">
            <v>#N/A</v>
          </cell>
          <cell r="I171" t="e">
            <v>#N/A</v>
          </cell>
          <cell r="J171" t="e">
            <v>#N/A</v>
          </cell>
          <cell r="K171" t="e">
            <v>#N/A</v>
          </cell>
          <cell r="L171" t="e">
            <v>#N/A</v>
          </cell>
          <cell r="M171" t="e">
            <v>#N/A</v>
          </cell>
          <cell r="N171" t="e">
            <v>#N/A</v>
          </cell>
          <cell r="O171" t="e">
            <v>#N/A</v>
          </cell>
          <cell r="P171">
            <v>43.41</v>
          </cell>
          <cell r="Q171">
            <v>1.3012889999999999</v>
          </cell>
          <cell r="R171" t="e">
            <v>#N/A</v>
          </cell>
        </row>
        <row r="172">
          <cell r="A172">
            <v>39716</v>
          </cell>
          <cell r="B172">
            <v>39716</v>
          </cell>
          <cell r="C172" t="str">
            <v>Past</v>
          </cell>
          <cell r="D172">
            <v>44.33</v>
          </cell>
          <cell r="E172" t="e">
            <v>#N/A</v>
          </cell>
          <cell r="F172" t="e">
            <v>#N/A</v>
          </cell>
          <cell r="G172" t="e">
            <v>#N/A</v>
          </cell>
          <cell r="H172" t="e">
            <v>#N/A</v>
          </cell>
          <cell r="I172" t="e">
            <v>#N/A</v>
          </cell>
          <cell r="J172" t="e">
            <v>#N/A</v>
          </cell>
          <cell r="K172" t="e">
            <v>#N/A</v>
          </cell>
          <cell r="L172" t="e">
            <v>#N/A</v>
          </cell>
          <cell r="M172" t="e">
            <v>#N/A</v>
          </cell>
          <cell r="N172" t="e">
            <v>#N/A</v>
          </cell>
          <cell r="O172" t="e">
            <v>#N/A</v>
          </cell>
          <cell r="P172">
            <v>44.33</v>
          </cell>
          <cell r="Q172">
            <v>1.4339189999999999</v>
          </cell>
          <cell r="R172" t="e">
            <v>#N/A</v>
          </cell>
        </row>
        <row r="173">
          <cell r="A173">
            <v>39717</v>
          </cell>
          <cell r="B173">
            <v>39717</v>
          </cell>
          <cell r="C173" t="str">
            <v>Past</v>
          </cell>
          <cell r="D173">
            <v>43.94</v>
          </cell>
          <cell r="E173" t="e">
            <v>#N/A</v>
          </cell>
          <cell r="F173" t="e">
            <v>#N/A</v>
          </cell>
          <cell r="G173" t="e">
            <v>#N/A</v>
          </cell>
          <cell r="H173" t="e">
            <v>#N/A</v>
          </cell>
          <cell r="I173" t="e">
            <v>#N/A</v>
          </cell>
          <cell r="J173" t="e">
            <v>#N/A</v>
          </cell>
          <cell r="K173" t="e">
            <v>#N/A</v>
          </cell>
          <cell r="L173" t="e">
            <v>#N/A</v>
          </cell>
          <cell r="M173" t="e">
            <v>#N/A</v>
          </cell>
          <cell r="N173" t="e">
            <v>#N/A</v>
          </cell>
          <cell r="O173" t="e">
            <v>#N/A</v>
          </cell>
          <cell r="P173">
            <v>43.94</v>
          </cell>
          <cell r="Q173">
            <v>1.2503</v>
          </cell>
          <cell r="R173" t="e">
            <v>#N/A</v>
          </cell>
        </row>
        <row r="174">
          <cell r="A174">
            <v>39720</v>
          </cell>
          <cell r="B174">
            <v>39720</v>
          </cell>
          <cell r="C174" t="str">
            <v>Past</v>
          </cell>
          <cell r="D174">
            <v>39.35</v>
          </cell>
          <cell r="E174" t="e">
            <v>#N/A</v>
          </cell>
          <cell r="F174" t="e">
            <v>#N/A</v>
          </cell>
          <cell r="G174" t="e">
            <v>#N/A</v>
          </cell>
          <cell r="H174" t="e">
            <v>#N/A</v>
          </cell>
          <cell r="I174" t="e">
            <v>#N/A</v>
          </cell>
          <cell r="J174" t="e">
            <v>#N/A</v>
          </cell>
          <cell r="K174" t="e">
            <v>#N/A</v>
          </cell>
          <cell r="L174" t="e">
            <v>#N/A</v>
          </cell>
          <cell r="M174" t="e">
            <v>#N/A</v>
          </cell>
          <cell r="N174" t="e">
            <v>#N/A</v>
          </cell>
          <cell r="O174" t="e">
            <v>#N/A</v>
          </cell>
          <cell r="P174">
            <v>39.35</v>
          </cell>
          <cell r="Q174">
            <v>2.166563</v>
          </cell>
          <cell r="R174" t="e">
            <v>#N/A</v>
          </cell>
        </row>
        <row r="175">
          <cell r="A175">
            <v>39721</v>
          </cell>
          <cell r="B175">
            <v>39721</v>
          </cell>
          <cell r="C175" t="str">
            <v>Past</v>
          </cell>
          <cell r="D175">
            <v>41.6</v>
          </cell>
          <cell r="E175" t="e">
            <v>#N/A</v>
          </cell>
          <cell r="F175" t="e">
            <v>#N/A</v>
          </cell>
          <cell r="G175" t="e">
            <v>#N/A</v>
          </cell>
          <cell r="H175" t="e">
            <v>#N/A</v>
          </cell>
          <cell r="I175" t="e">
            <v>#N/A</v>
          </cell>
          <cell r="J175" t="e">
            <v>#N/A</v>
          </cell>
          <cell r="K175" t="e">
            <v>#N/A</v>
          </cell>
          <cell r="L175" t="e">
            <v>#N/A</v>
          </cell>
          <cell r="M175" t="e">
            <v>#N/A</v>
          </cell>
          <cell r="N175" t="e">
            <v>#N/A</v>
          </cell>
          <cell r="O175" t="e">
            <v>#N/A</v>
          </cell>
          <cell r="P175">
            <v>41.6</v>
          </cell>
          <cell r="Q175">
            <v>1.641805</v>
          </cell>
          <cell r="R175" t="e">
            <v>#N/A</v>
          </cell>
        </row>
        <row r="176">
          <cell r="A176">
            <v>39722</v>
          </cell>
          <cell r="B176">
            <v>39722</v>
          </cell>
          <cell r="C176" t="str">
            <v>Past</v>
          </cell>
          <cell r="D176">
            <v>40.119999999999997</v>
          </cell>
          <cell r="E176" t="e">
            <v>#N/A</v>
          </cell>
          <cell r="F176" t="e">
            <v>#N/A</v>
          </cell>
          <cell r="G176" t="e">
            <v>#N/A</v>
          </cell>
          <cell r="H176" t="e">
            <v>#N/A</v>
          </cell>
          <cell r="I176" t="e">
            <v>#N/A</v>
          </cell>
          <cell r="J176" t="e">
            <v>#N/A</v>
          </cell>
          <cell r="K176" t="e">
            <v>#N/A</v>
          </cell>
          <cell r="L176" t="e">
            <v>#N/A</v>
          </cell>
          <cell r="M176" t="e">
            <v>#N/A</v>
          </cell>
          <cell r="N176" t="e">
            <v>#N/A</v>
          </cell>
          <cell r="O176" t="e">
            <v>#N/A</v>
          </cell>
          <cell r="P176">
            <v>40.119999999999997</v>
          </cell>
          <cell r="Q176">
            <v>3.9727239999999999</v>
          </cell>
          <cell r="R176" t="e">
            <v>#N/A</v>
          </cell>
        </row>
        <row r="177">
          <cell r="A177">
            <v>39723</v>
          </cell>
          <cell r="B177">
            <v>39723</v>
          </cell>
          <cell r="C177" t="str">
            <v>Past</v>
          </cell>
          <cell r="D177">
            <v>37.130000000000003</v>
          </cell>
          <cell r="E177" t="e">
            <v>#N/A</v>
          </cell>
          <cell r="F177" t="e">
            <v>#N/A</v>
          </cell>
          <cell r="G177" t="e">
            <v>#N/A</v>
          </cell>
          <cell r="H177" t="e">
            <v>#N/A</v>
          </cell>
          <cell r="I177" t="e">
            <v>#N/A</v>
          </cell>
          <cell r="J177" t="e">
            <v>#N/A</v>
          </cell>
          <cell r="K177" t="e">
            <v>#N/A</v>
          </cell>
          <cell r="L177" t="e">
            <v>#N/A</v>
          </cell>
          <cell r="M177" t="e">
            <v>#N/A</v>
          </cell>
          <cell r="N177" t="e">
            <v>#N/A</v>
          </cell>
          <cell r="O177" t="e">
            <v>#N/A</v>
          </cell>
          <cell r="P177">
            <v>37.130000000000003</v>
          </cell>
          <cell r="Q177">
            <v>1.875475</v>
          </cell>
          <cell r="R177" t="e">
            <v>#N/A</v>
          </cell>
        </row>
        <row r="178">
          <cell r="A178">
            <v>39724</v>
          </cell>
          <cell r="B178">
            <v>39724</v>
          </cell>
          <cell r="C178" t="str">
            <v>Past</v>
          </cell>
          <cell r="D178">
            <v>37.090000000000003</v>
          </cell>
          <cell r="E178" t="e">
            <v>#N/A</v>
          </cell>
          <cell r="F178" t="e">
            <v>#N/A</v>
          </cell>
          <cell r="G178" t="e">
            <v>#N/A</v>
          </cell>
          <cell r="H178" t="e">
            <v>#N/A</v>
          </cell>
          <cell r="I178" t="e">
            <v>#N/A</v>
          </cell>
          <cell r="J178" t="e">
            <v>#N/A</v>
          </cell>
          <cell r="K178" t="e">
            <v>#N/A</v>
          </cell>
          <cell r="L178" t="e">
            <v>#N/A</v>
          </cell>
          <cell r="M178" t="e">
            <v>#N/A</v>
          </cell>
          <cell r="N178" t="e">
            <v>#N/A</v>
          </cell>
          <cell r="O178" t="e">
            <v>#N/A</v>
          </cell>
          <cell r="P178">
            <v>37.090000000000003</v>
          </cell>
          <cell r="Q178">
            <v>1.938688</v>
          </cell>
          <cell r="R178" t="e">
            <v>#N/A</v>
          </cell>
        </row>
        <row r="179">
          <cell r="A179">
            <v>39727</v>
          </cell>
          <cell r="B179">
            <v>39727</v>
          </cell>
          <cell r="C179" t="str">
            <v>Past</v>
          </cell>
          <cell r="D179">
            <v>33.86</v>
          </cell>
          <cell r="E179" t="e">
            <v>#N/A</v>
          </cell>
          <cell r="F179" t="e">
            <v>#N/A</v>
          </cell>
          <cell r="G179" t="e">
            <v>#N/A</v>
          </cell>
          <cell r="H179" t="e">
            <v>#N/A</v>
          </cell>
          <cell r="I179" t="e">
            <v>#N/A</v>
          </cell>
          <cell r="J179" t="e">
            <v>#N/A</v>
          </cell>
          <cell r="K179" t="e">
            <v>#N/A</v>
          </cell>
          <cell r="L179" t="e">
            <v>#N/A</v>
          </cell>
          <cell r="M179" t="e">
            <v>#N/A</v>
          </cell>
          <cell r="N179" t="e">
            <v>#N/A</v>
          </cell>
          <cell r="O179" t="e">
            <v>#N/A</v>
          </cell>
          <cell r="P179">
            <v>33.86</v>
          </cell>
          <cell r="Q179">
            <v>2.655106</v>
          </cell>
          <cell r="R179" t="e">
            <v>#N/A</v>
          </cell>
        </row>
        <row r="180">
          <cell r="A180">
            <v>39728</v>
          </cell>
          <cell r="B180">
            <v>39728</v>
          </cell>
          <cell r="C180" t="str">
            <v>Past</v>
          </cell>
          <cell r="D180">
            <v>34.22</v>
          </cell>
          <cell r="E180" t="e">
            <v>#N/A</v>
          </cell>
          <cell r="F180" t="e">
            <v>#N/A</v>
          </cell>
          <cell r="G180" t="e">
            <v>#N/A</v>
          </cell>
          <cell r="H180" t="e">
            <v>#N/A</v>
          </cell>
          <cell r="I180" t="e">
            <v>#N/A</v>
          </cell>
          <cell r="J180" t="e">
            <v>#N/A</v>
          </cell>
          <cell r="K180" t="e">
            <v>#N/A</v>
          </cell>
          <cell r="L180" t="e">
            <v>#N/A</v>
          </cell>
          <cell r="M180" t="e">
            <v>#N/A</v>
          </cell>
          <cell r="N180" t="e">
            <v>#N/A</v>
          </cell>
          <cell r="O180" t="e">
            <v>#N/A</v>
          </cell>
          <cell r="P180">
            <v>34.22</v>
          </cell>
          <cell r="Q180">
            <v>3.9290909999999997</v>
          </cell>
          <cell r="R180" t="e">
            <v>#N/A</v>
          </cell>
        </row>
        <row r="181">
          <cell r="A181">
            <v>39729</v>
          </cell>
          <cell r="B181">
            <v>39729</v>
          </cell>
          <cell r="C181" t="str">
            <v>Past</v>
          </cell>
          <cell r="D181">
            <v>33.74</v>
          </cell>
          <cell r="E181" t="e">
            <v>#N/A</v>
          </cell>
          <cell r="F181" t="e">
            <v>#N/A</v>
          </cell>
          <cell r="G181" t="e">
            <v>#N/A</v>
          </cell>
          <cell r="H181" t="e">
            <v>#N/A</v>
          </cell>
          <cell r="I181" t="e">
            <v>#N/A</v>
          </cell>
          <cell r="J181" t="e">
            <v>#N/A</v>
          </cell>
          <cell r="K181" t="e">
            <v>#N/A</v>
          </cell>
          <cell r="L181" t="e">
            <v>#N/A</v>
          </cell>
          <cell r="M181" t="e">
            <v>#N/A</v>
          </cell>
          <cell r="N181" t="e">
            <v>#N/A</v>
          </cell>
          <cell r="O181" t="e">
            <v>#N/A</v>
          </cell>
          <cell r="P181">
            <v>33.74</v>
          </cell>
          <cell r="Q181">
            <v>2.1836900000000004</v>
          </cell>
          <cell r="R181" t="e">
            <v>#N/A</v>
          </cell>
        </row>
        <row r="182">
          <cell r="A182">
            <v>39730</v>
          </cell>
          <cell r="B182">
            <v>39730</v>
          </cell>
          <cell r="C182" t="str">
            <v>Past</v>
          </cell>
          <cell r="D182">
            <v>31.82</v>
          </cell>
          <cell r="E182" t="e">
            <v>#N/A</v>
          </cell>
          <cell r="F182" t="e">
            <v>#N/A</v>
          </cell>
          <cell r="G182" t="e">
            <v>#N/A</v>
          </cell>
          <cell r="H182" t="e">
            <v>#N/A</v>
          </cell>
          <cell r="I182" t="e">
            <v>#N/A</v>
          </cell>
          <cell r="J182" t="e">
            <v>#N/A</v>
          </cell>
          <cell r="K182" t="e">
            <v>#N/A</v>
          </cell>
          <cell r="L182" t="e">
            <v>#N/A</v>
          </cell>
          <cell r="M182" t="e">
            <v>#N/A</v>
          </cell>
          <cell r="N182" t="e">
            <v>#N/A</v>
          </cell>
          <cell r="O182" t="e">
            <v>#N/A</v>
          </cell>
          <cell r="P182">
            <v>31.82</v>
          </cell>
          <cell r="Q182">
            <v>1.6622000000000001</v>
          </cell>
          <cell r="R182" t="e">
            <v>#N/A</v>
          </cell>
        </row>
        <row r="183">
          <cell r="A183">
            <v>39731</v>
          </cell>
          <cell r="B183">
            <v>39731</v>
          </cell>
          <cell r="C183" t="str">
            <v>Past</v>
          </cell>
          <cell r="D183">
            <v>31.94</v>
          </cell>
          <cell r="E183" t="e">
            <v>#N/A</v>
          </cell>
          <cell r="F183" t="e">
            <v>#N/A</v>
          </cell>
          <cell r="G183" t="e">
            <v>#N/A</v>
          </cell>
          <cell r="H183" t="e">
            <v>#N/A</v>
          </cell>
          <cell r="I183" t="e">
            <v>#N/A</v>
          </cell>
          <cell r="J183" t="e">
            <v>#N/A</v>
          </cell>
          <cell r="K183" t="e">
            <v>#N/A</v>
          </cell>
          <cell r="L183" t="e">
            <v>#N/A</v>
          </cell>
          <cell r="M183" t="e">
            <v>#N/A</v>
          </cell>
          <cell r="N183" t="e">
            <v>#N/A</v>
          </cell>
          <cell r="O183" t="e">
            <v>#N/A</v>
          </cell>
          <cell r="P183">
            <v>31.94</v>
          </cell>
          <cell r="Q183">
            <v>2.6307749999999999</v>
          </cell>
          <cell r="R183" t="e">
            <v>#N/A</v>
          </cell>
        </row>
        <row r="184">
          <cell r="A184">
            <v>39734</v>
          </cell>
          <cell r="B184">
            <v>39734</v>
          </cell>
          <cell r="C184" t="str">
            <v>Past</v>
          </cell>
          <cell r="D184">
            <v>35.119999999999997</v>
          </cell>
          <cell r="E184" t="e">
            <v>#N/A</v>
          </cell>
          <cell r="F184" t="e">
            <v>#N/A</v>
          </cell>
          <cell r="G184" t="e">
            <v>#N/A</v>
          </cell>
          <cell r="H184" t="e">
            <v>#N/A</v>
          </cell>
          <cell r="I184" t="e">
            <v>#N/A</v>
          </cell>
          <cell r="J184" t="e">
            <v>#N/A</v>
          </cell>
          <cell r="K184" t="e">
            <v>#N/A</v>
          </cell>
          <cell r="L184" t="e">
            <v>#N/A</v>
          </cell>
          <cell r="M184" t="e">
            <v>#N/A</v>
          </cell>
          <cell r="N184" t="e">
            <v>#N/A</v>
          </cell>
          <cell r="O184" t="e">
            <v>#N/A</v>
          </cell>
          <cell r="P184">
            <v>35.119999999999997</v>
          </cell>
          <cell r="Q184">
            <v>2.0106859999999998</v>
          </cell>
          <cell r="R184" t="e">
            <v>#N/A</v>
          </cell>
        </row>
        <row r="185">
          <cell r="A185">
            <v>39735</v>
          </cell>
          <cell r="B185">
            <v>39735</v>
          </cell>
          <cell r="C185" t="str">
            <v>Past</v>
          </cell>
          <cell r="D185">
            <v>34.46</v>
          </cell>
          <cell r="E185" t="e">
            <v>#N/A</v>
          </cell>
          <cell r="F185" t="e">
            <v>#N/A</v>
          </cell>
          <cell r="G185" t="e">
            <v>#N/A</v>
          </cell>
          <cell r="H185" t="e">
            <v>#N/A</v>
          </cell>
          <cell r="I185" t="e">
            <v>#N/A</v>
          </cell>
          <cell r="J185" t="e">
            <v>#N/A</v>
          </cell>
          <cell r="K185" t="e">
            <v>#N/A</v>
          </cell>
          <cell r="L185" t="e">
            <v>#N/A</v>
          </cell>
          <cell r="M185" t="e">
            <v>#N/A</v>
          </cell>
          <cell r="N185" t="e">
            <v>#N/A</v>
          </cell>
          <cell r="O185" t="e">
            <v>#N/A</v>
          </cell>
          <cell r="P185">
            <v>34.46</v>
          </cell>
          <cell r="Q185">
            <v>1.8610609999999999</v>
          </cell>
          <cell r="R185" t="e">
            <v>#N/A</v>
          </cell>
        </row>
        <row r="186">
          <cell r="A186">
            <v>39736</v>
          </cell>
          <cell r="B186">
            <v>39736</v>
          </cell>
          <cell r="C186" t="str">
            <v>Past</v>
          </cell>
          <cell r="D186">
            <v>30</v>
          </cell>
          <cell r="E186" t="e">
            <v>#N/A</v>
          </cell>
          <cell r="F186" t="e">
            <v>#N/A</v>
          </cell>
          <cell r="G186" t="e">
            <v>#N/A</v>
          </cell>
          <cell r="H186" t="e">
            <v>#N/A</v>
          </cell>
          <cell r="I186" t="e">
            <v>#N/A</v>
          </cell>
          <cell r="J186" t="e">
            <v>#N/A</v>
          </cell>
          <cell r="K186" t="e">
            <v>#N/A</v>
          </cell>
          <cell r="L186" t="e">
            <v>#N/A</v>
          </cell>
          <cell r="M186" t="e">
            <v>#N/A</v>
          </cell>
          <cell r="N186" t="e">
            <v>#N/A</v>
          </cell>
          <cell r="O186" t="e">
            <v>#N/A</v>
          </cell>
          <cell r="P186">
            <v>30</v>
          </cell>
          <cell r="Q186">
            <v>2.449557</v>
          </cell>
          <cell r="R186" t="e">
            <v>#N/A</v>
          </cell>
        </row>
        <row r="187">
          <cell r="A187">
            <v>39737</v>
          </cell>
          <cell r="B187">
            <v>39737</v>
          </cell>
          <cell r="C187" t="str">
            <v>Past</v>
          </cell>
          <cell r="D187">
            <v>33.19</v>
          </cell>
          <cell r="E187" t="e">
            <v>#N/A</v>
          </cell>
          <cell r="F187" t="e">
            <v>#N/A</v>
          </cell>
          <cell r="G187" t="e">
            <v>#N/A</v>
          </cell>
          <cell r="H187" t="e">
            <v>#N/A</v>
          </cell>
          <cell r="I187" t="e">
            <v>#N/A</v>
          </cell>
          <cell r="J187" t="e">
            <v>#N/A</v>
          </cell>
          <cell r="K187" t="e">
            <v>#N/A</v>
          </cell>
          <cell r="L187" t="e">
            <v>#N/A</v>
          </cell>
          <cell r="M187" t="e">
            <v>#N/A</v>
          </cell>
          <cell r="N187" t="e">
            <v>#N/A</v>
          </cell>
          <cell r="O187" t="e">
            <v>#N/A</v>
          </cell>
          <cell r="P187">
            <v>33.19</v>
          </cell>
          <cell r="Q187">
            <v>3.2420949999999999</v>
          </cell>
          <cell r="R187" t="e">
            <v>#N/A</v>
          </cell>
        </row>
        <row r="188">
          <cell r="A188">
            <v>39738</v>
          </cell>
          <cell r="B188">
            <v>39738</v>
          </cell>
          <cell r="C188" t="str">
            <v>Past</v>
          </cell>
          <cell r="D188">
            <v>31.97</v>
          </cell>
          <cell r="E188" t="e">
            <v>#N/A</v>
          </cell>
          <cell r="F188" t="e">
            <v>#N/A</v>
          </cell>
          <cell r="G188" t="e">
            <v>#N/A</v>
          </cell>
          <cell r="H188" t="e">
            <v>#N/A</v>
          </cell>
          <cell r="I188" t="e">
            <v>#N/A</v>
          </cell>
          <cell r="J188" t="e">
            <v>#N/A</v>
          </cell>
          <cell r="K188" t="e">
            <v>#N/A</v>
          </cell>
          <cell r="L188" t="e">
            <v>#N/A</v>
          </cell>
          <cell r="M188" t="e">
            <v>#N/A</v>
          </cell>
          <cell r="N188" t="e">
            <v>#N/A</v>
          </cell>
          <cell r="O188" t="e">
            <v>#N/A</v>
          </cell>
          <cell r="P188">
            <v>31.97</v>
          </cell>
          <cell r="Q188">
            <v>1.7620800000000001</v>
          </cell>
          <cell r="R188" t="e">
            <v>#N/A</v>
          </cell>
        </row>
        <row r="189">
          <cell r="A189">
            <v>39741</v>
          </cell>
          <cell r="B189">
            <v>39741</v>
          </cell>
          <cell r="C189" t="str">
            <v>Past</v>
          </cell>
          <cell r="D189">
            <v>34.85</v>
          </cell>
          <cell r="E189" t="e">
            <v>#N/A</v>
          </cell>
          <cell r="F189" t="e">
            <v>#N/A</v>
          </cell>
          <cell r="G189" t="e">
            <v>#N/A</v>
          </cell>
          <cell r="H189" t="e">
            <v>#N/A</v>
          </cell>
          <cell r="I189" t="e">
            <v>#N/A</v>
          </cell>
          <cell r="J189" t="e">
            <v>#N/A</v>
          </cell>
          <cell r="K189" t="e">
            <v>#N/A</v>
          </cell>
          <cell r="L189" t="e">
            <v>#N/A</v>
          </cell>
          <cell r="M189" t="e">
            <v>#N/A</v>
          </cell>
          <cell r="N189" t="e">
            <v>#N/A</v>
          </cell>
          <cell r="O189" t="e">
            <v>#N/A</v>
          </cell>
          <cell r="P189">
            <v>34.85</v>
          </cell>
          <cell r="Q189">
            <v>1.801806</v>
          </cell>
          <cell r="R189" t="e">
            <v>#N/A</v>
          </cell>
        </row>
        <row r="190">
          <cell r="A190">
            <v>39742</v>
          </cell>
          <cell r="B190">
            <v>39742</v>
          </cell>
          <cell r="C190" t="str">
            <v>Past</v>
          </cell>
          <cell r="D190">
            <v>33.18</v>
          </cell>
          <cell r="E190" t="e">
            <v>#N/A</v>
          </cell>
          <cell r="F190" t="e">
            <v>#N/A</v>
          </cell>
          <cell r="G190" t="e">
            <v>#N/A</v>
          </cell>
          <cell r="H190" t="e">
            <v>#N/A</v>
          </cell>
          <cell r="I190" t="e">
            <v>#N/A</v>
          </cell>
          <cell r="J190" t="e">
            <v>#N/A</v>
          </cell>
          <cell r="K190" t="e">
            <v>#N/A</v>
          </cell>
          <cell r="L190" t="e">
            <v>#N/A</v>
          </cell>
          <cell r="M190" t="e">
            <v>#N/A</v>
          </cell>
          <cell r="N190" t="e">
            <v>#N/A</v>
          </cell>
          <cell r="O190" t="e">
            <v>#N/A</v>
          </cell>
          <cell r="P190">
            <v>33.18</v>
          </cell>
          <cell r="Q190">
            <v>1.4458519999999999</v>
          </cell>
          <cell r="R190" t="e">
            <v>#N/A</v>
          </cell>
        </row>
        <row r="191">
          <cell r="A191">
            <v>39743</v>
          </cell>
          <cell r="B191">
            <v>39743</v>
          </cell>
          <cell r="C191" t="str">
            <v>Past</v>
          </cell>
          <cell r="D191">
            <v>32.03</v>
          </cell>
          <cell r="E191" t="e">
            <v>#N/A</v>
          </cell>
          <cell r="F191" t="e">
            <v>#N/A</v>
          </cell>
          <cell r="G191" t="e">
            <v>#N/A</v>
          </cell>
          <cell r="H191" t="e">
            <v>#N/A</v>
          </cell>
          <cell r="I191" t="e">
            <v>#N/A</v>
          </cell>
          <cell r="J191" t="e">
            <v>#N/A</v>
          </cell>
          <cell r="K191" t="e">
            <v>#N/A</v>
          </cell>
          <cell r="L191" t="e">
            <v>#N/A</v>
          </cell>
          <cell r="M191" t="e">
            <v>#N/A</v>
          </cell>
          <cell r="N191" t="e">
            <v>#N/A</v>
          </cell>
          <cell r="O191" t="e">
            <v>#N/A</v>
          </cell>
          <cell r="P191">
            <v>32.03</v>
          </cell>
          <cell r="Q191">
            <v>2.0923339999999997</v>
          </cell>
          <cell r="R191" t="e">
            <v>#N/A</v>
          </cell>
        </row>
        <row r="192">
          <cell r="A192">
            <v>39744</v>
          </cell>
          <cell r="B192">
            <v>39744</v>
          </cell>
          <cell r="C192" t="str">
            <v>Past</v>
          </cell>
          <cell r="D192">
            <v>34.799999999999997</v>
          </cell>
          <cell r="E192" t="e">
            <v>#N/A</v>
          </cell>
          <cell r="F192" t="e">
            <v>#N/A</v>
          </cell>
          <cell r="G192" t="e">
            <v>#N/A</v>
          </cell>
          <cell r="H192" t="e">
            <v>#N/A</v>
          </cell>
          <cell r="I192" t="e">
            <v>#N/A</v>
          </cell>
          <cell r="J192" t="e">
            <v>#N/A</v>
          </cell>
          <cell r="K192" t="e">
            <v>#N/A</v>
          </cell>
          <cell r="L192" t="e">
            <v>#N/A</v>
          </cell>
          <cell r="M192" t="e">
            <v>#N/A</v>
          </cell>
          <cell r="N192" t="e">
            <v>#N/A</v>
          </cell>
          <cell r="O192" t="e">
            <v>#N/A</v>
          </cell>
          <cell r="P192">
            <v>34.799999999999997</v>
          </cell>
          <cell r="Q192">
            <v>2.8823000000000003</v>
          </cell>
          <cell r="R192" t="e">
            <v>#N/A</v>
          </cell>
        </row>
        <row r="193">
          <cell r="A193">
            <v>39745</v>
          </cell>
          <cell r="B193">
            <v>39745</v>
          </cell>
          <cell r="C193" t="str">
            <v>Past</v>
          </cell>
          <cell r="D193">
            <v>33.03</v>
          </cell>
          <cell r="E193" t="e">
            <v>#N/A</v>
          </cell>
          <cell r="F193" t="e">
            <v>#N/A</v>
          </cell>
          <cell r="G193" t="e">
            <v>#N/A</v>
          </cell>
          <cell r="H193" t="e">
            <v>#N/A</v>
          </cell>
          <cell r="I193" t="e">
            <v>#N/A</v>
          </cell>
          <cell r="J193" t="e">
            <v>#N/A</v>
          </cell>
          <cell r="K193" t="e">
            <v>#N/A</v>
          </cell>
          <cell r="L193" t="e">
            <v>#N/A</v>
          </cell>
          <cell r="M193" t="e">
            <v>#N/A</v>
          </cell>
          <cell r="N193" t="e">
            <v>#N/A</v>
          </cell>
          <cell r="O193" t="e">
            <v>#N/A</v>
          </cell>
          <cell r="P193">
            <v>33.03</v>
          </cell>
          <cell r="Q193">
            <v>2.5827789999999999</v>
          </cell>
          <cell r="R193" t="e">
            <v>#N/A</v>
          </cell>
        </row>
        <row r="194">
          <cell r="A194">
            <v>39748</v>
          </cell>
          <cell r="B194">
            <v>39748</v>
          </cell>
          <cell r="C194" t="str">
            <v>Past</v>
          </cell>
          <cell r="D194">
            <v>30.9</v>
          </cell>
          <cell r="E194" t="e">
            <v>#N/A</v>
          </cell>
          <cell r="F194" t="e">
            <v>#N/A</v>
          </cell>
          <cell r="G194" t="e">
            <v>#N/A</v>
          </cell>
          <cell r="H194" t="e">
            <v>#N/A</v>
          </cell>
          <cell r="I194" t="e">
            <v>#N/A</v>
          </cell>
          <cell r="J194" t="e">
            <v>#N/A</v>
          </cell>
          <cell r="K194" t="e">
            <v>#N/A</v>
          </cell>
          <cell r="L194" t="e">
            <v>#N/A</v>
          </cell>
          <cell r="M194" t="e">
            <v>#N/A</v>
          </cell>
          <cell r="N194" t="e">
            <v>#N/A</v>
          </cell>
          <cell r="O194" t="e">
            <v>#N/A</v>
          </cell>
          <cell r="P194">
            <v>30.9</v>
          </cell>
          <cell r="Q194">
            <v>2.1401429999999997</v>
          </cell>
          <cell r="R194" t="e">
            <v>#N/A</v>
          </cell>
        </row>
        <row r="195">
          <cell r="A195">
            <v>39749</v>
          </cell>
          <cell r="B195">
            <v>39749</v>
          </cell>
          <cell r="C195" t="str">
            <v>Past</v>
          </cell>
          <cell r="D195">
            <v>35.770000000000003</v>
          </cell>
          <cell r="E195" t="e">
            <v>#N/A</v>
          </cell>
          <cell r="F195" t="e">
            <v>#N/A</v>
          </cell>
          <cell r="G195" t="e">
            <v>#N/A</v>
          </cell>
          <cell r="H195" t="e">
            <v>#N/A</v>
          </cell>
          <cell r="I195" t="e">
            <v>#N/A</v>
          </cell>
          <cell r="J195" t="e">
            <v>#N/A</v>
          </cell>
          <cell r="K195" t="e">
            <v>#N/A</v>
          </cell>
          <cell r="L195" t="e">
            <v>#N/A</v>
          </cell>
          <cell r="M195" t="e">
            <v>#N/A</v>
          </cell>
          <cell r="N195" t="e">
            <v>#N/A</v>
          </cell>
          <cell r="O195" t="e">
            <v>#N/A</v>
          </cell>
          <cell r="P195">
            <v>35.770000000000003</v>
          </cell>
          <cell r="Q195">
            <v>2.4503879999999998</v>
          </cell>
          <cell r="R195" t="e">
            <v>#N/A</v>
          </cell>
        </row>
        <row r="196">
          <cell r="A196">
            <v>39750</v>
          </cell>
          <cell r="B196">
            <v>39750</v>
          </cell>
          <cell r="C196" t="str">
            <v>Past</v>
          </cell>
          <cell r="D196">
            <v>35.869999999999997</v>
          </cell>
          <cell r="E196" t="e">
            <v>#N/A</v>
          </cell>
          <cell r="F196" t="e">
            <v>#N/A</v>
          </cell>
          <cell r="G196" t="e">
            <v>#N/A</v>
          </cell>
          <cell r="H196" t="e">
            <v>#N/A</v>
          </cell>
          <cell r="I196" t="e">
            <v>#N/A</v>
          </cell>
          <cell r="J196" t="e">
            <v>#N/A</v>
          </cell>
          <cell r="K196" t="e">
            <v>#N/A</v>
          </cell>
          <cell r="L196" t="e">
            <v>#N/A</v>
          </cell>
          <cell r="M196" t="e">
            <v>#N/A</v>
          </cell>
          <cell r="N196" t="e">
            <v>#N/A</v>
          </cell>
          <cell r="O196" t="e">
            <v>#N/A</v>
          </cell>
          <cell r="P196">
            <v>35.869999999999997</v>
          </cell>
          <cell r="Q196">
            <v>1.902604</v>
          </cell>
          <cell r="R196" t="e">
            <v>#N/A</v>
          </cell>
        </row>
        <row r="197">
          <cell r="A197">
            <v>39751</v>
          </cell>
          <cell r="B197">
            <v>39751</v>
          </cell>
          <cell r="C197" t="str">
            <v>Past</v>
          </cell>
          <cell r="D197">
            <v>36.950000000000003</v>
          </cell>
          <cell r="E197" t="e">
            <v>#N/A</v>
          </cell>
          <cell r="F197" t="e">
            <v>#N/A</v>
          </cell>
          <cell r="G197" t="e">
            <v>#N/A</v>
          </cell>
          <cell r="H197" t="e">
            <v>#N/A</v>
          </cell>
          <cell r="I197" t="e">
            <v>#N/A</v>
          </cell>
          <cell r="J197" t="e">
            <v>#N/A</v>
          </cell>
          <cell r="K197" t="e">
            <v>#N/A</v>
          </cell>
          <cell r="L197" t="e">
            <v>#N/A</v>
          </cell>
          <cell r="M197" t="e">
            <v>#N/A</v>
          </cell>
          <cell r="N197" t="e">
            <v>#N/A</v>
          </cell>
          <cell r="O197" t="e">
            <v>#N/A</v>
          </cell>
          <cell r="P197">
            <v>36.950000000000003</v>
          </cell>
          <cell r="Q197">
            <v>1.9679800000000001</v>
          </cell>
          <cell r="R197" t="e">
            <v>#N/A</v>
          </cell>
        </row>
        <row r="198">
          <cell r="A198">
            <v>39752</v>
          </cell>
          <cell r="B198">
            <v>39752</v>
          </cell>
          <cell r="C198" t="str">
            <v>Past</v>
          </cell>
          <cell r="D198">
            <v>36.56</v>
          </cell>
          <cell r="E198" t="e">
            <v>#N/A</v>
          </cell>
          <cell r="F198" t="e">
            <v>#N/A</v>
          </cell>
          <cell r="G198" t="e">
            <v>#N/A</v>
          </cell>
          <cell r="H198" t="e">
            <v>#N/A</v>
          </cell>
          <cell r="I198" t="e">
            <v>#N/A</v>
          </cell>
          <cell r="J198" t="e">
            <v>#N/A</v>
          </cell>
          <cell r="K198" t="e">
            <v>#N/A</v>
          </cell>
          <cell r="L198" t="e">
            <v>#N/A</v>
          </cell>
          <cell r="M198" t="e">
            <v>#N/A</v>
          </cell>
          <cell r="N198" t="e">
            <v>#N/A</v>
          </cell>
          <cell r="O198" t="e">
            <v>#N/A</v>
          </cell>
          <cell r="P198">
            <v>36.56</v>
          </cell>
          <cell r="Q198">
            <v>2.4284089999999998</v>
          </cell>
          <cell r="R198" t="e">
            <v>#N/A</v>
          </cell>
        </row>
        <row r="199">
          <cell r="A199">
            <v>39755</v>
          </cell>
          <cell r="B199">
            <v>39755</v>
          </cell>
          <cell r="C199" t="str">
            <v>Past</v>
          </cell>
          <cell r="D199">
            <v>38.049999999999997</v>
          </cell>
          <cell r="E199" t="e">
            <v>#N/A</v>
          </cell>
          <cell r="F199" t="e">
            <v>#N/A</v>
          </cell>
          <cell r="G199" t="e">
            <v>#N/A</v>
          </cell>
          <cell r="H199" t="e">
            <v>#N/A</v>
          </cell>
          <cell r="I199" t="e">
            <v>#N/A</v>
          </cell>
          <cell r="J199" t="e">
            <v>#N/A</v>
          </cell>
          <cell r="K199" t="e">
            <v>#N/A</v>
          </cell>
          <cell r="L199" t="e">
            <v>#N/A</v>
          </cell>
          <cell r="M199" t="e">
            <v>#N/A</v>
          </cell>
          <cell r="N199" t="e">
            <v>#N/A</v>
          </cell>
          <cell r="O199" t="e">
            <v>#N/A</v>
          </cell>
          <cell r="P199">
            <v>38.049999999999997</v>
          </cell>
          <cell r="Q199">
            <v>1.9575200000000001</v>
          </cell>
          <cell r="R199" t="e">
            <v>#N/A</v>
          </cell>
        </row>
        <row r="200">
          <cell r="A200">
            <v>39756</v>
          </cell>
          <cell r="B200">
            <v>39756</v>
          </cell>
          <cell r="C200" t="str">
            <v>Past</v>
          </cell>
          <cell r="D200">
            <v>39.85</v>
          </cell>
          <cell r="E200" t="e">
            <v>#N/A</v>
          </cell>
          <cell r="F200" t="e">
            <v>#N/A</v>
          </cell>
          <cell r="G200" t="e">
            <v>#N/A</v>
          </cell>
          <cell r="H200" t="e">
            <v>#N/A</v>
          </cell>
          <cell r="I200" t="e">
            <v>#N/A</v>
          </cell>
          <cell r="J200" t="e">
            <v>#N/A</v>
          </cell>
          <cell r="K200" t="e">
            <v>#N/A</v>
          </cell>
          <cell r="L200" t="e">
            <v>#N/A</v>
          </cell>
          <cell r="M200" t="e">
            <v>#N/A</v>
          </cell>
          <cell r="N200" t="e">
            <v>#N/A</v>
          </cell>
          <cell r="O200" t="e">
            <v>#N/A</v>
          </cell>
          <cell r="P200">
            <v>39.85</v>
          </cell>
          <cell r="Q200">
            <v>2.2860500000000004</v>
          </cell>
          <cell r="R200" t="e">
            <v>#N/A</v>
          </cell>
        </row>
        <row r="201">
          <cell r="A201">
            <v>39757</v>
          </cell>
          <cell r="B201">
            <v>39757</v>
          </cell>
          <cell r="C201" t="str">
            <v>Past</v>
          </cell>
          <cell r="D201">
            <v>36.93</v>
          </cell>
          <cell r="E201" t="e">
            <v>#N/A</v>
          </cell>
          <cell r="F201" t="e">
            <v>#N/A</v>
          </cell>
          <cell r="G201" t="e">
            <v>#N/A</v>
          </cell>
          <cell r="H201" t="e">
            <v>#N/A</v>
          </cell>
          <cell r="I201" t="e">
            <v>#N/A</v>
          </cell>
          <cell r="J201" t="e">
            <v>#N/A</v>
          </cell>
          <cell r="K201" t="e">
            <v>#N/A</v>
          </cell>
          <cell r="L201" t="e">
            <v>#N/A</v>
          </cell>
          <cell r="M201" t="e">
            <v>#N/A</v>
          </cell>
          <cell r="N201" t="e">
            <v>#N/A</v>
          </cell>
          <cell r="O201" t="e">
            <v>#N/A</v>
          </cell>
          <cell r="P201">
            <v>36.93</v>
          </cell>
          <cell r="Q201">
            <v>1.948888</v>
          </cell>
          <cell r="R201" t="e">
            <v>#N/A</v>
          </cell>
        </row>
        <row r="202">
          <cell r="A202">
            <v>39758</v>
          </cell>
          <cell r="B202">
            <v>39758</v>
          </cell>
          <cell r="C202" t="str">
            <v>Past</v>
          </cell>
          <cell r="D202">
            <v>34.29</v>
          </cell>
          <cell r="E202" t="e">
            <v>#N/A</v>
          </cell>
          <cell r="F202" t="e">
            <v>#N/A</v>
          </cell>
          <cell r="G202" t="e">
            <v>#N/A</v>
          </cell>
          <cell r="H202" t="e">
            <v>#N/A</v>
          </cell>
          <cell r="I202" t="e">
            <v>#N/A</v>
          </cell>
          <cell r="J202" t="e">
            <v>#N/A</v>
          </cell>
          <cell r="K202" t="e">
            <v>#N/A</v>
          </cell>
          <cell r="L202" t="e">
            <v>#N/A</v>
          </cell>
          <cell r="M202" t="e">
            <v>#N/A</v>
          </cell>
          <cell r="N202" t="e">
            <v>#N/A</v>
          </cell>
          <cell r="O202" t="e">
            <v>#N/A</v>
          </cell>
          <cell r="P202">
            <v>34.29</v>
          </cell>
          <cell r="Q202">
            <v>1.5476669999999999</v>
          </cell>
          <cell r="R202" t="e">
            <v>#N/A</v>
          </cell>
        </row>
        <row r="203">
          <cell r="A203">
            <v>39759</v>
          </cell>
          <cell r="B203">
            <v>39759</v>
          </cell>
          <cell r="C203" t="str">
            <v>Past</v>
          </cell>
          <cell r="D203">
            <v>35.19</v>
          </cell>
          <cell r="E203" t="e">
            <v>#N/A</v>
          </cell>
          <cell r="F203" t="e">
            <v>#N/A</v>
          </cell>
          <cell r="G203" t="e">
            <v>#N/A</v>
          </cell>
          <cell r="H203" t="e">
            <v>#N/A</v>
          </cell>
          <cell r="I203" t="e">
            <v>#N/A</v>
          </cell>
          <cell r="J203" t="e">
            <v>#N/A</v>
          </cell>
          <cell r="K203" t="e">
            <v>#N/A</v>
          </cell>
          <cell r="L203" t="e">
            <v>#N/A</v>
          </cell>
          <cell r="M203" t="e">
            <v>#N/A</v>
          </cell>
          <cell r="N203" t="e">
            <v>#N/A</v>
          </cell>
          <cell r="O203" t="e">
            <v>#N/A</v>
          </cell>
          <cell r="P203">
            <v>35.19</v>
          </cell>
          <cell r="Q203">
            <v>0.99650699999999992</v>
          </cell>
          <cell r="R203" t="e">
            <v>#N/A</v>
          </cell>
        </row>
        <row r="204">
          <cell r="A204">
            <v>39762</v>
          </cell>
          <cell r="B204">
            <v>39762</v>
          </cell>
          <cell r="C204" t="str">
            <v>Past</v>
          </cell>
          <cell r="D204">
            <v>34.5</v>
          </cell>
          <cell r="E204" t="e">
            <v>#N/A</v>
          </cell>
          <cell r="F204" t="e">
            <v>#N/A</v>
          </cell>
          <cell r="G204" t="e">
            <v>#N/A</v>
          </cell>
          <cell r="H204" t="e">
            <v>#N/A</v>
          </cell>
          <cell r="I204" t="e">
            <v>#N/A</v>
          </cell>
          <cell r="J204" t="e">
            <v>#N/A</v>
          </cell>
          <cell r="K204" t="e">
            <v>#N/A</v>
          </cell>
          <cell r="L204" t="e">
            <v>#N/A</v>
          </cell>
          <cell r="M204" t="e">
            <v>#N/A</v>
          </cell>
          <cell r="N204" t="e">
            <v>#N/A</v>
          </cell>
          <cell r="O204" t="e">
            <v>#N/A</v>
          </cell>
          <cell r="P204">
            <v>34.5</v>
          </cell>
          <cell r="Q204">
            <v>1.0579369999999999</v>
          </cell>
          <cell r="R204" t="e">
            <v>#N/A</v>
          </cell>
        </row>
        <row r="205">
          <cell r="A205">
            <v>39763</v>
          </cell>
          <cell r="B205">
            <v>39763</v>
          </cell>
          <cell r="C205" t="str">
            <v>Past</v>
          </cell>
          <cell r="D205">
            <v>33.369999999999997</v>
          </cell>
          <cell r="E205" t="e">
            <v>#N/A</v>
          </cell>
          <cell r="F205" t="e">
            <v>#N/A</v>
          </cell>
          <cell r="G205" t="e">
            <v>#N/A</v>
          </cell>
          <cell r="H205" t="e">
            <v>#N/A</v>
          </cell>
          <cell r="I205" t="e">
            <v>#N/A</v>
          </cell>
          <cell r="J205" t="e">
            <v>#N/A</v>
          </cell>
          <cell r="K205" t="e">
            <v>#N/A</v>
          </cell>
          <cell r="L205" t="e">
            <v>#N/A</v>
          </cell>
          <cell r="M205" t="e">
            <v>#N/A</v>
          </cell>
          <cell r="N205" t="e">
            <v>#N/A</v>
          </cell>
          <cell r="O205" t="e">
            <v>#N/A</v>
          </cell>
          <cell r="P205">
            <v>33.369999999999997</v>
          </cell>
          <cell r="Q205">
            <v>1.1043000000000001</v>
          </cell>
          <cell r="R205" t="e">
            <v>#N/A</v>
          </cell>
        </row>
        <row r="206">
          <cell r="A206">
            <v>39764</v>
          </cell>
          <cell r="B206">
            <v>39764</v>
          </cell>
          <cell r="C206" t="str">
            <v>Past</v>
          </cell>
          <cell r="D206">
            <v>32.29</v>
          </cell>
          <cell r="E206" t="e">
            <v>#N/A</v>
          </cell>
          <cell r="F206" t="e">
            <v>#N/A</v>
          </cell>
          <cell r="G206" t="e">
            <v>#N/A</v>
          </cell>
          <cell r="H206" t="e">
            <v>#N/A</v>
          </cell>
          <cell r="I206" t="e">
            <v>#N/A</v>
          </cell>
          <cell r="J206" t="e">
            <v>#N/A</v>
          </cell>
          <cell r="K206" t="e">
            <v>#N/A</v>
          </cell>
          <cell r="L206" t="e">
            <v>#N/A</v>
          </cell>
          <cell r="M206" t="e">
            <v>#N/A</v>
          </cell>
          <cell r="N206" t="e">
            <v>#N/A</v>
          </cell>
          <cell r="O206" t="e">
            <v>#N/A</v>
          </cell>
          <cell r="P206">
            <v>32.29</v>
          </cell>
          <cell r="Q206">
            <v>1.080794</v>
          </cell>
          <cell r="R206" t="e">
            <v>#N/A</v>
          </cell>
        </row>
        <row r="207">
          <cell r="A207">
            <v>39765</v>
          </cell>
          <cell r="B207">
            <v>39765</v>
          </cell>
          <cell r="C207" t="str">
            <v>Past</v>
          </cell>
          <cell r="D207">
            <v>33.49</v>
          </cell>
          <cell r="E207" t="e">
            <v>#N/A</v>
          </cell>
          <cell r="F207" t="e">
            <v>#N/A</v>
          </cell>
          <cell r="G207" t="e">
            <v>#N/A</v>
          </cell>
          <cell r="H207" t="e">
            <v>#N/A</v>
          </cell>
          <cell r="I207" t="e">
            <v>#N/A</v>
          </cell>
          <cell r="J207" t="e">
            <v>#N/A</v>
          </cell>
          <cell r="K207" t="e">
            <v>#N/A</v>
          </cell>
          <cell r="L207" t="e">
            <v>#N/A</v>
          </cell>
          <cell r="M207" t="e">
            <v>#N/A</v>
          </cell>
          <cell r="N207" t="e">
            <v>#N/A</v>
          </cell>
          <cell r="O207" t="e">
            <v>#N/A</v>
          </cell>
          <cell r="P207">
            <v>33.49</v>
          </cell>
          <cell r="Q207">
            <v>2.1120950000000001</v>
          </cell>
          <cell r="R207" t="e">
            <v>#N/A</v>
          </cell>
        </row>
        <row r="208">
          <cell r="A208">
            <v>39766</v>
          </cell>
          <cell r="B208">
            <v>39766</v>
          </cell>
          <cell r="C208" t="str">
            <v>Past</v>
          </cell>
          <cell r="D208">
            <v>32.08</v>
          </cell>
          <cell r="E208" t="e">
            <v>#N/A</v>
          </cell>
          <cell r="F208" t="e">
            <v>#N/A</v>
          </cell>
          <cell r="G208" t="e">
            <v>#N/A</v>
          </cell>
          <cell r="H208" t="e">
            <v>#N/A</v>
          </cell>
          <cell r="I208" t="e">
            <v>#N/A</v>
          </cell>
          <cell r="J208" t="e">
            <v>#N/A</v>
          </cell>
          <cell r="K208" t="e">
            <v>#N/A</v>
          </cell>
          <cell r="L208" t="e">
            <v>#N/A</v>
          </cell>
          <cell r="M208" t="e">
            <v>#N/A</v>
          </cell>
          <cell r="N208" t="e">
            <v>#N/A</v>
          </cell>
          <cell r="O208" t="e">
            <v>#N/A</v>
          </cell>
          <cell r="P208">
            <v>32.08</v>
          </cell>
          <cell r="Q208">
            <v>1.119764</v>
          </cell>
          <cell r="R208" t="e">
            <v>#N/A</v>
          </cell>
        </row>
        <row r="209">
          <cell r="A209">
            <v>39769</v>
          </cell>
          <cell r="B209">
            <v>39769</v>
          </cell>
          <cell r="C209" t="str">
            <v>Past</v>
          </cell>
          <cell r="D209">
            <v>30.83</v>
          </cell>
          <cell r="E209" t="e">
            <v>#N/A</v>
          </cell>
          <cell r="F209" t="e">
            <v>#N/A</v>
          </cell>
          <cell r="G209" t="e">
            <v>#N/A</v>
          </cell>
          <cell r="H209" t="e">
            <v>#N/A</v>
          </cell>
          <cell r="I209" t="e">
            <v>#N/A</v>
          </cell>
          <cell r="J209" t="e">
            <v>#N/A</v>
          </cell>
          <cell r="K209" t="e">
            <v>#N/A</v>
          </cell>
          <cell r="L209" t="e">
            <v>#N/A</v>
          </cell>
          <cell r="M209" t="e">
            <v>#N/A</v>
          </cell>
          <cell r="N209" t="e">
            <v>#N/A</v>
          </cell>
          <cell r="O209" t="e">
            <v>#N/A</v>
          </cell>
          <cell r="P209">
            <v>30.83</v>
          </cell>
          <cell r="Q209">
            <v>0.99315199999999992</v>
          </cell>
          <cell r="R209" t="e">
            <v>#N/A</v>
          </cell>
        </row>
        <row r="210">
          <cell r="A210">
            <v>39770</v>
          </cell>
          <cell r="B210">
            <v>39770</v>
          </cell>
          <cell r="C210" t="str">
            <v>Past</v>
          </cell>
          <cell r="D210">
            <v>30.09</v>
          </cell>
          <cell r="E210" t="e">
            <v>#N/A</v>
          </cell>
          <cell r="F210" t="e">
            <v>#N/A</v>
          </cell>
          <cell r="G210" t="e">
            <v>#N/A</v>
          </cell>
          <cell r="H210" t="e">
            <v>#N/A</v>
          </cell>
          <cell r="I210" t="e">
            <v>#N/A</v>
          </cell>
          <cell r="J210" t="e">
            <v>#N/A</v>
          </cell>
          <cell r="K210" t="e">
            <v>#N/A</v>
          </cell>
          <cell r="L210" t="e">
            <v>#N/A</v>
          </cell>
          <cell r="M210" t="e">
            <v>#N/A</v>
          </cell>
          <cell r="N210" t="e">
            <v>#N/A</v>
          </cell>
          <cell r="O210" t="e">
            <v>#N/A</v>
          </cell>
          <cell r="P210">
            <v>30.09</v>
          </cell>
          <cell r="Q210">
            <v>2.2322000000000002</v>
          </cell>
          <cell r="R210" t="e">
            <v>#N/A</v>
          </cell>
        </row>
        <row r="211">
          <cell r="A211">
            <v>39771</v>
          </cell>
          <cell r="B211">
            <v>39771</v>
          </cell>
          <cell r="C211" t="str">
            <v>Past</v>
          </cell>
          <cell r="D211">
            <v>27.84</v>
          </cell>
          <cell r="E211" t="e">
            <v>#N/A</v>
          </cell>
          <cell r="F211" t="e">
            <v>#N/A</v>
          </cell>
          <cell r="G211" t="e">
            <v>#N/A</v>
          </cell>
          <cell r="H211" t="e">
            <v>#N/A</v>
          </cell>
          <cell r="I211" t="e">
            <v>#N/A</v>
          </cell>
          <cell r="J211" t="e">
            <v>#N/A</v>
          </cell>
          <cell r="K211" t="e">
            <v>#N/A</v>
          </cell>
          <cell r="L211" t="e">
            <v>#N/A</v>
          </cell>
          <cell r="M211" t="e">
            <v>#N/A</v>
          </cell>
          <cell r="N211" t="e">
            <v>#N/A</v>
          </cell>
          <cell r="O211" t="e">
            <v>#N/A</v>
          </cell>
          <cell r="P211">
            <v>27.84</v>
          </cell>
          <cell r="Q211">
            <v>1.8709669999999998</v>
          </cell>
          <cell r="R211" t="e">
            <v>#N/A</v>
          </cell>
        </row>
        <row r="212">
          <cell r="A212">
            <v>39772</v>
          </cell>
          <cell r="B212">
            <v>39772</v>
          </cell>
          <cell r="C212" t="str">
            <v>Past</v>
          </cell>
          <cell r="D212">
            <v>26.51</v>
          </cell>
          <cell r="E212" t="e">
            <v>#N/A</v>
          </cell>
          <cell r="F212" t="e">
            <v>#N/A</v>
          </cell>
          <cell r="G212" t="e">
            <v>#N/A</v>
          </cell>
          <cell r="H212" t="e">
            <v>#N/A</v>
          </cell>
          <cell r="I212" t="e">
            <v>#N/A</v>
          </cell>
          <cell r="J212" t="e">
            <v>#N/A</v>
          </cell>
          <cell r="K212" t="e">
            <v>#N/A</v>
          </cell>
          <cell r="L212" t="e">
            <v>#N/A</v>
          </cell>
          <cell r="M212" t="e">
            <v>#N/A</v>
          </cell>
          <cell r="N212" t="e">
            <v>#N/A</v>
          </cell>
          <cell r="O212" t="e">
            <v>#N/A</v>
          </cell>
          <cell r="P212">
            <v>26.51</v>
          </cell>
          <cell r="Q212">
            <v>1.778789</v>
          </cell>
          <cell r="R212" t="e">
            <v>#N/A</v>
          </cell>
        </row>
        <row r="213">
          <cell r="A213">
            <v>39773</v>
          </cell>
          <cell r="B213">
            <v>39773</v>
          </cell>
          <cell r="C213" t="str">
            <v>Past</v>
          </cell>
          <cell r="D213">
            <v>28.13</v>
          </cell>
          <cell r="E213" t="e">
            <v>#N/A</v>
          </cell>
          <cell r="F213" t="e">
            <v>#N/A</v>
          </cell>
          <cell r="G213" t="e">
            <v>#N/A</v>
          </cell>
          <cell r="H213" t="e">
            <v>#N/A</v>
          </cell>
          <cell r="I213" t="e">
            <v>#N/A</v>
          </cell>
          <cell r="J213" t="e">
            <v>#N/A</v>
          </cell>
          <cell r="K213" t="e">
            <v>#N/A</v>
          </cell>
          <cell r="L213" t="e">
            <v>#N/A</v>
          </cell>
          <cell r="M213" t="e">
            <v>#N/A</v>
          </cell>
          <cell r="N213" t="e">
            <v>#N/A</v>
          </cell>
          <cell r="O213" t="e">
            <v>#N/A</v>
          </cell>
          <cell r="P213">
            <v>28.13</v>
          </cell>
          <cell r="Q213">
            <v>1.9406029999999999</v>
          </cell>
          <cell r="R213" t="e">
            <v>#N/A</v>
          </cell>
        </row>
        <row r="214">
          <cell r="A214">
            <v>39776</v>
          </cell>
          <cell r="B214">
            <v>39776</v>
          </cell>
          <cell r="C214" t="str">
            <v>Past</v>
          </cell>
          <cell r="D214">
            <v>30.08</v>
          </cell>
          <cell r="E214" t="e">
            <v>#N/A</v>
          </cell>
          <cell r="F214" t="e">
            <v>#N/A</v>
          </cell>
          <cell r="G214" t="e">
            <v>#N/A</v>
          </cell>
          <cell r="H214" t="e">
            <v>#N/A</v>
          </cell>
          <cell r="I214" t="e">
            <v>#N/A</v>
          </cell>
          <cell r="J214" t="e">
            <v>#N/A</v>
          </cell>
          <cell r="K214" t="e">
            <v>#N/A</v>
          </cell>
          <cell r="L214" t="e">
            <v>#N/A</v>
          </cell>
          <cell r="M214" t="e">
            <v>#N/A</v>
          </cell>
          <cell r="N214" t="e">
            <v>#N/A</v>
          </cell>
          <cell r="O214" t="e">
            <v>#N/A</v>
          </cell>
          <cell r="P214">
            <v>30.08</v>
          </cell>
          <cell r="Q214">
            <v>2.3064939999999998</v>
          </cell>
          <cell r="R214" t="e">
            <v>#N/A</v>
          </cell>
        </row>
        <row r="215">
          <cell r="A215">
            <v>39777</v>
          </cell>
          <cell r="B215">
            <v>39777</v>
          </cell>
          <cell r="C215" t="str">
            <v>Past</v>
          </cell>
          <cell r="D215">
            <v>30.7</v>
          </cell>
          <cell r="E215" t="e">
            <v>#N/A</v>
          </cell>
          <cell r="F215" t="e">
            <v>#N/A</v>
          </cell>
          <cell r="G215" t="e">
            <v>#N/A</v>
          </cell>
          <cell r="H215" t="e">
            <v>#N/A</v>
          </cell>
          <cell r="I215" t="e">
            <v>#N/A</v>
          </cell>
          <cell r="J215" t="e">
            <v>#N/A</v>
          </cell>
          <cell r="K215" t="e">
            <v>#N/A</v>
          </cell>
          <cell r="L215" t="e">
            <v>#N/A</v>
          </cell>
          <cell r="M215" t="e">
            <v>#N/A</v>
          </cell>
          <cell r="N215" t="e">
            <v>#N/A</v>
          </cell>
          <cell r="O215" t="e">
            <v>#N/A</v>
          </cell>
          <cell r="P215">
            <v>30.7</v>
          </cell>
          <cell r="Q215">
            <v>1.7402949999999999</v>
          </cell>
          <cell r="R215" t="e">
            <v>#N/A</v>
          </cell>
        </row>
        <row r="216">
          <cell r="A216">
            <v>39778</v>
          </cell>
          <cell r="B216">
            <v>39778</v>
          </cell>
          <cell r="C216" t="str">
            <v>Past</v>
          </cell>
          <cell r="D216">
            <v>32.479999999999997</v>
          </cell>
          <cell r="E216" t="e">
            <v>#N/A</v>
          </cell>
          <cell r="F216" t="e">
            <v>#N/A</v>
          </cell>
          <cell r="G216" t="e">
            <v>#N/A</v>
          </cell>
          <cell r="H216" t="e">
            <v>#N/A</v>
          </cell>
          <cell r="I216" t="e">
            <v>#N/A</v>
          </cell>
          <cell r="J216" t="e">
            <v>#N/A</v>
          </cell>
          <cell r="K216" t="e">
            <v>#N/A</v>
          </cell>
          <cell r="L216" t="e">
            <v>#N/A</v>
          </cell>
          <cell r="M216" t="e">
            <v>#N/A</v>
          </cell>
          <cell r="N216" t="e">
            <v>#N/A</v>
          </cell>
          <cell r="O216" t="e">
            <v>#N/A</v>
          </cell>
          <cell r="P216">
            <v>32.479999999999997</v>
          </cell>
          <cell r="Q216">
            <v>1.9790189999999999</v>
          </cell>
          <cell r="R216" t="e">
            <v>#N/A</v>
          </cell>
        </row>
        <row r="217">
          <cell r="A217">
            <v>39780</v>
          </cell>
          <cell r="B217">
            <v>39780</v>
          </cell>
          <cell r="C217" t="str">
            <v>Past</v>
          </cell>
          <cell r="D217">
            <v>33.65</v>
          </cell>
          <cell r="E217" t="e">
            <v>#N/A</v>
          </cell>
          <cell r="F217" t="e">
            <v>#N/A</v>
          </cell>
          <cell r="G217" t="e">
            <v>#N/A</v>
          </cell>
          <cell r="H217" t="e">
            <v>#N/A</v>
          </cell>
          <cell r="I217" t="e">
            <v>#N/A</v>
          </cell>
          <cell r="J217" t="e">
            <v>#N/A</v>
          </cell>
          <cell r="K217" t="e">
            <v>#N/A</v>
          </cell>
          <cell r="L217" t="e">
            <v>#N/A</v>
          </cell>
          <cell r="M217" t="e">
            <v>#N/A</v>
          </cell>
          <cell r="N217" t="e">
            <v>#N/A</v>
          </cell>
          <cell r="O217" t="e">
            <v>#N/A</v>
          </cell>
          <cell r="P217">
            <v>33.65</v>
          </cell>
          <cell r="Q217">
            <v>0.53634000000000004</v>
          </cell>
          <cell r="R217" t="e">
            <v>#N/A</v>
          </cell>
        </row>
        <row r="218">
          <cell r="A218">
            <v>39783</v>
          </cell>
          <cell r="B218">
            <v>39783</v>
          </cell>
          <cell r="C218" t="str">
            <v>Past</v>
          </cell>
          <cell r="D218">
            <v>30.95</v>
          </cell>
          <cell r="E218" t="e">
            <v>#N/A</v>
          </cell>
          <cell r="F218" t="e">
            <v>#N/A</v>
          </cell>
          <cell r="G218" t="e">
            <v>#N/A</v>
          </cell>
          <cell r="H218" t="e">
            <v>#N/A</v>
          </cell>
          <cell r="I218" t="e">
            <v>#N/A</v>
          </cell>
          <cell r="J218" t="e">
            <v>#N/A</v>
          </cell>
          <cell r="K218" t="e">
            <v>#N/A</v>
          </cell>
          <cell r="L218" t="e">
            <v>#N/A</v>
          </cell>
          <cell r="M218" t="e">
            <v>#N/A</v>
          </cell>
          <cell r="N218" t="e">
            <v>#N/A</v>
          </cell>
          <cell r="O218" t="e">
            <v>#N/A</v>
          </cell>
          <cell r="P218">
            <v>30.95</v>
          </cell>
          <cell r="Q218">
            <v>2.0541419999999997</v>
          </cell>
          <cell r="R218" t="e">
            <v>#N/A</v>
          </cell>
        </row>
        <row r="219">
          <cell r="A219">
            <v>39784</v>
          </cell>
          <cell r="B219">
            <v>39784</v>
          </cell>
          <cell r="C219" t="str">
            <v>Past</v>
          </cell>
          <cell r="D219">
            <v>32.15</v>
          </cell>
          <cell r="E219" t="e">
            <v>#N/A</v>
          </cell>
          <cell r="F219" t="e">
            <v>#N/A</v>
          </cell>
          <cell r="G219" t="e">
            <v>#N/A</v>
          </cell>
          <cell r="H219" t="e">
            <v>#N/A</v>
          </cell>
          <cell r="I219" t="e">
            <v>#N/A</v>
          </cell>
          <cell r="J219" t="e">
            <v>#N/A</v>
          </cell>
          <cell r="K219" t="e">
            <v>#N/A</v>
          </cell>
          <cell r="L219" t="e">
            <v>#N/A</v>
          </cell>
          <cell r="M219" t="e">
            <v>#N/A</v>
          </cell>
          <cell r="N219" t="e">
            <v>#N/A</v>
          </cell>
          <cell r="O219" t="e">
            <v>#N/A</v>
          </cell>
          <cell r="P219">
            <v>32.15</v>
          </cell>
          <cell r="Q219">
            <v>2.6506189999999998</v>
          </cell>
          <cell r="R219" t="e">
            <v>#N/A</v>
          </cell>
        </row>
        <row r="220">
          <cell r="A220">
            <v>39785</v>
          </cell>
          <cell r="B220">
            <v>39785</v>
          </cell>
          <cell r="C220" t="str">
            <v>Past</v>
          </cell>
          <cell r="D220">
            <v>32.64</v>
          </cell>
          <cell r="E220" t="e">
            <v>#N/A</v>
          </cell>
          <cell r="F220" t="e">
            <v>#N/A</v>
          </cell>
          <cell r="G220" t="e">
            <v>#N/A</v>
          </cell>
          <cell r="H220" t="e">
            <v>#N/A</v>
          </cell>
          <cell r="I220" t="e">
            <v>#N/A</v>
          </cell>
          <cell r="J220" t="e">
            <v>#N/A</v>
          </cell>
          <cell r="K220" t="e">
            <v>#N/A</v>
          </cell>
          <cell r="L220" t="e">
            <v>#N/A</v>
          </cell>
          <cell r="M220" t="e">
            <v>#N/A</v>
          </cell>
          <cell r="N220" t="e">
            <v>#N/A</v>
          </cell>
          <cell r="O220" t="e">
            <v>#N/A</v>
          </cell>
          <cell r="P220">
            <v>32.64</v>
          </cell>
          <cell r="Q220">
            <v>1.7129100000000002</v>
          </cell>
          <cell r="R220" t="e">
            <v>#N/A</v>
          </cell>
        </row>
        <row r="221">
          <cell r="A221">
            <v>39786</v>
          </cell>
          <cell r="B221">
            <v>39786</v>
          </cell>
          <cell r="C221" t="str">
            <v>Past</v>
          </cell>
          <cell r="D221">
            <v>31.93</v>
          </cell>
          <cell r="E221" t="e">
            <v>#N/A</v>
          </cell>
          <cell r="F221" t="e">
            <v>#N/A</v>
          </cell>
          <cell r="G221" t="e">
            <v>#N/A</v>
          </cell>
          <cell r="H221" t="e">
            <v>#N/A</v>
          </cell>
          <cell r="I221" t="e">
            <v>#N/A</v>
          </cell>
          <cell r="J221" t="e">
            <v>#N/A</v>
          </cell>
          <cell r="K221" t="e">
            <v>#N/A</v>
          </cell>
          <cell r="L221" t="e">
            <v>#N/A</v>
          </cell>
          <cell r="M221" t="e">
            <v>#N/A</v>
          </cell>
          <cell r="N221" t="e">
            <v>#N/A</v>
          </cell>
          <cell r="O221" t="e">
            <v>#N/A</v>
          </cell>
          <cell r="P221">
            <v>31.93</v>
          </cell>
          <cell r="Q221">
            <v>1.701263</v>
          </cell>
          <cell r="R221" t="e">
            <v>#N/A</v>
          </cell>
        </row>
        <row r="222">
          <cell r="A222">
            <v>39787</v>
          </cell>
          <cell r="B222">
            <v>39787</v>
          </cell>
          <cell r="C222" t="str">
            <v>Past</v>
          </cell>
          <cell r="D222">
            <v>33.46</v>
          </cell>
          <cell r="E222" t="e">
            <v>#N/A</v>
          </cell>
          <cell r="F222" t="e">
            <v>#N/A</v>
          </cell>
          <cell r="G222" t="e">
            <v>#N/A</v>
          </cell>
          <cell r="H222" t="e">
            <v>#N/A</v>
          </cell>
          <cell r="I222" t="e">
            <v>#N/A</v>
          </cell>
          <cell r="J222" t="e">
            <v>#N/A</v>
          </cell>
          <cell r="K222" t="e">
            <v>#N/A</v>
          </cell>
          <cell r="L222" t="e">
            <v>#N/A</v>
          </cell>
          <cell r="M222" t="e">
            <v>#N/A</v>
          </cell>
          <cell r="N222" t="e">
            <v>#N/A</v>
          </cell>
          <cell r="O222" t="e">
            <v>#N/A</v>
          </cell>
          <cell r="P222">
            <v>33.46</v>
          </cell>
          <cell r="Q222">
            <v>1.635526</v>
          </cell>
          <cell r="R222" t="e">
            <v>#N/A</v>
          </cell>
        </row>
        <row r="223">
          <cell r="A223">
            <v>39790</v>
          </cell>
          <cell r="B223">
            <v>39790</v>
          </cell>
          <cell r="C223" t="str">
            <v>Past</v>
          </cell>
          <cell r="D223">
            <v>34.89</v>
          </cell>
          <cell r="E223" t="e">
            <v>#N/A</v>
          </cell>
          <cell r="F223" t="e">
            <v>#N/A</v>
          </cell>
          <cell r="G223" t="e">
            <v>#N/A</v>
          </cell>
          <cell r="H223" t="e">
            <v>#N/A</v>
          </cell>
          <cell r="I223" t="e">
            <v>#N/A</v>
          </cell>
          <cell r="J223" t="e">
            <v>#N/A</v>
          </cell>
          <cell r="K223" t="e">
            <v>#N/A</v>
          </cell>
          <cell r="L223" t="e">
            <v>#N/A</v>
          </cell>
          <cell r="M223" t="e">
            <v>#N/A</v>
          </cell>
          <cell r="N223" t="e">
            <v>#N/A</v>
          </cell>
          <cell r="O223" t="e">
            <v>#N/A</v>
          </cell>
          <cell r="P223">
            <v>34.89</v>
          </cell>
          <cell r="Q223">
            <v>1.4074800000000001</v>
          </cell>
          <cell r="R223" t="e">
            <v>#N/A</v>
          </cell>
        </row>
        <row r="224">
          <cell r="A224">
            <v>39791</v>
          </cell>
          <cell r="B224">
            <v>39791</v>
          </cell>
          <cell r="C224" t="str">
            <v>Past</v>
          </cell>
          <cell r="D224">
            <v>34.94</v>
          </cell>
          <cell r="E224" t="e">
            <v>#N/A</v>
          </cell>
          <cell r="F224" t="e">
            <v>#N/A</v>
          </cell>
          <cell r="G224" t="e">
            <v>#N/A</v>
          </cell>
          <cell r="H224" t="e">
            <v>#N/A</v>
          </cell>
          <cell r="I224" t="e">
            <v>#N/A</v>
          </cell>
          <cell r="J224" t="e">
            <v>#N/A</v>
          </cell>
          <cell r="K224" t="e">
            <v>#N/A</v>
          </cell>
          <cell r="L224" t="e">
            <v>#N/A</v>
          </cell>
          <cell r="M224" t="e">
            <v>#N/A</v>
          </cell>
          <cell r="N224" t="e">
            <v>#N/A</v>
          </cell>
          <cell r="O224" t="e">
            <v>#N/A</v>
          </cell>
          <cell r="P224">
            <v>34.94</v>
          </cell>
          <cell r="Q224">
            <v>1.3286259999999999</v>
          </cell>
          <cell r="R224" t="e">
            <v>#N/A</v>
          </cell>
        </row>
        <row r="225">
          <cell r="A225">
            <v>39792</v>
          </cell>
          <cell r="B225">
            <v>39792</v>
          </cell>
          <cell r="C225" t="str">
            <v>Past</v>
          </cell>
          <cell r="D225">
            <v>36.01</v>
          </cell>
          <cell r="E225" t="e">
            <v>#N/A</v>
          </cell>
          <cell r="F225" t="e">
            <v>#N/A</v>
          </cell>
          <cell r="G225" t="e">
            <v>#N/A</v>
          </cell>
          <cell r="H225" t="e">
            <v>#N/A</v>
          </cell>
          <cell r="I225" t="e">
            <v>#N/A</v>
          </cell>
          <cell r="J225" t="e">
            <v>#N/A</v>
          </cell>
          <cell r="K225" t="e">
            <v>#N/A</v>
          </cell>
          <cell r="L225" t="e">
            <v>#N/A</v>
          </cell>
          <cell r="M225" t="e">
            <v>#N/A</v>
          </cell>
          <cell r="N225" t="e">
            <v>#N/A</v>
          </cell>
          <cell r="O225" t="e">
            <v>#N/A</v>
          </cell>
          <cell r="P225">
            <v>36.01</v>
          </cell>
          <cell r="Q225">
            <v>1.6476649999999999</v>
          </cell>
          <cell r="R225" t="e">
            <v>#N/A</v>
          </cell>
        </row>
        <row r="226">
          <cell r="A226">
            <v>39793</v>
          </cell>
          <cell r="B226">
            <v>39793</v>
          </cell>
          <cell r="C226" t="str">
            <v>Past</v>
          </cell>
          <cell r="D226">
            <v>34.19</v>
          </cell>
          <cell r="E226" t="e">
            <v>#N/A</v>
          </cell>
          <cell r="F226" t="e">
            <v>#N/A</v>
          </cell>
          <cell r="G226" t="e">
            <v>#N/A</v>
          </cell>
          <cell r="H226" t="e">
            <v>#N/A</v>
          </cell>
          <cell r="I226" t="e">
            <v>#N/A</v>
          </cell>
          <cell r="J226" t="e">
            <v>#N/A</v>
          </cell>
          <cell r="K226" t="e">
            <v>#N/A</v>
          </cell>
          <cell r="L226" t="e">
            <v>#N/A</v>
          </cell>
          <cell r="M226" t="e">
            <v>#N/A</v>
          </cell>
          <cell r="N226" t="e">
            <v>#N/A</v>
          </cell>
          <cell r="O226" t="e">
            <v>#N/A</v>
          </cell>
          <cell r="P226">
            <v>34.19</v>
          </cell>
          <cell r="Q226">
            <v>1.4961359999999999</v>
          </cell>
          <cell r="R226" t="e">
            <v>#N/A</v>
          </cell>
        </row>
        <row r="227">
          <cell r="A227">
            <v>39794</v>
          </cell>
          <cell r="B227">
            <v>39794</v>
          </cell>
          <cell r="C227" t="str">
            <v>Past</v>
          </cell>
          <cell r="D227">
            <v>34.659999999999997</v>
          </cell>
          <cell r="E227" t="e">
            <v>#N/A</v>
          </cell>
          <cell r="F227" t="e">
            <v>#N/A</v>
          </cell>
          <cell r="G227" t="e">
            <v>#N/A</v>
          </cell>
          <cell r="H227" t="e">
            <v>#N/A</v>
          </cell>
          <cell r="I227" t="e">
            <v>#N/A</v>
          </cell>
          <cell r="J227" t="e">
            <v>#N/A</v>
          </cell>
          <cell r="K227" t="e">
            <v>#N/A</v>
          </cell>
          <cell r="L227" t="e">
            <v>#N/A</v>
          </cell>
          <cell r="M227" t="e">
            <v>#N/A</v>
          </cell>
          <cell r="N227" t="e">
            <v>#N/A</v>
          </cell>
          <cell r="O227" t="e">
            <v>#N/A</v>
          </cell>
          <cell r="P227">
            <v>34.659999999999997</v>
          </cell>
          <cell r="Q227">
            <v>1.953635</v>
          </cell>
          <cell r="R227" t="e">
            <v>#N/A</v>
          </cell>
        </row>
        <row r="228">
          <cell r="A228">
            <v>39797</v>
          </cell>
          <cell r="B228">
            <v>39797</v>
          </cell>
          <cell r="C228" t="str">
            <v>Past</v>
          </cell>
          <cell r="D228">
            <v>33.76</v>
          </cell>
          <cell r="E228" t="e">
            <v>#N/A</v>
          </cell>
          <cell r="F228" t="e">
            <v>#N/A</v>
          </cell>
          <cell r="G228" t="e">
            <v>#N/A</v>
          </cell>
          <cell r="H228" t="e">
            <v>#N/A</v>
          </cell>
          <cell r="I228" t="e">
            <v>#N/A</v>
          </cell>
          <cell r="J228" t="e">
            <v>#N/A</v>
          </cell>
          <cell r="K228" t="e">
            <v>#N/A</v>
          </cell>
          <cell r="L228" t="e">
            <v>#N/A</v>
          </cell>
          <cell r="M228" t="e">
            <v>#N/A</v>
          </cell>
          <cell r="N228" t="e">
            <v>#N/A</v>
          </cell>
          <cell r="O228" t="e">
            <v>#N/A</v>
          </cell>
          <cell r="P228">
            <v>33.76</v>
          </cell>
          <cell r="Q228">
            <v>1.5951849999999999</v>
          </cell>
          <cell r="R228" t="e">
            <v>#N/A</v>
          </cell>
        </row>
        <row r="229">
          <cell r="A229">
            <v>39798</v>
          </cell>
          <cell r="B229">
            <v>39798</v>
          </cell>
          <cell r="C229" t="str">
            <v>Past</v>
          </cell>
          <cell r="D229">
            <v>36.07</v>
          </cell>
          <cell r="E229" t="e">
            <v>#N/A</v>
          </cell>
          <cell r="F229" t="e">
            <v>#N/A</v>
          </cell>
          <cell r="G229" t="e">
            <v>#N/A</v>
          </cell>
          <cell r="H229" t="e">
            <v>#N/A</v>
          </cell>
          <cell r="I229" t="e">
            <v>#N/A</v>
          </cell>
          <cell r="J229" t="e">
            <v>#N/A</v>
          </cell>
          <cell r="K229" t="e">
            <v>#N/A</v>
          </cell>
          <cell r="L229" t="e">
            <v>#N/A</v>
          </cell>
          <cell r="M229" t="e">
            <v>#N/A</v>
          </cell>
          <cell r="N229" t="e">
            <v>#N/A</v>
          </cell>
          <cell r="O229" t="e">
            <v>#N/A</v>
          </cell>
          <cell r="P229">
            <v>36.07</v>
          </cell>
          <cell r="Q229">
            <v>1.6047300000000002</v>
          </cell>
          <cell r="R229" t="e">
            <v>#N/A</v>
          </cell>
        </row>
        <row r="230">
          <cell r="A230">
            <v>39799</v>
          </cell>
          <cell r="B230">
            <v>39799</v>
          </cell>
          <cell r="C230" t="str">
            <v>Past</v>
          </cell>
          <cell r="D230">
            <v>35.94</v>
          </cell>
          <cell r="E230" t="e">
            <v>#N/A</v>
          </cell>
          <cell r="F230" t="e">
            <v>#N/A</v>
          </cell>
          <cell r="G230" t="e">
            <v>#N/A</v>
          </cell>
          <cell r="H230" t="e">
            <v>#N/A</v>
          </cell>
          <cell r="I230" t="e">
            <v>#N/A</v>
          </cell>
          <cell r="J230" t="e">
            <v>#N/A</v>
          </cell>
          <cell r="K230" t="e">
            <v>#N/A</v>
          </cell>
          <cell r="L230" t="e">
            <v>#N/A</v>
          </cell>
          <cell r="M230" t="e">
            <v>#N/A</v>
          </cell>
          <cell r="N230" t="e">
            <v>#N/A</v>
          </cell>
          <cell r="O230" t="e">
            <v>#N/A</v>
          </cell>
          <cell r="P230">
            <v>35.94</v>
          </cell>
          <cell r="Q230">
            <v>1.1765649999999999</v>
          </cell>
          <cell r="R230" t="e">
            <v>#N/A</v>
          </cell>
        </row>
        <row r="231">
          <cell r="A231">
            <v>39800</v>
          </cell>
          <cell r="B231">
            <v>39800</v>
          </cell>
          <cell r="C231" t="str">
            <v>Past</v>
          </cell>
          <cell r="D231">
            <v>34.909999999999997</v>
          </cell>
          <cell r="E231" t="e">
            <v>#N/A</v>
          </cell>
          <cell r="F231" t="e">
            <v>#N/A</v>
          </cell>
          <cell r="G231" t="e">
            <v>#N/A</v>
          </cell>
          <cell r="H231" t="e">
            <v>#N/A</v>
          </cell>
          <cell r="I231" t="e">
            <v>#N/A</v>
          </cell>
          <cell r="J231" t="e">
            <v>#N/A</v>
          </cell>
          <cell r="K231" t="e">
            <v>#N/A</v>
          </cell>
          <cell r="L231" t="e">
            <v>#N/A</v>
          </cell>
          <cell r="M231" t="e">
            <v>#N/A</v>
          </cell>
          <cell r="N231" t="e">
            <v>#N/A</v>
          </cell>
          <cell r="O231" t="e">
            <v>#N/A</v>
          </cell>
          <cell r="P231">
            <v>34.909999999999997</v>
          </cell>
          <cell r="Q231">
            <v>1.289091</v>
          </cell>
          <cell r="R231" t="e">
            <v>#N/A</v>
          </cell>
        </row>
        <row r="232">
          <cell r="A232">
            <v>39801</v>
          </cell>
          <cell r="B232">
            <v>39801</v>
          </cell>
          <cell r="C232" t="str">
            <v>Past</v>
          </cell>
          <cell r="D232">
            <v>35.619999999999997</v>
          </cell>
          <cell r="E232" t="e">
            <v>#N/A</v>
          </cell>
          <cell r="F232" t="e">
            <v>#N/A</v>
          </cell>
          <cell r="G232" t="e">
            <v>#N/A</v>
          </cell>
          <cell r="H232" t="e">
            <v>#N/A</v>
          </cell>
          <cell r="I232" t="e">
            <v>#N/A</v>
          </cell>
          <cell r="J232" t="e">
            <v>#N/A</v>
          </cell>
          <cell r="K232" t="e">
            <v>#N/A</v>
          </cell>
          <cell r="L232" t="e">
            <v>#N/A</v>
          </cell>
          <cell r="M232" t="e">
            <v>#N/A</v>
          </cell>
          <cell r="N232" t="e">
            <v>#N/A</v>
          </cell>
          <cell r="O232" t="e">
            <v>#N/A</v>
          </cell>
          <cell r="P232">
            <v>35.619999999999997</v>
          </cell>
          <cell r="Q232">
            <v>1.787728</v>
          </cell>
          <cell r="R232" t="e">
            <v>#N/A</v>
          </cell>
        </row>
        <row r="233">
          <cell r="A233">
            <v>39804</v>
          </cell>
          <cell r="B233">
            <v>39804</v>
          </cell>
          <cell r="C233" t="str">
            <v>Past</v>
          </cell>
          <cell r="D233">
            <v>34.770000000000003</v>
          </cell>
          <cell r="E233" t="e">
            <v>#N/A</v>
          </cell>
          <cell r="F233" t="e">
            <v>#N/A</v>
          </cell>
          <cell r="G233" t="e">
            <v>#N/A</v>
          </cell>
          <cell r="H233" t="e">
            <v>#N/A</v>
          </cell>
          <cell r="I233" t="e">
            <v>#N/A</v>
          </cell>
          <cell r="J233" t="e">
            <v>#N/A</v>
          </cell>
          <cell r="K233" t="e">
            <v>#N/A</v>
          </cell>
          <cell r="L233" t="e">
            <v>#N/A</v>
          </cell>
          <cell r="M233" t="e">
            <v>#N/A</v>
          </cell>
          <cell r="N233" t="e">
            <v>#N/A</v>
          </cell>
          <cell r="O233" t="e">
            <v>#N/A</v>
          </cell>
          <cell r="P233">
            <v>34.770000000000003</v>
          </cell>
          <cell r="Q233">
            <v>2.0204279999999999</v>
          </cell>
          <cell r="R233" t="e">
            <v>#N/A</v>
          </cell>
        </row>
        <row r="234">
          <cell r="A234">
            <v>39805</v>
          </cell>
          <cell r="B234">
            <v>39805</v>
          </cell>
          <cell r="C234" t="str">
            <v>Past</v>
          </cell>
          <cell r="D234">
            <v>34.29</v>
          </cell>
          <cell r="E234" t="e">
            <v>#N/A</v>
          </cell>
          <cell r="F234" t="e">
            <v>#N/A</v>
          </cell>
          <cell r="G234" t="e">
            <v>#N/A</v>
          </cell>
          <cell r="H234" t="e">
            <v>#N/A</v>
          </cell>
          <cell r="I234" t="e">
            <v>#N/A</v>
          </cell>
          <cell r="J234" t="e">
            <v>#N/A</v>
          </cell>
          <cell r="K234" t="e">
            <v>#N/A</v>
          </cell>
          <cell r="L234" t="e">
            <v>#N/A</v>
          </cell>
          <cell r="M234" t="e">
            <v>#N/A</v>
          </cell>
          <cell r="N234" t="e">
            <v>#N/A</v>
          </cell>
          <cell r="O234" t="e">
            <v>#N/A</v>
          </cell>
          <cell r="P234">
            <v>34.29</v>
          </cell>
          <cell r="Q234">
            <v>0.82676099999999997</v>
          </cell>
          <cell r="R234" t="e">
            <v>#N/A</v>
          </cell>
        </row>
        <row r="235">
          <cell r="A235">
            <v>39806</v>
          </cell>
          <cell r="B235">
            <v>39806</v>
          </cell>
          <cell r="C235" t="str">
            <v>Past</v>
          </cell>
          <cell r="D235">
            <v>34.51</v>
          </cell>
          <cell r="E235" t="e">
            <v>#N/A</v>
          </cell>
          <cell r="F235" t="e">
            <v>#N/A</v>
          </cell>
          <cell r="G235" t="e">
            <v>#N/A</v>
          </cell>
          <cell r="H235" t="e">
            <v>#N/A</v>
          </cell>
          <cell r="I235" t="e">
            <v>#N/A</v>
          </cell>
          <cell r="J235" t="e">
            <v>#N/A</v>
          </cell>
          <cell r="K235" t="e">
            <v>#N/A</v>
          </cell>
          <cell r="L235" t="e">
            <v>#N/A</v>
          </cell>
          <cell r="M235" t="e">
            <v>#N/A</v>
          </cell>
          <cell r="N235" t="e">
            <v>#N/A</v>
          </cell>
          <cell r="O235" t="e">
            <v>#N/A</v>
          </cell>
          <cell r="P235">
            <v>34.51</v>
          </cell>
          <cell r="Q235">
            <v>0.21379199999999998</v>
          </cell>
          <cell r="R235" t="e">
            <v>#N/A</v>
          </cell>
        </row>
        <row r="236">
          <cell r="A236">
            <v>39808</v>
          </cell>
          <cell r="B236">
            <v>39808</v>
          </cell>
          <cell r="C236" t="str">
            <v>Past</v>
          </cell>
          <cell r="D236">
            <v>34.89</v>
          </cell>
          <cell r="E236" t="e">
            <v>#N/A</v>
          </cell>
          <cell r="F236" t="e">
            <v>#N/A</v>
          </cell>
          <cell r="G236" t="e">
            <v>#N/A</v>
          </cell>
          <cell r="H236" t="e">
            <v>#N/A</v>
          </cell>
          <cell r="I236" t="e">
            <v>#N/A</v>
          </cell>
          <cell r="J236" t="e">
            <v>#N/A</v>
          </cell>
          <cell r="K236" t="e">
            <v>#N/A</v>
          </cell>
          <cell r="L236" t="e">
            <v>#N/A</v>
          </cell>
          <cell r="M236" t="e">
            <v>#N/A</v>
          </cell>
          <cell r="N236" t="e">
            <v>#N/A</v>
          </cell>
          <cell r="O236" t="e">
            <v>#N/A</v>
          </cell>
          <cell r="P236">
            <v>34.89</v>
          </cell>
          <cell r="Q236">
            <v>0.24699099999999999</v>
          </cell>
          <cell r="R236" t="e">
            <v>#N/A</v>
          </cell>
        </row>
        <row r="237">
          <cell r="A237">
            <v>39811</v>
          </cell>
          <cell r="B237">
            <v>39811</v>
          </cell>
          <cell r="C237" t="str">
            <v>Past</v>
          </cell>
          <cell r="D237">
            <v>34.450000000000003</v>
          </cell>
          <cell r="E237" t="e">
            <v>#N/A</v>
          </cell>
          <cell r="F237" t="e">
            <v>#N/A</v>
          </cell>
          <cell r="G237" t="e">
            <v>#N/A</v>
          </cell>
          <cell r="H237" t="e">
            <v>#N/A</v>
          </cell>
          <cell r="I237" t="e">
            <v>#N/A</v>
          </cell>
          <cell r="J237" t="e">
            <v>#N/A</v>
          </cell>
          <cell r="K237" t="e">
            <v>#N/A</v>
          </cell>
          <cell r="L237" t="e">
            <v>#N/A</v>
          </cell>
          <cell r="M237" t="e">
            <v>#N/A</v>
          </cell>
          <cell r="N237" t="e">
            <v>#N/A</v>
          </cell>
          <cell r="O237" t="e">
            <v>#N/A</v>
          </cell>
          <cell r="P237">
            <v>34.450000000000003</v>
          </cell>
          <cell r="Q237">
            <v>0.96916799999999992</v>
          </cell>
          <cell r="R237" t="e">
            <v>#N/A</v>
          </cell>
        </row>
        <row r="238">
          <cell r="A238">
            <v>39812</v>
          </cell>
          <cell r="B238">
            <v>39812</v>
          </cell>
          <cell r="C238" t="str">
            <v>Past</v>
          </cell>
          <cell r="D238">
            <v>36.57</v>
          </cell>
          <cell r="E238" t="e">
            <v>#N/A</v>
          </cell>
          <cell r="F238" t="e">
            <v>#N/A</v>
          </cell>
          <cell r="G238" t="e">
            <v>#N/A</v>
          </cell>
          <cell r="H238" t="e">
            <v>#N/A</v>
          </cell>
          <cell r="I238" t="e">
            <v>#N/A</v>
          </cell>
          <cell r="J238" t="e">
            <v>#N/A</v>
          </cell>
          <cell r="K238" t="e">
            <v>#N/A</v>
          </cell>
          <cell r="L238" t="e">
            <v>#N/A</v>
          </cell>
          <cell r="M238" t="e">
            <v>#N/A</v>
          </cell>
          <cell r="N238" t="e">
            <v>#N/A</v>
          </cell>
          <cell r="O238" t="e">
            <v>#N/A</v>
          </cell>
          <cell r="P238">
            <v>36.57</v>
          </cell>
          <cell r="Q238">
            <v>1.173062</v>
          </cell>
          <cell r="R238" t="e">
            <v>#N/A</v>
          </cell>
        </row>
        <row r="239">
          <cell r="A239">
            <v>39813</v>
          </cell>
          <cell r="B239">
            <v>39813</v>
          </cell>
          <cell r="C239" t="str">
            <v>Past</v>
          </cell>
          <cell r="D239">
            <v>37.020000000000003</v>
          </cell>
          <cell r="E239" t="e">
            <v>#N/A</v>
          </cell>
          <cell r="F239" t="e">
            <v>#N/A</v>
          </cell>
          <cell r="G239" t="e">
            <v>#N/A</v>
          </cell>
          <cell r="H239" t="e">
            <v>#N/A</v>
          </cell>
          <cell r="I239" t="e">
            <v>#N/A</v>
          </cell>
          <cell r="J239" t="e">
            <v>#N/A</v>
          </cell>
          <cell r="K239" t="e">
            <v>#N/A</v>
          </cell>
          <cell r="L239" t="e">
            <v>#N/A</v>
          </cell>
          <cell r="M239" t="e">
            <v>#N/A</v>
          </cell>
          <cell r="N239" t="e">
            <v>#N/A</v>
          </cell>
          <cell r="O239" t="e">
            <v>#N/A</v>
          </cell>
          <cell r="P239">
            <v>37.020000000000003</v>
          </cell>
          <cell r="Q239">
            <v>0.87828299999999992</v>
          </cell>
          <cell r="R239" t="e">
            <v>#N/A</v>
          </cell>
        </row>
        <row r="240">
          <cell r="A240">
            <v>39815</v>
          </cell>
          <cell r="B240">
            <v>39815</v>
          </cell>
          <cell r="C240" t="str">
            <v>Past</v>
          </cell>
          <cell r="D240">
            <v>39.71</v>
          </cell>
          <cell r="E240" t="e">
            <v>#N/A</v>
          </cell>
          <cell r="F240" t="e">
            <v>#N/A</v>
          </cell>
          <cell r="G240" t="e">
            <v>#N/A</v>
          </cell>
          <cell r="H240" t="e">
            <v>#N/A</v>
          </cell>
          <cell r="I240" t="e">
            <v>#N/A</v>
          </cell>
          <cell r="J240" t="e">
            <v>#N/A</v>
          </cell>
          <cell r="K240" t="e">
            <v>#N/A</v>
          </cell>
          <cell r="L240" t="e">
            <v>#N/A</v>
          </cell>
          <cell r="M240" t="e">
            <v>#N/A</v>
          </cell>
          <cell r="N240" t="e">
            <v>#N/A</v>
          </cell>
          <cell r="O240" t="e">
            <v>#N/A</v>
          </cell>
          <cell r="P240">
            <v>39.71</v>
          </cell>
          <cell r="Q240">
            <v>1.024672</v>
          </cell>
          <cell r="R240" t="e">
            <v>#N/A</v>
          </cell>
        </row>
        <row r="241">
          <cell r="A241">
            <v>39818</v>
          </cell>
          <cell r="B241">
            <v>39818</v>
          </cell>
          <cell r="C241" t="str">
            <v>Past</v>
          </cell>
          <cell r="D241">
            <v>39.57</v>
          </cell>
          <cell r="E241" t="e">
            <v>#N/A</v>
          </cell>
          <cell r="F241" t="e">
            <v>#N/A</v>
          </cell>
          <cell r="G241" t="e">
            <v>#N/A</v>
          </cell>
          <cell r="H241" t="e">
            <v>#N/A</v>
          </cell>
          <cell r="I241" t="e">
            <v>#N/A</v>
          </cell>
          <cell r="J241" t="e">
            <v>#N/A</v>
          </cell>
          <cell r="K241" t="e">
            <v>#N/A</v>
          </cell>
          <cell r="L241" t="e">
            <v>#N/A</v>
          </cell>
          <cell r="M241" t="e">
            <v>#N/A</v>
          </cell>
          <cell r="N241" t="e">
            <v>#N/A</v>
          </cell>
          <cell r="O241" t="e">
            <v>#N/A</v>
          </cell>
          <cell r="P241">
            <v>39.57</v>
          </cell>
          <cell r="Q241">
            <v>2.0272999999999999</v>
          </cell>
          <cell r="R241" t="e">
            <v>#N/A</v>
          </cell>
        </row>
        <row r="242">
          <cell r="A242">
            <v>39819</v>
          </cell>
          <cell r="B242">
            <v>39819</v>
          </cell>
          <cell r="C242" t="str">
            <v>Past</v>
          </cell>
          <cell r="D242">
            <v>41.04</v>
          </cell>
          <cell r="E242" t="e">
            <v>#N/A</v>
          </cell>
          <cell r="F242" t="e">
            <v>#N/A</v>
          </cell>
          <cell r="G242" t="e">
            <v>#N/A</v>
          </cell>
          <cell r="H242" t="e">
            <v>#N/A</v>
          </cell>
          <cell r="I242" t="e">
            <v>#N/A</v>
          </cell>
          <cell r="J242" t="e">
            <v>#N/A</v>
          </cell>
          <cell r="K242" t="e">
            <v>#N/A</v>
          </cell>
          <cell r="L242" t="e">
            <v>#N/A</v>
          </cell>
          <cell r="M242" t="e">
            <v>#N/A</v>
          </cell>
          <cell r="N242" t="e">
            <v>#N/A</v>
          </cell>
          <cell r="O242" t="e">
            <v>#N/A</v>
          </cell>
          <cell r="P242">
            <v>41.04</v>
          </cell>
          <cell r="Q242">
            <v>2.0981350000000001</v>
          </cell>
          <cell r="R242" t="e">
            <v>#N/A</v>
          </cell>
        </row>
        <row r="243">
          <cell r="A243">
            <v>39820</v>
          </cell>
          <cell r="B243">
            <v>39820</v>
          </cell>
          <cell r="C243" t="str">
            <v>Past</v>
          </cell>
          <cell r="D243">
            <v>40.49</v>
          </cell>
          <cell r="E243" t="e">
            <v>#N/A</v>
          </cell>
          <cell r="F243" t="e">
            <v>#N/A</v>
          </cell>
          <cell r="G243" t="e">
            <v>#N/A</v>
          </cell>
          <cell r="H243" t="e">
            <v>#N/A</v>
          </cell>
          <cell r="I243" t="e">
            <v>#N/A</v>
          </cell>
          <cell r="J243" t="e">
            <v>#N/A</v>
          </cell>
          <cell r="K243" t="e">
            <v>#N/A</v>
          </cell>
          <cell r="L243" t="e">
            <v>#N/A</v>
          </cell>
          <cell r="M243" t="e">
            <v>#N/A</v>
          </cell>
          <cell r="N243" t="e">
            <v>#N/A</v>
          </cell>
          <cell r="O243" t="e">
            <v>#N/A</v>
          </cell>
          <cell r="P243">
            <v>40.49</v>
          </cell>
          <cell r="Q243">
            <v>1.7781259999999999</v>
          </cell>
          <cell r="R243" t="e">
            <v>#N/A</v>
          </cell>
        </row>
        <row r="244">
          <cell r="A244">
            <v>39821</v>
          </cell>
          <cell r="B244">
            <v>39821</v>
          </cell>
          <cell r="C244" t="str">
            <v>Past</v>
          </cell>
          <cell r="D244">
            <v>40.64</v>
          </cell>
          <cell r="E244" t="e">
            <v>#N/A</v>
          </cell>
          <cell r="F244" t="e">
            <v>#N/A</v>
          </cell>
          <cell r="G244" t="e">
            <v>#N/A</v>
          </cell>
          <cell r="H244" t="e">
            <v>#N/A</v>
          </cell>
          <cell r="I244" t="e">
            <v>#N/A</v>
          </cell>
          <cell r="J244" t="e">
            <v>#N/A</v>
          </cell>
          <cell r="K244" t="e">
            <v>#N/A</v>
          </cell>
          <cell r="L244" t="e">
            <v>#N/A</v>
          </cell>
          <cell r="M244" t="e">
            <v>#N/A</v>
          </cell>
          <cell r="N244" t="e">
            <v>#N/A</v>
          </cell>
          <cell r="O244" t="e">
            <v>#N/A</v>
          </cell>
          <cell r="P244">
            <v>40.64</v>
          </cell>
          <cell r="Q244">
            <v>2.2172609999999997</v>
          </cell>
          <cell r="R244" t="e">
            <v>#N/A</v>
          </cell>
        </row>
        <row r="245">
          <cell r="A245">
            <v>39822</v>
          </cell>
          <cell r="B245">
            <v>39822</v>
          </cell>
          <cell r="C245" t="str">
            <v>Past</v>
          </cell>
          <cell r="D245">
            <v>40.19</v>
          </cell>
          <cell r="E245" t="e">
            <v>#N/A</v>
          </cell>
          <cell r="F245" t="e">
            <v>#N/A</v>
          </cell>
          <cell r="G245" t="e">
            <v>#N/A</v>
          </cell>
          <cell r="H245" t="e">
            <v>#N/A</v>
          </cell>
          <cell r="I245" t="e">
            <v>#N/A</v>
          </cell>
          <cell r="J245" t="e">
            <v>#N/A</v>
          </cell>
          <cell r="K245" t="e">
            <v>#N/A</v>
          </cell>
          <cell r="L245" t="e">
            <v>#N/A</v>
          </cell>
          <cell r="M245" t="e">
            <v>#N/A</v>
          </cell>
          <cell r="N245" t="e">
            <v>#N/A</v>
          </cell>
          <cell r="O245" t="e">
            <v>#N/A</v>
          </cell>
          <cell r="P245">
            <v>40.19</v>
          </cell>
          <cell r="Q245">
            <v>1.591866</v>
          </cell>
          <cell r="R245" t="e">
            <v>#N/A</v>
          </cell>
        </row>
        <row r="246">
          <cell r="A246">
            <v>39825</v>
          </cell>
          <cell r="B246">
            <v>39825</v>
          </cell>
          <cell r="C246" t="str">
            <v>Past</v>
          </cell>
          <cell r="D246">
            <v>39.340000000000003</v>
          </cell>
          <cell r="E246" t="e">
            <v>#N/A</v>
          </cell>
          <cell r="F246" t="e">
            <v>#N/A</v>
          </cell>
          <cell r="G246" t="e">
            <v>#N/A</v>
          </cell>
          <cell r="H246" t="e">
            <v>#N/A</v>
          </cell>
          <cell r="I246" t="e">
            <v>#N/A</v>
          </cell>
          <cell r="J246" t="e">
            <v>#N/A</v>
          </cell>
          <cell r="K246" t="e">
            <v>#N/A</v>
          </cell>
          <cell r="L246" t="e">
            <v>#N/A</v>
          </cell>
          <cell r="M246" t="e">
            <v>#N/A</v>
          </cell>
          <cell r="N246" t="e">
            <v>#N/A</v>
          </cell>
          <cell r="O246" t="e">
            <v>#N/A</v>
          </cell>
          <cell r="P246">
            <v>39.340000000000003</v>
          </cell>
          <cell r="Q246">
            <v>1.8798619999999999</v>
          </cell>
          <cell r="R246" t="e">
            <v>#N/A</v>
          </cell>
        </row>
        <row r="247">
          <cell r="A247">
            <v>39826</v>
          </cell>
          <cell r="B247">
            <v>39826</v>
          </cell>
          <cell r="C247" t="str">
            <v>Past</v>
          </cell>
          <cell r="D247">
            <v>39.1</v>
          </cell>
          <cell r="E247" t="e">
            <v>#N/A</v>
          </cell>
          <cell r="F247" t="e">
            <v>#N/A</v>
          </cell>
          <cell r="G247" t="e">
            <v>#N/A</v>
          </cell>
          <cell r="H247" t="e">
            <v>#N/A</v>
          </cell>
          <cell r="I247" t="e">
            <v>#N/A</v>
          </cell>
          <cell r="J247" t="e">
            <v>#N/A</v>
          </cell>
          <cell r="K247" t="e">
            <v>#N/A</v>
          </cell>
          <cell r="L247" t="e">
            <v>#N/A</v>
          </cell>
          <cell r="M247" t="e">
            <v>#N/A</v>
          </cell>
          <cell r="N247" t="e">
            <v>#N/A</v>
          </cell>
          <cell r="O247" t="e">
            <v>#N/A</v>
          </cell>
          <cell r="P247">
            <v>39.1</v>
          </cell>
          <cell r="Q247">
            <v>1.7599039999999999</v>
          </cell>
          <cell r="R247" t="e">
            <v>#N/A</v>
          </cell>
        </row>
        <row r="248">
          <cell r="A248">
            <v>39827</v>
          </cell>
          <cell r="B248">
            <v>39827</v>
          </cell>
          <cell r="C248" t="str">
            <v>Past</v>
          </cell>
          <cell r="D248">
            <v>37.53</v>
          </cell>
          <cell r="E248" t="e">
            <v>#N/A</v>
          </cell>
          <cell r="F248" t="e">
            <v>#N/A</v>
          </cell>
          <cell r="G248" t="e">
            <v>#N/A</v>
          </cell>
          <cell r="H248" t="e">
            <v>#N/A</v>
          </cell>
          <cell r="I248" t="e">
            <v>#N/A</v>
          </cell>
          <cell r="J248" t="e">
            <v>#N/A</v>
          </cell>
          <cell r="K248" t="e">
            <v>#N/A</v>
          </cell>
          <cell r="L248" t="e">
            <v>#N/A</v>
          </cell>
          <cell r="M248" t="e">
            <v>#N/A</v>
          </cell>
          <cell r="N248" t="e">
            <v>#N/A</v>
          </cell>
          <cell r="O248" t="e">
            <v>#N/A</v>
          </cell>
          <cell r="P248">
            <v>37.53</v>
          </cell>
          <cell r="Q248">
            <v>1.788014</v>
          </cell>
          <cell r="R248" t="e">
            <v>#N/A</v>
          </cell>
        </row>
        <row r="249">
          <cell r="A249">
            <v>39828</v>
          </cell>
          <cell r="B249">
            <v>39828</v>
          </cell>
          <cell r="C249" t="str">
            <v>Past</v>
          </cell>
          <cell r="D249">
            <v>37.840000000000003</v>
          </cell>
          <cell r="E249" t="e">
            <v>#N/A</v>
          </cell>
          <cell r="F249" t="e">
            <v>#N/A</v>
          </cell>
          <cell r="G249" t="e">
            <v>#N/A</v>
          </cell>
          <cell r="H249" t="e">
            <v>#N/A</v>
          </cell>
          <cell r="I249" t="e">
            <v>#N/A</v>
          </cell>
          <cell r="J249" t="e">
            <v>#N/A</v>
          </cell>
          <cell r="K249" t="e">
            <v>#N/A</v>
          </cell>
          <cell r="L249" t="e">
            <v>#N/A</v>
          </cell>
          <cell r="M249" t="e">
            <v>#N/A</v>
          </cell>
          <cell r="N249" t="e">
            <v>#N/A</v>
          </cell>
          <cell r="O249" t="e">
            <v>#N/A</v>
          </cell>
          <cell r="P249">
            <v>37.840000000000003</v>
          </cell>
          <cell r="Q249">
            <v>1.4187349999999999</v>
          </cell>
          <cell r="R249" t="e">
            <v>#N/A</v>
          </cell>
        </row>
        <row r="250">
          <cell r="A250">
            <v>39829</v>
          </cell>
          <cell r="B250">
            <v>39829</v>
          </cell>
          <cell r="C250" t="str">
            <v>Past</v>
          </cell>
          <cell r="D250">
            <v>38.24</v>
          </cell>
          <cell r="E250" t="e">
            <v>#N/A</v>
          </cell>
          <cell r="F250" t="e">
            <v>#N/A</v>
          </cell>
          <cell r="G250" t="e">
            <v>#N/A</v>
          </cell>
          <cell r="H250" t="e">
            <v>#N/A</v>
          </cell>
          <cell r="I250" t="e">
            <v>#N/A</v>
          </cell>
          <cell r="J250" t="e">
            <v>#N/A</v>
          </cell>
          <cell r="K250" t="e">
            <v>#N/A</v>
          </cell>
          <cell r="L250" t="e">
            <v>#N/A</v>
          </cell>
          <cell r="M250" t="e">
            <v>#N/A</v>
          </cell>
          <cell r="N250" t="e">
            <v>#N/A</v>
          </cell>
          <cell r="O250" t="e">
            <v>#N/A</v>
          </cell>
          <cell r="P250">
            <v>38.24</v>
          </cell>
          <cell r="Q250">
            <v>1.6830259999999999</v>
          </cell>
          <cell r="R250" t="e">
            <v>#N/A</v>
          </cell>
        </row>
        <row r="251">
          <cell r="A251">
            <v>39833</v>
          </cell>
          <cell r="B251">
            <v>39833</v>
          </cell>
          <cell r="C251" t="str">
            <v>Past</v>
          </cell>
          <cell r="D251">
            <v>37.11</v>
          </cell>
          <cell r="E251" t="e">
            <v>#N/A</v>
          </cell>
          <cell r="F251" t="e">
            <v>#N/A</v>
          </cell>
          <cell r="G251" t="e">
            <v>#N/A</v>
          </cell>
          <cell r="H251" t="e">
            <v>#N/A</v>
          </cell>
          <cell r="I251" t="e">
            <v>#N/A</v>
          </cell>
          <cell r="J251" t="e">
            <v>#N/A</v>
          </cell>
          <cell r="K251" t="e">
            <v>#N/A</v>
          </cell>
          <cell r="L251" t="e">
            <v>#N/A</v>
          </cell>
          <cell r="M251" t="e">
            <v>#N/A</v>
          </cell>
          <cell r="N251" t="e">
            <v>#N/A</v>
          </cell>
          <cell r="O251" t="e">
            <v>#N/A</v>
          </cell>
          <cell r="P251">
            <v>37.11</v>
          </cell>
          <cell r="Q251">
            <v>1.3293409999999999</v>
          </cell>
          <cell r="R251" t="e">
            <v>#N/A</v>
          </cell>
        </row>
        <row r="252">
          <cell r="A252">
            <v>39834</v>
          </cell>
          <cell r="B252">
            <v>39834</v>
          </cell>
          <cell r="C252" t="str">
            <v>Past</v>
          </cell>
          <cell r="D252">
            <v>38.5</v>
          </cell>
          <cell r="E252" t="e">
            <v>#N/A</v>
          </cell>
          <cell r="F252" t="e">
            <v>#N/A</v>
          </cell>
          <cell r="G252" t="e">
            <v>#N/A</v>
          </cell>
          <cell r="H252" t="e">
            <v>#N/A</v>
          </cell>
          <cell r="I252" t="e">
            <v>#N/A</v>
          </cell>
          <cell r="J252" t="e">
            <v>#N/A</v>
          </cell>
          <cell r="K252" t="e">
            <v>#N/A</v>
          </cell>
          <cell r="L252" t="e">
            <v>#N/A</v>
          </cell>
          <cell r="M252" t="e">
            <v>#N/A</v>
          </cell>
          <cell r="N252" t="e">
            <v>#N/A</v>
          </cell>
          <cell r="O252" t="e">
            <v>#N/A</v>
          </cell>
          <cell r="P252">
            <v>38.5</v>
          </cell>
          <cell r="Q252">
            <v>1.0930759999999999</v>
          </cell>
          <cell r="R252" t="e">
            <v>#N/A</v>
          </cell>
        </row>
        <row r="253">
          <cell r="A253">
            <v>39835</v>
          </cell>
          <cell r="B253">
            <v>39835</v>
          </cell>
          <cell r="C253" t="str">
            <v>Past</v>
          </cell>
          <cell r="D253">
            <v>37.56</v>
          </cell>
          <cell r="E253" t="e">
            <v>#N/A</v>
          </cell>
          <cell r="F253" t="e">
            <v>#N/A</v>
          </cell>
          <cell r="G253" t="e">
            <v>#N/A</v>
          </cell>
          <cell r="H253" t="e">
            <v>#N/A</v>
          </cell>
          <cell r="I253" t="e">
            <v>#N/A</v>
          </cell>
          <cell r="J253" t="e">
            <v>#N/A</v>
          </cell>
          <cell r="K253" t="e">
            <v>#N/A</v>
          </cell>
          <cell r="L253" t="e">
            <v>#N/A</v>
          </cell>
          <cell r="M253" t="e">
            <v>#N/A</v>
          </cell>
          <cell r="N253" t="e">
            <v>#N/A</v>
          </cell>
          <cell r="O253" t="e">
            <v>#N/A</v>
          </cell>
          <cell r="P253">
            <v>37.56</v>
          </cell>
          <cell r="Q253">
            <v>1.6319939999999999</v>
          </cell>
          <cell r="R253" t="e">
            <v>#N/A</v>
          </cell>
        </row>
        <row r="254">
          <cell r="A254">
            <v>39836</v>
          </cell>
          <cell r="B254">
            <v>39836</v>
          </cell>
          <cell r="C254" t="str">
            <v>Past</v>
          </cell>
          <cell r="D254">
            <v>37.380000000000003</v>
          </cell>
          <cell r="E254" t="e">
            <v>#N/A</v>
          </cell>
          <cell r="F254" t="e">
            <v>#N/A</v>
          </cell>
          <cell r="G254" t="e">
            <v>#N/A</v>
          </cell>
          <cell r="H254" t="e">
            <v>#N/A</v>
          </cell>
          <cell r="I254" t="e">
            <v>#N/A</v>
          </cell>
          <cell r="J254" t="e">
            <v>#N/A</v>
          </cell>
          <cell r="K254" t="e">
            <v>#N/A</v>
          </cell>
          <cell r="L254" t="e">
            <v>#N/A</v>
          </cell>
          <cell r="M254" t="e">
            <v>#N/A</v>
          </cell>
          <cell r="N254" t="e">
            <v>#N/A</v>
          </cell>
          <cell r="O254" t="e">
            <v>#N/A</v>
          </cell>
          <cell r="P254">
            <v>37.380000000000003</v>
          </cell>
          <cell r="Q254">
            <v>1.1121829999999999</v>
          </cell>
          <cell r="R254" t="e">
            <v>#N/A</v>
          </cell>
        </row>
        <row r="255">
          <cell r="A255">
            <v>39839</v>
          </cell>
          <cell r="B255">
            <v>39839</v>
          </cell>
          <cell r="C255" t="str">
            <v>Past</v>
          </cell>
          <cell r="D255">
            <v>38.32</v>
          </cell>
          <cell r="E255" t="e">
            <v>#N/A</v>
          </cell>
          <cell r="F255" t="e">
            <v>#N/A</v>
          </cell>
          <cell r="G255" t="e">
            <v>#N/A</v>
          </cell>
          <cell r="H255" t="e">
            <v>#N/A</v>
          </cell>
          <cell r="I255" t="e">
            <v>#N/A</v>
          </cell>
          <cell r="J255" t="e">
            <v>#N/A</v>
          </cell>
          <cell r="K255" t="e">
            <v>#N/A</v>
          </cell>
          <cell r="L255" t="e">
            <v>#N/A</v>
          </cell>
          <cell r="M255" t="e">
            <v>#N/A</v>
          </cell>
          <cell r="N255" t="e">
            <v>#N/A</v>
          </cell>
          <cell r="O255" t="e">
            <v>#N/A</v>
          </cell>
          <cell r="P255">
            <v>38.32</v>
          </cell>
          <cell r="Q255">
            <v>1.0589</v>
          </cell>
          <cell r="R255" t="e">
            <v>#N/A</v>
          </cell>
        </row>
        <row r="256">
          <cell r="A256">
            <v>39840</v>
          </cell>
          <cell r="B256">
            <v>39840</v>
          </cell>
          <cell r="C256" t="str">
            <v>Past</v>
          </cell>
          <cell r="D256">
            <v>38.69</v>
          </cell>
          <cell r="E256" t="e">
            <v>#N/A</v>
          </cell>
          <cell r="F256" t="e">
            <v>#N/A</v>
          </cell>
          <cell r="G256" t="e">
            <v>#N/A</v>
          </cell>
          <cell r="H256" t="e">
            <v>#N/A</v>
          </cell>
          <cell r="I256" t="e">
            <v>#N/A</v>
          </cell>
          <cell r="J256" t="e">
            <v>#N/A</v>
          </cell>
          <cell r="K256" t="e">
            <v>#N/A</v>
          </cell>
          <cell r="L256" t="e">
            <v>#N/A</v>
          </cell>
          <cell r="M256" t="e">
            <v>#N/A</v>
          </cell>
          <cell r="N256" t="e">
            <v>#N/A</v>
          </cell>
          <cell r="O256" t="e">
            <v>#N/A</v>
          </cell>
          <cell r="P256">
            <v>38.69</v>
          </cell>
          <cell r="Q256">
            <v>1.2926839999999999</v>
          </cell>
          <cell r="R256" t="e">
            <v>#N/A</v>
          </cell>
        </row>
        <row r="257">
          <cell r="A257">
            <v>39841</v>
          </cell>
          <cell r="B257">
            <v>39841</v>
          </cell>
          <cell r="C257" t="str">
            <v>Past</v>
          </cell>
          <cell r="D257">
            <v>39.96</v>
          </cell>
          <cell r="E257" t="e">
            <v>#N/A</v>
          </cell>
          <cell r="F257" t="e">
            <v>#N/A</v>
          </cell>
          <cell r="G257" t="e">
            <v>#N/A</v>
          </cell>
          <cell r="H257" t="e">
            <v>#N/A</v>
          </cell>
          <cell r="I257" t="e">
            <v>#N/A</v>
          </cell>
          <cell r="J257" t="e">
            <v>#N/A</v>
          </cell>
          <cell r="K257" t="e">
            <v>#N/A</v>
          </cell>
          <cell r="L257" t="e">
            <v>#N/A</v>
          </cell>
          <cell r="M257" t="e">
            <v>#N/A</v>
          </cell>
          <cell r="N257" t="e">
            <v>#N/A</v>
          </cell>
          <cell r="O257" t="e">
            <v>#N/A</v>
          </cell>
          <cell r="P257">
            <v>39.96</v>
          </cell>
          <cell r="Q257">
            <v>0.994946</v>
          </cell>
          <cell r="R257" t="e">
            <v>#N/A</v>
          </cell>
        </row>
        <row r="258">
          <cell r="A258">
            <v>39842</v>
          </cell>
          <cell r="B258">
            <v>39842</v>
          </cell>
          <cell r="C258" t="str">
            <v>Past</v>
          </cell>
          <cell r="D258">
            <v>38.54</v>
          </cell>
          <cell r="E258" t="e">
            <v>#N/A</v>
          </cell>
          <cell r="F258" t="e">
            <v>#N/A</v>
          </cell>
          <cell r="G258" t="e">
            <v>#N/A</v>
          </cell>
          <cell r="H258" t="e">
            <v>#N/A</v>
          </cell>
          <cell r="I258" t="e">
            <v>#N/A</v>
          </cell>
          <cell r="J258" t="e">
            <v>#N/A</v>
          </cell>
          <cell r="K258" t="e">
            <v>#N/A</v>
          </cell>
          <cell r="L258" t="e">
            <v>#N/A</v>
          </cell>
          <cell r="M258" t="e">
            <v>#N/A</v>
          </cell>
          <cell r="N258" t="e">
            <v>#N/A</v>
          </cell>
          <cell r="O258" t="e">
            <v>#N/A</v>
          </cell>
          <cell r="P258">
            <v>38.54</v>
          </cell>
          <cell r="Q258">
            <v>1.19818</v>
          </cell>
          <cell r="R258" t="e">
            <v>#N/A</v>
          </cell>
        </row>
        <row r="259">
          <cell r="A259">
            <v>39843</v>
          </cell>
          <cell r="B259">
            <v>39843</v>
          </cell>
          <cell r="C259" t="str">
            <v>Past</v>
          </cell>
          <cell r="D259">
            <v>38.659999999999997</v>
          </cell>
          <cell r="E259" t="e">
            <v>#N/A</v>
          </cell>
          <cell r="F259" t="e">
            <v>#N/A</v>
          </cell>
          <cell r="G259" t="e">
            <v>#N/A</v>
          </cell>
          <cell r="H259" t="e">
            <v>#N/A</v>
          </cell>
          <cell r="I259" t="e">
            <v>#N/A</v>
          </cell>
          <cell r="J259" t="e">
            <v>#N/A</v>
          </cell>
          <cell r="K259" t="e">
            <v>#N/A</v>
          </cell>
          <cell r="L259" t="e">
            <v>#N/A</v>
          </cell>
          <cell r="M259" t="e">
            <v>#N/A</v>
          </cell>
          <cell r="N259" t="e">
            <v>#N/A</v>
          </cell>
          <cell r="O259" t="e">
            <v>#N/A</v>
          </cell>
          <cell r="P259">
            <v>38.659999999999997</v>
          </cell>
          <cell r="Q259">
            <v>1.345718</v>
          </cell>
          <cell r="R259" t="e">
            <v>#N/A</v>
          </cell>
        </row>
        <row r="260">
          <cell r="A260">
            <v>39846</v>
          </cell>
          <cell r="B260">
            <v>39846</v>
          </cell>
          <cell r="C260" t="str">
            <v>Past</v>
          </cell>
          <cell r="D260">
            <v>37.35</v>
          </cell>
          <cell r="E260" t="e">
            <v>#N/A</v>
          </cell>
          <cell r="F260" t="e">
            <v>#N/A</v>
          </cell>
          <cell r="G260" t="e">
            <v>#N/A</v>
          </cell>
          <cell r="H260" t="e">
            <v>#N/A</v>
          </cell>
          <cell r="I260" t="e">
            <v>#N/A</v>
          </cell>
          <cell r="J260" t="e">
            <v>#N/A</v>
          </cell>
          <cell r="K260" t="e">
            <v>#N/A</v>
          </cell>
          <cell r="L260" t="e">
            <v>#N/A</v>
          </cell>
          <cell r="M260" t="e">
            <v>#N/A</v>
          </cell>
          <cell r="N260" t="e">
            <v>#N/A</v>
          </cell>
          <cell r="O260" t="e">
            <v>#N/A</v>
          </cell>
          <cell r="P260">
            <v>37.35</v>
          </cell>
          <cell r="Q260">
            <v>1.339421</v>
          </cell>
          <cell r="R260" t="e">
            <v>#N/A</v>
          </cell>
        </row>
        <row r="261">
          <cell r="A261">
            <v>39847</v>
          </cell>
          <cell r="B261">
            <v>39847</v>
          </cell>
          <cell r="C261" t="str">
            <v>Past</v>
          </cell>
          <cell r="D261">
            <v>38.97</v>
          </cell>
          <cell r="E261" t="e">
            <v>#N/A</v>
          </cell>
          <cell r="F261" t="e">
            <v>#N/A</v>
          </cell>
          <cell r="G261" t="e">
            <v>#N/A</v>
          </cell>
          <cell r="H261" t="e">
            <v>#N/A</v>
          </cell>
          <cell r="I261" t="e">
            <v>#N/A</v>
          </cell>
          <cell r="J261" t="e">
            <v>#N/A</v>
          </cell>
          <cell r="K261" t="e">
            <v>#N/A</v>
          </cell>
          <cell r="L261" t="e">
            <v>#N/A</v>
          </cell>
          <cell r="M261" t="e">
            <v>#N/A</v>
          </cell>
          <cell r="N261" t="e">
            <v>#N/A</v>
          </cell>
          <cell r="O261" t="e">
            <v>#N/A</v>
          </cell>
          <cell r="P261">
            <v>38.97</v>
          </cell>
          <cell r="Q261">
            <v>2.8583749999999997</v>
          </cell>
          <cell r="R261" t="e">
            <v>#N/A</v>
          </cell>
        </row>
        <row r="262">
          <cell r="A262">
            <v>39848</v>
          </cell>
          <cell r="B262">
            <v>39848</v>
          </cell>
          <cell r="C262" t="str">
            <v>Past</v>
          </cell>
          <cell r="D262">
            <v>39.159999999999997</v>
          </cell>
          <cell r="E262" t="e">
            <v>#N/A</v>
          </cell>
          <cell r="F262" t="e">
            <v>#N/A</v>
          </cell>
          <cell r="G262" t="e">
            <v>#N/A</v>
          </cell>
          <cell r="H262" t="e">
            <v>#N/A</v>
          </cell>
          <cell r="I262" t="e">
            <v>#N/A</v>
          </cell>
          <cell r="J262" t="e">
            <v>#N/A</v>
          </cell>
          <cell r="K262" t="e">
            <v>#N/A</v>
          </cell>
          <cell r="L262" t="e">
            <v>#N/A</v>
          </cell>
          <cell r="M262" t="e">
            <v>#N/A</v>
          </cell>
          <cell r="N262" t="e">
            <v>#N/A</v>
          </cell>
          <cell r="O262" t="e">
            <v>#N/A</v>
          </cell>
          <cell r="P262">
            <v>39.159999999999997</v>
          </cell>
          <cell r="Q262">
            <v>2.649432</v>
          </cell>
          <cell r="R262" t="e">
            <v>#N/A</v>
          </cell>
        </row>
        <row r="263">
          <cell r="A263">
            <v>39849</v>
          </cell>
          <cell r="B263">
            <v>39849</v>
          </cell>
          <cell r="C263" t="str">
            <v>Past</v>
          </cell>
          <cell r="D263">
            <v>40.130000000000003</v>
          </cell>
          <cell r="E263" t="e">
            <v>#N/A</v>
          </cell>
          <cell r="F263" t="e">
            <v>#N/A</v>
          </cell>
          <cell r="G263" t="e">
            <v>#N/A</v>
          </cell>
          <cell r="H263" t="e">
            <v>#N/A</v>
          </cell>
          <cell r="I263" t="e">
            <v>#N/A</v>
          </cell>
          <cell r="J263" t="e">
            <v>#N/A</v>
          </cell>
          <cell r="K263" t="e">
            <v>#N/A</v>
          </cell>
          <cell r="L263" t="e">
            <v>#N/A</v>
          </cell>
          <cell r="M263" t="e">
            <v>#N/A</v>
          </cell>
          <cell r="N263" t="e">
            <v>#N/A</v>
          </cell>
          <cell r="O263" t="e">
            <v>#N/A</v>
          </cell>
          <cell r="P263">
            <v>40.130000000000003</v>
          </cell>
          <cell r="Q263">
            <v>1.74099</v>
          </cell>
          <cell r="R263" t="e">
            <v>#N/A</v>
          </cell>
        </row>
        <row r="264">
          <cell r="A264">
            <v>39850</v>
          </cell>
          <cell r="B264">
            <v>39850</v>
          </cell>
          <cell r="C264" t="str">
            <v>Past</v>
          </cell>
          <cell r="D264">
            <v>40.57</v>
          </cell>
          <cell r="E264" t="e">
            <v>#N/A</v>
          </cell>
          <cell r="F264" t="e">
            <v>#N/A</v>
          </cell>
          <cell r="G264" t="e">
            <v>#N/A</v>
          </cell>
          <cell r="H264" t="e">
            <v>#N/A</v>
          </cell>
          <cell r="I264" t="e">
            <v>#N/A</v>
          </cell>
          <cell r="J264" t="e">
            <v>#N/A</v>
          </cell>
          <cell r="K264" t="e">
            <v>#N/A</v>
          </cell>
          <cell r="L264" t="e">
            <v>#N/A</v>
          </cell>
          <cell r="M264" t="e">
            <v>#N/A</v>
          </cell>
          <cell r="N264" t="e">
            <v>#N/A</v>
          </cell>
          <cell r="O264" t="e">
            <v>#N/A</v>
          </cell>
          <cell r="P264">
            <v>40.57</v>
          </cell>
          <cell r="Q264">
            <v>1.286818</v>
          </cell>
          <cell r="R264" t="e">
            <v>#N/A</v>
          </cell>
        </row>
        <row r="265">
          <cell r="A265">
            <v>39853</v>
          </cell>
          <cell r="B265">
            <v>39853</v>
          </cell>
          <cell r="C265" t="str">
            <v>Past</v>
          </cell>
          <cell r="D265">
            <v>41</v>
          </cell>
          <cell r="E265" t="e">
            <v>#N/A</v>
          </cell>
          <cell r="F265" t="e">
            <v>#N/A</v>
          </cell>
          <cell r="G265" t="e">
            <v>#N/A</v>
          </cell>
          <cell r="H265" t="e">
            <v>#N/A</v>
          </cell>
          <cell r="I265" t="e">
            <v>#N/A</v>
          </cell>
          <cell r="J265" t="e">
            <v>#N/A</v>
          </cell>
          <cell r="K265" t="e">
            <v>#N/A</v>
          </cell>
          <cell r="L265" t="e">
            <v>#N/A</v>
          </cell>
          <cell r="M265" t="e">
            <v>#N/A</v>
          </cell>
          <cell r="N265" t="e">
            <v>#N/A</v>
          </cell>
          <cell r="O265" t="e">
            <v>#N/A</v>
          </cell>
          <cell r="P265">
            <v>41</v>
          </cell>
          <cell r="Q265">
            <v>1.7004189999999999</v>
          </cell>
          <cell r="R265" t="e">
            <v>#N/A</v>
          </cell>
        </row>
        <row r="266">
          <cell r="A266">
            <v>39854</v>
          </cell>
          <cell r="B266">
            <v>39854</v>
          </cell>
          <cell r="C266" t="str">
            <v>Past</v>
          </cell>
          <cell r="D266">
            <v>39.83</v>
          </cell>
          <cell r="E266" t="e">
            <v>#N/A</v>
          </cell>
          <cell r="F266" t="e">
            <v>#N/A</v>
          </cell>
          <cell r="G266" t="e">
            <v>#N/A</v>
          </cell>
          <cell r="H266" t="e">
            <v>#N/A</v>
          </cell>
          <cell r="I266" t="e">
            <v>#N/A</v>
          </cell>
          <cell r="J266" t="e">
            <v>#N/A</v>
          </cell>
          <cell r="K266" t="e">
            <v>#N/A</v>
          </cell>
          <cell r="L266" t="e">
            <v>#N/A</v>
          </cell>
          <cell r="M266" t="e">
            <v>#N/A</v>
          </cell>
          <cell r="N266" t="e">
            <v>#N/A</v>
          </cell>
          <cell r="O266" t="e">
            <v>#N/A</v>
          </cell>
          <cell r="P266">
            <v>39.83</v>
          </cell>
          <cell r="Q266">
            <v>2.9105500000000002</v>
          </cell>
          <cell r="R266" t="e">
            <v>#N/A</v>
          </cell>
        </row>
        <row r="267">
          <cell r="A267">
            <v>39855</v>
          </cell>
          <cell r="B267">
            <v>39855</v>
          </cell>
          <cell r="C267" t="str">
            <v>Past</v>
          </cell>
          <cell r="D267">
            <v>39.43</v>
          </cell>
          <cell r="E267" t="e">
            <v>#N/A</v>
          </cell>
          <cell r="F267" t="e">
            <v>#N/A</v>
          </cell>
          <cell r="G267" t="e">
            <v>#N/A</v>
          </cell>
          <cell r="H267" t="e">
            <v>#N/A</v>
          </cell>
          <cell r="I267" t="e">
            <v>#N/A</v>
          </cell>
          <cell r="J267" t="e">
            <v>#N/A</v>
          </cell>
          <cell r="K267" t="e">
            <v>#N/A</v>
          </cell>
          <cell r="L267" t="e">
            <v>#N/A</v>
          </cell>
          <cell r="M267" t="e">
            <v>#N/A</v>
          </cell>
          <cell r="N267" t="e">
            <v>#N/A</v>
          </cell>
          <cell r="O267" t="e">
            <v>#N/A</v>
          </cell>
          <cell r="P267">
            <v>39.43</v>
          </cell>
          <cell r="Q267">
            <v>1.5133159999999999</v>
          </cell>
          <cell r="R267" t="e">
            <v>#N/A</v>
          </cell>
        </row>
        <row r="268">
          <cell r="A268">
            <v>39856</v>
          </cell>
          <cell r="B268">
            <v>39856</v>
          </cell>
          <cell r="C268" t="str">
            <v>Past</v>
          </cell>
          <cell r="D268">
            <v>39.33</v>
          </cell>
          <cell r="E268" t="e">
            <v>#N/A</v>
          </cell>
          <cell r="F268" t="e">
            <v>#N/A</v>
          </cell>
          <cell r="G268" t="e">
            <v>#N/A</v>
          </cell>
          <cell r="H268" t="e">
            <v>#N/A</v>
          </cell>
          <cell r="I268" t="e">
            <v>#N/A</v>
          </cell>
          <cell r="J268" t="e">
            <v>#N/A</v>
          </cell>
          <cell r="K268" t="e">
            <v>#N/A</v>
          </cell>
          <cell r="L268" t="e">
            <v>#N/A</v>
          </cell>
          <cell r="M268" t="e">
            <v>#N/A</v>
          </cell>
          <cell r="N268" t="e">
            <v>#N/A</v>
          </cell>
          <cell r="O268" t="e">
            <v>#N/A</v>
          </cell>
          <cell r="P268">
            <v>39.33</v>
          </cell>
          <cell r="Q268">
            <v>2.1183730000000001</v>
          </cell>
          <cell r="R268" t="e">
            <v>#N/A</v>
          </cell>
        </row>
        <row r="269">
          <cell r="A269">
            <v>39857</v>
          </cell>
          <cell r="B269">
            <v>39857</v>
          </cell>
          <cell r="C269" t="str">
            <v>Past</v>
          </cell>
          <cell r="D269">
            <v>39.78</v>
          </cell>
          <cell r="E269" t="e">
            <v>#N/A</v>
          </cell>
          <cell r="F269" t="e">
            <v>#N/A</v>
          </cell>
          <cell r="G269" t="e">
            <v>#N/A</v>
          </cell>
          <cell r="H269" t="e">
            <v>#N/A</v>
          </cell>
          <cell r="I269" t="e">
            <v>#N/A</v>
          </cell>
          <cell r="J269" t="e">
            <v>#N/A</v>
          </cell>
          <cell r="K269" t="e">
            <v>#N/A</v>
          </cell>
          <cell r="L269" t="e">
            <v>#N/A</v>
          </cell>
          <cell r="M269" t="e">
            <v>#N/A</v>
          </cell>
          <cell r="N269" t="e">
            <v>#N/A</v>
          </cell>
          <cell r="O269" t="e">
            <v>#N/A</v>
          </cell>
          <cell r="P269">
            <v>39.78</v>
          </cell>
          <cell r="Q269">
            <v>1.8688859999999998</v>
          </cell>
          <cell r="R269" t="e">
            <v>#N/A</v>
          </cell>
        </row>
        <row r="270">
          <cell r="A270">
            <v>39861</v>
          </cell>
          <cell r="B270">
            <v>39861</v>
          </cell>
          <cell r="C270" t="str">
            <v>Past</v>
          </cell>
          <cell r="D270">
            <v>38.22</v>
          </cell>
          <cell r="E270" t="e">
            <v>#N/A</v>
          </cell>
          <cell r="F270" t="e">
            <v>#N/A</v>
          </cell>
          <cell r="G270" t="e">
            <v>#N/A</v>
          </cell>
          <cell r="H270" t="e">
            <v>#N/A</v>
          </cell>
          <cell r="I270" t="e">
            <v>#N/A</v>
          </cell>
          <cell r="J270" t="e">
            <v>#N/A</v>
          </cell>
          <cell r="K270" t="e">
            <v>#N/A</v>
          </cell>
          <cell r="L270" t="e">
            <v>#N/A</v>
          </cell>
          <cell r="M270" t="e">
            <v>#N/A</v>
          </cell>
          <cell r="N270" t="e">
            <v>#N/A</v>
          </cell>
          <cell r="O270" t="e">
            <v>#N/A</v>
          </cell>
          <cell r="P270">
            <v>38.22</v>
          </cell>
          <cell r="Q270">
            <v>2.107834</v>
          </cell>
          <cell r="R270" t="e">
            <v>#N/A</v>
          </cell>
        </row>
        <row r="271">
          <cell r="A271">
            <v>39862</v>
          </cell>
          <cell r="B271">
            <v>39862</v>
          </cell>
          <cell r="C271" t="str">
            <v>Past</v>
          </cell>
          <cell r="D271">
            <v>38.47</v>
          </cell>
          <cell r="E271" t="e">
            <v>#N/A</v>
          </cell>
          <cell r="F271" t="e">
            <v>#N/A</v>
          </cell>
          <cell r="G271" t="e">
            <v>#N/A</v>
          </cell>
          <cell r="H271" t="e">
            <v>#N/A</v>
          </cell>
          <cell r="I271" t="e">
            <v>#N/A</v>
          </cell>
          <cell r="J271" t="e">
            <v>#N/A</v>
          </cell>
          <cell r="K271" t="e">
            <v>#N/A</v>
          </cell>
          <cell r="L271" t="e">
            <v>#N/A</v>
          </cell>
          <cell r="M271" t="e">
            <v>#N/A</v>
          </cell>
          <cell r="N271" t="e">
            <v>#N/A</v>
          </cell>
          <cell r="O271" t="e">
            <v>#N/A</v>
          </cell>
          <cell r="P271">
            <v>38.47</v>
          </cell>
          <cell r="Q271">
            <v>2.282864</v>
          </cell>
          <cell r="R271" t="e">
            <v>#N/A</v>
          </cell>
        </row>
        <row r="272">
          <cell r="A272">
            <v>39863</v>
          </cell>
          <cell r="B272">
            <v>39863</v>
          </cell>
          <cell r="C272" t="str">
            <v>Past</v>
          </cell>
          <cell r="D272">
            <v>38.51</v>
          </cell>
          <cell r="E272" t="e">
            <v>#N/A</v>
          </cell>
          <cell r="F272" t="e">
            <v>#N/A</v>
          </cell>
          <cell r="G272" t="e">
            <v>#N/A</v>
          </cell>
          <cell r="H272" t="e">
            <v>#N/A</v>
          </cell>
          <cell r="I272" t="e">
            <v>#N/A</v>
          </cell>
          <cell r="J272" t="e">
            <v>#N/A</v>
          </cell>
          <cell r="K272" t="e">
            <v>#N/A</v>
          </cell>
          <cell r="L272" t="e">
            <v>#N/A</v>
          </cell>
          <cell r="M272" t="e">
            <v>#N/A</v>
          </cell>
          <cell r="N272" t="e">
            <v>#N/A</v>
          </cell>
          <cell r="O272" t="e">
            <v>#N/A</v>
          </cell>
          <cell r="P272">
            <v>38.51</v>
          </cell>
          <cell r="Q272">
            <v>2.044619</v>
          </cell>
          <cell r="R272" t="e">
            <v>#N/A</v>
          </cell>
        </row>
        <row r="273">
          <cell r="A273">
            <v>39864</v>
          </cell>
          <cell r="B273">
            <v>39864</v>
          </cell>
          <cell r="C273" t="str">
            <v>Past</v>
          </cell>
          <cell r="D273">
            <v>36.94</v>
          </cell>
          <cell r="E273" t="e">
            <v>#N/A</v>
          </cell>
          <cell r="F273" t="e">
            <v>#N/A</v>
          </cell>
          <cell r="G273" t="e">
            <v>#N/A</v>
          </cell>
          <cell r="H273" t="e">
            <v>#N/A</v>
          </cell>
          <cell r="I273" t="e">
            <v>#N/A</v>
          </cell>
          <cell r="J273" t="e">
            <v>#N/A</v>
          </cell>
          <cell r="K273" t="e">
            <v>#N/A</v>
          </cell>
          <cell r="L273" t="e">
            <v>#N/A</v>
          </cell>
          <cell r="M273" t="e">
            <v>#N/A</v>
          </cell>
          <cell r="N273" t="e">
            <v>#N/A</v>
          </cell>
          <cell r="O273" t="e">
            <v>#N/A</v>
          </cell>
          <cell r="P273">
            <v>36.94</v>
          </cell>
          <cell r="Q273">
            <v>2.8487</v>
          </cell>
          <cell r="R273" t="e">
            <v>#N/A</v>
          </cell>
        </row>
        <row r="274">
          <cell r="A274">
            <v>39867</v>
          </cell>
          <cell r="B274">
            <v>39867</v>
          </cell>
          <cell r="C274" t="str">
            <v>Past</v>
          </cell>
          <cell r="D274">
            <v>34.6</v>
          </cell>
          <cell r="E274" t="e">
            <v>#N/A</v>
          </cell>
          <cell r="F274" t="e">
            <v>#N/A</v>
          </cell>
          <cell r="G274" t="e">
            <v>#N/A</v>
          </cell>
          <cell r="H274" t="e">
            <v>#N/A</v>
          </cell>
          <cell r="I274" t="e">
            <v>#N/A</v>
          </cell>
          <cell r="J274" t="e">
            <v>#N/A</v>
          </cell>
          <cell r="K274" t="e">
            <v>#N/A</v>
          </cell>
          <cell r="L274" t="e">
            <v>#N/A</v>
          </cell>
          <cell r="M274" t="e">
            <v>#N/A</v>
          </cell>
          <cell r="N274" t="e">
            <v>#N/A</v>
          </cell>
          <cell r="O274" t="e">
            <v>#N/A</v>
          </cell>
          <cell r="P274">
            <v>34.6</v>
          </cell>
          <cell r="Q274">
            <v>2.7961429999999998</v>
          </cell>
          <cell r="R274" t="e">
            <v>#N/A</v>
          </cell>
        </row>
        <row r="275">
          <cell r="A275">
            <v>39868</v>
          </cell>
          <cell r="B275">
            <v>39868</v>
          </cell>
          <cell r="C275" t="str">
            <v>Past</v>
          </cell>
          <cell r="D275">
            <v>35.54</v>
          </cell>
          <cell r="E275" t="e">
            <v>#N/A</v>
          </cell>
          <cell r="F275" t="e">
            <v>#N/A</v>
          </cell>
          <cell r="G275" t="e">
            <v>#N/A</v>
          </cell>
          <cell r="H275" t="e">
            <v>#N/A</v>
          </cell>
          <cell r="I275" t="e">
            <v>#N/A</v>
          </cell>
          <cell r="J275" t="e">
            <v>#N/A</v>
          </cell>
          <cell r="K275" t="e">
            <v>#N/A</v>
          </cell>
          <cell r="L275" t="e">
            <v>#N/A</v>
          </cell>
          <cell r="M275" t="e">
            <v>#N/A</v>
          </cell>
          <cell r="N275" t="e">
            <v>#N/A</v>
          </cell>
          <cell r="O275" t="e">
            <v>#N/A</v>
          </cell>
          <cell r="P275">
            <v>35.54</v>
          </cell>
          <cell r="Q275">
            <v>2.1528119999999999</v>
          </cell>
          <cell r="R275" t="e">
            <v>#N/A</v>
          </cell>
        </row>
        <row r="276">
          <cell r="A276">
            <v>39869</v>
          </cell>
          <cell r="B276">
            <v>39869</v>
          </cell>
          <cell r="C276" t="str">
            <v>Past</v>
          </cell>
          <cell r="D276">
            <v>35.31</v>
          </cell>
          <cell r="E276" t="e">
            <v>#N/A</v>
          </cell>
          <cell r="F276" t="e">
            <v>#N/A</v>
          </cell>
          <cell r="G276" t="e">
            <v>#N/A</v>
          </cell>
          <cell r="H276" t="e">
            <v>#N/A</v>
          </cell>
          <cell r="I276" t="e">
            <v>#N/A</v>
          </cell>
          <cell r="J276" t="e">
            <v>#N/A</v>
          </cell>
          <cell r="K276" t="e">
            <v>#N/A</v>
          </cell>
          <cell r="L276" t="e">
            <v>#N/A</v>
          </cell>
          <cell r="M276" t="e">
            <v>#N/A</v>
          </cell>
          <cell r="N276" t="e">
            <v>#N/A</v>
          </cell>
          <cell r="O276" t="e">
            <v>#N/A</v>
          </cell>
          <cell r="P276">
            <v>35.31</v>
          </cell>
          <cell r="Q276">
            <v>2.876852</v>
          </cell>
          <cell r="R276" t="e">
            <v>#N/A</v>
          </cell>
        </row>
        <row r="277">
          <cell r="A277">
            <v>39870</v>
          </cell>
          <cell r="B277">
            <v>39870</v>
          </cell>
          <cell r="C277" t="str">
            <v>Past</v>
          </cell>
          <cell r="D277">
            <v>33.86</v>
          </cell>
          <cell r="E277" t="e">
            <v>#N/A</v>
          </cell>
          <cell r="F277" t="e">
            <v>#N/A</v>
          </cell>
          <cell r="G277" t="e">
            <v>#N/A</v>
          </cell>
          <cell r="H277" t="e">
            <v>#N/A</v>
          </cell>
          <cell r="I277" t="e">
            <v>#N/A</v>
          </cell>
          <cell r="J277" t="e">
            <v>#N/A</v>
          </cell>
          <cell r="K277" t="e">
            <v>#N/A</v>
          </cell>
          <cell r="L277" t="e">
            <v>#N/A</v>
          </cell>
          <cell r="M277" t="e">
            <v>#N/A</v>
          </cell>
          <cell r="N277" t="e">
            <v>#N/A</v>
          </cell>
          <cell r="O277" t="e">
            <v>#N/A</v>
          </cell>
          <cell r="P277">
            <v>33.86</v>
          </cell>
          <cell r="Q277">
            <v>2.1989160000000001</v>
          </cell>
          <cell r="R277" t="e">
            <v>#N/A</v>
          </cell>
        </row>
        <row r="278">
          <cell r="A278">
            <v>39871</v>
          </cell>
          <cell r="B278">
            <v>39871</v>
          </cell>
          <cell r="C278" t="str">
            <v>Past</v>
          </cell>
          <cell r="D278">
            <v>33.14</v>
          </cell>
          <cell r="E278" t="e">
            <v>#N/A</v>
          </cell>
          <cell r="F278" t="e">
            <v>#N/A</v>
          </cell>
          <cell r="G278" t="e">
            <v>#N/A</v>
          </cell>
          <cell r="H278" t="e">
            <v>#N/A</v>
          </cell>
          <cell r="I278" t="e">
            <v>#N/A</v>
          </cell>
          <cell r="J278" t="e">
            <v>#N/A</v>
          </cell>
          <cell r="K278" t="e">
            <v>#N/A</v>
          </cell>
          <cell r="L278" t="e">
            <v>#N/A</v>
          </cell>
          <cell r="M278" t="e">
            <v>#N/A</v>
          </cell>
          <cell r="N278" t="e">
            <v>#N/A</v>
          </cell>
          <cell r="O278" t="e">
            <v>#N/A</v>
          </cell>
          <cell r="P278">
            <v>33.14</v>
          </cell>
          <cell r="Q278">
            <v>2.3682479999999999</v>
          </cell>
          <cell r="R278" t="e">
            <v>#N/A</v>
          </cell>
        </row>
        <row r="279">
          <cell r="A279">
            <v>39874</v>
          </cell>
          <cell r="B279">
            <v>39874</v>
          </cell>
          <cell r="C279" t="str">
            <v>Past</v>
          </cell>
          <cell r="D279">
            <v>31.83</v>
          </cell>
          <cell r="E279" t="e">
            <v>#N/A</v>
          </cell>
          <cell r="F279" t="e">
            <v>#N/A</v>
          </cell>
          <cell r="G279" t="e">
            <v>#N/A</v>
          </cell>
          <cell r="H279" t="e">
            <v>#N/A</v>
          </cell>
          <cell r="I279" t="e">
            <v>#N/A</v>
          </cell>
          <cell r="J279" t="e">
            <v>#N/A</v>
          </cell>
          <cell r="K279" t="e">
            <v>#N/A</v>
          </cell>
          <cell r="L279" t="e">
            <v>#N/A</v>
          </cell>
          <cell r="M279" t="e">
            <v>#N/A</v>
          </cell>
          <cell r="N279" t="e">
            <v>#N/A</v>
          </cell>
          <cell r="O279" t="e">
            <v>#N/A</v>
          </cell>
          <cell r="P279">
            <v>31.83</v>
          </cell>
          <cell r="Q279">
            <v>3.3095109999999996</v>
          </cell>
          <cell r="R279" t="e">
            <v>#N/A</v>
          </cell>
        </row>
        <row r="280">
          <cell r="A280">
            <v>39875</v>
          </cell>
          <cell r="B280">
            <v>39875</v>
          </cell>
          <cell r="C280" t="str">
            <v>Past</v>
          </cell>
          <cell r="D280">
            <v>31.48</v>
          </cell>
          <cell r="E280" t="e">
            <v>#N/A</v>
          </cell>
          <cell r="F280" t="e">
            <v>#N/A</v>
          </cell>
          <cell r="G280" t="e">
            <v>#N/A</v>
          </cell>
          <cell r="H280" t="e">
            <v>#N/A</v>
          </cell>
          <cell r="I280" t="e">
            <v>#N/A</v>
          </cell>
          <cell r="J280" t="e">
            <v>#N/A</v>
          </cell>
          <cell r="K280" t="e">
            <v>#N/A</v>
          </cell>
          <cell r="L280" t="e">
            <v>#N/A</v>
          </cell>
          <cell r="M280" t="e">
            <v>#N/A</v>
          </cell>
          <cell r="N280" t="e">
            <v>#N/A</v>
          </cell>
          <cell r="O280" t="e">
            <v>#N/A</v>
          </cell>
          <cell r="P280">
            <v>31.48</v>
          </cell>
          <cell r="Q280">
            <v>2.9480139999999997</v>
          </cell>
          <cell r="R280" t="e">
            <v>#N/A</v>
          </cell>
        </row>
        <row r="281">
          <cell r="A281">
            <v>39876</v>
          </cell>
          <cell r="B281">
            <v>39876</v>
          </cell>
          <cell r="C281" t="str">
            <v>Past</v>
          </cell>
          <cell r="D281">
            <v>31.78</v>
          </cell>
          <cell r="E281" t="e">
            <v>#N/A</v>
          </cell>
          <cell r="F281" t="e">
            <v>#N/A</v>
          </cell>
          <cell r="G281" t="e">
            <v>#N/A</v>
          </cell>
          <cell r="H281" t="e">
            <v>#N/A</v>
          </cell>
          <cell r="I281" t="e">
            <v>#N/A</v>
          </cell>
          <cell r="J281" t="e">
            <v>#N/A</v>
          </cell>
          <cell r="K281" t="e">
            <v>#N/A</v>
          </cell>
          <cell r="L281" t="e">
            <v>#N/A</v>
          </cell>
          <cell r="M281" t="e">
            <v>#N/A</v>
          </cell>
          <cell r="N281" t="e">
            <v>#N/A</v>
          </cell>
          <cell r="O281" t="e">
            <v>#N/A</v>
          </cell>
          <cell r="P281">
            <v>31.78</v>
          </cell>
          <cell r="Q281">
            <v>3.0106999999999999</v>
          </cell>
          <cell r="R281" t="e">
            <v>#N/A</v>
          </cell>
        </row>
        <row r="282">
          <cell r="A282">
            <v>39877</v>
          </cell>
          <cell r="B282">
            <v>39877</v>
          </cell>
          <cell r="C282" t="str">
            <v>Past</v>
          </cell>
          <cell r="D282">
            <v>30.64</v>
          </cell>
          <cell r="E282" t="e">
            <v>#N/A</v>
          </cell>
          <cell r="F282" t="e">
            <v>#N/A</v>
          </cell>
          <cell r="G282" t="e">
            <v>#N/A</v>
          </cell>
          <cell r="H282" t="e">
            <v>#N/A</v>
          </cell>
          <cell r="I282" t="e">
            <v>#N/A</v>
          </cell>
          <cell r="J282" t="e">
            <v>#N/A</v>
          </cell>
          <cell r="K282" t="e">
            <v>#N/A</v>
          </cell>
          <cell r="L282" t="e">
            <v>#N/A</v>
          </cell>
          <cell r="M282" t="e">
            <v>#N/A</v>
          </cell>
          <cell r="N282" t="e">
            <v>#N/A</v>
          </cell>
          <cell r="O282" t="e">
            <v>#N/A</v>
          </cell>
          <cell r="P282">
            <v>30.64</v>
          </cell>
          <cell r="Q282">
            <v>2.665905</v>
          </cell>
          <cell r="R282" t="e">
            <v>#N/A</v>
          </cell>
        </row>
        <row r="283">
          <cell r="A283">
            <v>39878</v>
          </cell>
          <cell r="B283">
            <v>39878</v>
          </cell>
          <cell r="C283" t="str">
            <v>Past</v>
          </cell>
          <cell r="D283">
            <v>30.67</v>
          </cell>
          <cell r="E283" t="e">
            <v>#N/A</v>
          </cell>
          <cell r="F283" t="e">
            <v>#N/A</v>
          </cell>
          <cell r="G283" t="e">
            <v>#N/A</v>
          </cell>
          <cell r="H283" t="e">
            <v>#N/A</v>
          </cell>
          <cell r="I283" t="e">
            <v>#N/A</v>
          </cell>
          <cell r="J283" t="e">
            <v>#N/A</v>
          </cell>
          <cell r="K283" t="e">
            <v>#N/A</v>
          </cell>
          <cell r="L283" t="e">
            <v>#N/A</v>
          </cell>
          <cell r="M283" t="e">
            <v>#N/A</v>
          </cell>
          <cell r="N283" t="e">
            <v>#N/A</v>
          </cell>
          <cell r="O283" t="e">
            <v>#N/A</v>
          </cell>
          <cell r="P283">
            <v>30.67</v>
          </cell>
          <cell r="Q283">
            <v>3.1738759999999999</v>
          </cell>
          <cell r="R283" t="e">
            <v>#N/A</v>
          </cell>
        </row>
        <row r="284">
          <cell r="A284">
            <v>39881</v>
          </cell>
          <cell r="B284">
            <v>39881</v>
          </cell>
          <cell r="C284" t="str">
            <v>Past</v>
          </cell>
          <cell r="D284">
            <v>30.01</v>
          </cell>
          <cell r="E284" t="e">
            <v>#N/A</v>
          </cell>
          <cell r="F284" t="e">
            <v>#N/A</v>
          </cell>
          <cell r="G284" t="e">
            <v>#N/A</v>
          </cell>
          <cell r="H284" t="e">
            <v>#N/A</v>
          </cell>
          <cell r="I284" t="e">
            <v>#N/A</v>
          </cell>
          <cell r="J284" t="e">
            <v>#N/A</v>
          </cell>
          <cell r="K284" t="e">
            <v>#N/A</v>
          </cell>
          <cell r="L284" t="e">
            <v>#N/A</v>
          </cell>
          <cell r="M284" t="e">
            <v>#N/A</v>
          </cell>
          <cell r="N284" t="e">
            <v>#N/A</v>
          </cell>
          <cell r="O284" t="e">
            <v>#N/A</v>
          </cell>
          <cell r="P284">
            <v>30.01</v>
          </cell>
          <cell r="Q284">
            <v>2.527291</v>
          </cell>
          <cell r="R284" t="e">
            <v>#N/A</v>
          </cell>
        </row>
        <row r="285">
          <cell r="A285">
            <v>39882</v>
          </cell>
          <cell r="B285">
            <v>39882</v>
          </cell>
          <cell r="C285" t="str">
            <v>Past</v>
          </cell>
          <cell r="D285">
            <v>32.21</v>
          </cell>
          <cell r="E285" t="e">
            <v>#N/A</v>
          </cell>
          <cell r="F285" t="e">
            <v>#N/A</v>
          </cell>
          <cell r="G285" t="e">
            <v>#N/A</v>
          </cell>
          <cell r="H285" t="e">
            <v>#N/A</v>
          </cell>
          <cell r="I285" t="e">
            <v>#N/A</v>
          </cell>
          <cell r="J285" t="e">
            <v>#N/A</v>
          </cell>
          <cell r="K285" t="e">
            <v>#N/A</v>
          </cell>
          <cell r="L285" t="e">
            <v>#N/A</v>
          </cell>
          <cell r="M285" t="e">
            <v>#N/A</v>
          </cell>
          <cell r="N285" t="e">
            <v>#N/A</v>
          </cell>
          <cell r="O285" t="e">
            <v>#N/A</v>
          </cell>
          <cell r="P285">
            <v>32.21</v>
          </cell>
          <cell r="Q285">
            <v>3.1363539999999999</v>
          </cell>
          <cell r="R285" t="e">
            <v>#N/A</v>
          </cell>
        </row>
        <row r="286">
          <cell r="A286">
            <v>39883</v>
          </cell>
          <cell r="B286">
            <v>39883</v>
          </cell>
          <cell r="C286" t="str">
            <v>Past</v>
          </cell>
          <cell r="D286">
            <v>33.22</v>
          </cell>
          <cell r="E286" t="e">
            <v>#N/A</v>
          </cell>
          <cell r="F286" t="e">
            <v>#N/A</v>
          </cell>
          <cell r="G286" t="e">
            <v>#N/A</v>
          </cell>
          <cell r="H286" t="e">
            <v>#N/A</v>
          </cell>
          <cell r="I286" t="e">
            <v>#N/A</v>
          </cell>
          <cell r="J286" t="e">
            <v>#N/A</v>
          </cell>
          <cell r="K286" t="e">
            <v>#N/A</v>
          </cell>
          <cell r="L286" t="e">
            <v>#N/A</v>
          </cell>
          <cell r="M286" t="e">
            <v>#N/A</v>
          </cell>
          <cell r="N286" t="e">
            <v>#N/A</v>
          </cell>
          <cell r="O286" t="e">
            <v>#N/A</v>
          </cell>
          <cell r="P286">
            <v>33.22</v>
          </cell>
          <cell r="Q286">
            <v>3.3672779999999998</v>
          </cell>
          <cell r="R286" t="e">
            <v>#N/A</v>
          </cell>
        </row>
        <row r="287">
          <cell r="A287">
            <v>39884</v>
          </cell>
          <cell r="B287">
            <v>39884</v>
          </cell>
          <cell r="C287" t="str">
            <v>Past</v>
          </cell>
          <cell r="D287">
            <v>34.15</v>
          </cell>
          <cell r="E287" t="e">
            <v>#N/A</v>
          </cell>
          <cell r="F287" t="e">
            <v>#N/A</v>
          </cell>
          <cell r="G287" t="e">
            <v>#N/A</v>
          </cell>
          <cell r="H287" t="e">
            <v>#N/A</v>
          </cell>
          <cell r="I287" t="e">
            <v>#N/A</v>
          </cell>
          <cell r="J287" t="e">
            <v>#N/A</v>
          </cell>
          <cell r="K287" t="e">
            <v>#N/A</v>
          </cell>
          <cell r="L287" t="e">
            <v>#N/A</v>
          </cell>
          <cell r="M287" t="e">
            <v>#N/A</v>
          </cell>
          <cell r="N287" t="e">
            <v>#N/A</v>
          </cell>
          <cell r="O287" t="e">
            <v>#N/A</v>
          </cell>
          <cell r="P287">
            <v>34.15</v>
          </cell>
          <cell r="Q287">
            <v>1.9433309999999999</v>
          </cell>
          <cell r="R287" t="e">
            <v>#N/A</v>
          </cell>
        </row>
        <row r="288">
          <cell r="A288">
            <v>39885</v>
          </cell>
          <cell r="B288">
            <v>39885</v>
          </cell>
          <cell r="C288" t="str">
            <v>Past</v>
          </cell>
          <cell r="D288">
            <v>34.5</v>
          </cell>
          <cell r="E288" t="e">
            <v>#N/A</v>
          </cell>
          <cell r="F288" t="e">
            <v>#N/A</v>
          </cell>
          <cell r="G288" t="e">
            <v>#N/A</v>
          </cell>
          <cell r="H288" t="e">
            <v>#N/A</v>
          </cell>
          <cell r="I288" t="e">
            <v>#N/A</v>
          </cell>
          <cell r="J288" t="e">
            <v>#N/A</v>
          </cell>
          <cell r="K288" t="e">
            <v>#N/A</v>
          </cell>
          <cell r="L288" t="e">
            <v>#N/A</v>
          </cell>
          <cell r="M288" t="e">
            <v>#N/A</v>
          </cell>
          <cell r="N288" t="e">
            <v>#N/A</v>
          </cell>
          <cell r="O288" t="e">
            <v>#N/A</v>
          </cell>
          <cell r="P288">
            <v>34.5</v>
          </cell>
          <cell r="Q288">
            <v>2.0690219999999999</v>
          </cell>
          <cell r="R288" t="e">
            <v>#N/A</v>
          </cell>
        </row>
        <row r="289">
          <cell r="A289">
            <v>39888</v>
          </cell>
          <cell r="B289">
            <v>39888</v>
          </cell>
          <cell r="C289" t="str">
            <v>Past</v>
          </cell>
          <cell r="D289">
            <v>36.299999999999997</v>
          </cell>
          <cell r="E289" t="e">
            <v>#N/A</v>
          </cell>
          <cell r="F289" t="e">
            <v>#N/A</v>
          </cell>
          <cell r="G289" t="e">
            <v>#N/A</v>
          </cell>
          <cell r="H289" t="e">
            <v>#N/A</v>
          </cell>
          <cell r="I289" t="e">
            <v>#N/A</v>
          </cell>
          <cell r="J289" t="e">
            <v>#N/A</v>
          </cell>
          <cell r="K289" t="e">
            <v>#N/A</v>
          </cell>
          <cell r="L289" t="e">
            <v>#N/A</v>
          </cell>
          <cell r="M289" t="e">
            <v>#N/A</v>
          </cell>
          <cell r="N289" t="e">
            <v>#N/A</v>
          </cell>
          <cell r="O289" t="e">
            <v>#N/A</v>
          </cell>
          <cell r="P289">
            <v>36.299999999999997</v>
          </cell>
          <cell r="Q289">
            <v>2.9918389999999997</v>
          </cell>
          <cell r="R289" t="e">
            <v>#N/A</v>
          </cell>
        </row>
        <row r="290">
          <cell r="A290">
            <v>39889</v>
          </cell>
          <cell r="B290">
            <v>39889</v>
          </cell>
          <cell r="C290" t="str">
            <v>Past</v>
          </cell>
          <cell r="D290">
            <v>37.380000000000003</v>
          </cell>
          <cell r="E290" t="e">
            <v>#N/A</v>
          </cell>
          <cell r="F290" t="e">
            <v>#N/A</v>
          </cell>
          <cell r="G290" t="e">
            <v>#N/A</v>
          </cell>
          <cell r="H290" t="e">
            <v>#N/A</v>
          </cell>
          <cell r="I290" t="e">
            <v>#N/A</v>
          </cell>
          <cell r="J290" t="e">
            <v>#N/A</v>
          </cell>
          <cell r="K290" t="e">
            <v>#N/A</v>
          </cell>
          <cell r="L290" t="e">
            <v>#N/A</v>
          </cell>
          <cell r="M290" t="e">
            <v>#N/A</v>
          </cell>
          <cell r="N290" t="e">
            <v>#N/A</v>
          </cell>
          <cell r="O290" t="e">
            <v>#N/A</v>
          </cell>
          <cell r="P290">
            <v>37.380000000000003</v>
          </cell>
          <cell r="Q290">
            <v>1.9089600000000002</v>
          </cell>
          <cell r="R290" t="e">
            <v>#N/A</v>
          </cell>
        </row>
        <row r="291">
          <cell r="A291">
            <v>39890</v>
          </cell>
          <cell r="B291">
            <v>39890</v>
          </cell>
          <cell r="C291" t="str">
            <v>Past</v>
          </cell>
          <cell r="D291">
            <v>37.29</v>
          </cell>
          <cell r="E291" t="e">
            <v>#N/A</v>
          </cell>
          <cell r="F291" t="e">
            <v>#N/A</v>
          </cell>
          <cell r="G291" t="e">
            <v>#N/A</v>
          </cell>
          <cell r="H291" t="e">
            <v>#N/A</v>
          </cell>
          <cell r="I291" t="e">
            <v>#N/A</v>
          </cell>
          <cell r="J291" t="e">
            <v>#N/A</v>
          </cell>
          <cell r="K291" t="e">
            <v>#N/A</v>
          </cell>
          <cell r="L291" t="e">
            <v>#N/A</v>
          </cell>
          <cell r="M291" t="e">
            <v>#N/A</v>
          </cell>
          <cell r="N291" t="e">
            <v>#N/A</v>
          </cell>
          <cell r="O291" t="e">
            <v>#N/A</v>
          </cell>
          <cell r="P291">
            <v>37.29</v>
          </cell>
          <cell r="Q291">
            <v>2.5050119999999998</v>
          </cell>
          <cell r="R291" t="e">
            <v>#N/A</v>
          </cell>
        </row>
        <row r="292">
          <cell r="A292">
            <v>39891</v>
          </cell>
          <cell r="B292">
            <v>39891</v>
          </cell>
          <cell r="C292" t="str">
            <v>Past</v>
          </cell>
          <cell r="D292">
            <v>38.090000000000003</v>
          </cell>
          <cell r="E292" t="e">
            <v>#N/A</v>
          </cell>
          <cell r="F292" t="e">
            <v>#N/A</v>
          </cell>
          <cell r="G292" t="e">
            <v>#N/A</v>
          </cell>
          <cell r="H292" t="e">
            <v>#N/A</v>
          </cell>
          <cell r="I292" t="e">
            <v>#N/A</v>
          </cell>
          <cell r="J292" t="e">
            <v>#N/A</v>
          </cell>
          <cell r="K292" t="e">
            <v>#N/A</v>
          </cell>
          <cell r="L292" t="e">
            <v>#N/A</v>
          </cell>
          <cell r="M292" t="e">
            <v>#N/A</v>
          </cell>
          <cell r="N292" t="e">
            <v>#N/A</v>
          </cell>
          <cell r="O292" t="e">
            <v>#N/A</v>
          </cell>
          <cell r="P292">
            <v>38.090000000000003</v>
          </cell>
          <cell r="Q292">
            <v>1.8329700000000002</v>
          </cell>
          <cell r="R292" t="e">
            <v>#N/A</v>
          </cell>
        </row>
        <row r="293">
          <cell r="A293">
            <v>39892</v>
          </cell>
          <cell r="B293">
            <v>39892</v>
          </cell>
          <cell r="C293" t="str">
            <v>Past</v>
          </cell>
          <cell r="D293">
            <v>37.340000000000003</v>
          </cell>
          <cell r="E293" t="e">
            <v>#N/A</v>
          </cell>
          <cell r="F293" t="e">
            <v>#N/A</v>
          </cell>
          <cell r="G293" t="e">
            <v>#N/A</v>
          </cell>
          <cell r="H293" t="e">
            <v>#N/A</v>
          </cell>
          <cell r="I293" t="e">
            <v>#N/A</v>
          </cell>
          <cell r="J293" t="e">
            <v>#N/A</v>
          </cell>
          <cell r="K293" t="e">
            <v>#N/A</v>
          </cell>
          <cell r="L293" t="e">
            <v>#N/A</v>
          </cell>
          <cell r="M293" t="e">
            <v>#N/A</v>
          </cell>
          <cell r="N293" t="e">
            <v>#N/A</v>
          </cell>
          <cell r="O293" t="e">
            <v>#N/A</v>
          </cell>
          <cell r="P293">
            <v>37.340000000000003</v>
          </cell>
          <cell r="Q293">
            <v>1.507863</v>
          </cell>
          <cell r="R293" t="e">
            <v>#N/A</v>
          </cell>
        </row>
        <row r="294">
          <cell r="A294">
            <v>39895</v>
          </cell>
          <cell r="B294">
            <v>39895</v>
          </cell>
          <cell r="C294" t="str">
            <v>Past</v>
          </cell>
          <cell r="D294">
            <v>39.81</v>
          </cell>
          <cell r="E294" t="e">
            <v>#N/A</v>
          </cell>
          <cell r="F294" t="e">
            <v>#N/A</v>
          </cell>
          <cell r="G294" t="e">
            <v>#N/A</v>
          </cell>
          <cell r="H294" t="e">
            <v>#N/A</v>
          </cell>
          <cell r="I294" t="e">
            <v>#N/A</v>
          </cell>
          <cell r="J294" t="e">
            <v>#N/A</v>
          </cell>
          <cell r="K294" t="e">
            <v>#N/A</v>
          </cell>
          <cell r="L294" t="e">
            <v>#N/A</v>
          </cell>
          <cell r="M294" t="e">
            <v>#N/A</v>
          </cell>
          <cell r="N294" t="e">
            <v>#N/A</v>
          </cell>
          <cell r="O294" t="e">
            <v>#N/A</v>
          </cell>
          <cell r="P294">
            <v>39.81</v>
          </cell>
          <cell r="Q294">
            <v>1.2505459999999999</v>
          </cell>
          <cell r="R294" t="e">
            <v>#N/A</v>
          </cell>
        </row>
        <row r="295">
          <cell r="A295">
            <v>39896</v>
          </cell>
          <cell r="B295">
            <v>39896</v>
          </cell>
          <cell r="C295" t="str">
            <v>Past</v>
          </cell>
          <cell r="D295">
            <v>38.799999999999997</v>
          </cell>
          <cell r="E295" t="e">
            <v>#N/A</v>
          </cell>
          <cell r="F295" t="e">
            <v>#N/A</v>
          </cell>
          <cell r="G295" t="e">
            <v>#N/A</v>
          </cell>
          <cell r="H295" t="e">
            <v>#N/A</v>
          </cell>
          <cell r="I295" t="e">
            <v>#N/A</v>
          </cell>
          <cell r="J295" t="e">
            <v>#N/A</v>
          </cell>
          <cell r="K295" t="e">
            <v>#N/A</v>
          </cell>
          <cell r="L295" t="e">
            <v>#N/A</v>
          </cell>
          <cell r="M295" t="e">
            <v>#N/A</v>
          </cell>
          <cell r="N295" t="e">
            <v>#N/A</v>
          </cell>
          <cell r="O295" t="e">
            <v>#N/A</v>
          </cell>
          <cell r="P295">
            <v>38.799999999999997</v>
          </cell>
          <cell r="Q295">
            <v>2.1692260000000001</v>
          </cell>
          <cell r="R295" t="e">
            <v>#N/A</v>
          </cell>
        </row>
        <row r="296">
          <cell r="A296">
            <v>39897</v>
          </cell>
          <cell r="B296">
            <v>39897</v>
          </cell>
          <cell r="C296" t="str">
            <v>Past</v>
          </cell>
          <cell r="D296">
            <v>39.200000000000003</v>
          </cell>
          <cell r="E296" t="e">
            <v>#N/A</v>
          </cell>
          <cell r="F296" t="e">
            <v>#N/A</v>
          </cell>
          <cell r="G296" t="e">
            <v>#N/A</v>
          </cell>
          <cell r="H296" t="e">
            <v>#N/A</v>
          </cell>
          <cell r="I296" t="e">
            <v>#N/A</v>
          </cell>
          <cell r="J296" t="e">
            <v>#N/A</v>
          </cell>
          <cell r="K296" t="e">
            <v>#N/A</v>
          </cell>
          <cell r="L296" t="e">
            <v>#N/A</v>
          </cell>
          <cell r="M296" t="e">
            <v>#N/A</v>
          </cell>
          <cell r="N296" t="e">
            <v>#N/A</v>
          </cell>
          <cell r="O296" t="e">
            <v>#N/A</v>
          </cell>
          <cell r="P296">
            <v>39.200000000000003</v>
          </cell>
          <cell r="Q296">
            <v>2.1262159999999999</v>
          </cell>
          <cell r="R296" t="e">
            <v>#N/A</v>
          </cell>
        </row>
        <row r="297">
          <cell r="A297">
            <v>39898</v>
          </cell>
          <cell r="B297">
            <v>39898</v>
          </cell>
          <cell r="C297" t="str">
            <v>Past</v>
          </cell>
          <cell r="D297">
            <v>41.5</v>
          </cell>
          <cell r="E297" t="e">
            <v>#N/A</v>
          </cell>
          <cell r="F297" t="e">
            <v>#N/A</v>
          </cell>
          <cell r="G297" t="e">
            <v>#N/A</v>
          </cell>
          <cell r="H297" t="e">
            <v>#N/A</v>
          </cell>
          <cell r="I297" t="e">
            <v>#N/A</v>
          </cell>
          <cell r="J297" t="e">
            <v>#N/A</v>
          </cell>
          <cell r="K297" t="e">
            <v>#N/A</v>
          </cell>
          <cell r="L297" t="e">
            <v>#N/A</v>
          </cell>
          <cell r="M297" t="e">
            <v>#N/A</v>
          </cell>
          <cell r="N297" t="e">
            <v>#N/A</v>
          </cell>
          <cell r="O297" t="e">
            <v>#N/A</v>
          </cell>
          <cell r="P297">
            <v>41.5</v>
          </cell>
          <cell r="Q297">
            <v>1.8462969999999999</v>
          </cell>
          <cell r="R297" t="e">
            <v>#N/A</v>
          </cell>
        </row>
        <row r="298">
          <cell r="A298">
            <v>39899</v>
          </cell>
          <cell r="B298">
            <v>39899</v>
          </cell>
          <cell r="C298" t="str">
            <v>Past</v>
          </cell>
          <cell r="D298">
            <v>39.659999999999997</v>
          </cell>
          <cell r="E298" t="e">
            <v>#N/A</v>
          </cell>
          <cell r="F298" t="e">
            <v>#N/A</v>
          </cell>
          <cell r="G298" t="e">
            <v>#N/A</v>
          </cell>
          <cell r="H298" t="e">
            <v>#N/A</v>
          </cell>
          <cell r="I298" t="e">
            <v>#N/A</v>
          </cell>
          <cell r="J298" t="e">
            <v>#N/A</v>
          </cell>
          <cell r="K298" t="e">
            <v>#N/A</v>
          </cell>
          <cell r="L298" t="e">
            <v>#N/A</v>
          </cell>
          <cell r="M298" t="e">
            <v>#N/A</v>
          </cell>
          <cell r="N298" t="e">
            <v>#N/A</v>
          </cell>
          <cell r="O298" t="e">
            <v>#N/A</v>
          </cell>
          <cell r="P298">
            <v>39.659999999999997</v>
          </cell>
          <cell r="Q298">
            <v>2.2573189999999999</v>
          </cell>
          <cell r="R298" t="e">
            <v>#N/A</v>
          </cell>
        </row>
        <row r="299">
          <cell r="A299">
            <v>39902</v>
          </cell>
          <cell r="B299">
            <v>39902</v>
          </cell>
          <cell r="C299" t="str">
            <v>Past</v>
          </cell>
          <cell r="D299">
            <v>37.79</v>
          </cell>
          <cell r="E299" t="e">
            <v>#N/A</v>
          </cell>
          <cell r="F299" t="e">
            <v>#N/A</v>
          </cell>
          <cell r="G299" t="e">
            <v>#N/A</v>
          </cell>
          <cell r="H299" t="e">
            <v>#N/A</v>
          </cell>
          <cell r="I299" t="e">
            <v>#N/A</v>
          </cell>
          <cell r="J299" t="e">
            <v>#N/A</v>
          </cell>
          <cell r="K299" t="e">
            <v>#N/A</v>
          </cell>
          <cell r="L299" t="e">
            <v>#N/A</v>
          </cell>
          <cell r="M299" t="e">
            <v>#N/A</v>
          </cell>
          <cell r="N299" t="e">
            <v>#N/A</v>
          </cell>
          <cell r="O299" t="e">
            <v>#N/A</v>
          </cell>
          <cell r="P299">
            <v>37.79</v>
          </cell>
          <cell r="Q299">
            <v>1.8100239999999999</v>
          </cell>
          <cell r="R299" t="e">
            <v>#N/A</v>
          </cell>
        </row>
        <row r="300">
          <cell r="A300">
            <v>39903</v>
          </cell>
          <cell r="B300">
            <v>39903</v>
          </cell>
          <cell r="C300" t="str">
            <v>Past</v>
          </cell>
          <cell r="D300">
            <v>37.89</v>
          </cell>
          <cell r="E300" t="e">
            <v>#N/A</v>
          </cell>
          <cell r="F300" t="e">
            <v>#N/A</v>
          </cell>
          <cell r="G300" t="e">
            <v>#N/A</v>
          </cell>
          <cell r="H300" t="e">
            <v>#N/A</v>
          </cell>
          <cell r="I300" t="e">
            <v>#N/A</v>
          </cell>
          <cell r="J300" t="e">
            <v>#N/A</v>
          </cell>
          <cell r="K300" t="e">
            <v>#N/A</v>
          </cell>
          <cell r="L300" t="e">
            <v>#N/A</v>
          </cell>
          <cell r="M300" t="e">
            <v>#N/A</v>
          </cell>
          <cell r="N300" t="e">
            <v>#N/A</v>
          </cell>
          <cell r="O300" t="e">
            <v>#N/A</v>
          </cell>
          <cell r="P300">
            <v>37.89</v>
          </cell>
          <cell r="Q300">
            <v>1.7207679999999999</v>
          </cell>
          <cell r="R300" t="e">
            <v>#N/A</v>
          </cell>
        </row>
        <row r="301">
          <cell r="A301">
            <v>39904</v>
          </cell>
          <cell r="B301">
            <v>39904</v>
          </cell>
          <cell r="C301" t="str">
            <v>Past</v>
          </cell>
          <cell r="D301">
            <v>38.28</v>
          </cell>
          <cell r="E301" t="e">
            <v>#N/A</v>
          </cell>
          <cell r="F301" t="e">
            <v>#N/A</v>
          </cell>
          <cell r="G301" t="e">
            <v>#N/A</v>
          </cell>
          <cell r="H301" t="e">
            <v>#N/A</v>
          </cell>
          <cell r="I301" t="e">
            <v>#N/A</v>
          </cell>
          <cell r="J301" t="e">
            <v>#N/A</v>
          </cell>
          <cell r="K301" t="e">
            <v>#N/A</v>
          </cell>
          <cell r="L301" t="e">
            <v>#N/A</v>
          </cell>
          <cell r="M301" t="e">
            <v>#N/A</v>
          </cell>
          <cell r="N301" t="e">
            <v>#N/A</v>
          </cell>
          <cell r="O301" t="e">
            <v>#N/A</v>
          </cell>
          <cell r="P301">
            <v>38.28</v>
          </cell>
          <cell r="Q301">
            <v>2.7325239999999997</v>
          </cell>
          <cell r="R301" t="e">
            <v>#N/A</v>
          </cell>
        </row>
        <row r="302">
          <cell r="A302">
            <v>39905</v>
          </cell>
          <cell r="B302">
            <v>39905</v>
          </cell>
          <cell r="C302" t="str">
            <v>Past</v>
          </cell>
          <cell r="D302">
            <v>39.909999999999997</v>
          </cell>
          <cell r="E302" t="e">
            <v>#N/A</v>
          </cell>
          <cell r="F302" t="e">
            <v>#N/A</v>
          </cell>
          <cell r="G302" t="e">
            <v>#N/A</v>
          </cell>
          <cell r="H302" t="e">
            <v>#N/A</v>
          </cell>
          <cell r="I302" t="e">
            <v>#N/A</v>
          </cell>
          <cell r="J302" t="e">
            <v>#N/A</v>
          </cell>
          <cell r="K302" t="e">
            <v>#N/A</v>
          </cell>
          <cell r="L302" t="e">
            <v>#N/A</v>
          </cell>
          <cell r="M302" t="e">
            <v>#N/A</v>
          </cell>
          <cell r="N302" t="e">
            <v>#N/A</v>
          </cell>
          <cell r="O302" t="e">
            <v>#N/A</v>
          </cell>
          <cell r="P302">
            <v>39.909999999999997</v>
          </cell>
          <cell r="Q302">
            <v>2.9262479999999997</v>
          </cell>
          <cell r="R302" t="e">
            <v>#N/A</v>
          </cell>
        </row>
        <row r="303">
          <cell r="A303">
            <v>39906</v>
          </cell>
          <cell r="B303">
            <v>39906</v>
          </cell>
          <cell r="C303" t="str">
            <v>Past</v>
          </cell>
          <cell r="D303">
            <v>39.85</v>
          </cell>
          <cell r="E303" t="e">
            <v>#N/A</v>
          </cell>
          <cell r="F303" t="e">
            <v>#N/A</v>
          </cell>
          <cell r="G303" t="e">
            <v>#N/A</v>
          </cell>
          <cell r="H303" t="e">
            <v>#N/A</v>
          </cell>
          <cell r="I303" t="e">
            <v>#N/A</v>
          </cell>
          <cell r="J303" t="e">
            <v>#N/A</v>
          </cell>
          <cell r="K303" t="e">
            <v>#N/A</v>
          </cell>
          <cell r="L303" t="e">
            <v>#N/A</v>
          </cell>
          <cell r="M303" t="e">
            <v>#N/A</v>
          </cell>
          <cell r="N303" t="e">
            <v>#N/A</v>
          </cell>
          <cell r="O303" t="e">
            <v>#N/A</v>
          </cell>
          <cell r="P303">
            <v>39.85</v>
          </cell>
          <cell r="Q303">
            <v>2.3110759999999999</v>
          </cell>
          <cell r="R303" t="e">
            <v>#N/A</v>
          </cell>
        </row>
        <row r="304">
          <cell r="A304">
            <v>39909</v>
          </cell>
          <cell r="B304">
            <v>39909</v>
          </cell>
          <cell r="C304" t="str">
            <v>Past</v>
          </cell>
          <cell r="D304">
            <v>39.9</v>
          </cell>
          <cell r="E304" t="e">
            <v>#N/A</v>
          </cell>
          <cell r="F304" t="e">
            <v>#N/A</v>
          </cell>
          <cell r="G304" t="e">
            <v>#N/A</v>
          </cell>
          <cell r="H304" t="e">
            <v>#N/A</v>
          </cell>
          <cell r="I304" t="e">
            <v>#N/A</v>
          </cell>
          <cell r="J304" t="e">
            <v>#N/A</v>
          </cell>
          <cell r="K304" t="e">
            <v>#N/A</v>
          </cell>
          <cell r="L304" t="e">
            <v>#N/A</v>
          </cell>
          <cell r="M304" t="e">
            <v>#N/A</v>
          </cell>
          <cell r="N304" t="e">
            <v>#N/A</v>
          </cell>
          <cell r="O304" t="e">
            <v>#N/A</v>
          </cell>
          <cell r="P304">
            <v>39.9</v>
          </cell>
          <cell r="Q304">
            <v>1.627475</v>
          </cell>
          <cell r="R304" t="e">
            <v>#N/A</v>
          </cell>
        </row>
        <row r="305">
          <cell r="A305">
            <v>39910</v>
          </cell>
          <cell r="B305">
            <v>39910</v>
          </cell>
          <cell r="C305" t="str">
            <v>Past</v>
          </cell>
          <cell r="D305">
            <v>38.86</v>
          </cell>
          <cell r="E305" t="e">
            <v>#N/A</v>
          </cell>
          <cell r="F305" t="e">
            <v>#N/A</v>
          </cell>
          <cell r="G305" t="e">
            <v>#N/A</v>
          </cell>
          <cell r="H305" t="e">
            <v>#N/A</v>
          </cell>
          <cell r="I305" t="e">
            <v>#N/A</v>
          </cell>
          <cell r="J305" t="e">
            <v>#N/A</v>
          </cell>
          <cell r="K305" t="e">
            <v>#N/A</v>
          </cell>
          <cell r="L305" t="e">
            <v>#N/A</v>
          </cell>
          <cell r="M305" t="e">
            <v>#N/A</v>
          </cell>
          <cell r="N305" t="e">
            <v>#N/A</v>
          </cell>
          <cell r="O305" t="e">
            <v>#N/A</v>
          </cell>
          <cell r="P305">
            <v>38.86</v>
          </cell>
          <cell r="Q305">
            <v>1.667484</v>
          </cell>
          <cell r="R305" t="e">
            <v>#N/A</v>
          </cell>
        </row>
        <row r="306">
          <cell r="A306">
            <v>39911</v>
          </cell>
          <cell r="B306">
            <v>39911</v>
          </cell>
          <cell r="C306" t="str">
            <v>Past</v>
          </cell>
          <cell r="D306">
            <v>39.22</v>
          </cell>
          <cell r="E306" t="e">
            <v>#N/A</v>
          </cell>
          <cell r="F306" t="e">
            <v>#N/A</v>
          </cell>
          <cell r="G306" t="e">
            <v>#N/A</v>
          </cell>
          <cell r="H306" t="e">
            <v>#N/A</v>
          </cell>
          <cell r="I306" t="e">
            <v>#N/A</v>
          </cell>
          <cell r="J306" t="e">
            <v>#N/A</v>
          </cell>
          <cell r="K306" t="e">
            <v>#N/A</v>
          </cell>
          <cell r="L306" t="e">
            <v>#N/A</v>
          </cell>
          <cell r="M306" t="e">
            <v>#N/A</v>
          </cell>
          <cell r="N306" t="e">
            <v>#N/A</v>
          </cell>
          <cell r="O306" t="e">
            <v>#N/A</v>
          </cell>
          <cell r="P306">
            <v>39.22</v>
          </cell>
          <cell r="Q306">
            <v>1.155975</v>
          </cell>
          <cell r="R306" t="e">
            <v>#N/A</v>
          </cell>
        </row>
        <row r="307">
          <cell r="A307">
            <v>39912</v>
          </cell>
          <cell r="B307">
            <v>39912</v>
          </cell>
          <cell r="C307" t="str">
            <v>Past</v>
          </cell>
          <cell r="D307">
            <v>41.13</v>
          </cell>
          <cell r="E307" t="e">
            <v>#N/A</v>
          </cell>
          <cell r="F307" t="e">
            <v>#N/A</v>
          </cell>
          <cell r="G307" t="e">
            <v>#N/A</v>
          </cell>
          <cell r="H307" t="e">
            <v>#N/A</v>
          </cell>
          <cell r="I307" t="e">
            <v>#N/A</v>
          </cell>
          <cell r="J307" t="e">
            <v>#N/A</v>
          </cell>
          <cell r="K307" t="e">
            <v>#N/A</v>
          </cell>
          <cell r="L307" t="e">
            <v>#N/A</v>
          </cell>
          <cell r="M307" t="e">
            <v>#N/A</v>
          </cell>
          <cell r="N307" t="e">
            <v>#N/A</v>
          </cell>
          <cell r="O307" t="e">
            <v>#N/A</v>
          </cell>
          <cell r="P307">
            <v>41.13</v>
          </cell>
          <cell r="Q307">
            <v>1.8638549999999998</v>
          </cell>
          <cell r="R307" t="e">
            <v>#N/A</v>
          </cell>
        </row>
        <row r="308">
          <cell r="A308">
            <v>39916</v>
          </cell>
          <cell r="B308">
            <v>39916</v>
          </cell>
          <cell r="C308" t="str">
            <v>Past</v>
          </cell>
          <cell r="D308">
            <v>41.6</v>
          </cell>
          <cell r="E308" t="e">
            <v>#N/A</v>
          </cell>
          <cell r="F308" t="e">
            <v>#N/A</v>
          </cell>
          <cell r="G308" t="e">
            <v>#N/A</v>
          </cell>
          <cell r="H308" t="e">
            <v>#N/A</v>
          </cell>
          <cell r="I308" t="e">
            <v>#N/A</v>
          </cell>
          <cell r="J308" t="e">
            <v>#N/A</v>
          </cell>
          <cell r="K308" t="e">
            <v>#N/A</v>
          </cell>
          <cell r="L308" t="e">
            <v>#N/A</v>
          </cell>
          <cell r="M308" t="e">
            <v>#N/A</v>
          </cell>
          <cell r="N308" t="e">
            <v>#N/A</v>
          </cell>
          <cell r="O308" t="e">
            <v>#N/A</v>
          </cell>
          <cell r="P308">
            <v>41.6</v>
          </cell>
          <cell r="Q308">
            <v>1.895227</v>
          </cell>
          <cell r="R308" t="e">
            <v>#N/A</v>
          </cell>
        </row>
        <row r="309">
          <cell r="A309">
            <v>39917</v>
          </cell>
          <cell r="B309">
            <v>39917</v>
          </cell>
          <cell r="C309" t="str">
            <v>Past</v>
          </cell>
          <cell r="D309">
            <v>41.18</v>
          </cell>
          <cell r="E309" t="e">
            <v>#N/A</v>
          </cell>
          <cell r="F309" t="e">
            <v>#N/A</v>
          </cell>
          <cell r="G309" t="e">
            <v>#N/A</v>
          </cell>
          <cell r="H309" t="e">
            <v>#N/A</v>
          </cell>
          <cell r="I309" t="e">
            <v>#N/A</v>
          </cell>
          <cell r="J309" t="e">
            <v>#N/A</v>
          </cell>
          <cell r="K309" t="e">
            <v>#N/A</v>
          </cell>
          <cell r="L309" t="e">
            <v>#N/A</v>
          </cell>
          <cell r="M309" t="e">
            <v>#N/A</v>
          </cell>
          <cell r="N309" t="e">
            <v>#N/A</v>
          </cell>
          <cell r="O309" t="e">
            <v>#N/A</v>
          </cell>
          <cell r="P309">
            <v>41.18</v>
          </cell>
          <cell r="Q309">
            <v>1.6869000000000001</v>
          </cell>
          <cell r="R309" t="e">
            <v>#N/A</v>
          </cell>
        </row>
        <row r="310">
          <cell r="A310">
            <v>39918</v>
          </cell>
          <cell r="B310">
            <v>39918</v>
          </cell>
          <cell r="C310" t="str">
            <v>Past</v>
          </cell>
          <cell r="D310">
            <v>40.74</v>
          </cell>
          <cell r="E310" t="e">
            <v>#N/A</v>
          </cell>
          <cell r="F310" t="e">
            <v>#N/A</v>
          </cell>
          <cell r="G310" t="e">
            <v>#N/A</v>
          </cell>
          <cell r="H310" t="e">
            <v>#N/A</v>
          </cell>
          <cell r="I310" t="e">
            <v>#N/A</v>
          </cell>
          <cell r="J310" t="e">
            <v>#N/A</v>
          </cell>
          <cell r="K310" t="e">
            <v>#N/A</v>
          </cell>
          <cell r="L310" t="e">
            <v>#N/A</v>
          </cell>
          <cell r="M310" t="e">
            <v>#N/A</v>
          </cell>
          <cell r="N310" t="e">
            <v>#N/A</v>
          </cell>
          <cell r="O310" t="e">
            <v>#N/A</v>
          </cell>
          <cell r="P310">
            <v>40.74</v>
          </cell>
          <cell r="Q310">
            <v>1.6690800000000001</v>
          </cell>
          <cell r="R310" t="e">
            <v>#N/A</v>
          </cell>
        </row>
        <row r="311">
          <cell r="A311">
            <v>39919</v>
          </cell>
          <cell r="B311">
            <v>39919</v>
          </cell>
          <cell r="C311" t="str">
            <v>Past</v>
          </cell>
          <cell r="D311">
            <v>42.81</v>
          </cell>
          <cell r="E311" t="e">
            <v>#N/A</v>
          </cell>
          <cell r="F311" t="e">
            <v>#N/A</v>
          </cell>
          <cell r="G311" t="e">
            <v>#N/A</v>
          </cell>
          <cell r="H311" t="e">
            <v>#N/A</v>
          </cell>
          <cell r="I311" t="e">
            <v>#N/A</v>
          </cell>
          <cell r="J311" t="e">
            <v>#N/A</v>
          </cell>
          <cell r="K311" t="e">
            <v>#N/A</v>
          </cell>
          <cell r="L311" t="e">
            <v>#N/A</v>
          </cell>
          <cell r="M311" t="e">
            <v>#N/A</v>
          </cell>
          <cell r="N311" t="e">
            <v>#N/A</v>
          </cell>
          <cell r="O311" t="e">
            <v>#N/A</v>
          </cell>
          <cell r="P311">
            <v>42.81</v>
          </cell>
          <cell r="Q311">
            <v>1.4589129999999999</v>
          </cell>
          <cell r="R311" t="e">
            <v>#N/A</v>
          </cell>
        </row>
        <row r="312">
          <cell r="A312">
            <v>39920</v>
          </cell>
          <cell r="B312">
            <v>39920</v>
          </cell>
          <cell r="C312" t="str">
            <v>Past</v>
          </cell>
          <cell r="D312">
            <v>43.07</v>
          </cell>
          <cell r="E312" t="e">
            <v>#N/A</v>
          </cell>
          <cell r="F312" t="e">
            <v>#N/A</v>
          </cell>
          <cell r="G312" t="e">
            <v>#N/A</v>
          </cell>
          <cell r="H312" t="e">
            <v>#N/A</v>
          </cell>
          <cell r="I312" t="e">
            <v>#N/A</v>
          </cell>
          <cell r="J312" t="e">
            <v>#N/A</v>
          </cell>
          <cell r="K312" t="e">
            <v>#N/A</v>
          </cell>
          <cell r="L312" t="e">
            <v>#N/A</v>
          </cell>
          <cell r="M312" t="e">
            <v>#N/A</v>
          </cell>
          <cell r="N312" t="e">
            <v>#N/A</v>
          </cell>
          <cell r="O312" t="e">
            <v>#N/A</v>
          </cell>
          <cell r="P312">
            <v>43.07</v>
          </cell>
          <cell r="Q312">
            <v>1.1272</v>
          </cell>
          <cell r="R312" t="e">
            <v>#N/A</v>
          </cell>
        </row>
        <row r="313">
          <cell r="A313">
            <v>39923</v>
          </cell>
          <cell r="B313">
            <v>39923</v>
          </cell>
          <cell r="C313" t="str">
            <v>Past</v>
          </cell>
          <cell r="D313">
            <v>41.17</v>
          </cell>
          <cell r="E313" t="e">
            <v>#N/A</v>
          </cell>
          <cell r="F313" t="e">
            <v>#N/A</v>
          </cell>
          <cell r="G313" t="e">
            <v>#N/A</v>
          </cell>
          <cell r="H313" t="e">
            <v>#N/A</v>
          </cell>
          <cell r="I313" t="e">
            <v>#N/A</v>
          </cell>
          <cell r="J313" t="e">
            <v>#N/A</v>
          </cell>
          <cell r="K313" t="e">
            <v>#N/A</v>
          </cell>
          <cell r="L313" t="e">
            <v>#N/A</v>
          </cell>
          <cell r="M313" t="e">
            <v>#N/A</v>
          </cell>
          <cell r="N313" t="e">
            <v>#N/A</v>
          </cell>
          <cell r="O313" t="e">
            <v>#N/A</v>
          </cell>
          <cell r="P313">
            <v>41.17</v>
          </cell>
          <cell r="Q313">
            <v>1.379705</v>
          </cell>
          <cell r="R313" t="e">
            <v>#N/A</v>
          </cell>
        </row>
        <row r="314">
          <cell r="A314">
            <v>39924</v>
          </cell>
          <cell r="B314">
            <v>39924</v>
          </cell>
          <cell r="C314" t="str">
            <v>Past</v>
          </cell>
          <cell r="D314">
            <v>41.17</v>
          </cell>
          <cell r="E314" t="e">
            <v>#N/A</v>
          </cell>
          <cell r="F314" t="e">
            <v>#N/A</v>
          </cell>
          <cell r="G314" t="e">
            <v>#N/A</v>
          </cell>
          <cell r="H314" t="e">
            <v>#N/A</v>
          </cell>
          <cell r="I314" t="e">
            <v>#N/A</v>
          </cell>
          <cell r="J314" t="e">
            <v>#N/A</v>
          </cell>
          <cell r="K314" t="e">
            <v>#N/A</v>
          </cell>
          <cell r="L314" t="e">
            <v>#N/A</v>
          </cell>
          <cell r="M314" t="e">
            <v>#N/A</v>
          </cell>
          <cell r="N314" t="e">
            <v>#N/A</v>
          </cell>
          <cell r="O314" t="e">
            <v>#N/A</v>
          </cell>
          <cell r="P314">
            <v>41.17</v>
          </cell>
          <cell r="Q314">
            <v>1.582948</v>
          </cell>
          <cell r="R314" t="e">
            <v>#N/A</v>
          </cell>
        </row>
        <row r="315">
          <cell r="A315">
            <v>39925</v>
          </cell>
          <cell r="B315">
            <v>39925</v>
          </cell>
          <cell r="C315" t="str">
            <v>Past</v>
          </cell>
          <cell r="D315">
            <v>41.83</v>
          </cell>
          <cell r="E315" t="e">
            <v>#N/A</v>
          </cell>
          <cell r="F315" t="e">
            <v>#N/A</v>
          </cell>
          <cell r="G315" t="e">
            <v>#N/A</v>
          </cell>
          <cell r="H315" t="e">
            <v>#N/A</v>
          </cell>
          <cell r="I315" t="e">
            <v>#N/A</v>
          </cell>
          <cell r="J315" t="e">
            <v>#N/A</v>
          </cell>
          <cell r="K315" t="e">
            <v>#N/A</v>
          </cell>
          <cell r="L315" t="e">
            <v>#N/A</v>
          </cell>
          <cell r="M315" t="e">
            <v>#N/A</v>
          </cell>
          <cell r="N315" t="e">
            <v>#N/A</v>
          </cell>
          <cell r="O315" t="e">
            <v>#N/A</v>
          </cell>
          <cell r="P315">
            <v>41.83</v>
          </cell>
          <cell r="Q315">
            <v>2.3186070000000001</v>
          </cell>
          <cell r="R315" t="e">
            <v>#N/A</v>
          </cell>
        </row>
        <row r="316">
          <cell r="A316">
            <v>39926</v>
          </cell>
          <cell r="B316">
            <v>39926</v>
          </cell>
          <cell r="C316" t="str">
            <v>Past</v>
          </cell>
          <cell r="D316">
            <v>46.02</v>
          </cell>
          <cell r="E316" t="e">
            <v>#N/A</v>
          </cell>
          <cell r="F316" t="e">
            <v>#N/A</v>
          </cell>
          <cell r="G316" t="e">
            <v>#N/A</v>
          </cell>
          <cell r="H316" t="e">
            <v>#N/A</v>
          </cell>
          <cell r="I316" t="e">
            <v>#N/A</v>
          </cell>
          <cell r="J316" t="e">
            <v>#N/A</v>
          </cell>
          <cell r="K316" t="e">
            <v>#N/A</v>
          </cell>
          <cell r="L316" t="e">
            <v>#N/A</v>
          </cell>
          <cell r="M316" t="e">
            <v>#N/A</v>
          </cell>
          <cell r="N316" t="e">
            <v>#N/A</v>
          </cell>
          <cell r="O316" t="e">
            <v>#N/A</v>
          </cell>
          <cell r="P316">
            <v>46.02</v>
          </cell>
          <cell r="Q316">
            <v>4.4681200000000008</v>
          </cell>
          <cell r="R316" t="e">
            <v>#N/A</v>
          </cell>
        </row>
        <row r="317">
          <cell r="A317">
            <v>39927</v>
          </cell>
          <cell r="B317">
            <v>39927</v>
          </cell>
          <cell r="C317" t="str">
            <v>Past</v>
          </cell>
          <cell r="D317">
            <v>45.13</v>
          </cell>
          <cell r="E317" t="e">
            <v>#N/A</v>
          </cell>
          <cell r="F317" t="e">
            <v>#N/A</v>
          </cell>
          <cell r="G317" t="e">
            <v>#N/A</v>
          </cell>
          <cell r="H317" t="e">
            <v>#N/A</v>
          </cell>
          <cell r="I317" t="e">
            <v>#N/A</v>
          </cell>
          <cell r="J317" t="e">
            <v>#N/A</v>
          </cell>
          <cell r="K317" t="e">
            <v>#N/A</v>
          </cell>
          <cell r="L317" t="e">
            <v>#N/A</v>
          </cell>
          <cell r="M317" t="e">
            <v>#N/A</v>
          </cell>
          <cell r="N317" t="e">
            <v>#N/A</v>
          </cell>
          <cell r="O317" t="e">
            <v>#N/A</v>
          </cell>
          <cell r="P317">
            <v>45.13</v>
          </cell>
          <cell r="Q317">
            <v>2.789717</v>
          </cell>
          <cell r="R317" t="e">
            <v>#N/A</v>
          </cell>
        </row>
        <row r="318">
          <cell r="A318">
            <v>39930</v>
          </cell>
          <cell r="B318">
            <v>39930</v>
          </cell>
          <cell r="C318" t="str">
            <v>Past</v>
          </cell>
          <cell r="D318">
            <v>43.85</v>
          </cell>
          <cell r="E318" t="e">
            <v>#N/A</v>
          </cell>
          <cell r="F318" t="e">
            <v>#N/A</v>
          </cell>
          <cell r="G318" t="e">
            <v>#N/A</v>
          </cell>
          <cell r="H318" t="e">
            <v>#N/A</v>
          </cell>
          <cell r="I318" t="e">
            <v>#N/A</v>
          </cell>
          <cell r="J318" t="e">
            <v>#N/A</v>
          </cell>
          <cell r="K318" t="e">
            <v>#N/A</v>
          </cell>
          <cell r="L318" t="e">
            <v>#N/A</v>
          </cell>
          <cell r="M318" t="e">
            <v>#N/A</v>
          </cell>
          <cell r="N318" t="e">
            <v>#N/A</v>
          </cell>
          <cell r="O318" t="e">
            <v>#N/A</v>
          </cell>
          <cell r="P318">
            <v>43.85</v>
          </cell>
          <cell r="Q318">
            <v>2.2388600000000003</v>
          </cell>
          <cell r="R318" t="e">
            <v>#N/A</v>
          </cell>
        </row>
        <row r="319">
          <cell r="A319">
            <v>39931</v>
          </cell>
          <cell r="B319">
            <v>39931</v>
          </cell>
          <cell r="C319" t="str">
            <v>Past</v>
          </cell>
          <cell r="D319">
            <v>42.65</v>
          </cell>
          <cell r="E319" t="e">
            <v>#N/A</v>
          </cell>
          <cell r="F319" t="e">
            <v>#N/A</v>
          </cell>
          <cell r="G319" t="e">
            <v>#N/A</v>
          </cell>
          <cell r="H319" t="e">
            <v>#N/A</v>
          </cell>
          <cell r="I319" t="e">
            <v>#N/A</v>
          </cell>
          <cell r="J319" t="e">
            <v>#N/A</v>
          </cell>
          <cell r="K319" t="e">
            <v>#N/A</v>
          </cell>
          <cell r="L319" t="e">
            <v>#N/A</v>
          </cell>
          <cell r="M319" t="e">
            <v>#N/A</v>
          </cell>
          <cell r="N319" t="e">
            <v>#N/A</v>
          </cell>
          <cell r="O319" t="e">
            <v>#N/A</v>
          </cell>
          <cell r="P319">
            <v>42.65</v>
          </cell>
          <cell r="Q319">
            <v>2.0864210000000001</v>
          </cell>
          <cell r="R319" t="e">
            <v>#N/A</v>
          </cell>
        </row>
        <row r="320">
          <cell r="A320">
            <v>39932</v>
          </cell>
          <cell r="B320">
            <v>39932</v>
          </cell>
          <cell r="C320" t="str">
            <v>Past</v>
          </cell>
          <cell r="D320">
            <v>45.03</v>
          </cell>
          <cell r="E320" t="e">
            <v>#N/A</v>
          </cell>
          <cell r="F320" t="e">
            <v>#N/A</v>
          </cell>
          <cell r="G320" t="e">
            <v>#N/A</v>
          </cell>
          <cell r="H320" t="e">
            <v>#N/A</v>
          </cell>
          <cell r="I320" t="e">
            <v>#N/A</v>
          </cell>
          <cell r="J320" t="e">
            <v>#N/A</v>
          </cell>
          <cell r="K320" t="e">
            <v>#N/A</v>
          </cell>
          <cell r="L320" t="e">
            <v>#N/A</v>
          </cell>
          <cell r="M320" t="e">
            <v>#N/A</v>
          </cell>
          <cell r="N320" t="e">
            <v>#N/A</v>
          </cell>
          <cell r="O320" t="e">
            <v>#N/A</v>
          </cell>
          <cell r="P320">
            <v>45.03</v>
          </cell>
          <cell r="Q320">
            <v>1.7660769999999999</v>
          </cell>
          <cell r="R320" t="e">
            <v>#N/A</v>
          </cell>
        </row>
        <row r="321">
          <cell r="A321">
            <v>39933</v>
          </cell>
          <cell r="B321">
            <v>39933</v>
          </cell>
          <cell r="C321" t="str">
            <v>Past</v>
          </cell>
          <cell r="D321">
            <v>44.28</v>
          </cell>
          <cell r="E321" t="e">
            <v>#N/A</v>
          </cell>
          <cell r="F321" t="e">
            <v>#N/A</v>
          </cell>
          <cell r="G321" t="e">
            <v>#N/A</v>
          </cell>
          <cell r="H321" t="e">
            <v>#N/A</v>
          </cell>
          <cell r="I321" t="e">
            <v>#N/A</v>
          </cell>
          <cell r="J321" t="e">
            <v>#N/A</v>
          </cell>
          <cell r="K321" t="e">
            <v>#N/A</v>
          </cell>
          <cell r="L321" t="e">
            <v>#N/A</v>
          </cell>
          <cell r="M321" t="e">
            <v>#N/A</v>
          </cell>
          <cell r="N321" t="e">
            <v>#N/A</v>
          </cell>
          <cell r="O321" t="e">
            <v>#N/A</v>
          </cell>
          <cell r="P321">
            <v>44.28</v>
          </cell>
          <cell r="Q321">
            <v>1.2825819999999999</v>
          </cell>
          <cell r="R321" t="e">
            <v>#N/A</v>
          </cell>
        </row>
        <row r="322">
          <cell r="A322">
            <v>39934</v>
          </cell>
          <cell r="B322">
            <v>39934</v>
          </cell>
          <cell r="C322" t="str">
            <v>Past</v>
          </cell>
          <cell r="D322">
            <v>45.24</v>
          </cell>
          <cell r="E322" t="e">
            <v>#N/A</v>
          </cell>
          <cell r="F322" t="e">
            <v>#N/A</v>
          </cell>
          <cell r="G322" t="e">
            <v>#N/A</v>
          </cell>
          <cell r="H322" t="e">
            <v>#N/A</v>
          </cell>
          <cell r="I322" t="e">
            <v>#N/A</v>
          </cell>
          <cell r="J322" t="e">
            <v>#N/A</v>
          </cell>
          <cell r="K322" t="e">
            <v>#N/A</v>
          </cell>
          <cell r="L322" t="e">
            <v>#N/A</v>
          </cell>
          <cell r="M322" t="e">
            <v>#N/A</v>
          </cell>
          <cell r="N322" t="e">
            <v>#N/A</v>
          </cell>
          <cell r="O322" t="e">
            <v>#N/A</v>
          </cell>
          <cell r="P322">
            <v>45.24</v>
          </cell>
          <cell r="Q322">
            <v>1.3176289999999999</v>
          </cell>
          <cell r="R322" t="e">
            <v>#N/A</v>
          </cell>
        </row>
        <row r="323">
          <cell r="A323">
            <v>39937</v>
          </cell>
          <cell r="B323">
            <v>39937</v>
          </cell>
          <cell r="C323" t="str">
            <v>Past</v>
          </cell>
          <cell r="D323">
            <v>45.08</v>
          </cell>
          <cell r="E323" t="e">
            <v>#N/A</v>
          </cell>
          <cell r="F323" t="e">
            <v>#N/A</v>
          </cell>
          <cell r="G323" t="e">
            <v>#N/A</v>
          </cell>
          <cell r="H323" t="e">
            <v>#N/A</v>
          </cell>
          <cell r="I323" t="e">
            <v>#N/A</v>
          </cell>
          <cell r="J323" t="e">
            <v>#N/A</v>
          </cell>
          <cell r="K323" t="e">
            <v>#N/A</v>
          </cell>
          <cell r="L323" t="e">
            <v>#N/A</v>
          </cell>
          <cell r="M323" t="e">
            <v>#N/A</v>
          </cell>
          <cell r="N323" t="e">
            <v>#N/A</v>
          </cell>
          <cell r="O323" t="e">
            <v>#N/A</v>
          </cell>
          <cell r="P323">
            <v>45.08</v>
          </cell>
          <cell r="Q323">
            <v>1.5090700000000001</v>
          </cell>
          <cell r="R323" t="e">
            <v>#N/A</v>
          </cell>
        </row>
        <row r="324">
          <cell r="A324">
            <v>39938</v>
          </cell>
          <cell r="B324">
            <v>39938</v>
          </cell>
          <cell r="C324" t="str">
            <v>Past</v>
          </cell>
          <cell r="D324">
            <v>44.87</v>
          </cell>
          <cell r="E324" t="e">
            <v>#N/A</v>
          </cell>
          <cell r="F324" t="e">
            <v>#N/A</v>
          </cell>
          <cell r="G324" t="e">
            <v>#N/A</v>
          </cell>
          <cell r="H324" t="e">
            <v>#N/A</v>
          </cell>
          <cell r="I324" t="e">
            <v>#N/A</v>
          </cell>
          <cell r="J324" t="e">
            <v>#N/A</v>
          </cell>
          <cell r="K324" t="e">
            <v>#N/A</v>
          </cell>
          <cell r="L324" t="e">
            <v>#N/A</v>
          </cell>
          <cell r="M324" t="e">
            <v>#N/A</v>
          </cell>
          <cell r="N324" t="e">
            <v>#N/A</v>
          </cell>
          <cell r="O324" t="e">
            <v>#N/A</v>
          </cell>
          <cell r="P324">
            <v>44.87</v>
          </cell>
          <cell r="Q324">
            <v>1.0640879999999999</v>
          </cell>
          <cell r="R324" t="e">
            <v>#N/A</v>
          </cell>
        </row>
        <row r="325">
          <cell r="A325">
            <v>39939</v>
          </cell>
          <cell r="B325">
            <v>39939</v>
          </cell>
          <cell r="C325" t="str">
            <v>Past</v>
          </cell>
          <cell r="D325">
            <v>45.16</v>
          </cell>
          <cell r="E325" t="e">
            <v>#N/A</v>
          </cell>
          <cell r="F325" t="e">
            <v>#N/A</v>
          </cell>
          <cell r="G325" t="e">
            <v>#N/A</v>
          </cell>
          <cell r="H325" t="e">
            <v>#N/A</v>
          </cell>
          <cell r="I325" t="e">
            <v>#N/A</v>
          </cell>
          <cell r="J325" t="e">
            <v>#N/A</v>
          </cell>
          <cell r="K325" t="e">
            <v>#N/A</v>
          </cell>
          <cell r="L325" t="e">
            <v>#N/A</v>
          </cell>
          <cell r="M325" t="e">
            <v>#N/A</v>
          </cell>
          <cell r="N325" t="e">
            <v>#N/A</v>
          </cell>
          <cell r="O325" t="e">
            <v>#N/A</v>
          </cell>
          <cell r="P325">
            <v>45.16</v>
          </cell>
          <cell r="Q325">
            <v>1.0861339999999999</v>
          </cell>
          <cell r="R325" t="e">
            <v>#N/A</v>
          </cell>
        </row>
        <row r="326">
          <cell r="A326">
            <v>39940</v>
          </cell>
          <cell r="B326">
            <v>39940</v>
          </cell>
          <cell r="C326" t="str">
            <v>Past</v>
          </cell>
          <cell r="D326">
            <v>43.74</v>
          </cell>
          <cell r="E326" t="e">
            <v>#N/A</v>
          </cell>
          <cell r="F326" t="e">
            <v>#N/A</v>
          </cell>
          <cell r="G326" t="e">
            <v>#N/A</v>
          </cell>
          <cell r="H326" t="e">
            <v>#N/A</v>
          </cell>
          <cell r="I326" t="e">
            <v>#N/A</v>
          </cell>
          <cell r="J326" t="e">
            <v>#N/A</v>
          </cell>
          <cell r="K326" t="e">
            <v>#N/A</v>
          </cell>
          <cell r="L326" t="e">
            <v>#N/A</v>
          </cell>
          <cell r="M326" t="e">
            <v>#N/A</v>
          </cell>
          <cell r="N326" t="e">
            <v>#N/A</v>
          </cell>
          <cell r="O326" t="e">
            <v>#N/A</v>
          </cell>
          <cell r="P326">
            <v>43.74</v>
          </cell>
          <cell r="Q326">
            <v>1.135305</v>
          </cell>
          <cell r="R326" t="e">
            <v>#N/A</v>
          </cell>
        </row>
        <row r="327">
          <cell r="A327">
            <v>39941</v>
          </cell>
          <cell r="B327">
            <v>39941</v>
          </cell>
          <cell r="C327" t="str">
            <v>Past</v>
          </cell>
          <cell r="D327">
            <v>45.86</v>
          </cell>
          <cell r="E327" t="e">
            <v>#N/A</v>
          </cell>
          <cell r="F327" t="e">
            <v>#N/A</v>
          </cell>
          <cell r="G327" t="e">
            <v>#N/A</v>
          </cell>
          <cell r="H327" t="e">
            <v>#N/A</v>
          </cell>
          <cell r="I327" t="e">
            <v>#N/A</v>
          </cell>
          <cell r="J327" t="e">
            <v>#N/A</v>
          </cell>
          <cell r="K327" t="e">
            <v>#N/A</v>
          </cell>
          <cell r="L327" t="e">
            <v>#N/A</v>
          </cell>
          <cell r="M327" t="e">
            <v>#N/A</v>
          </cell>
          <cell r="N327" t="e">
            <v>#N/A</v>
          </cell>
          <cell r="O327" t="e">
            <v>#N/A</v>
          </cell>
          <cell r="P327">
            <v>45.86</v>
          </cell>
          <cell r="Q327">
            <v>1.547604</v>
          </cell>
          <cell r="R327" t="e">
            <v>#N/A</v>
          </cell>
        </row>
        <row r="328">
          <cell r="A328">
            <v>39944</v>
          </cell>
          <cell r="B328">
            <v>39944</v>
          </cell>
          <cell r="C328" t="str">
            <v>Past</v>
          </cell>
          <cell r="D328">
            <v>43.96</v>
          </cell>
          <cell r="E328" t="e">
            <v>#N/A</v>
          </cell>
          <cell r="F328" t="e">
            <v>#N/A</v>
          </cell>
          <cell r="G328" t="e">
            <v>#N/A</v>
          </cell>
          <cell r="H328" t="e">
            <v>#N/A</v>
          </cell>
          <cell r="I328" t="e">
            <v>#N/A</v>
          </cell>
          <cell r="J328" t="e">
            <v>#N/A</v>
          </cell>
          <cell r="K328" t="e">
            <v>#N/A</v>
          </cell>
          <cell r="L328" t="e">
            <v>#N/A</v>
          </cell>
          <cell r="M328" t="e">
            <v>#N/A</v>
          </cell>
          <cell r="N328" t="e">
            <v>#N/A</v>
          </cell>
          <cell r="O328" t="e">
            <v>#N/A</v>
          </cell>
          <cell r="P328">
            <v>43.96</v>
          </cell>
          <cell r="Q328">
            <v>1.5615479999999999</v>
          </cell>
          <cell r="R328" t="e">
            <v>#N/A</v>
          </cell>
        </row>
        <row r="329">
          <cell r="A329">
            <v>39945</v>
          </cell>
          <cell r="B329">
            <v>39945</v>
          </cell>
          <cell r="C329" t="str">
            <v>Past</v>
          </cell>
          <cell r="D329">
            <v>43.68</v>
          </cell>
          <cell r="E329" t="e">
            <v>#N/A</v>
          </cell>
          <cell r="F329" t="e">
            <v>#N/A</v>
          </cell>
          <cell r="G329" t="e">
            <v>#N/A</v>
          </cell>
          <cell r="H329" t="e">
            <v>#N/A</v>
          </cell>
          <cell r="I329" t="e">
            <v>#N/A</v>
          </cell>
          <cell r="J329" t="e">
            <v>#N/A</v>
          </cell>
          <cell r="K329" t="e">
            <v>#N/A</v>
          </cell>
          <cell r="L329" t="e">
            <v>#N/A</v>
          </cell>
          <cell r="M329" t="e">
            <v>#N/A</v>
          </cell>
          <cell r="N329" t="e">
            <v>#N/A</v>
          </cell>
          <cell r="O329" t="e">
            <v>#N/A</v>
          </cell>
          <cell r="P329">
            <v>43.68</v>
          </cell>
          <cell r="Q329">
            <v>1.246891</v>
          </cell>
          <cell r="R329" t="e">
            <v>#N/A</v>
          </cell>
        </row>
        <row r="330">
          <cell r="A330">
            <v>39946</v>
          </cell>
          <cell r="B330">
            <v>39946</v>
          </cell>
          <cell r="C330" t="str">
            <v>Past</v>
          </cell>
          <cell r="D330">
            <v>42.77</v>
          </cell>
          <cell r="E330" t="e">
            <v>#N/A</v>
          </cell>
          <cell r="F330" t="e">
            <v>#N/A</v>
          </cell>
          <cell r="G330" t="e">
            <v>#N/A</v>
          </cell>
          <cell r="H330" t="e">
            <v>#N/A</v>
          </cell>
          <cell r="I330" t="e">
            <v>#N/A</v>
          </cell>
          <cell r="J330" t="e">
            <v>#N/A</v>
          </cell>
          <cell r="K330" t="e">
            <v>#N/A</v>
          </cell>
          <cell r="L330" t="e">
            <v>#N/A</v>
          </cell>
          <cell r="M330" t="e">
            <v>#N/A</v>
          </cell>
          <cell r="N330" t="e">
            <v>#N/A</v>
          </cell>
          <cell r="O330" t="e">
            <v>#N/A</v>
          </cell>
          <cell r="P330">
            <v>42.77</v>
          </cell>
          <cell r="Q330">
            <v>1.3639779999999999</v>
          </cell>
          <cell r="R330" t="e">
            <v>#N/A</v>
          </cell>
        </row>
        <row r="331">
          <cell r="A331">
            <v>39947</v>
          </cell>
          <cell r="B331">
            <v>39947</v>
          </cell>
          <cell r="C331" t="str">
            <v>Past</v>
          </cell>
          <cell r="D331">
            <v>43.17</v>
          </cell>
          <cell r="E331" t="e">
            <v>#N/A</v>
          </cell>
          <cell r="F331" t="e">
            <v>#N/A</v>
          </cell>
          <cell r="G331" t="e">
            <v>#N/A</v>
          </cell>
          <cell r="H331" t="e">
            <v>#N/A</v>
          </cell>
          <cell r="I331" t="e">
            <v>#N/A</v>
          </cell>
          <cell r="J331" t="e">
            <v>#N/A</v>
          </cell>
          <cell r="K331" t="e">
            <v>#N/A</v>
          </cell>
          <cell r="L331" t="e">
            <v>#N/A</v>
          </cell>
          <cell r="M331" t="e">
            <v>#N/A</v>
          </cell>
          <cell r="N331" t="e">
            <v>#N/A</v>
          </cell>
          <cell r="O331" t="e">
            <v>#N/A</v>
          </cell>
          <cell r="P331">
            <v>43.17</v>
          </cell>
          <cell r="Q331">
            <v>1.1019669999999999</v>
          </cell>
          <cell r="R331" t="e">
            <v>#N/A</v>
          </cell>
        </row>
        <row r="332">
          <cell r="A332">
            <v>39948</v>
          </cell>
          <cell r="B332">
            <v>39948</v>
          </cell>
          <cell r="C332" t="str">
            <v>Past</v>
          </cell>
          <cell r="D332">
            <v>43.31</v>
          </cell>
          <cell r="E332" t="e">
            <v>#N/A</v>
          </cell>
          <cell r="F332" t="e">
            <v>#N/A</v>
          </cell>
          <cell r="G332" t="e">
            <v>#N/A</v>
          </cell>
          <cell r="H332" t="e">
            <v>#N/A</v>
          </cell>
          <cell r="I332" t="e">
            <v>#N/A</v>
          </cell>
          <cell r="J332" t="e">
            <v>#N/A</v>
          </cell>
          <cell r="K332" t="e">
            <v>#N/A</v>
          </cell>
          <cell r="L332" t="e">
            <v>#N/A</v>
          </cell>
          <cell r="M332" t="e">
            <v>#N/A</v>
          </cell>
          <cell r="N332" t="e">
            <v>#N/A</v>
          </cell>
          <cell r="O332" t="e">
            <v>#N/A</v>
          </cell>
          <cell r="P332">
            <v>43.31</v>
          </cell>
          <cell r="Q332">
            <v>1.1442189999999999</v>
          </cell>
          <cell r="R332" t="e">
            <v>#N/A</v>
          </cell>
        </row>
        <row r="333">
          <cell r="A333">
            <v>39951</v>
          </cell>
          <cell r="B333">
            <v>39951</v>
          </cell>
          <cell r="C333" t="str">
            <v>Past</v>
          </cell>
          <cell r="D333">
            <v>45.86</v>
          </cell>
          <cell r="E333" t="e">
            <v>#N/A</v>
          </cell>
          <cell r="F333" t="e">
            <v>#N/A</v>
          </cell>
          <cell r="G333" t="e">
            <v>#N/A</v>
          </cell>
          <cell r="H333" t="e">
            <v>#N/A</v>
          </cell>
          <cell r="I333" t="e">
            <v>#N/A</v>
          </cell>
          <cell r="J333" t="e">
            <v>#N/A</v>
          </cell>
          <cell r="K333" t="e">
            <v>#N/A</v>
          </cell>
          <cell r="L333" t="e">
            <v>#N/A</v>
          </cell>
          <cell r="M333" t="e">
            <v>#N/A</v>
          </cell>
          <cell r="N333" t="e">
            <v>#N/A</v>
          </cell>
          <cell r="O333" t="e">
            <v>#N/A</v>
          </cell>
          <cell r="P333">
            <v>45.86</v>
          </cell>
          <cell r="Q333">
            <v>1.829048</v>
          </cell>
          <cell r="R333" t="e">
            <v>#N/A</v>
          </cell>
        </row>
        <row r="334">
          <cell r="A334">
            <v>39952</v>
          </cell>
          <cell r="B334">
            <v>39952</v>
          </cell>
          <cell r="C334" t="str">
            <v>Past</v>
          </cell>
          <cell r="D334">
            <v>45.74</v>
          </cell>
          <cell r="E334" t="e">
            <v>#N/A</v>
          </cell>
          <cell r="F334" t="e">
            <v>#N/A</v>
          </cell>
          <cell r="G334" t="e">
            <v>#N/A</v>
          </cell>
          <cell r="H334" t="e">
            <v>#N/A</v>
          </cell>
          <cell r="I334" t="e">
            <v>#N/A</v>
          </cell>
          <cell r="J334" t="e">
            <v>#N/A</v>
          </cell>
          <cell r="K334" t="e">
            <v>#N/A</v>
          </cell>
          <cell r="L334" t="e">
            <v>#N/A</v>
          </cell>
          <cell r="M334" t="e">
            <v>#N/A</v>
          </cell>
          <cell r="N334" t="e">
            <v>#N/A</v>
          </cell>
          <cell r="O334" t="e">
            <v>#N/A</v>
          </cell>
          <cell r="P334">
            <v>45.74</v>
          </cell>
          <cell r="Q334">
            <v>0.974024</v>
          </cell>
          <cell r="R334" t="e">
            <v>#N/A</v>
          </cell>
        </row>
        <row r="335">
          <cell r="A335">
            <v>39953</v>
          </cell>
          <cell r="B335">
            <v>39953</v>
          </cell>
          <cell r="C335" t="str">
            <v>Past</v>
          </cell>
          <cell r="D335">
            <v>46.51</v>
          </cell>
          <cell r="E335" t="e">
            <v>#N/A</v>
          </cell>
          <cell r="F335" t="e">
            <v>#N/A</v>
          </cell>
          <cell r="G335" t="e">
            <v>#N/A</v>
          </cell>
          <cell r="H335" t="e">
            <v>#N/A</v>
          </cell>
          <cell r="I335" t="e">
            <v>#N/A</v>
          </cell>
          <cell r="J335" t="e">
            <v>#N/A</v>
          </cell>
          <cell r="K335" t="e">
            <v>#N/A</v>
          </cell>
          <cell r="L335" t="e">
            <v>#N/A</v>
          </cell>
          <cell r="M335" t="e">
            <v>#N/A</v>
          </cell>
          <cell r="N335" t="e">
            <v>#N/A</v>
          </cell>
          <cell r="O335" t="e">
            <v>#N/A</v>
          </cell>
          <cell r="P335">
            <v>46.51</v>
          </cell>
          <cell r="Q335">
            <v>1.6043209999999999</v>
          </cell>
          <cell r="R335" t="e">
            <v>#N/A</v>
          </cell>
        </row>
        <row r="336">
          <cell r="A336">
            <v>39954</v>
          </cell>
          <cell r="B336">
            <v>39954</v>
          </cell>
          <cell r="C336" t="str">
            <v>Past</v>
          </cell>
          <cell r="D336">
            <v>44.75</v>
          </cell>
          <cell r="E336" t="e">
            <v>#N/A</v>
          </cell>
          <cell r="F336" t="e">
            <v>#N/A</v>
          </cell>
          <cell r="G336" t="e">
            <v>#N/A</v>
          </cell>
          <cell r="H336" t="e">
            <v>#N/A</v>
          </cell>
          <cell r="I336" t="e">
            <v>#N/A</v>
          </cell>
          <cell r="J336" t="e">
            <v>#N/A</v>
          </cell>
          <cell r="K336" t="e">
            <v>#N/A</v>
          </cell>
          <cell r="L336" t="e">
            <v>#N/A</v>
          </cell>
          <cell r="M336" t="e">
            <v>#N/A</v>
          </cell>
          <cell r="N336" t="e">
            <v>#N/A</v>
          </cell>
          <cell r="O336" t="e">
            <v>#N/A</v>
          </cell>
          <cell r="P336">
            <v>44.75</v>
          </cell>
          <cell r="Q336">
            <v>1.0782100000000001</v>
          </cell>
          <cell r="R336" t="e">
            <v>#N/A</v>
          </cell>
        </row>
        <row r="337">
          <cell r="A337">
            <v>39955</v>
          </cell>
          <cell r="B337">
            <v>39955</v>
          </cell>
          <cell r="C337" t="str">
            <v>Past</v>
          </cell>
          <cell r="D337">
            <v>44.73</v>
          </cell>
          <cell r="E337" t="e">
            <v>#N/A</v>
          </cell>
          <cell r="F337" t="e">
            <v>#N/A</v>
          </cell>
          <cell r="G337" t="e">
            <v>#N/A</v>
          </cell>
          <cell r="H337" t="e">
            <v>#N/A</v>
          </cell>
          <cell r="I337" t="e">
            <v>#N/A</v>
          </cell>
          <cell r="J337" t="e">
            <v>#N/A</v>
          </cell>
          <cell r="K337" t="e">
            <v>#N/A</v>
          </cell>
          <cell r="L337" t="e">
            <v>#N/A</v>
          </cell>
          <cell r="M337" t="e">
            <v>#N/A</v>
          </cell>
          <cell r="N337" t="e">
            <v>#N/A</v>
          </cell>
          <cell r="O337" t="e">
            <v>#N/A</v>
          </cell>
          <cell r="P337">
            <v>44.73</v>
          </cell>
          <cell r="Q337">
            <v>0.77779799999999999</v>
          </cell>
          <cell r="R337" t="e">
            <v>#N/A</v>
          </cell>
        </row>
        <row r="338">
          <cell r="A338">
            <v>39959</v>
          </cell>
          <cell r="B338">
            <v>39959</v>
          </cell>
          <cell r="C338" t="str">
            <v>Past</v>
          </cell>
          <cell r="D338">
            <v>46.04</v>
          </cell>
          <cell r="E338" t="e">
            <v>#N/A</v>
          </cell>
          <cell r="F338" t="e">
            <v>#N/A</v>
          </cell>
          <cell r="G338" t="e">
            <v>#N/A</v>
          </cell>
          <cell r="H338" t="e">
            <v>#N/A</v>
          </cell>
          <cell r="I338" t="e">
            <v>#N/A</v>
          </cell>
          <cell r="J338" t="e">
            <v>#N/A</v>
          </cell>
          <cell r="K338" t="e">
            <v>#N/A</v>
          </cell>
          <cell r="L338" t="e">
            <v>#N/A</v>
          </cell>
          <cell r="M338" t="e">
            <v>#N/A</v>
          </cell>
          <cell r="N338" t="e">
            <v>#N/A</v>
          </cell>
          <cell r="O338" t="e">
            <v>#N/A</v>
          </cell>
          <cell r="P338">
            <v>46.04</v>
          </cell>
          <cell r="Q338">
            <v>1.0172509999999999</v>
          </cell>
          <cell r="R338" t="e">
            <v>#N/A</v>
          </cell>
        </row>
        <row r="339">
          <cell r="A339">
            <v>39960</v>
          </cell>
          <cell r="B339">
            <v>39960</v>
          </cell>
          <cell r="C339" t="str">
            <v>Past</v>
          </cell>
          <cell r="D339">
            <v>46.7</v>
          </cell>
          <cell r="E339" t="e">
            <v>#N/A</v>
          </cell>
          <cell r="F339" t="e">
            <v>#N/A</v>
          </cell>
          <cell r="G339" t="e">
            <v>#N/A</v>
          </cell>
          <cell r="H339" t="e">
            <v>#N/A</v>
          </cell>
          <cell r="I339" t="e">
            <v>#N/A</v>
          </cell>
          <cell r="J339" t="e">
            <v>#N/A</v>
          </cell>
          <cell r="K339" t="e">
            <v>#N/A</v>
          </cell>
          <cell r="L339" t="e">
            <v>#N/A</v>
          </cell>
          <cell r="M339" t="e">
            <v>#N/A</v>
          </cell>
          <cell r="N339" t="e">
            <v>#N/A</v>
          </cell>
          <cell r="O339" t="e">
            <v>#N/A</v>
          </cell>
          <cell r="P339">
            <v>46.7</v>
          </cell>
          <cell r="Q339">
            <v>2.0086490000000001</v>
          </cell>
          <cell r="R339" t="e">
            <v>#N/A</v>
          </cell>
        </row>
        <row r="340">
          <cell r="A340">
            <v>39961</v>
          </cell>
          <cell r="B340">
            <v>39961</v>
          </cell>
          <cell r="C340" t="str">
            <v>Past</v>
          </cell>
          <cell r="D340">
            <v>47.88</v>
          </cell>
          <cell r="E340" t="e">
            <v>#N/A</v>
          </cell>
          <cell r="F340" t="e">
            <v>#N/A</v>
          </cell>
          <cell r="G340" t="e">
            <v>#N/A</v>
          </cell>
          <cell r="H340" t="e">
            <v>#N/A</v>
          </cell>
          <cell r="I340" t="e">
            <v>#N/A</v>
          </cell>
          <cell r="J340" t="e">
            <v>#N/A</v>
          </cell>
          <cell r="K340" t="e">
            <v>#N/A</v>
          </cell>
          <cell r="L340" t="e">
            <v>#N/A</v>
          </cell>
          <cell r="M340" t="e">
            <v>#N/A</v>
          </cell>
          <cell r="N340" t="e">
            <v>#N/A</v>
          </cell>
          <cell r="O340" t="e">
            <v>#N/A</v>
          </cell>
          <cell r="P340">
            <v>47.88</v>
          </cell>
          <cell r="Q340">
            <v>1.809018</v>
          </cell>
          <cell r="R340" t="e">
            <v>#N/A</v>
          </cell>
        </row>
        <row r="341">
          <cell r="A341">
            <v>39962</v>
          </cell>
          <cell r="B341">
            <v>39962</v>
          </cell>
          <cell r="C341" t="str">
            <v>Past</v>
          </cell>
          <cell r="D341">
            <v>48.54</v>
          </cell>
          <cell r="E341" t="e">
            <v>#N/A</v>
          </cell>
          <cell r="F341" t="e">
            <v>#N/A</v>
          </cell>
          <cell r="G341" t="e">
            <v>#N/A</v>
          </cell>
          <cell r="H341" t="e">
            <v>#N/A</v>
          </cell>
          <cell r="I341" t="e">
            <v>#N/A</v>
          </cell>
          <cell r="J341" t="e">
            <v>#N/A</v>
          </cell>
          <cell r="K341" t="e">
            <v>#N/A</v>
          </cell>
          <cell r="L341" t="e">
            <v>#N/A</v>
          </cell>
          <cell r="M341" t="e">
            <v>#N/A</v>
          </cell>
          <cell r="N341" t="e">
            <v>#N/A</v>
          </cell>
          <cell r="O341" t="e">
            <v>#N/A</v>
          </cell>
          <cell r="P341">
            <v>48.54</v>
          </cell>
          <cell r="Q341">
            <v>1.736586</v>
          </cell>
          <cell r="R341" t="e">
            <v>#N/A</v>
          </cell>
        </row>
        <row r="342">
          <cell r="A342">
            <v>39965</v>
          </cell>
          <cell r="B342">
            <v>39965</v>
          </cell>
          <cell r="C342" t="str">
            <v>Past</v>
          </cell>
          <cell r="D342">
            <v>51.69</v>
          </cell>
          <cell r="E342" t="e">
            <v>#N/A</v>
          </cell>
          <cell r="F342" t="e">
            <v>#N/A</v>
          </cell>
          <cell r="G342" t="e">
            <v>#N/A</v>
          </cell>
          <cell r="H342" t="e">
            <v>#N/A</v>
          </cell>
          <cell r="I342" t="e">
            <v>#N/A</v>
          </cell>
          <cell r="J342" t="e">
            <v>#N/A</v>
          </cell>
          <cell r="K342" t="e">
            <v>#N/A</v>
          </cell>
          <cell r="L342" t="e">
            <v>#N/A</v>
          </cell>
          <cell r="M342" t="e">
            <v>#N/A</v>
          </cell>
          <cell r="N342" t="e">
            <v>#N/A</v>
          </cell>
          <cell r="O342" t="e">
            <v>#N/A</v>
          </cell>
          <cell r="P342">
            <v>51.69</v>
          </cell>
          <cell r="Q342">
            <v>2.1773289999999998</v>
          </cell>
          <cell r="R342" t="e">
            <v>#N/A</v>
          </cell>
        </row>
        <row r="343">
          <cell r="A343">
            <v>39966</v>
          </cell>
          <cell r="B343">
            <v>39966</v>
          </cell>
          <cell r="C343" t="str">
            <v>Past</v>
          </cell>
          <cell r="D343">
            <v>52.18</v>
          </cell>
          <cell r="E343" t="e">
            <v>#N/A</v>
          </cell>
          <cell r="F343" t="e">
            <v>#N/A</v>
          </cell>
          <cell r="G343" t="e">
            <v>#N/A</v>
          </cell>
          <cell r="H343" t="e">
            <v>#N/A</v>
          </cell>
          <cell r="I343" t="e">
            <v>#N/A</v>
          </cell>
          <cell r="J343" t="e">
            <v>#N/A</v>
          </cell>
          <cell r="K343" t="e">
            <v>#N/A</v>
          </cell>
          <cell r="L343" t="e">
            <v>#N/A</v>
          </cell>
          <cell r="M343" t="e">
            <v>#N/A</v>
          </cell>
          <cell r="N343" t="e">
            <v>#N/A</v>
          </cell>
          <cell r="O343" t="e">
            <v>#N/A</v>
          </cell>
          <cell r="P343">
            <v>52.18</v>
          </cell>
          <cell r="Q343">
            <v>1.382147</v>
          </cell>
          <cell r="R343" t="e">
            <v>#N/A</v>
          </cell>
        </row>
        <row r="344">
          <cell r="A344">
            <v>39967</v>
          </cell>
          <cell r="B344">
            <v>39967</v>
          </cell>
          <cell r="C344" t="str">
            <v>Past</v>
          </cell>
          <cell r="D344">
            <v>52.09</v>
          </cell>
          <cell r="E344" t="e">
            <v>#N/A</v>
          </cell>
          <cell r="F344" t="e">
            <v>#N/A</v>
          </cell>
          <cell r="G344" t="e">
            <v>#N/A</v>
          </cell>
          <cell r="H344" t="e">
            <v>#N/A</v>
          </cell>
          <cell r="I344" t="e">
            <v>#N/A</v>
          </cell>
          <cell r="J344" t="e">
            <v>#N/A</v>
          </cell>
          <cell r="K344" t="e">
            <v>#N/A</v>
          </cell>
          <cell r="L344" t="e">
            <v>#N/A</v>
          </cell>
          <cell r="M344" t="e">
            <v>#N/A</v>
          </cell>
          <cell r="N344" t="e">
            <v>#N/A</v>
          </cell>
          <cell r="O344" t="e">
            <v>#N/A</v>
          </cell>
          <cell r="P344">
            <v>52.09</v>
          </cell>
          <cell r="Q344">
            <v>1.55742</v>
          </cell>
          <cell r="R344" t="e">
            <v>#N/A</v>
          </cell>
        </row>
        <row r="345">
          <cell r="A345">
            <v>39968</v>
          </cell>
          <cell r="B345">
            <v>39968</v>
          </cell>
          <cell r="C345" t="str">
            <v>Past</v>
          </cell>
          <cell r="D345">
            <v>53.32</v>
          </cell>
          <cell r="E345" t="e">
            <v>#N/A</v>
          </cell>
          <cell r="F345" t="e">
            <v>#N/A</v>
          </cell>
          <cell r="G345" t="e">
            <v>#N/A</v>
          </cell>
          <cell r="H345" t="e">
            <v>#N/A</v>
          </cell>
          <cell r="I345" t="e">
            <v>#N/A</v>
          </cell>
          <cell r="J345" t="e">
            <v>#N/A</v>
          </cell>
          <cell r="K345" t="e">
            <v>#N/A</v>
          </cell>
          <cell r="L345" t="e">
            <v>#N/A</v>
          </cell>
          <cell r="M345" t="e">
            <v>#N/A</v>
          </cell>
          <cell r="N345" t="e">
            <v>#N/A</v>
          </cell>
          <cell r="O345" t="e">
            <v>#N/A</v>
          </cell>
          <cell r="P345">
            <v>53.32</v>
          </cell>
          <cell r="Q345">
            <v>1.0994619999999999</v>
          </cell>
          <cell r="R345" t="e">
            <v>#N/A</v>
          </cell>
        </row>
        <row r="346">
          <cell r="A346">
            <v>39969</v>
          </cell>
          <cell r="B346">
            <v>39969</v>
          </cell>
          <cell r="C346" t="str">
            <v>Past</v>
          </cell>
          <cell r="D346">
            <v>54.74</v>
          </cell>
          <cell r="E346" t="e">
            <v>#N/A</v>
          </cell>
          <cell r="F346" t="e">
            <v>#N/A</v>
          </cell>
          <cell r="G346" t="e">
            <v>#N/A</v>
          </cell>
          <cell r="H346" t="e">
            <v>#N/A</v>
          </cell>
          <cell r="I346" t="e">
            <v>#N/A</v>
          </cell>
          <cell r="J346" t="e">
            <v>#N/A</v>
          </cell>
          <cell r="K346" t="e">
            <v>#N/A</v>
          </cell>
          <cell r="L346" t="e">
            <v>#N/A</v>
          </cell>
          <cell r="M346" t="e">
            <v>#N/A</v>
          </cell>
          <cell r="N346" t="e">
            <v>#N/A</v>
          </cell>
          <cell r="O346" t="e">
            <v>#N/A</v>
          </cell>
          <cell r="P346">
            <v>54.74</v>
          </cell>
          <cell r="Q346">
            <v>1.789355</v>
          </cell>
          <cell r="R346" t="e">
            <v>#N/A</v>
          </cell>
        </row>
        <row r="347">
          <cell r="A347">
            <v>39972</v>
          </cell>
          <cell r="B347">
            <v>39972</v>
          </cell>
          <cell r="C347" t="str">
            <v>Past</v>
          </cell>
          <cell r="D347">
            <v>54.04</v>
          </cell>
          <cell r="E347" t="e">
            <v>#N/A</v>
          </cell>
          <cell r="F347" t="e">
            <v>#N/A</v>
          </cell>
          <cell r="G347" t="e">
            <v>#N/A</v>
          </cell>
          <cell r="H347" t="e">
            <v>#N/A</v>
          </cell>
          <cell r="I347" t="e">
            <v>#N/A</v>
          </cell>
          <cell r="J347" t="e">
            <v>#N/A</v>
          </cell>
          <cell r="K347" t="e">
            <v>#N/A</v>
          </cell>
          <cell r="L347" t="e">
            <v>#N/A</v>
          </cell>
          <cell r="M347" t="e">
            <v>#N/A</v>
          </cell>
          <cell r="N347" t="e">
            <v>#N/A</v>
          </cell>
          <cell r="O347" t="e">
            <v>#N/A</v>
          </cell>
          <cell r="P347">
            <v>54.04</v>
          </cell>
          <cell r="Q347">
            <v>1.1108089999999999</v>
          </cell>
          <cell r="R347" t="e">
            <v>#N/A</v>
          </cell>
        </row>
        <row r="348">
          <cell r="A348">
            <v>39973</v>
          </cell>
          <cell r="B348">
            <v>39973</v>
          </cell>
          <cell r="C348" t="str">
            <v>Past</v>
          </cell>
          <cell r="D348">
            <v>53.33</v>
          </cell>
          <cell r="E348" t="e">
            <v>#N/A</v>
          </cell>
          <cell r="F348" t="e">
            <v>#N/A</v>
          </cell>
          <cell r="G348" t="e">
            <v>#N/A</v>
          </cell>
          <cell r="H348" t="e">
            <v>#N/A</v>
          </cell>
          <cell r="I348" t="e">
            <v>#N/A</v>
          </cell>
          <cell r="J348" t="e">
            <v>#N/A</v>
          </cell>
          <cell r="K348" t="e">
            <v>#N/A</v>
          </cell>
          <cell r="L348" t="e">
            <v>#N/A</v>
          </cell>
          <cell r="M348" t="e">
            <v>#N/A</v>
          </cell>
          <cell r="N348" t="e">
            <v>#N/A</v>
          </cell>
          <cell r="O348" t="e">
            <v>#N/A</v>
          </cell>
          <cell r="P348">
            <v>53.33</v>
          </cell>
          <cell r="Q348">
            <v>1.3106900000000001</v>
          </cell>
          <cell r="R348" t="e">
            <v>#N/A</v>
          </cell>
        </row>
        <row r="349">
          <cell r="A349">
            <v>39974</v>
          </cell>
          <cell r="B349">
            <v>39974</v>
          </cell>
          <cell r="C349" t="str">
            <v>Past</v>
          </cell>
          <cell r="D349">
            <v>53.25</v>
          </cell>
          <cell r="E349" t="e">
            <v>#N/A</v>
          </cell>
          <cell r="F349" t="e">
            <v>#N/A</v>
          </cell>
          <cell r="G349" t="e">
            <v>#N/A</v>
          </cell>
          <cell r="H349" t="e">
            <v>#N/A</v>
          </cell>
          <cell r="I349" t="e">
            <v>#N/A</v>
          </cell>
          <cell r="J349" t="e">
            <v>#N/A</v>
          </cell>
          <cell r="K349" t="e">
            <v>#N/A</v>
          </cell>
          <cell r="L349" t="e">
            <v>#N/A</v>
          </cell>
          <cell r="M349" t="e">
            <v>#N/A</v>
          </cell>
          <cell r="N349" t="e">
            <v>#N/A</v>
          </cell>
          <cell r="O349" t="e">
            <v>#N/A</v>
          </cell>
          <cell r="P349">
            <v>53.25</v>
          </cell>
          <cell r="Q349">
            <v>1.201668</v>
          </cell>
          <cell r="R349" t="e">
            <v>#N/A</v>
          </cell>
        </row>
        <row r="350">
          <cell r="A350">
            <v>39975</v>
          </cell>
          <cell r="B350">
            <v>39975</v>
          </cell>
          <cell r="C350" t="str">
            <v>Past</v>
          </cell>
          <cell r="D350">
            <v>51.72</v>
          </cell>
          <cell r="E350" t="e">
            <v>#N/A</v>
          </cell>
          <cell r="F350" t="e">
            <v>#N/A</v>
          </cell>
          <cell r="G350" t="e">
            <v>#N/A</v>
          </cell>
          <cell r="H350" t="e">
            <v>#N/A</v>
          </cell>
          <cell r="I350" t="e">
            <v>#N/A</v>
          </cell>
          <cell r="J350" t="e">
            <v>#N/A</v>
          </cell>
          <cell r="K350" t="e">
            <v>#N/A</v>
          </cell>
          <cell r="L350" t="e">
            <v>#N/A</v>
          </cell>
          <cell r="M350" t="e">
            <v>#N/A</v>
          </cell>
          <cell r="N350" t="e">
            <v>#N/A</v>
          </cell>
          <cell r="O350" t="e">
            <v>#N/A</v>
          </cell>
          <cell r="P350">
            <v>51.72</v>
          </cell>
          <cell r="Q350">
            <v>2.3399700000000001</v>
          </cell>
          <cell r="R350" t="e">
            <v>#N/A</v>
          </cell>
        </row>
        <row r="351">
          <cell r="A351">
            <v>39976</v>
          </cell>
          <cell r="B351">
            <v>39976</v>
          </cell>
          <cell r="C351" t="str">
            <v>Past</v>
          </cell>
          <cell r="D351">
            <v>53.36</v>
          </cell>
          <cell r="E351" t="e">
            <v>#N/A</v>
          </cell>
          <cell r="F351" t="e">
            <v>#N/A</v>
          </cell>
          <cell r="G351" t="e">
            <v>#N/A</v>
          </cell>
          <cell r="H351" t="e">
            <v>#N/A</v>
          </cell>
          <cell r="I351" t="e">
            <v>#N/A</v>
          </cell>
          <cell r="J351" t="e">
            <v>#N/A</v>
          </cell>
          <cell r="K351" t="e">
            <v>#N/A</v>
          </cell>
          <cell r="L351" t="e">
            <v>#N/A</v>
          </cell>
          <cell r="M351" t="e">
            <v>#N/A</v>
          </cell>
          <cell r="N351" t="e">
            <v>#N/A</v>
          </cell>
          <cell r="O351" t="e">
            <v>#N/A</v>
          </cell>
          <cell r="P351">
            <v>53.36</v>
          </cell>
          <cell r="Q351">
            <v>1.4403249999999999</v>
          </cell>
          <cell r="R351" t="e">
            <v>#N/A</v>
          </cell>
        </row>
        <row r="352">
          <cell r="A352">
            <v>39979</v>
          </cell>
          <cell r="B352">
            <v>39979</v>
          </cell>
          <cell r="C352" t="str">
            <v>Past</v>
          </cell>
          <cell r="D352">
            <v>50.94</v>
          </cell>
          <cell r="E352" t="e">
            <v>#N/A</v>
          </cell>
          <cell r="F352" t="e">
            <v>#N/A</v>
          </cell>
          <cell r="G352" t="e">
            <v>#N/A</v>
          </cell>
          <cell r="H352" t="e">
            <v>#N/A</v>
          </cell>
          <cell r="I352" t="e">
            <v>#N/A</v>
          </cell>
          <cell r="J352" t="e">
            <v>#N/A</v>
          </cell>
          <cell r="K352" t="e">
            <v>#N/A</v>
          </cell>
          <cell r="L352" t="e">
            <v>#N/A</v>
          </cell>
          <cell r="M352" t="e">
            <v>#N/A</v>
          </cell>
          <cell r="N352" t="e">
            <v>#N/A</v>
          </cell>
          <cell r="O352" t="e">
            <v>#N/A</v>
          </cell>
          <cell r="P352">
            <v>50.94</v>
          </cell>
          <cell r="Q352">
            <v>1.388917</v>
          </cell>
          <cell r="R352" t="e">
            <v>#N/A</v>
          </cell>
        </row>
        <row r="353">
          <cell r="A353">
            <v>39980</v>
          </cell>
          <cell r="B353">
            <v>39980</v>
          </cell>
          <cell r="C353" t="str">
            <v>Past</v>
          </cell>
          <cell r="D353">
            <v>49.87</v>
          </cell>
          <cell r="E353" t="e">
            <v>#N/A</v>
          </cell>
          <cell r="F353" t="e">
            <v>#N/A</v>
          </cell>
          <cell r="G353" t="e">
            <v>#N/A</v>
          </cell>
          <cell r="H353" t="e">
            <v>#N/A</v>
          </cell>
          <cell r="I353" t="e">
            <v>#N/A</v>
          </cell>
          <cell r="J353" t="e">
            <v>#N/A</v>
          </cell>
          <cell r="K353" t="e">
            <v>#N/A</v>
          </cell>
          <cell r="L353" t="e">
            <v>#N/A</v>
          </cell>
          <cell r="M353" t="e">
            <v>#N/A</v>
          </cell>
          <cell r="N353" t="e">
            <v>#N/A</v>
          </cell>
          <cell r="O353" t="e">
            <v>#N/A</v>
          </cell>
          <cell r="P353">
            <v>49.87</v>
          </cell>
          <cell r="Q353">
            <v>1.504839</v>
          </cell>
          <cell r="R353" t="e">
            <v>#N/A</v>
          </cell>
        </row>
        <row r="354">
          <cell r="A354">
            <v>39981</v>
          </cell>
          <cell r="B354">
            <v>39981</v>
          </cell>
          <cell r="C354" t="str">
            <v>Past</v>
          </cell>
          <cell r="D354">
            <v>50.49</v>
          </cell>
          <cell r="E354" t="e">
            <v>#N/A</v>
          </cell>
          <cell r="F354" t="e">
            <v>#N/A</v>
          </cell>
          <cell r="G354" t="e">
            <v>#N/A</v>
          </cell>
          <cell r="H354" t="e">
            <v>#N/A</v>
          </cell>
          <cell r="I354" t="e">
            <v>#N/A</v>
          </cell>
          <cell r="J354" t="e">
            <v>#N/A</v>
          </cell>
          <cell r="K354" t="e">
            <v>#N/A</v>
          </cell>
          <cell r="L354" t="e">
            <v>#N/A</v>
          </cell>
          <cell r="M354" t="e">
            <v>#N/A</v>
          </cell>
          <cell r="N354" t="e">
            <v>#N/A</v>
          </cell>
          <cell r="O354" t="e">
            <v>#N/A</v>
          </cell>
          <cell r="P354">
            <v>50.49</v>
          </cell>
          <cell r="Q354">
            <v>1.356781</v>
          </cell>
          <cell r="R354" t="e">
            <v>#N/A</v>
          </cell>
        </row>
        <row r="355">
          <cell r="A355">
            <v>39982</v>
          </cell>
          <cell r="B355">
            <v>39982</v>
          </cell>
          <cell r="C355" t="str">
            <v>Past</v>
          </cell>
          <cell r="D355">
            <v>51.14</v>
          </cell>
          <cell r="E355" t="e">
            <v>#N/A</v>
          </cell>
          <cell r="F355" t="e">
            <v>#N/A</v>
          </cell>
          <cell r="G355" t="e">
            <v>#N/A</v>
          </cell>
          <cell r="H355" t="e">
            <v>#N/A</v>
          </cell>
          <cell r="I355" t="e">
            <v>#N/A</v>
          </cell>
          <cell r="J355" t="e">
            <v>#N/A</v>
          </cell>
          <cell r="K355" t="e">
            <v>#N/A</v>
          </cell>
          <cell r="L355" t="e">
            <v>#N/A</v>
          </cell>
          <cell r="M355" t="e">
            <v>#N/A</v>
          </cell>
          <cell r="N355" t="e">
            <v>#N/A</v>
          </cell>
          <cell r="O355" t="e">
            <v>#N/A</v>
          </cell>
          <cell r="P355">
            <v>51.14</v>
          </cell>
          <cell r="Q355">
            <v>1.0622659999999999</v>
          </cell>
          <cell r="R355" t="e">
            <v>#N/A</v>
          </cell>
        </row>
        <row r="356">
          <cell r="A356">
            <v>39983</v>
          </cell>
          <cell r="B356">
            <v>39983</v>
          </cell>
          <cell r="C356" t="str">
            <v>Past</v>
          </cell>
          <cell r="D356">
            <v>51.62</v>
          </cell>
          <cell r="E356" t="e">
            <v>#N/A</v>
          </cell>
          <cell r="F356" t="e">
            <v>#N/A</v>
          </cell>
          <cell r="G356" t="e">
            <v>#N/A</v>
          </cell>
          <cell r="H356" t="e">
            <v>#N/A</v>
          </cell>
          <cell r="I356" t="e">
            <v>#N/A</v>
          </cell>
          <cell r="J356" t="e">
            <v>#N/A</v>
          </cell>
          <cell r="K356" t="e">
            <v>#N/A</v>
          </cell>
          <cell r="L356" t="e">
            <v>#N/A</v>
          </cell>
          <cell r="M356" t="e">
            <v>#N/A</v>
          </cell>
          <cell r="N356" t="e">
            <v>#N/A</v>
          </cell>
          <cell r="O356" t="e">
            <v>#N/A</v>
          </cell>
          <cell r="P356">
            <v>51.62</v>
          </cell>
          <cell r="Q356">
            <v>1.2555319999999999</v>
          </cell>
          <cell r="R356" t="e">
            <v>#N/A</v>
          </cell>
        </row>
        <row r="357">
          <cell r="A357">
            <v>39986</v>
          </cell>
          <cell r="B357">
            <v>39986</v>
          </cell>
          <cell r="C357" t="str">
            <v>Past</v>
          </cell>
          <cell r="D357">
            <v>49.43</v>
          </cell>
          <cell r="E357" t="e">
            <v>#N/A</v>
          </cell>
          <cell r="F357" t="e">
            <v>#N/A</v>
          </cell>
          <cell r="G357" t="e">
            <v>#N/A</v>
          </cell>
          <cell r="H357" t="e">
            <v>#N/A</v>
          </cell>
          <cell r="I357" t="e">
            <v>#N/A</v>
          </cell>
          <cell r="J357" t="e">
            <v>#N/A</v>
          </cell>
          <cell r="K357" t="e">
            <v>#N/A</v>
          </cell>
          <cell r="L357" t="e">
            <v>#N/A</v>
          </cell>
          <cell r="M357" t="e">
            <v>#N/A</v>
          </cell>
          <cell r="N357" t="e">
            <v>#N/A</v>
          </cell>
          <cell r="O357" t="e">
            <v>#N/A</v>
          </cell>
          <cell r="P357">
            <v>49.43</v>
          </cell>
          <cell r="Q357">
            <v>1.0920209999999999</v>
          </cell>
          <cell r="R357" t="e">
            <v>#N/A</v>
          </cell>
        </row>
        <row r="358">
          <cell r="A358">
            <v>39987</v>
          </cell>
          <cell r="B358">
            <v>39987</v>
          </cell>
          <cell r="C358" t="str">
            <v>Past</v>
          </cell>
          <cell r="D358">
            <v>49.07</v>
          </cell>
          <cell r="E358" t="e">
            <v>#N/A</v>
          </cell>
          <cell r="F358" t="e">
            <v>#N/A</v>
          </cell>
          <cell r="G358" t="e">
            <v>#N/A</v>
          </cell>
          <cell r="H358" t="e">
            <v>#N/A</v>
          </cell>
          <cell r="I358" t="e">
            <v>#N/A</v>
          </cell>
          <cell r="J358" t="e">
            <v>#N/A</v>
          </cell>
          <cell r="K358" t="e">
            <v>#N/A</v>
          </cell>
          <cell r="L358" t="e">
            <v>#N/A</v>
          </cell>
          <cell r="M358" t="e">
            <v>#N/A</v>
          </cell>
          <cell r="N358" t="e">
            <v>#N/A</v>
          </cell>
          <cell r="O358" t="e">
            <v>#N/A</v>
          </cell>
          <cell r="P358">
            <v>49.07</v>
          </cell>
          <cell r="Q358">
            <v>1.895859</v>
          </cell>
          <cell r="R358" t="e">
            <v>#N/A</v>
          </cell>
        </row>
        <row r="359">
          <cell r="A359">
            <v>39988</v>
          </cell>
          <cell r="B359">
            <v>39988</v>
          </cell>
          <cell r="C359" t="str">
            <v>Past</v>
          </cell>
          <cell r="D359">
            <v>49.44</v>
          </cell>
          <cell r="E359" t="e">
            <v>#N/A</v>
          </cell>
          <cell r="F359" t="e">
            <v>#N/A</v>
          </cell>
          <cell r="G359" t="e">
            <v>#N/A</v>
          </cell>
          <cell r="H359" t="e">
            <v>#N/A</v>
          </cell>
          <cell r="I359" t="e">
            <v>#N/A</v>
          </cell>
          <cell r="J359" t="e">
            <v>#N/A</v>
          </cell>
          <cell r="K359" t="e">
            <v>#N/A</v>
          </cell>
          <cell r="L359" t="e">
            <v>#N/A</v>
          </cell>
          <cell r="M359" t="e">
            <v>#N/A</v>
          </cell>
          <cell r="N359" t="e">
            <v>#N/A</v>
          </cell>
          <cell r="O359" t="e">
            <v>#N/A</v>
          </cell>
          <cell r="P359">
            <v>49.44</v>
          </cell>
          <cell r="Q359">
            <v>1.887303</v>
          </cell>
          <cell r="R359" t="e">
            <v>#N/A</v>
          </cell>
        </row>
        <row r="360">
          <cell r="A360">
            <v>39989</v>
          </cell>
          <cell r="B360">
            <v>39989</v>
          </cell>
          <cell r="C360" t="str">
            <v>Past</v>
          </cell>
          <cell r="D360">
            <v>50.9</v>
          </cell>
          <cell r="E360" t="e">
            <v>#N/A</v>
          </cell>
          <cell r="F360" t="e">
            <v>#N/A</v>
          </cell>
          <cell r="G360" t="e">
            <v>#N/A</v>
          </cell>
          <cell r="H360" t="e">
            <v>#N/A</v>
          </cell>
          <cell r="I360" t="e">
            <v>#N/A</v>
          </cell>
          <cell r="J360" t="e">
            <v>#N/A</v>
          </cell>
          <cell r="K360" t="e">
            <v>#N/A</v>
          </cell>
          <cell r="L360" t="e">
            <v>#N/A</v>
          </cell>
          <cell r="M360" t="e">
            <v>#N/A</v>
          </cell>
          <cell r="N360" t="e">
            <v>#N/A</v>
          </cell>
          <cell r="O360" t="e">
            <v>#N/A</v>
          </cell>
          <cell r="P360">
            <v>50.9</v>
          </cell>
          <cell r="Q360">
            <v>1.0261</v>
          </cell>
          <cell r="R360" t="e">
            <v>#N/A</v>
          </cell>
        </row>
        <row r="361">
          <cell r="A361">
            <v>39990</v>
          </cell>
          <cell r="B361">
            <v>39990</v>
          </cell>
          <cell r="C361" t="str">
            <v>Past</v>
          </cell>
          <cell r="D361">
            <v>49.96</v>
          </cell>
          <cell r="E361" t="e">
            <v>#N/A</v>
          </cell>
          <cell r="F361" t="e">
            <v>#N/A</v>
          </cell>
          <cell r="G361" t="e">
            <v>#N/A</v>
          </cell>
          <cell r="H361" t="e">
            <v>#N/A</v>
          </cell>
          <cell r="I361" t="e">
            <v>#N/A</v>
          </cell>
          <cell r="J361" t="e">
            <v>#N/A</v>
          </cell>
          <cell r="K361" t="e">
            <v>#N/A</v>
          </cell>
          <cell r="L361" t="e">
            <v>#N/A</v>
          </cell>
          <cell r="M361" t="e">
            <v>#N/A</v>
          </cell>
          <cell r="N361" t="e">
            <v>#N/A</v>
          </cell>
          <cell r="O361" t="e">
            <v>#N/A</v>
          </cell>
          <cell r="P361">
            <v>49.96</v>
          </cell>
          <cell r="Q361">
            <v>1.2752000000000001</v>
          </cell>
          <cell r="R361" t="e">
            <v>#N/A</v>
          </cell>
        </row>
        <row r="362">
          <cell r="A362">
            <v>39993</v>
          </cell>
          <cell r="B362">
            <v>39993</v>
          </cell>
          <cell r="C362" t="str">
            <v>Past</v>
          </cell>
          <cell r="D362">
            <v>50.97</v>
          </cell>
          <cell r="E362" t="e">
            <v>#N/A</v>
          </cell>
          <cell r="F362" t="e">
            <v>#N/A</v>
          </cell>
          <cell r="G362" t="e">
            <v>#N/A</v>
          </cell>
          <cell r="H362" t="e">
            <v>#N/A</v>
          </cell>
          <cell r="I362" t="e">
            <v>#N/A</v>
          </cell>
          <cell r="J362" t="e">
            <v>#N/A</v>
          </cell>
          <cell r="K362" t="e">
            <v>#N/A</v>
          </cell>
          <cell r="L362" t="e">
            <v>#N/A</v>
          </cell>
          <cell r="M362" t="e">
            <v>#N/A</v>
          </cell>
          <cell r="N362" t="e">
            <v>#N/A</v>
          </cell>
          <cell r="O362" t="e">
            <v>#N/A</v>
          </cell>
          <cell r="P362">
            <v>50.97</v>
          </cell>
          <cell r="Q362">
            <v>1.1083000000000001</v>
          </cell>
          <cell r="R362" t="e">
            <v>#N/A</v>
          </cell>
        </row>
        <row r="363">
          <cell r="A363">
            <v>39994</v>
          </cell>
          <cell r="B363">
            <v>39994</v>
          </cell>
          <cell r="C363" t="str">
            <v>Past</v>
          </cell>
          <cell r="D363">
            <v>49.97</v>
          </cell>
          <cell r="E363" t="e">
            <v>#N/A</v>
          </cell>
          <cell r="F363" t="e">
            <v>#N/A</v>
          </cell>
          <cell r="G363" t="e">
            <v>#N/A</v>
          </cell>
          <cell r="H363" t="e">
            <v>#N/A</v>
          </cell>
          <cell r="I363" t="e">
            <v>#N/A</v>
          </cell>
          <cell r="J363" t="e">
            <v>#N/A</v>
          </cell>
          <cell r="K363" t="e">
            <v>#N/A</v>
          </cell>
          <cell r="L363" t="e">
            <v>#N/A</v>
          </cell>
          <cell r="M363" t="e">
            <v>#N/A</v>
          </cell>
          <cell r="N363" t="e">
            <v>#N/A</v>
          </cell>
          <cell r="O363" t="e">
            <v>#N/A</v>
          </cell>
          <cell r="P363">
            <v>49.97</v>
          </cell>
          <cell r="Q363">
            <v>0.85685499999999992</v>
          </cell>
          <cell r="R363" t="e">
            <v>#N/A</v>
          </cell>
        </row>
        <row r="364">
          <cell r="A364">
            <v>39995</v>
          </cell>
          <cell r="B364">
            <v>39995</v>
          </cell>
          <cell r="C364" t="str">
            <v>Past</v>
          </cell>
          <cell r="D364">
            <v>50.84</v>
          </cell>
          <cell r="E364" t="e">
            <v>#N/A</v>
          </cell>
          <cell r="F364" t="e">
            <v>#N/A</v>
          </cell>
          <cell r="G364" t="e">
            <v>#N/A</v>
          </cell>
          <cell r="H364" t="e">
            <v>#N/A</v>
          </cell>
          <cell r="I364" t="e">
            <v>#N/A</v>
          </cell>
          <cell r="J364" t="e">
            <v>#N/A</v>
          </cell>
          <cell r="K364" t="e">
            <v>#N/A</v>
          </cell>
          <cell r="L364" t="e">
            <v>#N/A</v>
          </cell>
          <cell r="M364" t="e">
            <v>#N/A</v>
          </cell>
          <cell r="N364" t="e">
            <v>#N/A</v>
          </cell>
          <cell r="O364" t="e">
            <v>#N/A</v>
          </cell>
          <cell r="P364">
            <v>50.84</v>
          </cell>
          <cell r="Q364">
            <v>0.92218000000000011</v>
          </cell>
          <cell r="R364" t="e">
            <v>#N/A</v>
          </cell>
        </row>
        <row r="365">
          <cell r="A365">
            <v>39996</v>
          </cell>
          <cell r="B365">
            <v>39996</v>
          </cell>
          <cell r="C365" t="str">
            <v>Past</v>
          </cell>
          <cell r="D365">
            <v>48.35</v>
          </cell>
          <cell r="E365" t="e">
            <v>#N/A</v>
          </cell>
          <cell r="F365" t="e">
            <v>#N/A</v>
          </cell>
          <cell r="G365" t="e">
            <v>#N/A</v>
          </cell>
          <cell r="H365" t="e">
            <v>#N/A</v>
          </cell>
          <cell r="I365" t="e">
            <v>#N/A</v>
          </cell>
          <cell r="J365" t="e">
            <v>#N/A</v>
          </cell>
          <cell r="K365" t="e">
            <v>#N/A</v>
          </cell>
          <cell r="L365" t="e">
            <v>#N/A</v>
          </cell>
          <cell r="M365" t="e">
            <v>#N/A</v>
          </cell>
          <cell r="N365" t="e">
            <v>#N/A</v>
          </cell>
          <cell r="O365" t="e">
            <v>#N/A</v>
          </cell>
          <cell r="P365">
            <v>48.35</v>
          </cell>
          <cell r="Q365">
            <v>1.3091519999999999</v>
          </cell>
          <cell r="R365" t="e">
            <v>#N/A</v>
          </cell>
        </row>
        <row r="366">
          <cell r="A366">
            <v>40000</v>
          </cell>
          <cell r="B366">
            <v>40000</v>
          </cell>
          <cell r="C366" t="str">
            <v>Past</v>
          </cell>
          <cell r="D366">
            <v>50.06</v>
          </cell>
          <cell r="E366" t="e">
            <v>#N/A</v>
          </cell>
          <cell r="F366" t="e">
            <v>#N/A</v>
          </cell>
          <cell r="G366" t="e">
            <v>#N/A</v>
          </cell>
          <cell r="H366" t="e">
            <v>#N/A</v>
          </cell>
          <cell r="I366" t="e">
            <v>#N/A</v>
          </cell>
          <cell r="J366" t="e">
            <v>#N/A</v>
          </cell>
          <cell r="K366" t="e">
            <v>#N/A</v>
          </cell>
          <cell r="L366" t="e">
            <v>#N/A</v>
          </cell>
          <cell r="M366" t="e">
            <v>#N/A</v>
          </cell>
          <cell r="N366" t="e">
            <v>#N/A</v>
          </cell>
          <cell r="O366" t="e">
            <v>#N/A</v>
          </cell>
          <cell r="P366">
            <v>50.06</v>
          </cell>
          <cell r="Q366">
            <v>1.2486629999999999</v>
          </cell>
          <cell r="R366" t="e">
            <v>#N/A</v>
          </cell>
        </row>
        <row r="367">
          <cell r="A367">
            <v>40001</v>
          </cell>
          <cell r="B367">
            <v>40001</v>
          </cell>
          <cell r="C367" t="str">
            <v>Past</v>
          </cell>
          <cell r="D367">
            <v>49.73</v>
          </cell>
          <cell r="E367" t="e">
            <v>#N/A</v>
          </cell>
          <cell r="F367" t="e">
            <v>#N/A</v>
          </cell>
          <cell r="G367" t="e">
            <v>#N/A</v>
          </cell>
          <cell r="H367" t="e">
            <v>#N/A</v>
          </cell>
          <cell r="I367" t="e">
            <v>#N/A</v>
          </cell>
          <cell r="J367" t="e">
            <v>#N/A</v>
          </cell>
          <cell r="K367" t="e">
            <v>#N/A</v>
          </cell>
          <cell r="L367" t="e">
            <v>#N/A</v>
          </cell>
          <cell r="M367" t="e">
            <v>#N/A</v>
          </cell>
          <cell r="N367" t="e">
            <v>#N/A</v>
          </cell>
          <cell r="O367" t="e">
            <v>#N/A</v>
          </cell>
          <cell r="P367">
            <v>49.73</v>
          </cell>
          <cell r="Q367">
            <v>1.797226</v>
          </cell>
          <cell r="R367" t="e">
            <v>#N/A</v>
          </cell>
        </row>
        <row r="368">
          <cell r="A368">
            <v>40002</v>
          </cell>
          <cell r="B368">
            <v>40002</v>
          </cell>
          <cell r="C368" t="str">
            <v>Past</v>
          </cell>
          <cell r="D368">
            <v>48.9</v>
          </cell>
          <cell r="E368" t="e">
            <v>#N/A</v>
          </cell>
          <cell r="F368" t="e">
            <v>#N/A</v>
          </cell>
          <cell r="G368" t="e">
            <v>#N/A</v>
          </cell>
          <cell r="H368" t="e">
            <v>#N/A</v>
          </cell>
          <cell r="I368" t="e">
            <v>#N/A</v>
          </cell>
          <cell r="J368" t="e">
            <v>#N/A</v>
          </cell>
          <cell r="K368" t="e">
            <v>#N/A</v>
          </cell>
          <cell r="L368" t="e">
            <v>#N/A</v>
          </cell>
          <cell r="M368" t="e">
            <v>#N/A</v>
          </cell>
          <cell r="N368" t="e">
            <v>#N/A</v>
          </cell>
          <cell r="O368" t="e">
            <v>#N/A</v>
          </cell>
          <cell r="P368">
            <v>48.9</v>
          </cell>
          <cell r="Q368">
            <v>1.8541049999999999</v>
          </cell>
          <cell r="R368" t="e">
            <v>#N/A</v>
          </cell>
        </row>
        <row r="369">
          <cell r="A369">
            <v>40003</v>
          </cell>
          <cell r="B369">
            <v>40003</v>
          </cell>
          <cell r="C369" t="str">
            <v>Past</v>
          </cell>
          <cell r="D369">
            <v>48.66</v>
          </cell>
          <cell r="E369" t="e">
            <v>#N/A</v>
          </cell>
          <cell r="F369" t="e">
            <v>#N/A</v>
          </cell>
          <cell r="G369" t="e">
            <v>#N/A</v>
          </cell>
          <cell r="H369" t="e">
            <v>#N/A</v>
          </cell>
          <cell r="I369" t="e">
            <v>#N/A</v>
          </cell>
          <cell r="J369" t="e">
            <v>#N/A</v>
          </cell>
          <cell r="K369" t="e">
            <v>#N/A</v>
          </cell>
          <cell r="L369" t="e">
            <v>#N/A</v>
          </cell>
          <cell r="M369" t="e">
            <v>#N/A</v>
          </cell>
          <cell r="N369" t="e">
            <v>#N/A</v>
          </cell>
          <cell r="O369" t="e">
            <v>#N/A</v>
          </cell>
          <cell r="P369">
            <v>48.66</v>
          </cell>
          <cell r="Q369">
            <v>1.3080159999999998</v>
          </cell>
          <cell r="R369" t="e">
            <v>#N/A</v>
          </cell>
        </row>
        <row r="370">
          <cell r="A370">
            <v>40004</v>
          </cell>
          <cell r="B370">
            <v>40004</v>
          </cell>
          <cell r="C370" t="str">
            <v>Past</v>
          </cell>
          <cell r="D370">
            <v>49.49</v>
          </cell>
          <cell r="E370" t="e">
            <v>#N/A</v>
          </cell>
          <cell r="F370" t="e">
            <v>#N/A</v>
          </cell>
          <cell r="G370" t="e">
            <v>#N/A</v>
          </cell>
          <cell r="H370" t="e">
            <v>#N/A</v>
          </cell>
          <cell r="I370" t="e">
            <v>#N/A</v>
          </cell>
          <cell r="J370" t="e">
            <v>#N/A</v>
          </cell>
          <cell r="K370" t="e">
            <v>#N/A</v>
          </cell>
          <cell r="L370" t="e">
            <v>#N/A</v>
          </cell>
          <cell r="M370" t="e">
            <v>#N/A</v>
          </cell>
          <cell r="N370" t="e">
            <v>#N/A</v>
          </cell>
          <cell r="O370" t="e">
            <v>#N/A</v>
          </cell>
          <cell r="P370">
            <v>49.49</v>
          </cell>
          <cell r="Q370">
            <v>1.2215049999999998</v>
          </cell>
          <cell r="R370" t="e">
            <v>#N/A</v>
          </cell>
        </row>
        <row r="371">
          <cell r="A371">
            <v>40007</v>
          </cell>
          <cell r="B371">
            <v>40007</v>
          </cell>
          <cell r="C371" t="str">
            <v>Past</v>
          </cell>
          <cell r="D371">
            <v>50.54</v>
          </cell>
          <cell r="E371" t="e">
            <v>#N/A</v>
          </cell>
          <cell r="F371" t="e">
            <v>#N/A</v>
          </cell>
          <cell r="G371" t="e">
            <v>#N/A</v>
          </cell>
          <cell r="H371" t="e">
            <v>#N/A</v>
          </cell>
          <cell r="I371" t="e">
            <v>#N/A</v>
          </cell>
          <cell r="J371" t="e">
            <v>#N/A</v>
          </cell>
          <cell r="K371" t="e">
            <v>#N/A</v>
          </cell>
          <cell r="L371" t="e">
            <v>#N/A</v>
          </cell>
          <cell r="M371" t="e">
            <v>#N/A</v>
          </cell>
          <cell r="N371" t="e">
            <v>#N/A</v>
          </cell>
          <cell r="O371" t="e">
            <v>#N/A</v>
          </cell>
          <cell r="P371">
            <v>50.54</v>
          </cell>
          <cell r="Q371">
            <v>0.812253</v>
          </cell>
          <cell r="R371" t="e">
            <v>#N/A</v>
          </cell>
        </row>
        <row r="372">
          <cell r="A372">
            <v>40008</v>
          </cell>
          <cell r="B372">
            <v>40008</v>
          </cell>
          <cell r="C372" t="str">
            <v>Past</v>
          </cell>
          <cell r="D372">
            <v>51.4</v>
          </cell>
          <cell r="E372" t="e">
            <v>#N/A</v>
          </cell>
          <cell r="F372" t="e">
            <v>#N/A</v>
          </cell>
          <cell r="G372" t="e">
            <v>#N/A</v>
          </cell>
          <cell r="H372" t="e">
            <v>#N/A</v>
          </cell>
          <cell r="I372" t="e">
            <v>#N/A</v>
          </cell>
          <cell r="J372" t="e">
            <v>#N/A</v>
          </cell>
          <cell r="K372" t="e">
            <v>#N/A</v>
          </cell>
          <cell r="L372" t="e">
            <v>#N/A</v>
          </cell>
          <cell r="M372" t="e">
            <v>#N/A</v>
          </cell>
          <cell r="N372" t="e">
            <v>#N/A</v>
          </cell>
          <cell r="O372" t="e">
            <v>#N/A</v>
          </cell>
          <cell r="P372">
            <v>51.4</v>
          </cell>
          <cell r="Q372">
            <v>0.91402000000000005</v>
          </cell>
          <cell r="R372" t="e">
            <v>#N/A</v>
          </cell>
        </row>
        <row r="373">
          <cell r="A373">
            <v>40009</v>
          </cell>
          <cell r="B373">
            <v>40009</v>
          </cell>
          <cell r="C373" t="str">
            <v>Past</v>
          </cell>
          <cell r="D373">
            <v>51.65</v>
          </cell>
          <cell r="E373" t="e">
            <v>#N/A</v>
          </cell>
          <cell r="F373" t="e">
            <v>#N/A</v>
          </cell>
          <cell r="G373" t="e">
            <v>#N/A</v>
          </cell>
          <cell r="H373" t="e">
            <v>#N/A</v>
          </cell>
          <cell r="I373" t="e">
            <v>#N/A</v>
          </cell>
          <cell r="J373" t="e">
            <v>#N/A</v>
          </cell>
          <cell r="K373" t="e">
            <v>#N/A</v>
          </cell>
          <cell r="L373" t="e">
            <v>#N/A</v>
          </cell>
          <cell r="M373" t="e">
            <v>#N/A</v>
          </cell>
          <cell r="N373" t="e">
            <v>#N/A</v>
          </cell>
          <cell r="O373" t="e">
            <v>#N/A</v>
          </cell>
          <cell r="P373">
            <v>51.65</v>
          </cell>
          <cell r="Q373">
            <v>1.6781619999999999</v>
          </cell>
          <cell r="R373" t="e">
            <v>#N/A</v>
          </cell>
        </row>
        <row r="374">
          <cell r="A374">
            <v>40010</v>
          </cell>
          <cell r="B374">
            <v>40010</v>
          </cell>
          <cell r="C374" t="str">
            <v>Past</v>
          </cell>
          <cell r="D374">
            <v>51.85</v>
          </cell>
          <cell r="E374" t="e">
            <v>#N/A</v>
          </cell>
          <cell r="F374" t="e">
            <v>#N/A</v>
          </cell>
          <cell r="G374" t="e">
            <v>#N/A</v>
          </cell>
          <cell r="H374" t="e">
            <v>#N/A</v>
          </cell>
          <cell r="I374" t="e">
            <v>#N/A</v>
          </cell>
          <cell r="J374" t="e">
            <v>#N/A</v>
          </cell>
          <cell r="K374" t="e">
            <v>#N/A</v>
          </cell>
          <cell r="L374" t="e">
            <v>#N/A</v>
          </cell>
          <cell r="M374" t="e">
            <v>#N/A</v>
          </cell>
          <cell r="N374" t="e">
            <v>#N/A</v>
          </cell>
          <cell r="O374" t="e">
            <v>#N/A</v>
          </cell>
          <cell r="P374">
            <v>51.85</v>
          </cell>
          <cell r="Q374">
            <v>0.95793699999999993</v>
          </cell>
          <cell r="R374" t="e">
            <v>#N/A</v>
          </cell>
        </row>
        <row r="375">
          <cell r="A375">
            <v>40011</v>
          </cell>
          <cell r="B375">
            <v>40011</v>
          </cell>
          <cell r="C375" t="str">
            <v>Past</v>
          </cell>
          <cell r="D375">
            <v>51.67</v>
          </cell>
          <cell r="E375" t="e">
            <v>#N/A</v>
          </cell>
          <cell r="F375" t="e">
            <v>#N/A</v>
          </cell>
          <cell r="G375" t="e">
            <v>#N/A</v>
          </cell>
          <cell r="H375" t="e">
            <v>#N/A</v>
          </cell>
          <cell r="I375" t="e">
            <v>#N/A</v>
          </cell>
          <cell r="J375" t="e">
            <v>#N/A</v>
          </cell>
          <cell r="K375" t="e">
            <v>#N/A</v>
          </cell>
          <cell r="L375" t="e">
            <v>#N/A</v>
          </cell>
          <cell r="M375" t="e">
            <v>#N/A</v>
          </cell>
          <cell r="N375" t="e">
            <v>#N/A</v>
          </cell>
          <cell r="O375" t="e">
            <v>#N/A</v>
          </cell>
          <cell r="P375">
            <v>51.67</v>
          </cell>
          <cell r="Q375">
            <v>1.1909110000000001</v>
          </cell>
          <cell r="R375" t="e">
            <v>#N/A</v>
          </cell>
        </row>
        <row r="376">
          <cell r="A376">
            <v>40014</v>
          </cell>
          <cell r="B376">
            <v>40014</v>
          </cell>
          <cell r="C376" t="str">
            <v>Past</v>
          </cell>
          <cell r="D376">
            <v>53.08</v>
          </cell>
          <cell r="E376" t="e">
            <v>#N/A</v>
          </cell>
          <cell r="F376" t="e">
            <v>#N/A</v>
          </cell>
          <cell r="G376" t="e">
            <v>#N/A</v>
          </cell>
          <cell r="H376" t="e">
            <v>#N/A</v>
          </cell>
          <cell r="I376" t="e">
            <v>#N/A</v>
          </cell>
          <cell r="J376" t="e">
            <v>#N/A</v>
          </cell>
          <cell r="K376" t="e">
            <v>#N/A</v>
          </cell>
          <cell r="L376" t="e">
            <v>#N/A</v>
          </cell>
          <cell r="M376" t="e">
            <v>#N/A</v>
          </cell>
          <cell r="N376" t="e">
            <v>#N/A</v>
          </cell>
          <cell r="O376" t="e">
            <v>#N/A</v>
          </cell>
          <cell r="P376">
            <v>53.08</v>
          </cell>
          <cell r="Q376">
            <v>0.73839499999999991</v>
          </cell>
          <cell r="R376" t="e">
            <v>#N/A</v>
          </cell>
        </row>
        <row r="377">
          <cell r="A377">
            <v>40015</v>
          </cell>
          <cell r="B377">
            <v>40015</v>
          </cell>
          <cell r="C377" t="str">
            <v>Past</v>
          </cell>
          <cell r="D377">
            <v>53.55</v>
          </cell>
          <cell r="E377" t="e">
            <v>#N/A</v>
          </cell>
          <cell r="F377" t="e">
            <v>#N/A</v>
          </cell>
          <cell r="G377" t="e">
            <v>#N/A</v>
          </cell>
          <cell r="H377" t="e">
            <v>#N/A</v>
          </cell>
          <cell r="I377" t="e">
            <v>#N/A</v>
          </cell>
          <cell r="J377" t="e">
            <v>#N/A</v>
          </cell>
          <cell r="K377" t="e">
            <v>#N/A</v>
          </cell>
          <cell r="L377" t="e">
            <v>#N/A</v>
          </cell>
          <cell r="M377" t="e">
            <v>#N/A</v>
          </cell>
          <cell r="N377" t="e">
            <v>#N/A</v>
          </cell>
          <cell r="O377" t="e">
            <v>#N/A</v>
          </cell>
          <cell r="P377">
            <v>53.55</v>
          </cell>
          <cell r="Q377">
            <v>1.3500719999999999</v>
          </cell>
          <cell r="R377" t="e">
            <v>#N/A</v>
          </cell>
        </row>
        <row r="378">
          <cell r="A378">
            <v>40016</v>
          </cell>
          <cell r="B378">
            <v>40016</v>
          </cell>
          <cell r="C378" t="str">
            <v>Past</v>
          </cell>
          <cell r="D378">
            <v>53.05</v>
          </cell>
          <cell r="E378" t="e">
            <v>#N/A</v>
          </cell>
          <cell r="F378" t="e">
            <v>#N/A</v>
          </cell>
          <cell r="G378" t="e">
            <v>#N/A</v>
          </cell>
          <cell r="H378" t="e">
            <v>#N/A</v>
          </cell>
          <cell r="I378" t="e">
            <v>#N/A</v>
          </cell>
          <cell r="J378" t="e">
            <v>#N/A</v>
          </cell>
          <cell r="K378" t="e">
            <v>#N/A</v>
          </cell>
          <cell r="L378" t="e">
            <v>#N/A</v>
          </cell>
          <cell r="M378" t="e">
            <v>#N/A</v>
          </cell>
          <cell r="N378" t="e">
            <v>#N/A</v>
          </cell>
          <cell r="O378" t="e">
            <v>#N/A</v>
          </cell>
          <cell r="P378">
            <v>53.05</v>
          </cell>
          <cell r="Q378">
            <v>1.4884579999999998</v>
          </cell>
          <cell r="R378" t="e">
            <v>#N/A</v>
          </cell>
        </row>
        <row r="379">
          <cell r="A379">
            <v>40017</v>
          </cell>
          <cell r="B379">
            <v>40017</v>
          </cell>
          <cell r="C379" t="str">
            <v>Past</v>
          </cell>
          <cell r="D379">
            <v>49.32</v>
          </cell>
          <cell r="E379" t="e">
            <v>#N/A</v>
          </cell>
          <cell r="F379" t="e">
            <v>#N/A</v>
          </cell>
          <cell r="G379" t="e">
            <v>#N/A</v>
          </cell>
          <cell r="H379" t="e">
            <v>#N/A</v>
          </cell>
          <cell r="I379" t="e">
            <v>#N/A</v>
          </cell>
          <cell r="J379" t="e">
            <v>#N/A</v>
          </cell>
          <cell r="K379" t="e">
            <v>#N/A</v>
          </cell>
          <cell r="L379" t="e">
            <v>#N/A</v>
          </cell>
          <cell r="M379" t="e">
            <v>#N/A</v>
          </cell>
          <cell r="N379" t="e">
            <v>#N/A</v>
          </cell>
          <cell r="O379" t="e">
            <v>#N/A</v>
          </cell>
          <cell r="P379">
            <v>49.32</v>
          </cell>
          <cell r="Q379">
            <v>7.2757889999999996</v>
          </cell>
          <cell r="R379" t="e">
            <v>#N/A</v>
          </cell>
        </row>
        <row r="380">
          <cell r="A380">
            <v>40018</v>
          </cell>
          <cell r="B380">
            <v>40018</v>
          </cell>
          <cell r="C380" t="str">
            <v>Past</v>
          </cell>
          <cell r="D380">
            <v>50.78</v>
          </cell>
          <cell r="E380" t="e">
            <v>#N/A</v>
          </cell>
          <cell r="F380" t="e">
            <v>#N/A</v>
          </cell>
          <cell r="G380" t="e">
            <v>#N/A</v>
          </cell>
          <cell r="H380" t="e">
            <v>#N/A</v>
          </cell>
          <cell r="I380" t="e">
            <v>#N/A</v>
          </cell>
          <cell r="J380" t="e">
            <v>#N/A</v>
          </cell>
          <cell r="K380" t="e">
            <v>#N/A</v>
          </cell>
          <cell r="L380" t="e">
            <v>#N/A</v>
          </cell>
          <cell r="M380" t="e">
            <v>#N/A</v>
          </cell>
          <cell r="N380" t="e">
            <v>#N/A</v>
          </cell>
          <cell r="O380" t="e">
            <v>#N/A</v>
          </cell>
          <cell r="P380">
            <v>50.78</v>
          </cell>
          <cell r="Q380">
            <v>3.0516319999999997</v>
          </cell>
          <cell r="R380" t="e">
            <v>#N/A</v>
          </cell>
        </row>
        <row r="381">
          <cell r="A381">
            <v>40021</v>
          </cell>
          <cell r="B381">
            <v>40021</v>
          </cell>
          <cell r="C381" t="str">
            <v>Past</v>
          </cell>
          <cell r="D381">
            <v>50.45</v>
          </cell>
          <cell r="E381" t="e">
            <v>#N/A</v>
          </cell>
          <cell r="F381" t="e">
            <v>#N/A</v>
          </cell>
          <cell r="G381" t="e">
            <v>#N/A</v>
          </cell>
          <cell r="H381" t="e">
            <v>#N/A</v>
          </cell>
          <cell r="I381" t="e">
            <v>#N/A</v>
          </cell>
          <cell r="J381" t="e">
            <v>#N/A</v>
          </cell>
          <cell r="K381" t="e">
            <v>#N/A</v>
          </cell>
          <cell r="L381" t="e">
            <v>#N/A</v>
          </cell>
          <cell r="M381" t="e">
            <v>#N/A</v>
          </cell>
          <cell r="N381" t="e">
            <v>#N/A</v>
          </cell>
          <cell r="O381" t="e">
            <v>#N/A</v>
          </cell>
          <cell r="P381">
            <v>50.45</v>
          </cell>
          <cell r="Q381">
            <v>1.635054</v>
          </cell>
          <cell r="R381" t="e">
            <v>#N/A</v>
          </cell>
        </row>
        <row r="382">
          <cell r="A382">
            <v>40022</v>
          </cell>
          <cell r="B382">
            <v>40022</v>
          </cell>
          <cell r="C382" t="str">
            <v>Past</v>
          </cell>
          <cell r="D382">
            <v>50.15</v>
          </cell>
          <cell r="E382" t="e">
            <v>#N/A</v>
          </cell>
          <cell r="F382" t="e">
            <v>#N/A</v>
          </cell>
          <cell r="G382" t="e">
            <v>#N/A</v>
          </cell>
          <cell r="H382" t="e">
            <v>#N/A</v>
          </cell>
          <cell r="I382" t="e">
            <v>#N/A</v>
          </cell>
          <cell r="J382" t="e">
            <v>#N/A</v>
          </cell>
          <cell r="K382" t="e">
            <v>#N/A</v>
          </cell>
          <cell r="L382" t="e">
            <v>#N/A</v>
          </cell>
          <cell r="M382" t="e">
            <v>#N/A</v>
          </cell>
          <cell r="N382" t="e">
            <v>#N/A</v>
          </cell>
          <cell r="O382" t="e">
            <v>#N/A</v>
          </cell>
          <cell r="P382">
            <v>50.15</v>
          </cell>
          <cell r="Q382">
            <v>1.1248500000000001</v>
          </cell>
          <cell r="R382" t="e">
            <v>#N/A</v>
          </cell>
        </row>
        <row r="383">
          <cell r="A383">
            <v>40023</v>
          </cell>
          <cell r="B383">
            <v>40023</v>
          </cell>
          <cell r="C383" t="str">
            <v>Past</v>
          </cell>
          <cell r="D383">
            <v>50.72</v>
          </cell>
          <cell r="E383" t="e">
            <v>#N/A</v>
          </cell>
          <cell r="F383" t="e">
            <v>#N/A</v>
          </cell>
          <cell r="G383" t="e">
            <v>#N/A</v>
          </cell>
          <cell r="H383" t="e">
            <v>#N/A</v>
          </cell>
          <cell r="I383" t="e">
            <v>#N/A</v>
          </cell>
          <cell r="J383" t="e">
            <v>#N/A</v>
          </cell>
          <cell r="K383" t="e">
            <v>#N/A</v>
          </cell>
          <cell r="L383" t="e">
            <v>#N/A</v>
          </cell>
          <cell r="M383" t="e">
            <v>#N/A</v>
          </cell>
          <cell r="N383" t="e">
            <v>#N/A</v>
          </cell>
          <cell r="O383" t="e">
            <v>#N/A</v>
          </cell>
          <cell r="P383">
            <v>50.72</v>
          </cell>
          <cell r="Q383">
            <v>1.319062</v>
          </cell>
          <cell r="R383" t="e">
            <v>#N/A</v>
          </cell>
        </row>
        <row r="384">
          <cell r="A384">
            <v>40024</v>
          </cell>
          <cell r="B384">
            <v>40024</v>
          </cell>
          <cell r="C384" t="str">
            <v>Past</v>
          </cell>
          <cell r="D384">
            <v>51.9</v>
          </cell>
          <cell r="E384" t="e">
            <v>#N/A</v>
          </cell>
          <cell r="F384" t="e">
            <v>#N/A</v>
          </cell>
          <cell r="G384" t="e">
            <v>#N/A</v>
          </cell>
          <cell r="H384" t="e">
            <v>#N/A</v>
          </cell>
          <cell r="I384" t="e">
            <v>#N/A</v>
          </cell>
          <cell r="J384" t="e">
            <v>#N/A</v>
          </cell>
          <cell r="K384" t="e">
            <v>#N/A</v>
          </cell>
          <cell r="L384" t="e">
            <v>#N/A</v>
          </cell>
          <cell r="M384" t="e">
            <v>#N/A</v>
          </cell>
          <cell r="N384" t="e">
            <v>#N/A</v>
          </cell>
          <cell r="O384" t="e">
            <v>#N/A</v>
          </cell>
          <cell r="P384">
            <v>51.9</v>
          </cell>
          <cell r="Q384">
            <v>1.0374539999999999</v>
          </cell>
          <cell r="R384" t="e">
            <v>#N/A</v>
          </cell>
        </row>
        <row r="385">
          <cell r="A385">
            <v>40025</v>
          </cell>
          <cell r="B385">
            <v>40025</v>
          </cell>
          <cell r="C385" t="str">
            <v>Past</v>
          </cell>
          <cell r="D385">
            <v>51.36</v>
          </cell>
          <cell r="E385" t="e">
            <v>#N/A</v>
          </cell>
          <cell r="F385" t="e">
            <v>#N/A</v>
          </cell>
          <cell r="G385" t="e">
            <v>#N/A</v>
          </cell>
          <cell r="H385" t="e">
            <v>#N/A</v>
          </cell>
          <cell r="I385" t="e">
            <v>#N/A</v>
          </cell>
          <cell r="J385" t="e">
            <v>#N/A</v>
          </cell>
          <cell r="K385" t="e">
            <v>#N/A</v>
          </cell>
          <cell r="L385" t="e">
            <v>#N/A</v>
          </cell>
          <cell r="M385" t="e">
            <v>#N/A</v>
          </cell>
          <cell r="N385" t="e">
            <v>#N/A</v>
          </cell>
          <cell r="O385" t="e">
            <v>#N/A</v>
          </cell>
          <cell r="P385">
            <v>51.36</v>
          </cell>
          <cell r="Q385">
            <v>1.0201629999999999</v>
          </cell>
          <cell r="R385" t="e">
            <v>#N/A</v>
          </cell>
        </row>
        <row r="386">
          <cell r="A386">
            <v>40028</v>
          </cell>
          <cell r="B386">
            <v>40028</v>
          </cell>
          <cell r="C386" t="str">
            <v>Past</v>
          </cell>
          <cell r="D386">
            <v>53.61</v>
          </cell>
          <cell r="E386" t="e">
            <v>#N/A</v>
          </cell>
          <cell r="F386" t="e">
            <v>#N/A</v>
          </cell>
          <cell r="G386" t="e">
            <v>#N/A</v>
          </cell>
          <cell r="H386" t="e">
            <v>#N/A</v>
          </cell>
          <cell r="I386" t="e">
            <v>#N/A</v>
          </cell>
          <cell r="J386" t="e">
            <v>#N/A</v>
          </cell>
          <cell r="K386" t="e">
            <v>#N/A</v>
          </cell>
          <cell r="L386" t="e">
            <v>#N/A</v>
          </cell>
          <cell r="M386" t="e">
            <v>#N/A</v>
          </cell>
          <cell r="N386" t="e">
            <v>#N/A</v>
          </cell>
          <cell r="O386" t="e">
            <v>#N/A</v>
          </cell>
          <cell r="P386">
            <v>53.61</v>
          </cell>
          <cell r="Q386">
            <v>1.692315</v>
          </cell>
          <cell r="R386" t="e">
            <v>#N/A</v>
          </cell>
        </row>
        <row r="387">
          <cell r="A387">
            <v>40029</v>
          </cell>
          <cell r="B387">
            <v>40029</v>
          </cell>
          <cell r="C387" t="str">
            <v>Past</v>
          </cell>
          <cell r="D387">
            <v>53.72</v>
          </cell>
          <cell r="E387" t="e">
            <v>#N/A</v>
          </cell>
          <cell r="F387" t="e">
            <v>#N/A</v>
          </cell>
          <cell r="G387" t="e">
            <v>#N/A</v>
          </cell>
          <cell r="H387" t="e">
            <v>#N/A</v>
          </cell>
          <cell r="I387" t="e">
            <v>#N/A</v>
          </cell>
          <cell r="J387" t="e">
            <v>#N/A</v>
          </cell>
          <cell r="K387" t="e">
            <v>#N/A</v>
          </cell>
          <cell r="L387" t="e">
            <v>#N/A</v>
          </cell>
          <cell r="M387" t="e">
            <v>#N/A</v>
          </cell>
          <cell r="N387" t="e">
            <v>#N/A</v>
          </cell>
          <cell r="O387" t="e">
            <v>#N/A</v>
          </cell>
          <cell r="P387">
            <v>53.72</v>
          </cell>
          <cell r="Q387">
            <v>1.231071</v>
          </cell>
          <cell r="R387" t="e">
            <v>#N/A</v>
          </cell>
        </row>
        <row r="388">
          <cell r="A388">
            <v>40030</v>
          </cell>
          <cell r="B388">
            <v>40030</v>
          </cell>
          <cell r="C388" t="str">
            <v>Past</v>
          </cell>
          <cell r="D388">
            <v>54.02</v>
          </cell>
          <cell r="E388" t="e">
            <v>#N/A</v>
          </cell>
          <cell r="F388" t="e">
            <v>#N/A</v>
          </cell>
          <cell r="G388" t="e">
            <v>#N/A</v>
          </cell>
          <cell r="H388" t="e">
            <v>#N/A</v>
          </cell>
          <cell r="I388" t="e">
            <v>#N/A</v>
          </cell>
          <cell r="J388" t="e">
            <v>#N/A</v>
          </cell>
          <cell r="K388" t="e">
            <v>#N/A</v>
          </cell>
          <cell r="L388" t="e">
            <v>#N/A</v>
          </cell>
          <cell r="M388" t="e">
            <v>#N/A</v>
          </cell>
          <cell r="N388" t="e">
            <v>#N/A</v>
          </cell>
          <cell r="O388" t="e">
            <v>#N/A</v>
          </cell>
          <cell r="P388">
            <v>54.02</v>
          </cell>
          <cell r="Q388">
            <v>1.576238</v>
          </cell>
          <cell r="R388" t="e">
            <v>#N/A</v>
          </cell>
        </row>
        <row r="389">
          <cell r="A389">
            <v>40031</v>
          </cell>
          <cell r="B389">
            <v>40031</v>
          </cell>
          <cell r="C389" t="str">
            <v>Past</v>
          </cell>
          <cell r="D389">
            <v>54.91</v>
          </cell>
          <cell r="E389" t="e">
            <v>#N/A</v>
          </cell>
          <cell r="F389" t="e">
            <v>#N/A</v>
          </cell>
          <cell r="G389" t="e">
            <v>#N/A</v>
          </cell>
          <cell r="H389" t="e">
            <v>#N/A</v>
          </cell>
          <cell r="I389" t="e">
            <v>#N/A</v>
          </cell>
          <cell r="J389" t="e">
            <v>#N/A</v>
          </cell>
          <cell r="K389" t="e">
            <v>#N/A</v>
          </cell>
          <cell r="L389" t="e">
            <v>#N/A</v>
          </cell>
          <cell r="M389" t="e">
            <v>#N/A</v>
          </cell>
          <cell r="N389" t="e">
            <v>#N/A</v>
          </cell>
          <cell r="O389" t="e">
            <v>#N/A</v>
          </cell>
          <cell r="P389">
            <v>54.91</v>
          </cell>
          <cell r="Q389">
            <v>1.1363779999999999</v>
          </cell>
          <cell r="R389" t="e">
            <v>#N/A</v>
          </cell>
        </row>
        <row r="390">
          <cell r="A390">
            <v>40032</v>
          </cell>
          <cell r="B390">
            <v>40032</v>
          </cell>
          <cell r="C390" t="str">
            <v>Past</v>
          </cell>
          <cell r="D390">
            <v>56.57</v>
          </cell>
          <cell r="E390" t="e">
            <v>#N/A</v>
          </cell>
          <cell r="F390" t="e">
            <v>#N/A</v>
          </cell>
          <cell r="G390" t="e">
            <v>#N/A</v>
          </cell>
          <cell r="H390" t="e">
            <v>#N/A</v>
          </cell>
          <cell r="I390" t="e">
            <v>#N/A</v>
          </cell>
          <cell r="J390" t="e">
            <v>#N/A</v>
          </cell>
          <cell r="K390" t="e">
            <v>#N/A</v>
          </cell>
          <cell r="L390" t="e">
            <v>#N/A</v>
          </cell>
          <cell r="M390" t="e">
            <v>#N/A</v>
          </cell>
          <cell r="N390" t="e">
            <v>#N/A</v>
          </cell>
          <cell r="O390" t="e">
            <v>#N/A</v>
          </cell>
          <cell r="P390">
            <v>56.57</v>
          </cell>
          <cell r="Q390">
            <v>1.425829</v>
          </cell>
          <cell r="R390" t="e">
            <v>#N/A</v>
          </cell>
        </row>
        <row r="391">
          <cell r="A391">
            <v>40035</v>
          </cell>
          <cell r="B391">
            <v>40035</v>
          </cell>
          <cell r="C391" t="str">
            <v>Past</v>
          </cell>
          <cell r="D391">
            <v>55.46</v>
          </cell>
          <cell r="E391" t="e">
            <v>#N/A</v>
          </cell>
          <cell r="F391" t="e">
            <v>#N/A</v>
          </cell>
          <cell r="G391" t="e">
            <v>#N/A</v>
          </cell>
          <cell r="H391" t="e">
            <v>#N/A</v>
          </cell>
          <cell r="I391" t="e">
            <v>#N/A</v>
          </cell>
          <cell r="J391" t="e">
            <v>#N/A</v>
          </cell>
          <cell r="K391" t="e">
            <v>#N/A</v>
          </cell>
          <cell r="L391" t="e">
            <v>#N/A</v>
          </cell>
          <cell r="M391" t="e">
            <v>#N/A</v>
          </cell>
          <cell r="N391" t="e">
            <v>#N/A</v>
          </cell>
          <cell r="O391" t="e">
            <v>#N/A</v>
          </cell>
          <cell r="P391">
            <v>55.46</v>
          </cell>
          <cell r="Q391">
            <v>0.908416</v>
          </cell>
          <cell r="R391" t="e">
            <v>#N/A</v>
          </cell>
        </row>
        <row r="392">
          <cell r="A392">
            <v>40036</v>
          </cell>
          <cell r="B392">
            <v>40036</v>
          </cell>
          <cell r="C392" t="str">
            <v>Past</v>
          </cell>
          <cell r="D392">
            <v>54.89</v>
          </cell>
          <cell r="E392" t="e">
            <v>#N/A</v>
          </cell>
          <cell r="F392" t="e">
            <v>#N/A</v>
          </cell>
          <cell r="G392" t="e">
            <v>#N/A</v>
          </cell>
          <cell r="H392" t="e">
            <v>#N/A</v>
          </cell>
          <cell r="I392" t="e">
            <v>#N/A</v>
          </cell>
          <cell r="J392" t="e">
            <v>#N/A</v>
          </cell>
          <cell r="K392" t="e">
            <v>#N/A</v>
          </cell>
          <cell r="L392" t="e">
            <v>#N/A</v>
          </cell>
          <cell r="M392" t="e">
            <v>#N/A</v>
          </cell>
          <cell r="N392" t="e">
            <v>#N/A</v>
          </cell>
          <cell r="O392" t="e">
            <v>#N/A</v>
          </cell>
          <cell r="P392">
            <v>54.89</v>
          </cell>
          <cell r="Q392">
            <v>1.0163329999999999</v>
          </cell>
          <cell r="R392" t="e">
            <v>#N/A</v>
          </cell>
        </row>
        <row r="393">
          <cell r="A393">
            <v>40037</v>
          </cell>
          <cell r="B393">
            <v>40037</v>
          </cell>
          <cell r="C393" t="str">
            <v>Past</v>
          </cell>
          <cell r="D393">
            <v>55.75</v>
          </cell>
          <cell r="E393" t="e">
            <v>#N/A</v>
          </cell>
          <cell r="F393" t="e">
            <v>#N/A</v>
          </cell>
          <cell r="G393" t="e">
            <v>#N/A</v>
          </cell>
          <cell r="H393" t="e">
            <v>#N/A</v>
          </cell>
          <cell r="I393" t="e">
            <v>#N/A</v>
          </cell>
          <cell r="J393" t="e">
            <v>#N/A</v>
          </cell>
          <cell r="K393" t="e">
            <v>#N/A</v>
          </cell>
          <cell r="L393" t="e">
            <v>#N/A</v>
          </cell>
          <cell r="M393" t="e">
            <v>#N/A</v>
          </cell>
          <cell r="N393" t="e">
            <v>#N/A</v>
          </cell>
          <cell r="O393" t="e">
            <v>#N/A</v>
          </cell>
          <cell r="P393">
            <v>55.75</v>
          </cell>
          <cell r="Q393">
            <v>0.94009699999999996</v>
          </cell>
          <cell r="R393" t="e">
            <v>#N/A</v>
          </cell>
        </row>
        <row r="394">
          <cell r="A394">
            <v>40038</v>
          </cell>
          <cell r="B394">
            <v>40038</v>
          </cell>
          <cell r="C394" t="str">
            <v>Past</v>
          </cell>
          <cell r="D394">
            <v>55.41</v>
          </cell>
          <cell r="E394" t="e">
            <v>#N/A</v>
          </cell>
          <cell r="F394" t="e">
            <v>#N/A</v>
          </cell>
          <cell r="G394" t="e">
            <v>#N/A</v>
          </cell>
          <cell r="H394" t="e">
            <v>#N/A</v>
          </cell>
          <cell r="I394" t="e">
            <v>#N/A</v>
          </cell>
          <cell r="J394" t="e">
            <v>#N/A</v>
          </cell>
          <cell r="K394" t="e">
            <v>#N/A</v>
          </cell>
          <cell r="L394" t="e">
            <v>#N/A</v>
          </cell>
          <cell r="M394" t="e">
            <v>#N/A</v>
          </cell>
          <cell r="N394" t="e">
            <v>#N/A</v>
          </cell>
          <cell r="O394" t="e">
            <v>#N/A</v>
          </cell>
          <cell r="P394">
            <v>55.41</v>
          </cell>
          <cell r="Q394">
            <v>1.411985</v>
          </cell>
          <cell r="R394" t="e">
            <v>#N/A</v>
          </cell>
        </row>
        <row r="395">
          <cell r="A395">
            <v>40039</v>
          </cell>
          <cell r="B395">
            <v>40039</v>
          </cell>
          <cell r="C395" t="str">
            <v>Past</v>
          </cell>
          <cell r="D395">
            <v>55.11</v>
          </cell>
          <cell r="E395" t="e">
            <v>#N/A</v>
          </cell>
          <cell r="F395" t="e">
            <v>#N/A</v>
          </cell>
          <cell r="G395" t="e">
            <v>#N/A</v>
          </cell>
          <cell r="H395" t="e">
            <v>#N/A</v>
          </cell>
          <cell r="I395" t="e">
            <v>#N/A</v>
          </cell>
          <cell r="J395" t="e">
            <v>#N/A</v>
          </cell>
          <cell r="K395" t="e">
            <v>#N/A</v>
          </cell>
          <cell r="L395" t="e">
            <v>#N/A</v>
          </cell>
          <cell r="M395" t="e">
            <v>#N/A</v>
          </cell>
          <cell r="N395" t="e">
            <v>#N/A</v>
          </cell>
          <cell r="O395" t="e">
            <v>#N/A</v>
          </cell>
          <cell r="P395">
            <v>55.11</v>
          </cell>
          <cell r="Q395">
            <v>0.87151099999999992</v>
          </cell>
          <cell r="R395" t="e">
            <v>#N/A</v>
          </cell>
        </row>
        <row r="396">
          <cell r="A396">
            <v>40042</v>
          </cell>
          <cell r="B396">
            <v>40042</v>
          </cell>
          <cell r="C396" t="str">
            <v>Past</v>
          </cell>
          <cell r="D396">
            <v>53.75</v>
          </cell>
          <cell r="E396" t="e">
            <v>#N/A</v>
          </cell>
          <cell r="F396" t="e">
            <v>#N/A</v>
          </cell>
          <cell r="G396" t="e">
            <v>#N/A</v>
          </cell>
          <cell r="H396" t="e">
            <v>#N/A</v>
          </cell>
          <cell r="I396" t="e">
            <v>#N/A</v>
          </cell>
          <cell r="J396" t="e">
            <v>#N/A</v>
          </cell>
          <cell r="K396" t="e">
            <v>#N/A</v>
          </cell>
          <cell r="L396" t="e">
            <v>#N/A</v>
          </cell>
          <cell r="M396" t="e">
            <v>#N/A</v>
          </cell>
          <cell r="N396" t="e">
            <v>#N/A</v>
          </cell>
          <cell r="O396" t="e">
            <v>#N/A</v>
          </cell>
          <cell r="P396">
            <v>53.75</v>
          </cell>
          <cell r="Q396">
            <v>0.64625699999999997</v>
          </cell>
          <cell r="R396" t="e">
            <v>#N/A</v>
          </cell>
        </row>
        <row r="397">
          <cell r="A397">
            <v>40043</v>
          </cell>
          <cell r="B397">
            <v>40043</v>
          </cell>
          <cell r="C397" t="str">
            <v>Past</v>
          </cell>
          <cell r="D397">
            <v>54.2</v>
          </cell>
          <cell r="E397" t="e">
            <v>#N/A</v>
          </cell>
          <cell r="F397" t="e">
            <v>#N/A</v>
          </cell>
          <cell r="G397" t="e">
            <v>#N/A</v>
          </cell>
          <cell r="H397" t="e">
            <v>#N/A</v>
          </cell>
          <cell r="I397" t="e">
            <v>#N/A</v>
          </cell>
          <cell r="J397" t="e">
            <v>#N/A</v>
          </cell>
          <cell r="K397" t="e">
            <v>#N/A</v>
          </cell>
          <cell r="L397" t="e">
            <v>#N/A</v>
          </cell>
          <cell r="M397" t="e">
            <v>#N/A</v>
          </cell>
          <cell r="N397" t="e">
            <v>#N/A</v>
          </cell>
          <cell r="O397" t="e">
            <v>#N/A</v>
          </cell>
          <cell r="P397">
            <v>54.2</v>
          </cell>
          <cell r="Q397">
            <v>0.60949000000000009</v>
          </cell>
          <cell r="R397" t="e">
            <v>#N/A</v>
          </cell>
        </row>
        <row r="398">
          <cell r="A398">
            <v>40044</v>
          </cell>
          <cell r="B398">
            <v>40044</v>
          </cell>
          <cell r="C398" t="str">
            <v>Past</v>
          </cell>
          <cell r="D398">
            <v>54.56</v>
          </cell>
          <cell r="E398" t="e">
            <v>#N/A</v>
          </cell>
          <cell r="F398" t="e">
            <v>#N/A</v>
          </cell>
          <cell r="G398" t="e">
            <v>#N/A</v>
          </cell>
          <cell r="H398" t="e">
            <v>#N/A</v>
          </cell>
          <cell r="I398" t="e">
            <v>#N/A</v>
          </cell>
          <cell r="J398" t="e">
            <v>#N/A</v>
          </cell>
          <cell r="K398" t="e">
            <v>#N/A</v>
          </cell>
          <cell r="L398" t="e">
            <v>#N/A</v>
          </cell>
          <cell r="M398" t="e">
            <v>#N/A</v>
          </cell>
          <cell r="N398" t="e">
            <v>#N/A</v>
          </cell>
          <cell r="O398" t="e">
            <v>#N/A</v>
          </cell>
          <cell r="P398">
            <v>54.56</v>
          </cell>
          <cell r="Q398">
            <v>0.47355700000000001</v>
          </cell>
          <cell r="R398" t="e">
            <v>#N/A</v>
          </cell>
        </row>
        <row r="399">
          <cell r="A399">
            <v>40045</v>
          </cell>
          <cell r="B399">
            <v>40045</v>
          </cell>
          <cell r="C399" t="str">
            <v>Past</v>
          </cell>
          <cell r="D399">
            <v>55.49</v>
          </cell>
          <cell r="E399" t="e">
            <v>#N/A</v>
          </cell>
          <cell r="F399" t="e">
            <v>#N/A</v>
          </cell>
          <cell r="G399" t="e">
            <v>#N/A</v>
          </cell>
          <cell r="H399" t="e">
            <v>#N/A</v>
          </cell>
          <cell r="I399" t="e">
            <v>#N/A</v>
          </cell>
          <cell r="J399" t="e">
            <v>#N/A</v>
          </cell>
          <cell r="K399" t="e">
            <v>#N/A</v>
          </cell>
          <cell r="L399" t="e">
            <v>#N/A</v>
          </cell>
          <cell r="M399" t="e">
            <v>#N/A</v>
          </cell>
          <cell r="N399" t="e">
            <v>#N/A</v>
          </cell>
          <cell r="O399" t="e">
            <v>#N/A</v>
          </cell>
          <cell r="P399">
            <v>55.49</v>
          </cell>
          <cell r="Q399">
            <v>0.49772899999999998</v>
          </cell>
          <cell r="R399" t="e">
            <v>#N/A</v>
          </cell>
        </row>
        <row r="400">
          <cell r="A400">
            <v>40046</v>
          </cell>
          <cell r="B400">
            <v>40046</v>
          </cell>
          <cell r="C400" t="str">
            <v>Past</v>
          </cell>
          <cell r="D400">
            <v>57.03</v>
          </cell>
          <cell r="E400" t="e">
            <v>#N/A</v>
          </cell>
          <cell r="F400" t="e">
            <v>#N/A</v>
          </cell>
          <cell r="G400" t="e">
            <v>#N/A</v>
          </cell>
          <cell r="H400" t="e">
            <v>#N/A</v>
          </cell>
          <cell r="I400" t="e">
            <v>#N/A</v>
          </cell>
          <cell r="J400" t="e">
            <v>#N/A</v>
          </cell>
          <cell r="K400" t="e">
            <v>#N/A</v>
          </cell>
          <cell r="L400" t="e">
            <v>#N/A</v>
          </cell>
          <cell r="M400" t="e">
            <v>#N/A</v>
          </cell>
          <cell r="N400" t="e">
            <v>#N/A</v>
          </cell>
          <cell r="O400" t="e">
            <v>#N/A</v>
          </cell>
          <cell r="P400">
            <v>57.03</v>
          </cell>
          <cell r="Q400">
            <v>1.3126689999999999</v>
          </cell>
          <cell r="R400" t="e">
            <v>#N/A</v>
          </cell>
        </row>
        <row r="401">
          <cell r="A401">
            <v>40049</v>
          </cell>
          <cell r="B401">
            <v>40049</v>
          </cell>
          <cell r="C401" t="str">
            <v>Past</v>
          </cell>
          <cell r="D401">
            <v>57.16</v>
          </cell>
          <cell r="E401" t="e">
            <v>#N/A</v>
          </cell>
          <cell r="F401" t="e">
            <v>#N/A</v>
          </cell>
          <cell r="G401" t="e">
            <v>#N/A</v>
          </cell>
          <cell r="H401" t="e">
            <v>#N/A</v>
          </cell>
          <cell r="I401" t="e">
            <v>#N/A</v>
          </cell>
          <cell r="J401" t="e">
            <v>#N/A</v>
          </cell>
          <cell r="K401" t="e">
            <v>#N/A</v>
          </cell>
          <cell r="L401" t="e">
            <v>#N/A</v>
          </cell>
          <cell r="M401" t="e">
            <v>#N/A</v>
          </cell>
          <cell r="N401" t="e">
            <v>#N/A</v>
          </cell>
          <cell r="O401" t="e">
            <v>#N/A</v>
          </cell>
          <cell r="P401">
            <v>57.16</v>
          </cell>
          <cell r="Q401">
            <v>0.77187600000000001</v>
          </cell>
          <cell r="R401" t="e">
            <v>#N/A</v>
          </cell>
        </row>
        <row r="402">
          <cell r="A402">
            <v>40050</v>
          </cell>
          <cell r="B402">
            <v>40050</v>
          </cell>
          <cell r="C402" t="str">
            <v>Past</v>
          </cell>
          <cell r="D402">
            <v>56.86</v>
          </cell>
          <cell r="E402" t="e">
            <v>#N/A</v>
          </cell>
          <cell r="F402" t="e">
            <v>#N/A</v>
          </cell>
          <cell r="G402" t="e">
            <v>#N/A</v>
          </cell>
          <cell r="H402" t="e">
            <v>#N/A</v>
          </cell>
          <cell r="I402" t="e">
            <v>#N/A</v>
          </cell>
          <cell r="J402" t="e">
            <v>#N/A</v>
          </cell>
          <cell r="K402" t="e">
            <v>#N/A</v>
          </cell>
          <cell r="L402" t="e">
            <v>#N/A</v>
          </cell>
          <cell r="M402" t="e">
            <v>#N/A</v>
          </cell>
          <cell r="N402" t="e">
            <v>#N/A</v>
          </cell>
          <cell r="O402" t="e">
            <v>#N/A</v>
          </cell>
          <cell r="P402">
            <v>56.86</v>
          </cell>
          <cell r="Q402">
            <v>1.2499169999999999</v>
          </cell>
          <cell r="R402" t="e">
            <v>#N/A</v>
          </cell>
        </row>
        <row r="403">
          <cell r="A403">
            <v>40051</v>
          </cell>
          <cell r="B403">
            <v>40051</v>
          </cell>
          <cell r="C403" t="str">
            <v>Past</v>
          </cell>
          <cell r="D403">
            <v>55.25</v>
          </cell>
          <cell r="E403" t="e">
            <v>#N/A</v>
          </cell>
          <cell r="F403" t="e">
            <v>#N/A</v>
          </cell>
          <cell r="G403" t="e">
            <v>#N/A</v>
          </cell>
          <cell r="H403" t="e">
            <v>#N/A</v>
          </cell>
          <cell r="I403" t="e">
            <v>#N/A</v>
          </cell>
          <cell r="J403" t="e">
            <v>#N/A</v>
          </cell>
          <cell r="K403" t="e">
            <v>#N/A</v>
          </cell>
          <cell r="L403" t="e">
            <v>#N/A</v>
          </cell>
          <cell r="M403" t="e">
            <v>#N/A</v>
          </cell>
          <cell r="N403" t="e">
            <v>#N/A</v>
          </cell>
          <cell r="O403" t="e">
            <v>#N/A</v>
          </cell>
          <cell r="P403">
            <v>55.25</v>
          </cell>
          <cell r="Q403">
            <v>1.1425609999999999</v>
          </cell>
          <cell r="R403" t="e">
            <v>#N/A</v>
          </cell>
        </row>
        <row r="404">
          <cell r="A404">
            <v>40052</v>
          </cell>
          <cell r="B404">
            <v>40052</v>
          </cell>
          <cell r="C404" t="str">
            <v>Past</v>
          </cell>
          <cell r="D404">
            <v>56.64</v>
          </cell>
          <cell r="E404" t="e">
            <v>#N/A</v>
          </cell>
          <cell r="F404" t="e">
            <v>#N/A</v>
          </cell>
          <cell r="G404" t="e">
            <v>#N/A</v>
          </cell>
          <cell r="H404" t="e">
            <v>#N/A</v>
          </cell>
          <cell r="I404" t="e">
            <v>#N/A</v>
          </cell>
          <cell r="J404" t="e">
            <v>#N/A</v>
          </cell>
          <cell r="K404" t="e">
            <v>#N/A</v>
          </cell>
          <cell r="L404" t="e">
            <v>#N/A</v>
          </cell>
          <cell r="M404" t="e">
            <v>#N/A</v>
          </cell>
          <cell r="N404" t="e">
            <v>#N/A</v>
          </cell>
          <cell r="O404" t="e">
            <v>#N/A</v>
          </cell>
          <cell r="P404">
            <v>56.64</v>
          </cell>
          <cell r="Q404">
            <v>1.9073279999999999</v>
          </cell>
          <cell r="R404" t="e">
            <v>#N/A</v>
          </cell>
        </row>
        <row r="405">
          <cell r="A405">
            <v>40053</v>
          </cell>
          <cell r="B405">
            <v>40053</v>
          </cell>
          <cell r="C405" t="str">
            <v>Past</v>
          </cell>
          <cell r="D405">
            <v>55.79</v>
          </cell>
          <cell r="E405" t="e">
            <v>#N/A</v>
          </cell>
          <cell r="F405" t="e">
            <v>#N/A</v>
          </cell>
          <cell r="G405" t="e">
            <v>#N/A</v>
          </cell>
          <cell r="H405" t="e">
            <v>#N/A</v>
          </cell>
          <cell r="I405" t="e">
            <v>#N/A</v>
          </cell>
          <cell r="J405" t="e">
            <v>#N/A</v>
          </cell>
          <cell r="K405" t="e">
            <v>#N/A</v>
          </cell>
          <cell r="L405" t="e">
            <v>#N/A</v>
          </cell>
          <cell r="M405" t="e">
            <v>#N/A</v>
          </cell>
          <cell r="N405" t="e">
            <v>#N/A</v>
          </cell>
          <cell r="O405" t="e">
            <v>#N/A</v>
          </cell>
          <cell r="P405">
            <v>55.79</v>
          </cell>
          <cell r="Q405">
            <v>0.83835499999999996</v>
          </cell>
          <cell r="R405" t="e">
            <v>#N/A</v>
          </cell>
        </row>
        <row r="406">
          <cell r="A406">
            <v>40056</v>
          </cell>
          <cell r="B406">
            <v>40056</v>
          </cell>
          <cell r="C406" t="str">
            <v>Past</v>
          </cell>
          <cell r="D406">
            <v>55.16</v>
          </cell>
          <cell r="E406" t="e">
            <v>#N/A</v>
          </cell>
          <cell r="F406" t="e">
            <v>#N/A</v>
          </cell>
          <cell r="G406" t="e">
            <v>#N/A</v>
          </cell>
          <cell r="H406" t="e">
            <v>#N/A</v>
          </cell>
          <cell r="I406" t="e">
            <v>#N/A</v>
          </cell>
          <cell r="J406" t="e">
            <v>#N/A</v>
          </cell>
          <cell r="K406" t="e">
            <v>#N/A</v>
          </cell>
          <cell r="L406" t="e">
            <v>#N/A</v>
          </cell>
          <cell r="M406" t="e">
            <v>#N/A</v>
          </cell>
          <cell r="N406" t="e">
            <v>#N/A</v>
          </cell>
          <cell r="O406" t="e">
            <v>#N/A</v>
          </cell>
          <cell r="P406">
            <v>55.16</v>
          </cell>
          <cell r="Q406">
            <v>0.75229000000000001</v>
          </cell>
          <cell r="R406" t="e">
            <v>#N/A</v>
          </cell>
        </row>
        <row r="407">
          <cell r="A407">
            <v>40057</v>
          </cell>
          <cell r="B407">
            <v>40057</v>
          </cell>
          <cell r="C407" t="str">
            <v>Past</v>
          </cell>
          <cell r="D407">
            <v>54.58</v>
          </cell>
          <cell r="E407" t="e">
            <v>#N/A</v>
          </cell>
          <cell r="F407" t="e">
            <v>#N/A</v>
          </cell>
          <cell r="G407" t="e">
            <v>#N/A</v>
          </cell>
          <cell r="H407" t="e">
            <v>#N/A</v>
          </cell>
          <cell r="I407" t="e">
            <v>#N/A</v>
          </cell>
          <cell r="J407" t="e">
            <v>#N/A</v>
          </cell>
          <cell r="K407" t="e">
            <v>#N/A</v>
          </cell>
          <cell r="L407" t="e">
            <v>#N/A</v>
          </cell>
          <cell r="M407" t="e">
            <v>#N/A</v>
          </cell>
          <cell r="N407" t="e">
            <v>#N/A</v>
          </cell>
          <cell r="O407" t="e">
            <v>#N/A</v>
          </cell>
          <cell r="P407">
            <v>54.58</v>
          </cell>
          <cell r="Q407">
            <v>1.374166</v>
          </cell>
          <cell r="R407" t="e">
            <v>#N/A</v>
          </cell>
        </row>
        <row r="408">
          <cell r="A408">
            <v>40058</v>
          </cell>
          <cell r="B408">
            <v>40058</v>
          </cell>
          <cell r="C408" t="str">
            <v>Past</v>
          </cell>
          <cell r="D408">
            <v>54</v>
          </cell>
          <cell r="E408" t="e">
            <v>#N/A</v>
          </cell>
          <cell r="F408" t="e">
            <v>#N/A</v>
          </cell>
          <cell r="G408" t="e">
            <v>#N/A</v>
          </cell>
          <cell r="H408" t="e">
            <v>#N/A</v>
          </cell>
          <cell r="I408" t="e">
            <v>#N/A</v>
          </cell>
          <cell r="J408" t="e">
            <v>#N/A</v>
          </cell>
          <cell r="K408" t="e">
            <v>#N/A</v>
          </cell>
          <cell r="L408" t="e">
            <v>#N/A</v>
          </cell>
          <cell r="M408" t="e">
            <v>#N/A</v>
          </cell>
          <cell r="N408" t="e">
            <v>#N/A</v>
          </cell>
          <cell r="O408" t="e">
            <v>#N/A</v>
          </cell>
          <cell r="P408">
            <v>54</v>
          </cell>
          <cell r="Q408">
            <v>0.90407799999999994</v>
          </cell>
          <cell r="R408" t="e">
            <v>#N/A</v>
          </cell>
        </row>
        <row r="409">
          <cell r="A409">
            <v>40059</v>
          </cell>
          <cell r="B409">
            <v>40059</v>
          </cell>
          <cell r="C409" t="str">
            <v>Past</v>
          </cell>
          <cell r="D409">
            <v>54.78</v>
          </cell>
          <cell r="E409" t="e">
            <v>#N/A</v>
          </cell>
          <cell r="F409" t="e">
            <v>#N/A</v>
          </cell>
          <cell r="G409" t="e">
            <v>#N/A</v>
          </cell>
          <cell r="H409" t="e">
            <v>#N/A</v>
          </cell>
          <cell r="I409" t="e">
            <v>#N/A</v>
          </cell>
          <cell r="J409" t="e">
            <v>#N/A</v>
          </cell>
          <cell r="K409" t="e">
            <v>#N/A</v>
          </cell>
          <cell r="L409" t="e">
            <v>#N/A</v>
          </cell>
          <cell r="M409" t="e">
            <v>#N/A</v>
          </cell>
          <cell r="N409" t="e">
            <v>#N/A</v>
          </cell>
          <cell r="O409" t="e">
            <v>#N/A</v>
          </cell>
          <cell r="P409">
            <v>54.78</v>
          </cell>
          <cell r="Q409">
            <v>0.80378699999999992</v>
          </cell>
          <cell r="R409" t="e">
            <v>#N/A</v>
          </cell>
        </row>
        <row r="410">
          <cell r="A410">
            <v>40060</v>
          </cell>
          <cell r="B410">
            <v>40060</v>
          </cell>
          <cell r="C410" t="str">
            <v>Past</v>
          </cell>
          <cell r="D410">
            <v>55.98</v>
          </cell>
          <cell r="E410" t="e">
            <v>#N/A</v>
          </cell>
          <cell r="F410" t="e">
            <v>#N/A</v>
          </cell>
          <cell r="G410" t="e">
            <v>#N/A</v>
          </cell>
          <cell r="H410" t="e">
            <v>#N/A</v>
          </cell>
          <cell r="I410" t="e">
            <v>#N/A</v>
          </cell>
          <cell r="J410" t="e">
            <v>#N/A</v>
          </cell>
          <cell r="K410" t="e">
            <v>#N/A</v>
          </cell>
          <cell r="L410" t="e">
            <v>#N/A</v>
          </cell>
          <cell r="M410" t="e">
            <v>#N/A</v>
          </cell>
          <cell r="N410" t="e">
            <v>#N/A</v>
          </cell>
          <cell r="O410" t="e">
            <v>#N/A</v>
          </cell>
          <cell r="P410">
            <v>55.98</v>
          </cell>
          <cell r="Q410">
            <v>0.74480400000000002</v>
          </cell>
          <cell r="R410" t="e">
            <v>#N/A</v>
          </cell>
        </row>
        <row r="411">
          <cell r="A411">
            <v>40064</v>
          </cell>
          <cell r="B411">
            <v>40064</v>
          </cell>
          <cell r="C411" t="str">
            <v>Past</v>
          </cell>
          <cell r="D411">
            <v>56.35</v>
          </cell>
          <cell r="E411" t="e">
            <v>#N/A</v>
          </cell>
          <cell r="F411" t="e">
            <v>#N/A</v>
          </cell>
          <cell r="G411" t="e">
            <v>#N/A</v>
          </cell>
          <cell r="H411" t="e">
            <v>#N/A</v>
          </cell>
          <cell r="I411" t="e">
            <v>#N/A</v>
          </cell>
          <cell r="J411" t="e">
            <v>#N/A</v>
          </cell>
          <cell r="K411" t="e">
            <v>#N/A</v>
          </cell>
          <cell r="L411" t="e">
            <v>#N/A</v>
          </cell>
          <cell r="M411" t="e">
            <v>#N/A</v>
          </cell>
          <cell r="N411" t="e">
            <v>#N/A</v>
          </cell>
          <cell r="O411" t="e">
            <v>#N/A</v>
          </cell>
          <cell r="P411">
            <v>56.35</v>
          </cell>
          <cell r="Q411">
            <v>1.2246169999999998</v>
          </cell>
          <cell r="R411" t="e">
            <v>#N/A</v>
          </cell>
        </row>
        <row r="412">
          <cell r="A412">
            <v>40065</v>
          </cell>
          <cell r="B412">
            <v>40065</v>
          </cell>
          <cell r="C412" t="str">
            <v>Past</v>
          </cell>
          <cell r="D412">
            <v>56.53</v>
          </cell>
          <cell r="E412" t="e">
            <v>#N/A</v>
          </cell>
          <cell r="F412" t="e">
            <v>#N/A</v>
          </cell>
          <cell r="G412" t="e">
            <v>#N/A</v>
          </cell>
          <cell r="H412" t="e">
            <v>#N/A</v>
          </cell>
          <cell r="I412" t="e">
            <v>#N/A</v>
          </cell>
          <cell r="J412" t="e">
            <v>#N/A</v>
          </cell>
          <cell r="K412" t="e">
            <v>#N/A</v>
          </cell>
          <cell r="L412" t="e">
            <v>#N/A</v>
          </cell>
          <cell r="M412" t="e">
            <v>#N/A</v>
          </cell>
          <cell r="N412" t="e">
            <v>#N/A</v>
          </cell>
          <cell r="O412" t="e">
            <v>#N/A</v>
          </cell>
          <cell r="P412">
            <v>56.53</v>
          </cell>
          <cell r="Q412">
            <v>0.81135599999999997</v>
          </cell>
          <cell r="R412" t="e">
            <v>#N/A</v>
          </cell>
        </row>
        <row r="413">
          <cell r="A413">
            <v>40066</v>
          </cell>
          <cell r="B413">
            <v>40066</v>
          </cell>
          <cell r="C413" t="str">
            <v>Past</v>
          </cell>
          <cell r="D413">
            <v>56.63</v>
          </cell>
          <cell r="E413" t="e">
            <v>#N/A</v>
          </cell>
          <cell r="F413" t="e">
            <v>#N/A</v>
          </cell>
          <cell r="G413" t="e">
            <v>#N/A</v>
          </cell>
          <cell r="H413" t="e">
            <v>#N/A</v>
          </cell>
          <cell r="I413" t="e">
            <v>#N/A</v>
          </cell>
          <cell r="J413" t="e">
            <v>#N/A</v>
          </cell>
          <cell r="K413" t="e">
            <v>#N/A</v>
          </cell>
          <cell r="L413" t="e">
            <v>#N/A</v>
          </cell>
          <cell r="M413" t="e">
            <v>#N/A</v>
          </cell>
          <cell r="N413" t="e">
            <v>#N/A</v>
          </cell>
          <cell r="O413" t="e">
            <v>#N/A</v>
          </cell>
          <cell r="P413">
            <v>56.63</v>
          </cell>
          <cell r="Q413">
            <v>1.4026529999999999</v>
          </cell>
          <cell r="R413" t="e">
            <v>#N/A</v>
          </cell>
        </row>
        <row r="414">
          <cell r="A414">
            <v>40067</v>
          </cell>
          <cell r="B414">
            <v>40067</v>
          </cell>
          <cell r="C414" t="str">
            <v>Past</v>
          </cell>
          <cell r="D414">
            <v>56.32</v>
          </cell>
          <cell r="E414" t="e">
            <v>#N/A</v>
          </cell>
          <cell r="F414" t="e">
            <v>#N/A</v>
          </cell>
          <cell r="G414" t="e">
            <v>#N/A</v>
          </cell>
          <cell r="H414" t="e">
            <v>#N/A</v>
          </cell>
          <cell r="I414" t="e">
            <v>#N/A</v>
          </cell>
          <cell r="J414" t="e">
            <v>#N/A</v>
          </cell>
          <cell r="K414" t="e">
            <v>#N/A</v>
          </cell>
          <cell r="L414" t="e">
            <v>#N/A</v>
          </cell>
          <cell r="M414" t="e">
            <v>#N/A</v>
          </cell>
          <cell r="N414" t="e">
            <v>#N/A</v>
          </cell>
          <cell r="O414" t="e">
            <v>#N/A</v>
          </cell>
          <cell r="P414">
            <v>56.32</v>
          </cell>
          <cell r="Q414">
            <v>0.69666600000000001</v>
          </cell>
          <cell r="R414" t="e">
            <v>#N/A</v>
          </cell>
        </row>
        <row r="415">
          <cell r="A415">
            <v>40070</v>
          </cell>
          <cell r="B415">
            <v>40070</v>
          </cell>
          <cell r="C415" t="str">
            <v>Past</v>
          </cell>
          <cell r="D415">
            <v>56.48</v>
          </cell>
          <cell r="E415" t="e">
            <v>#N/A</v>
          </cell>
          <cell r="F415" t="e">
            <v>#N/A</v>
          </cell>
          <cell r="G415" t="e">
            <v>#N/A</v>
          </cell>
          <cell r="H415" t="e">
            <v>#N/A</v>
          </cell>
          <cell r="I415" t="e">
            <v>#N/A</v>
          </cell>
          <cell r="J415" t="e">
            <v>#N/A</v>
          </cell>
          <cell r="K415" t="e">
            <v>#N/A</v>
          </cell>
          <cell r="L415" t="e">
            <v>#N/A</v>
          </cell>
          <cell r="M415" t="e">
            <v>#N/A</v>
          </cell>
          <cell r="N415" t="e">
            <v>#N/A</v>
          </cell>
          <cell r="O415" t="e">
            <v>#N/A</v>
          </cell>
          <cell r="P415">
            <v>56.48</v>
          </cell>
          <cell r="Q415">
            <v>0.94285699999999995</v>
          </cell>
          <cell r="R415" t="e">
            <v>#N/A</v>
          </cell>
        </row>
        <row r="416">
          <cell r="A416">
            <v>40071</v>
          </cell>
          <cell r="B416">
            <v>40071</v>
          </cell>
          <cell r="C416" t="str">
            <v>Past</v>
          </cell>
          <cell r="D416">
            <v>55.64</v>
          </cell>
          <cell r="E416" t="e">
            <v>#N/A</v>
          </cell>
          <cell r="F416" t="e">
            <v>#N/A</v>
          </cell>
          <cell r="G416" t="e">
            <v>#N/A</v>
          </cell>
          <cell r="H416" t="e">
            <v>#N/A</v>
          </cell>
          <cell r="I416" t="e">
            <v>#N/A</v>
          </cell>
          <cell r="J416" t="e">
            <v>#N/A</v>
          </cell>
          <cell r="K416" t="e">
            <v>#N/A</v>
          </cell>
          <cell r="L416" t="e">
            <v>#N/A</v>
          </cell>
          <cell r="M416" t="e">
            <v>#N/A</v>
          </cell>
          <cell r="N416" t="e">
            <v>#N/A</v>
          </cell>
          <cell r="O416" t="e">
            <v>#N/A</v>
          </cell>
          <cell r="P416">
            <v>55.64</v>
          </cell>
          <cell r="Q416">
            <v>1.4492600000000002</v>
          </cell>
          <cell r="R416" t="e">
            <v>#N/A</v>
          </cell>
        </row>
        <row r="417">
          <cell r="A417">
            <v>40072</v>
          </cell>
          <cell r="B417">
            <v>40072</v>
          </cell>
          <cell r="C417" t="str">
            <v>Past</v>
          </cell>
          <cell r="D417">
            <v>55.68</v>
          </cell>
          <cell r="E417" t="e">
            <v>#N/A</v>
          </cell>
          <cell r="F417" t="e">
            <v>#N/A</v>
          </cell>
          <cell r="G417" t="e">
            <v>#N/A</v>
          </cell>
          <cell r="H417" t="e">
            <v>#N/A</v>
          </cell>
          <cell r="I417" t="e">
            <v>#N/A</v>
          </cell>
          <cell r="J417" t="e">
            <v>#N/A</v>
          </cell>
          <cell r="K417" t="e">
            <v>#N/A</v>
          </cell>
          <cell r="L417" t="e">
            <v>#N/A</v>
          </cell>
          <cell r="M417" t="e">
            <v>#N/A</v>
          </cell>
          <cell r="N417" t="e">
            <v>#N/A</v>
          </cell>
          <cell r="O417" t="e">
            <v>#N/A</v>
          </cell>
          <cell r="P417">
            <v>55.68</v>
          </cell>
          <cell r="Q417">
            <v>1.5260929999999999</v>
          </cell>
          <cell r="R417" t="e">
            <v>#N/A</v>
          </cell>
        </row>
        <row r="418">
          <cell r="A418">
            <v>40073</v>
          </cell>
          <cell r="B418">
            <v>40073</v>
          </cell>
          <cell r="C418" t="str">
            <v>Past</v>
          </cell>
          <cell r="D418">
            <v>55.49</v>
          </cell>
          <cell r="E418" t="e">
            <v>#N/A</v>
          </cell>
          <cell r="F418" t="e">
            <v>#N/A</v>
          </cell>
          <cell r="G418" t="e">
            <v>#N/A</v>
          </cell>
          <cell r="H418" t="e">
            <v>#N/A</v>
          </cell>
          <cell r="I418" t="e">
            <v>#N/A</v>
          </cell>
          <cell r="J418" t="e">
            <v>#N/A</v>
          </cell>
          <cell r="K418" t="e">
            <v>#N/A</v>
          </cell>
          <cell r="L418" t="e">
            <v>#N/A</v>
          </cell>
          <cell r="M418" t="e">
            <v>#N/A</v>
          </cell>
          <cell r="N418" t="e">
            <v>#N/A</v>
          </cell>
          <cell r="O418" t="e">
            <v>#N/A</v>
          </cell>
          <cell r="P418">
            <v>55.49</v>
          </cell>
          <cell r="Q418">
            <v>2.450593</v>
          </cell>
          <cell r="R418" t="e">
            <v>#N/A</v>
          </cell>
        </row>
        <row r="419">
          <cell r="A419">
            <v>40074</v>
          </cell>
          <cell r="B419">
            <v>40074</v>
          </cell>
          <cell r="C419" t="str">
            <v>Past</v>
          </cell>
          <cell r="D419">
            <v>55.49</v>
          </cell>
          <cell r="E419" t="e">
            <v>#N/A</v>
          </cell>
          <cell r="F419" t="e">
            <v>#N/A</v>
          </cell>
          <cell r="G419" t="e">
            <v>#N/A</v>
          </cell>
          <cell r="H419" t="e">
            <v>#N/A</v>
          </cell>
          <cell r="I419" t="e">
            <v>#N/A</v>
          </cell>
          <cell r="J419" t="e">
            <v>#N/A</v>
          </cell>
          <cell r="K419" t="e">
            <v>#N/A</v>
          </cell>
          <cell r="L419" t="e">
            <v>#N/A</v>
          </cell>
          <cell r="M419" t="e">
            <v>#N/A</v>
          </cell>
          <cell r="N419" t="e">
            <v>#N/A</v>
          </cell>
          <cell r="O419" t="e">
            <v>#N/A</v>
          </cell>
          <cell r="P419">
            <v>55.49</v>
          </cell>
          <cell r="Q419">
            <v>1.640315</v>
          </cell>
          <cell r="R419" t="e">
            <v>#N/A</v>
          </cell>
        </row>
        <row r="420">
          <cell r="A420">
            <v>40077</v>
          </cell>
          <cell r="B420">
            <v>40077</v>
          </cell>
          <cell r="C420" t="str">
            <v>Past</v>
          </cell>
          <cell r="D420">
            <v>54.93</v>
          </cell>
          <cell r="E420" t="e">
            <v>#N/A</v>
          </cell>
          <cell r="F420" t="e">
            <v>#N/A</v>
          </cell>
          <cell r="G420" t="e">
            <v>#N/A</v>
          </cell>
          <cell r="H420" t="e">
            <v>#N/A</v>
          </cell>
          <cell r="I420" t="e">
            <v>#N/A</v>
          </cell>
          <cell r="J420" t="e">
            <v>#N/A</v>
          </cell>
          <cell r="K420" t="e">
            <v>#N/A</v>
          </cell>
          <cell r="L420" t="e">
            <v>#N/A</v>
          </cell>
          <cell r="M420" t="e">
            <v>#N/A</v>
          </cell>
          <cell r="N420" t="e">
            <v>#N/A</v>
          </cell>
          <cell r="O420" t="e">
            <v>#N/A</v>
          </cell>
          <cell r="P420">
            <v>54.93</v>
          </cell>
          <cell r="Q420">
            <v>1.0604829999999998</v>
          </cell>
          <cell r="R420" t="e">
            <v>#N/A</v>
          </cell>
        </row>
        <row r="421">
          <cell r="A421">
            <v>40078</v>
          </cell>
          <cell r="B421">
            <v>40078</v>
          </cell>
          <cell r="C421" t="str">
            <v>Past</v>
          </cell>
          <cell r="D421">
            <v>56.3</v>
          </cell>
          <cell r="E421" t="e">
            <v>#N/A</v>
          </cell>
          <cell r="F421" t="e">
            <v>#N/A</v>
          </cell>
          <cell r="G421" t="e">
            <v>#N/A</v>
          </cell>
          <cell r="H421" t="e">
            <v>#N/A</v>
          </cell>
          <cell r="I421" t="e">
            <v>#N/A</v>
          </cell>
          <cell r="J421" t="e">
            <v>#N/A</v>
          </cell>
          <cell r="K421" t="e">
            <v>#N/A</v>
          </cell>
          <cell r="L421" t="e">
            <v>#N/A</v>
          </cell>
          <cell r="M421" t="e">
            <v>#N/A</v>
          </cell>
          <cell r="N421" t="e">
            <v>#N/A</v>
          </cell>
          <cell r="O421" t="e">
            <v>#N/A</v>
          </cell>
          <cell r="P421">
            <v>56.3</v>
          </cell>
          <cell r="Q421">
            <v>1.6738189999999999</v>
          </cell>
          <cell r="R421" t="e">
            <v>#N/A</v>
          </cell>
        </row>
        <row r="422">
          <cell r="A422">
            <v>40079</v>
          </cell>
          <cell r="B422">
            <v>40079</v>
          </cell>
          <cell r="C422" t="str">
            <v>Past</v>
          </cell>
          <cell r="D422">
            <v>55.49</v>
          </cell>
          <cell r="E422" t="e">
            <v>#N/A</v>
          </cell>
          <cell r="F422" t="e">
            <v>#N/A</v>
          </cell>
          <cell r="G422" t="e">
            <v>#N/A</v>
          </cell>
          <cell r="H422" t="e">
            <v>#N/A</v>
          </cell>
          <cell r="I422" t="e">
            <v>#N/A</v>
          </cell>
          <cell r="J422" t="e">
            <v>#N/A</v>
          </cell>
          <cell r="K422" t="e">
            <v>#N/A</v>
          </cell>
          <cell r="L422" t="e">
            <v>#N/A</v>
          </cell>
          <cell r="M422" t="e">
            <v>#N/A</v>
          </cell>
          <cell r="N422" t="e">
            <v>#N/A</v>
          </cell>
          <cell r="O422" t="e">
            <v>#N/A</v>
          </cell>
          <cell r="P422">
            <v>55.49</v>
          </cell>
          <cell r="Q422">
            <v>1.0488700000000002</v>
          </cell>
          <cell r="R422" t="e">
            <v>#N/A</v>
          </cell>
        </row>
        <row r="423">
          <cell r="A423">
            <v>40080</v>
          </cell>
          <cell r="B423">
            <v>40080</v>
          </cell>
          <cell r="C423" t="str">
            <v>Past</v>
          </cell>
          <cell r="D423">
            <v>54.7</v>
          </cell>
          <cell r="E423" t="e">
            <v>#N/A</v>
          </cell>
          <cell r="F423" t="e">
            <v>#N/A</v>
          </cell>
          <cell r="G423" t="e">
            <v>#N/A</v>
          </cell>
          <cell r="H423" t="e">
            <v>#N/A</v>
          </cell>
          <cell r="I423" t="e">
            <v>#N/A</v>
          </cell>
          <cell r="J423" t="e">
            <v>#N/A</v>
          </cell>
          <cell r="K423" t="e">
            <v>#N/A</v>
          </cell>
          <cell r="L423" t="e">
            <v>#N/A</v>
          </cell>
          <cell r="M423" t="e">
            <v>#N/A</v>
          </cell>
          <cell r="N423" t="e">
            <v>#N/A</v>
          </cell>
          <cell r="O423" t="e">
            <v>#N/A</v>
          </cell>
          <cell r="P423">
            <v>54.7</v>
          </cell>
          <cell r="Q423">
            <v>0.95225499999999996</v>
          </cell>
          <cell r="R423" t="e">
            <v>#N/A</v>
          </cell>
        </row>
        <row r="424">
          <cell r="A424">
            <v>40081</v>
          </cell>
          <cell r="B424">
            <v>40081</v>
          </cell>
          <cell r="C424" t="str">
            <v>Past</v>
          </cell>
          <cell r="D424">
            <v>53.2</v>
          </cell>
          <cell r="E424" t="e">
            <v>#N/A</v>
          </cell>
          <cell r="F424" t="e">
            <v>#N/A</v>
          </cell>
          <cell r="G424" t="e">
            <v>#N/A</v>
          </cell>
          <cell r="H424" t="e">
            <v>#N/A</v>
          </cell>
          <cell r="I424" t="e">
            <v>#N/A</v>
          </cell>
          <cell r="J424" t="e">
            <v>#N/A</v>
          </cell>
          <cell r="K424" t="e">
            <v>#N/A</v>
          </cell>
          <cell r="L424" t="e">
            <v>#N/A</v>
          </cell>
          <cell r="M424" t="e">
            <v>#N/A</v>
          </cell>
          <cell r="N424" t="e">
            <v>#N/A</v>
          </cell>
          <cell r="O424" t="e">
            <v>#N/A</v>
          </cell>
          <cell r="P424">
            <v>53.2</v>
          </cell>
          <cell r="Q424">
            <v>2.5609539999999997</v>
          </cell>
          <cell r="R424" t="e">
            <v>#N/A</v>
          </cell>
        </row>
        <row r="425">
          <cell r="A425">
            <v>40084</v>
          </cell>
          <cell r="B425">
            <v>40084</v>
          </cell>
          <cell r="C425" t="str">
            <v>Past</v>
          </cell>
          <cell r="D425">
            <v>53.6</v>
          </cell>
          <cell r="E425" t="e">
            <v>#N/A</v>
          </cell>
          <cell r="F425" t="e">
            <v>#N/A</v>
          </cell>
          <cell r="G425" t="e">
            <v>#N/A</v>
          </cell>
          <cell r="H425" t="e">
            <v>#N/A</v>
          </cell>
          <cell r="I425" t="e">
            <v>#N/A</v>
          </cell>
          <cell r="J425" t="e">
            <v>#N/A</v>
          </cell>
          <cell r="K425" t="e">
            <v>#N/A</v>
          </cell>
          <cell r="L425" t="e">
            <v>#N/A</v>
          </cell>
          <cell r="M425" t="e">
            <v>#N/A</v>
          </cell>
          <cell r="N425" t="e">
            <v>#N/A</v>
          </cell>
          <cell r="O425" t="e">
            <v>#N/A</v>
          </cell>
          <cell r="P425">
            <v>53.6</v>
          </cell>
          <cell r="Q425">
            <v>1.1024200000000002</v>
          </cell>
          <cell r="R425" t="e">
            <v>#N/A</v>
          </cell>
        </row>
        <row r="426">
          <cell r="A426">
            <v>40085</v>
          </cell>
          <cell r="B426">
            <v>40085</v>
          </cell>
          <cell r="C426" t="str">
            <v>Past</v>
          </cell>
          <cell r="D426">
            <v>53.79</v>
          </cell>
          <cell r="E426" t="e">
            <v>#N/A</v>
          </cell>
          <cell r="F426" t="e">
            <v>#N/A</v>
          </cell>
          <cell r="G426" t="e">
            <v>#N/A</v>
          </cell>
          <cell r="H426" t="e">
            <v>#N/A</v>
          </cell>
          <cell r="I426" t="e">
            <v>#N/A</v>
          </cell>
          <cell r="J426" t="e">
            <v>#N/A</v>
          </cell>
          <cell r="K426" t="e">
            <v>#N/A</v>
          </cell>
          <cell r="L426" t="e">
            <v>#N/A</v>
          </cell>
          <cell r="M426" t="e">
            <v>#N/A</v>
          </cell>
          <cell r="N426" t="e">
            <v>#N/A</v>
          </cell>
          <cell r="O426" t="e">
            <v>#N/A</v>
          </cell>
          <cell r="P426">
            <v>53.79</v>
          </cell>
          <cell r="Q426">
            <v>2.5012149999999997</v>
          </cell>
          <cell r="R426" t="e">
            <v>#N/A</v>
          </cell>
        </row>
        <row r="427">
          <cell r="A427">
            <v>40086</v>
          </cell>
          <cell r="B427">
            <v>40086</v>
          </cell>
          <cell r="C427" t="str">
            <v>Past</v>
          </cell>
          <cell r="D427">
            <v>54.34</v>
          </cell>
          <cell r="E427" t="e">
            <v>#N/A</v>
          </cell>
          <cell r="F427" t="e">
            <v>#N/A</v>
          </cell>
          <cell r="G427" t="e">
            <v>#N/A</v>
          </cell>
          <cell r="H427" t="e">
            <v>#N/A</v>
          </cell>
          <cell r="I427" t="e">
            <v>#N/A</v>
          </cell>
          <cell r="J427" t="e">
            <v>#N/A</v>
          </cell>
          <cell r="K427" t="e">
            <v>#N/A</v>
          </cell>
          <cell r="L427" t="e">
            <v>#N/A</v>
          </cell>
          <cell r="M427" t="e">
            <v>#N/A</v>
          </cell>
          <cell r="N427" t="e">
            <v>#N/A</v>
          </cell>
          <cell r="O427" t="e">
            <v>#N/A</v>
          </cell>
          <cell r="P427">
            <v>54.34</v>
          </cell>
          <cell r="Q427">
            <v>1.7411269999999999</v>
          </cell>
          <cell r="R427" t="e">
            <v>#N/A</v>
          </cell>
        </row>
        <row r="428">
          <cell r="A428">
            <v>40087</v>
          </cell>
          <cell r="B428">
            <v>40087</v>
          </cell>
          <cell r="C428" t="str">
            <v>Past</v>
          </cell>
          <cell r="D428">
            <v>53.23</v>
          </cell>
          <cell r="E428" t="e">
            <v>#N/A</v>
          </cell>
          <cell r="F428" t="e">
            <v>#N/A</v>
          </cell>
          <cell r="G428" t="e">
            <v>#N/A</v>
          </cell>
          <cell r="H428" t="e">
            <v>#N/A</v>
          </cell>
          <cell r="I428" t="e">
            <v>#N/A</v>
          </cell>
          <cell r="J428" t="e">
            <v>#N/A</v>
          </cell>
          <cell r="K428" t="e">
            <v>#N/A</v>
          </cell>
          <cell r="L428" t="e">
            <v>#N/A</v>
          </cell>
          <cell r="M428" t="e">
            <v>#N/A</v>
          </cell>
          <cell r="N428" t="e">
            <v>#N/A</v>
          </cell>
          <cell r="O428" t="e">
            <v>#N/A</v>
          </cell>
          <cell r="P428">
            <v>53.23</v>
          </cell>
          <cell r="Q428">
            <v>1.281145</v>
          </cell>
          <cell r="R428" t="e">
            <v>#N/A</v>
          </cell>
        </row>
        <row r="429">
          <cell r="A429">
            <v>40088</v>
          </cell>
          <cell r="B429">
            <v>40088</v>
          </cell>
          <cell r="C429" t="str">
            <v>Past</v>
          </cell>
          <cell r="D429">
            <v>52.42</v>
          </cell>
          <cell r="E429" t="e">
            <v>#N/A</v>
          </cell>
          <cell r="F429" t="e">
            <v>#N/A</v>
          </cell>
          <cell r="G429" t="e">
            <v>#N/A</v>
          </cell>
          <cell r="H429" t="e">
            <v>#N/A</v>
          </cell>
          <cell r="I429" t="e">
            <v>#N/A</v>
          </cell>
          <cell r="J429" t="e">
            <v>#N/A</v>
          </cell>
          <cell r="K429" t="e">
            <v>#N/A</v>
          </cell>
          <cell r="L429" t="e">
            <v>#N/A</v>
          </cell>
          <cell r="M429" t="e">
            <v>#N/A</v>
          </cell>
          <cell r="N429" t="e">
            <v>#N/A</v>
          </cell>
          <cell r="O429" t="e">
            <v>#N/A</v>
          </cell>
          <cell r="P429">
            <v>52.42</v>
          </cell>
          <cell r="Q429">
            <v>0.88901699999999995</v>
          </cell>
          <cell r="R429" t="e">
            <v>#N/A</v>
          </cell>
        </row>
        <row r="430">
          <cell r="A430">
            <v>40091</v>
          </cell>
          <cell r="B430">
            <v>40091</v>
          </cell>
          <cell r="C430" t="str">
            <v>Past</v>
          </cell>
          <cell r="D430">
            <v>53.6</v>
          </cell>
          <cell r="E430" t="e">
            <v>#N/A</v>
          </cell>
          <cell r="F430" t="e">
            <v>#N/A</v>
          </cell>
          <cell r="G430" t="e">
            <v>#N/A</v>
          </cell>
          <cell r="H430" t="e">
            <v>#N/A</v>
          </cell>
          <cell r="I430" t="e">
            <v>#N/A</v>
          </cell>
          <cell r="J430" t="e">
            <v>#N/A</v>
          </cell>
          <cell r="K430" t="e">
            <v>#N/A</v>
          </cell>
          <cell r="L430" t="e">
            <v>#N/A</v>
          </cell>
          <cell r="M430" t="e">
            <v>#N/A</v>
          </cell>
          <cell r="N430" t="e">
            <v>#N/A</v>
          </cell>
          <cell r="O430" t="e">
            <v>#N/A</v>
          </cell>
          <cell r="P430">
            <v>53.6</v>
          </cell>
          <cell r="Q430">
            <v>0.98442399999999997</v>
          </cell>
          <cell r="R430" t="e">
            <v>#N/A</v>
          </cell>
        </row>
        <row r="431">
          <cell r="A431">
            <v>40092</v>
          </cell>
          <cell r="B431">
            <v>40092</v>
          </cell>
          <cell r="C431" t="str">
            <v>Past</v>
          </cell>
          <cell r="D431">
            <v>53.09</v>
          </cell>
          <cell r="E431" t="e">
            <v>#N/A</v>
          </cell>
          <cell r="F431" t="e">
            <v>#N/A</v>
          </cell>
          <cell r="G431" t="e">
            <v>#N/A</v>
          </cell>
          <cell r="H431" t="e">
            <v>#N/A</v>
          </cell>
          <cell r="I431" t="e">
            <v>#N/A</v>
          </cell>
          <cell r="J431" t="e">
            <v>#N/A</v>
          </cell>
          <cell r="K431" t="e">
            <v>#N/A</v>
          </cell>
          <cell r="L431" t="e">
            <v>#N/A</v>
          </cell>
          <cell r="M431" t="e">
            <v>#N/A</v>
          </cell>
          <cell r="N431" t="e">
            <v>#N/A</v>
          </cell>
          <cell r="O431" t="e">
            <v>#N/A</v>
          </cell>
          <cell r="P431">
            <v>53.09</v>
          </cell>
          <cell r="Q431">
            <v>1.9917809999999998</v>
          </cell>
          <cell r="R431" t="e">
            <v>#N/A</v>
          </cell>
        </row>
        <row r="432">
          <cell r="A432">
            <v>40093</v>
          </cell>
          <cell r="B432">
            <v>40093</v>
          </cell>
          <cell r="C432" t="str">
            <v>Past</v>
          </cell>
          <cell r="D432">
            <v>53.33</v>
          </cell>
          <cell r="E432" t="e">
            <v>#N/A</v>
          </cell>
          <cell r="F432" t="e">
            <v>#N/A</v>
          </cell>
          <cell r="G432" t="e">
            <v>#N/A</v>
          </cell>
          <cell r="H432" t="e">
            <v>#N/A</v>
          </cell>
          <cell r="I432" t="e">
            <v>#N/A</v>
          </cell>
          <cell r="J432" t="e">
            <v>#N/A</v>
          </cell>
          <cell r="K432" t="e">
            <v>#N/A</v>
          </cell>
          <cell r="L432" t="e">
            <v>#N/A</v>
          </cell>
          <cell r="M432" t="e">
            <v>#N/A</v>
          </cell>
          <cell r="N432" t="e">
            <v>#N/A</v>
          </cell>
          <cell r="O432" t="e">
            <v>#N/A</v>
          </cell>
          <cell r="P432">
            <v>53.33</v>
          </cell>
          <cell r="Q432">
            <v>1.6187049999999998</v>
          </cell>
          <cell r="R432" t="e">
            <v>#N/A</v>
          </cell>
        </row>
        <row r="433">
          <cell r="A433">
            <v>40094</v>
          </cell>
          <cell r="B433">
            <v>40094</v>
          </cell>
          <cell r="C433" t="str">
            <v>Past</v>
          </cell>
          <cell r="D433">
            <v>53.31</v>
          </cell>
          <cell r="E433" t="e">
            <v>#N/A</v>
          </cell>
          <cell r="F433" t="e">
            <v>#N/A</v>
          </cell>
          <cell r="G433" t="e">
            <v>#N/A</v>
          </cell>
          <cell r="H433" t="e">
            <v>#N/A</v>
          </cell>
          <cell r="I433" t="e">
            <v>#N/A</v>
          </cell>
          <cell r="J433" t="e">
            <v>#N/A</v>
          </cell>
          <cell r="K433" t="e">
            <v>#N/A</v>
          </cell>
          <cell r="L433" t="e">
            <v>#N/A</v>
          </cell>
          <cell r="M433" t="e">
            <v>#N/A</v>
          </cell>
          <cell r="N433" t="e">
            <v>#N/A</v>
          </cell>
          <cell r="O433" t="e">
            <v>#N/A</v>
          </cell>
          <cell r="P433">
            <v>53.31</v>
          </cell>
          <cell r="Q433">
            <v>2.6665719999999999</v>
          </cell>
          <cell r="R433" t="e">
            <v>#N/A</v>
          </cell>
        </row>
        <row r="434">
          <cell r="A434">
            <v>40095</v>
          </cell>
          <cell r="B434">
            <v>40095</v>
          </cell>
          <cell r="C434" t="str">
            <v>Past</v>
          </cell>
          <cell r="D434">
            <v>55.2</v>
          </cell>
          <cell r="E434" t="e">
            <v>#N/A</v>
          </cell>
          <cell r="F434" t="e">
            <v>#N/A</v>
          </cell>
          <cell r="G434" t="e">
            <v>#N/A</v>
          </cell>
          <cell r="H434" t="e">
            <v>#N/A</v>
          </cell>
          <cell r="I434" t="e">
            <v>#N/A</v>
          </cell>
          <cell r="J434" t="e">
            <v>#N/A</v>
          </cell>
          <cell r="K434" t="e">
            <v>#N/A</v>
          </cell>
          <cell r="L434" t="e">
            <v>#N/A</v>
          </cell>
          <cell r="M434" t="e">
            <v>#N/A</v>
          </cell>
          <cell r="N434" t="e">
            <v>#N/A</v>
          </cell>
          <cell r="O434" t="e">
            <v>#N/A</v>
          </cell>
          <cell r="P434">
            <v>55.2</v>
          </cell>
          <cell r="Q434">
            <v>1.641208</v>
          </cell>
          <cell r="R434" t="e">
            <v>#N/A</v>
          </cell>
        </row>
        <row r="435">
          <cell r="A435">
            <v>40098</v>
          </cell>
          <cell r="B435">
            <v>40098</v>
          </cell>
          <cell r="C435" t="str">
            <v>Past</v>
          </cell>
          <cell r="D435">
            <v>54.83</v>
          </cell>
          <cell r="E435" t="e">
            <v>#N/A</v>
          </cell>
          <cell r="F435" t="e">
            <v>#N/A</v>
          </cell>
          <cell r="G435" t="e">
            <v>#N/A</v>
          </cell>
          <cell r="H435" t="e">
            <v>#N/A</v>
          </cell>
          <cell r="I435" t="e">
            <v>#N/A</v>
          </cell>
          <cell r="J435" t="e">
            <v>#N/A</v>
          </cell>
          <cell r="K435" t="e">
            <v>#N/A</v>
          </cell>
          <cell r="L435" t="e">
            <v>#N/A</v>
          </cell>
          <cell r="M435" t="e">
            <v>#N/A</v>
          </cell>
          <cell r="N435" t="e">
            <v>#N/A</v>
          </cell>
          <cell r="O435" t="e">
            <v>#N/A</v>
          </cell>
          <cell r="P435">
            <v>54.83</v>
          </cell>
          <cell r="Q435">
            <v>0.98768899999999993</v>
          </cell>
          <cell r="R435" t="e">
            <v>#N/A</v>
          </cell>
        </row>
        <row r="436">
          <cell r="A436">
            <v>40099</v>
          </cell>
          <cell r="B436">
            <v>40099</v>
          </cell>
          <cell r="C436" t="str">
            <v>Past</v>
          </cell>
          <cell r="D436">
            <v>55.3</v>
          </cell>
          <cell r="E436" t="e">
            <v>#N/A</v>
          </cell>
          <cell r="F436" t="e">
            <v>#N/A</v>
          </cell>
          <cell r="G436" t="e">
            <v>#N/A</v>
          </cell>
          <cell r="H436" t="e">
            <v>#N/A</v>
          </cell>
          <cell r="I436" t="e">
            <v>#N/A</v>
          </cell>
          <cell r="J436" t="e">
            <v>#N/A</v>
          </cell>
          <cell r="K436" t="e">
            <v>#N/A</v>
          </cell>
          <cell r="L436" t="e">
            <v>#N/A</v>
          </cell>
          <cell r="M436" t="e">
            <v>#N/A</v>
          </cell>
          <cell r="N436" t="e">
            <v>#N/A</v>
          </cell>
          <cell r="O436" t="e">
            <v>#N/A</v>
          </cell>
          <cell r="P436">
            <v>55.3</v>
          </cell>
          <cell r="Q436">
            <v>0.88792599999999999</v>
          </cell>
          <cell r="R436" t="e">
            <v>#N/A</v>
          </cell>
        </row>
        <row r="437">
          <cell r="A437">
            <v>40100</v>
          </cell>
          <cell r="B437">
            <v>40100</v>
          </cell>
          <cell r="C437" t="str">
            <v>Past</v>
          </cell>
          <cell r="D437">
            <v>56.99</v>
          </cell>
          <cell r="E437" t="e">
            <v>#N/A</v>
          </cell>
          <cell r="F437" t="e">
            <v>#N/A</v>
          </cell>
          <cell r="G437" t="e">
            <v>#N/A</v>
          </cell>
          <cell r="H437" t="e">
            <v>#N/A</v>
          </cell>
          <cell r="I437" t="e">
            <v>#N/A</v>
          </cell>
          <cell r="J437" t="e">
            <v>#N/A</v>
          </cell>
          <cell r="K437" t="e">
            <v>#N/A</v>
          </cell>
          <cell r="L437" t="e">
            <v>#N/A</v>
          </cell>
          <cell r="M437" t="e">
            <v>#N/A</v>
          </cell>
          <cell r="N437" t="e">
            <v>#N/A</v>
          </cell>
          <cell r="O437" t="e">
            <v>#N/A</v>
          </cell>
          <cell r="P437">
            <v>56.99</v>
          </cell>
          <cell r="Q437">
            <v>1.4675509999999998</v>
          </cell>
          <cell r="R437" t="e">
            <v>#N/A</v>
          </cell>
        </row>
        <row r="438">
          <cell r="A438">
            <v>40101</v>
          </cell>
          <cell r="B438">
            <v>40101</v>
          </cell>
          <cell r="C438" t="str">
            <v>Past</v>
          </cell>
          <cell r="D438">
            <v>56.47</v>
          </cell>
          <cell r="E438" t="e">
            <v>#N/A</v>
          </cell>
          <cell r="F438" t="e">
            <v>#N/A</v>
          </cell>
          <cell r="G438" t="e">
            <v>#N/A</v>
          </cell>
          <cell r="H438" t="e">
            <v>#N/A</v>
          </cell>
          <cell r="I438" t="e">
            <v>#N/A</v>
          </cell>
          <cell r="J438" t="e">
            <v>#N/A</v>
          </cell>
          <cell r="K438" t="e">
            <v>#N/A</v>
          </cell>
          <cell r="L438" t="e">
            <v>#N/A</v>
          </cell>
          <cell r="M438" t="e">
            <v>#N/A</v>
          </cell>
          <cell r="N438" t="e">
            <v>#N/A</v>
          </cell>
          <cell r="O438" t="e">
            <v>#N/A</v>
          </cell>
          <cell r="P438">
            <v>56.47</v>
          </cell>
          <cell r="Q438">
            <v>1.388747</v>
          </cell>
          <cell r="R438" t="e">
            <v>#N/A</v>
          </cell>
        </row>
        <row r="439">
          <cell r="A439">
            <v>40102</v>
          </cell>
          <cell r="B439">
            <v>40102</v>
          </cell>
          <cell r="C439" t="str">
            <v>Past</v>
          </cell>
          <cell r="D439">
            <v>57.16</v>
          </cell>
          <cell r="E439" t="e">
            <v>#N/A</v>
          </cell>
          <cell r="F439" t="e">
            <v>#N/A</v>
          </cell>
          <cell r="G439" t="e">
            <v>#N/A</v>
          </cell>
          <cell r="H439" t="e">
            <v>#N/A</v>
          </cell>
          <cell r="I439" t="e">
            <v>#N/A</v>
          </cell>
          <cell r="J439" t="e">
            <v>#N/A</v>
          </cell>
          <cell r="K439" t="e">
            <v>#N/A</v>
          </cell>
          <cell r="L439" t="e">
            <v>#N/A</v>
          </cell>
          <cell r="M439" t="e">
            <v>#N/A</v>
          </cell>
          <cell r="N439" t="e">
            <v>#N/A</v>
          </cell>
          <cell r="O439" t="e">
            <v>#N/A</v>
          </cell>
          <cell r="P439">
            <v>57.16</v>
          </cell>
          <cell r="Q439">
            <v>1.3627289999999999</v>
          </cell>
          <cell r="R439" t="e">
            <v>#N/A</v>
          </cell>
        </row>
        <row r="440">
          <cell r="A440">
            <v>40105</v>
          </cell>
          <cell r="B440">
            <v>40105</v>
          </cell>
          <cell r="C440" t="str">
            <v>Past</v>
          </cell>
          <cell r="D440">
            <v>57.86</v>
          </cell>
          <cell r="E440" t="e">
            <v>#N/A</v>
          </cell>
          <cell r="F440" t="e">
            <v>#N/A</v>
          </cell>
          <cell r="G440" t="e">
            <v>#N/A</v>
          </cell>
          <cell r="H440" t="e">
            <v>#N/A</v>
          </cell>
          <cell r="I440" t="e">
            <v>#N/A</v>
          </cell>
          <cell r="J440" t="e">
            <v>#N/A</v>
          </cell>
          <cell r="K440" t="e">
            <v>#N/A</v>
          </cell>
          <cell r="L440" t="e">
            <v>#N/A</v>
          </cell>
          <cell r="M440" t="e">
            <v>#N/A</v>
          </cell>
          <cell r="N440" t="e">
            <v>#N/A</v>
          </cell>
          <cell r="O440" t="e">
            <v>#N/A</v>
          </cell>
          <cell r="P440">
            <v>57.86</v>
          </cell>
          <cell r="Q440">
            <v>1.392347</v>
          </cell>
          <cell r="R440" t="e">
            <v>#N/A</v>
          </cell>
        </row>
        <row r="441">
          <cell r="A441">
            <v>40106</v>
          </cell>
          <cell r="B441">
            <v>40106</v>
          </cell>
          <cell r="C441" t="str">
            <v>Past</v>
          </cell>
          <cell r="D441">
            <v>55.39</v>
          </cell>
          <cell r="E441" t="e">
            <v>#N/A</v>
          </cell>
          <cell r="F441" t="e">
            <v>#N/A</v>
          </cell>
          <cell r="G441" t="e">
            <v>#N/A</v>
          </cell>
          <cell r="H441" t="e">
            <v>#N/A</v>
          </cell>
          <cell r="I441" t="e">
            <v>#N/A</v>
          </cell>
          <cell r="J441" t="e">
            <v>#N/A</v>
          </cell>
          <cell r="K441" t="e">
            <v>#N/A</v>
          </cell>
          <cell r="L441" t="e">
            <v>#N/A</v>
          </cell>
          <cell r="M441" t="e">
            <v>#N/A</v>
          </cell>
          <cell r="N441" t="e">
            <v>#N/A</v>
          </cell>
          <cell r="O441" t="e">
            <v>#N/A</v>
          </cell>
          <cell r="P441">
            <v>55.39</v>
          </cell>
          <cell r="Q441">
            <v>2.1947359999999998</v>
          </cell>
          <cell r="R441" t="e">
            <v>#N/A</v>
          </cell>
        </row>
        <row r="442">
          <cell r="A442">
            <v>40107</v>
          </cell>
          <cell r="B442">
            <v>40107</v>
          </cell>
          <cell r="C442" t="str">
            <v>Past</v>
          </cell>
          <cell r="D442">
            <v>54.65</v>
          </cell>
          <cell r="E442" t="e">
            <v>#N/A</v>
          </cell>
          <cell r="F442" t="e">
            <v>#N/A</v>
          </cell>
          <cell r="G442" t="e">
            <v>#N/A</v>
          </cell>
          <cell r="H442" t="e">
            <v>#N/A</v>
          </cell>
          <cell r="I442" t="e">
            <v>#N/A</v>
          </cell>
          <cell r="J442" t="e">
            <v>#N/A</v>
          </cell>
          <cell r="K442" t="e">
            <v>#N/A</v>
          </cell>
          <cell r="L442" t="e">
            <v>#N/A</v>
          </cell>
          <cell r="M442" t="e">
            <v>#N/A</v>
          </cell>
          <cell r="N442" t="e">
            <v>#N/A</v>
          </cell>
          <cell r="O442" t="e">
            <v>#N/A</v>
          </cell>
          <cell r="P442">
            <v>54.65</v>
          </cell>
          <cell r="Q442">
            <v>2.170067</v>
          </cell>
          <cell r="R442" t="e">
            <v>#N/A</v>
          </cell>
        </row>
        <row r="443">
          <cell r="A443">
            <v>40108</v>
          </cell>
          <cell r="B443">
            <v>40108</v>
          </cell>
          <cell r="C443" t="str">
            <v>Past</v>
          </cell>
          <cell r="D443">
            <v>58.57</v>
          </cell>
          <cell r="E443" t="e">
            <v>#N/A</v>
          </cell>
          <cell r="F443" t="e">
            <v>#N/A</v>
          </cell>
          <cell r="G443" t="e">
            <v>#N/A</v>
          </cell>
          <cell r="H443" t="e">
            <v>#N/A</v>
          </cell>
          <cell r="I443" t="e">
            <v>#N/A</v>
          </cell>
          <cell r="J443" t="e">
            <v>#N/A</v>
          </cell>
          <cell r="K443" t="e">
            <v>#N/A</v>
          </cell>
          <cell r="L443" t="e">
            <v>#N/A</v>
          </cell>
          <cell r="M443" t="e">
            <v>#N/A</v>
          </cell>
          <cell r="N443" t="e">
            <v>#N/A</v>
          </cell>
          <cell r="O443" t="e">
            <v>#N/A</v>
          </cell>
          <cell r="P443">
            <v>58.57</v>
          </cell>
          <cell r="Q443">
            <v>4.8774879999999996</v>
          </cell>
          <cell r="R443" t="e">
            <v>#N/A</v>
          </cell>
        </row>
        <row r="444">
          <cell r="A444">
            <v>40109</v>
          </cell>
          <cell r="B444">
            <v>40109</v>
          </cell>
          <cell r="C444" t="str">
            <v>Past</v>
          </cell>
          <cell r="D444">
            <v>57.44</v>
          </cell>
          <cell r="E444" t="e">
            <v>#N/A</v>
          </cell>
          <cell r="F444" t="e">
            <v>#N/A</v>
          </cell>
          <cell r="G444" t="e">
            <v>#N/A</v>
          </cell>
          <cell r="H444" t="e">
            <v>#N/A</v>
          </cell>
          <cell r="I444" t="e">
            <v>#N/A</v>
          </cell>
          <cell r="J444" t="e">
            <v>#N/A</v>
          </cell>
          <cell r="K444" t="e">
            <v>#N/A</v>
          </cell>
          <cell r="L444" t="e">
            <v>#N/A</v>
          </cell>
          <cell r="M444" t="e">
            <v>#N/A</v>
          </cell>
          <cell r="N444" t="e">
            <v>#N/A</v>
          </cell>
          <cell r="O444" t="e">
            <v>#N/A</v>
          </cell>
          <cell r="P444">
            <v>57.44</v>
          </cell>
          <cell r="Q444">
            <v>2.143316</v>
          </cell>
          <cell r="R444" t="e">
            <v>#N/A</v>
          </cell>
        </row>
        <row r="445">
          <cell r="A445">
            <v>40112</v>
          </cell>
          <cell r="B445">
            <v>40112</v>
          </cell>
          <cell r="C445" t="str">
            <v>Past</v>
          </cell>
          <cell r="D445">
            <v>57.68</v>
          </cell>
          <cell r="E445" t="e">
            <v>#N/A</v>
          </cell>
          <cell r="F445" t="e">
            <v>#N/A</v>
          </cell>
          <cell r="G445" t="e">
            <v>#N/A</v>
          </cell>
          <cell r="H445" t="e">
            <v>#N/A</v>
          </cell>
          <cell r="I445" t="e">
            <v>#N/A</v>
          </cell>
          <cell r="J445" t="e">
            <v>#N/A</v>
          </cell>
          <cell r="K445" t="e">
            <v>#N/A</v>
          </cell>
          <cell r="L445" t="e">
            <v>#N/A</v>
          </cell>
          <cell r="M445" t="e">
            <v>#N/A</v>
          </cell>
          <cell r="N445" t="e">
            <v>#N/A</v>
          </cell>
          <cell r="O445" t="e">
            <v>#N/A</v>
          </cell>
          <cell r="P445">
            <v>57.68</v>
          </cell>
          <cell r="Q445">
            <v>1.604779</v>
          </cell>
          <cell r="R445" t="e">
            <v>#N/A</v>
          </cell>
        </row>
        <row r="446">
          <cell r="A446">
            <v>40113</v>
          </cell>
          <cell r="B446">
            <v>40113</v>
          </cell>
          <cell r="C446" t="str">
            <v>Past</v>
          </cell>
          <cell r="D446">
            <v>55.79</v>
          </cell>
          <cell r="E446" t="e">
            <v>#N/A</v>
          </cell>
          <cell r="F446" t="e">
            <v>#N/A</v>
          </cell>
          <cell r="G446" t="e">
            <v>#N/A</v>
          </cell>
          <cell r="H446" t="e">
            <v>#N/A</v>
          </cell>
          <cell r="I446" t="e">
            <v>#N/A</v>
          </cell>
          <cell r="J446" t="e">
            <v>#N/A</v>
          </cell>
          <cell r="K446" t="e">
            <v>#N/A</v>
          </cell>
          <cell r="L446" t="e">
            <v>#N/A</v>
          </cell>
          <cell r="M446" t="e">
            <v>#N/A</v>
          </cell>
          <cell r="N446" t="e">
            <v>#N/A</v>
          </cell>
          <cell r="O446" t="e">
            <v>#N/A</v>
          </cell>
          <cell r="P446">
            <v>55.79</v>
          </cell>
          <cell r="Q446">
            <v>2.2422200000000001</v>
          </cell>
          <cell r="R446" t="e">
            <v>#N/A</v>
          </cell>
        </row>
        <row r="447">
          <cell r="A447">
            <v>40114</v>
          </cell>
          <cell r="B447">
            <v>40114</v>
          </cell>
          <cell r="C447" t="str">
            <v>Past</v>
          </cell>
          <cell r="D447">
            <v>53.68</v>
          </cell>
          <cell r="E447" t="e">
            <v>#N/A</v>
          </cell>
          <cell r="F447" t="e">
            <v>#N/A</v>
          </cell>
          <cell r="G447" t="e">
            <v>#N/A</v>
          </cell>
          <cell r="H447" t="e">
            <v>#N/A</v>
          </cell>
          <cell r="I447" t="e">
            <v>#N/A</v>
          </cell>
          <cell r="J447" t="e">
            <v>#N/A</v>
          </cell>
          <cell r="K447" t="e">
            <v>#N/A</v>
          </cell>
          <cell r="L447" t="e">
            <v>#N/A</v>
          </cell>
          <cell r="M447" t="e">
            <v>#N/A</v>
          </cell>
          <cell r="N447" t="e">
            <v>#N/A</v>
          </cell>
          <cell r="O447" t="e">
            <v>#N/A</v>
          </cell>
          <cell r="P447">
            <v>53.68</v>
          </cell>
          <cell r="Q447">
            <v>2.167926</v>
          </cell>
          <cell r="R447" t="e">
            <v>#N/A</v>
          </cell>
        </row>
        <row r="448">
          <cell r="A448">
            <v>40115</v>
          </cell>
          <cell r="B448">
            <v>40115</v>
          </cell>
          <cell r="C448" t="str">
            <v>Past</v>
          </cell>
          <cell r="D448">
            <v>55.65</v>
          </cell>
          <cell r="E448" t="e">
            <v>#N/A</v>
          </cell>
          <cell r="F448" t="e">
            <v>#N/A</v>
          </cell>
          <cell r="G448" t="e">
            <v>#N/A</v>
          </cell>
          <cell r="H448" t="e">
            <v>#N/A</v>
          </cell>
          <cell r="I448" t="e">
            <v>#N/A</v>
          </cell>
          <cell r="J448" t="e">
            <v>#N/A</v>
          </cell>
          <cell r="K448" t="e">
            <v>#N/A</v>
          </cell>
          <cell r="L448" t="e">
            <v>#N/A</v>
          </cell>
          <cell r="M448" t="e">
            <v>#N/A</v>
          </cell>
          <cell r="N448" t="e">
            <v>#N/A</v>
          </cell>
          <cell r="O448" t="e">
            <v>#N/A</v>
          </cell>
          <cell r="P448">
            <v>55.65</v>
          </cell>
          <cell r="Q448">
            <v>2.0557000000000003</v>
          </cell>
          <cell r="R448" t="e">
            <v>#N/A</v>
          </cell>
        </row>
        <row r="449">
          <cell r="A449">
            <v>40116</v>
          </cell>
          <cell r="B449">
            <v>40116</v>
          </cell>
          <cell r="C449" t="str">
            <v>Past</v>
          </cell>
          <cell r="D449">
            <v>54.35</v>
          </cell>
          <cell r="E449" t="e">
            <v>#N/A</v>
          </cell>
          <cell r="F449" t="e">
            <v>#N/A</v>
          </cell>
          <cell r="G449" t="e">
            <v>#N/A</v>
          </cell>
          <cell r="H449" t="e">
            <v>#N/A</v>
          </cell>
          <cell r="I449" t="e">
            <v>#N/A</v>
          </cell>
          <cell r="J449" t="e">
            <v>#N/A</v>
          </cell>
          <cell r="K449" t="e">
            <v>#N/A</v>
          </cell>
          <cell r="L449" t="e">
            <v>#N/A</v>
          </cell>
          <cell r="M449" t="e">
            <v>#N/A</v>
          </cell>
          <cell r="N449" t="e">
            <v>#N/A</v>
          </cell>
          <cell r="O449" t="e">
            <v>#N/A</v>
          </cell>
          <cell r="P449">
            <v>54.35</v>
          </cell>
          <cell r="Q449">
            <v>1.940253</v>
          </cell>
          <cell r="R449" t="e">
            <v>#N/A</v>
          </cell>
        </row>
        <row r="450">
          <cell r="A450">
            <v>40119</v>
          </cell>
          <cell r="B450">
            <v>40119</v>
          </cell>
          <cell r="C450" t="str">
            <v>Past</v>
          </cell>
          <cell r="D450">
            <v>55.1</v>
          </cell>
          <cell r="E450" t="e">
            <v>#N/A</v>
          </cell>
          <cell r="F450" t="e">
            <v>#N/A</v>
          </cell>
          <cell r="G450" t="e">
            <v>#N/A</v>
          </cell>
          <cell r="H450" t="e">
            <v>#N/A</v>
          </cell>
          <cell r="I450" t="e">
            <v>#N/A</v>
          </cell>
          <cell r="J450" t="e">
            <v>#N/A</v>
          </cell>
          <cell r="K450" t="e">
            <v>#N/A</v>
          </cell>
          <cell r="L450" t="e">
            <v>#N/A</v>
          </cell>
          <cell r="M450" t="e">
            <v>#N/A</v>
          </cell>
          <cell r="N450" t="e">
            <v>#N/A</v>
          </cell>
          <cell r="O450" t="e">
            <v>#N/A</v>
          </cell>
          <cell r="P450">
            <v>55.1</v>
          </cell>
          <cell r="Q450">
            <v>2.5668919999999997</v>
          </cell>
          <cell r="R450" t="e">
            <v>#N/A</v>
          </cell>
        </row>
        <row r="451">
          <cell r="A451">
            <v>40120</v>
          </cell>
          <cell r="B451">
            <v>40120</v>
          </cell>
          <cell r="C451" t="str">
            <v>Past</v>
          </cell>
          <cell r="D451">
            <v>55.01</v>
          </cell>
          <cell r="E451" t="e">
            <v>#N/A</v>
          </cell>
          <cell r="F451" t="e">
            <v>#N/A</v>
          </cell>
          <cell r="G451" t="e">
            <v>#N/A</v>
          </cell>
          <cell r="H451" t="e">
            <v>#N/A</v>
          </cell>
          <cell r="I451" t="e">
            <v>#N/A</v>
          </cell>
          <cell r="J451" t="e">
            <v>#N/A</v>
          </cell>
          <cell r="K451" t="e">
            <v>#N/A</v>
          </cell>
          <cell r="L451" t="e">
            <v>#N/A</v>
          </cell>
          <cell r="M451" t="e">
            <v>#N/A</v>
          </cell>
          <cell r="N451" t="e">
            <v>#N/A</v>
          </cell>
          <cell r="O451" t="e">
            <v>#N/A</v>
          </cell>
          <cell r="P451">
            <v>55.01</v>
          </cell>
          <cell r="Q451">
            <v>2.3448639999999998</v>
          </cell>
          <cell r="R451" t="e">
            <v>#N/A</v>
          </cell>
        </row>
        <row r="452">
          <cell r="A452">
            <v>40121</v>
          </cell>
          <cell r="B452">
            <v>40121</v>
          </cell>
          <cell r="C452" t="str">
            <v>Past</v>
          </cell>
          <cell r="D452">
            <v>55.47</v>
          </cell>
          <cell r="E452" t="e">
            <v>#N/A</v>
          </cell>
          <cell r="F452" t="e">
            <v>#N/A</v>
          </cell>
          <cell r="G452" t="e">
            <v>#N/A</v>
          </cell>
          <cell r="H452" t="e">
            <v>#N/A</v>
          </cell>
          <cell r="I452" t="e">
            <v>#N/A</v>
          </cell>
          <cell r="J452" t="e">
            <v>#N/A</v>
          </cell>
          <cell r="K452" t="e">
            <v>#N/A</v>
          </cell>
          <cell r="L452" t="e">
            <v>#N/A</v>
          </cell>
          <cell r="M452" t="e">
            <v>#N/A</v>
          </cell>
          <cell r="N452" t="e">
            <v>#N/A</v>
          </cell>
          <cell r="O452" t="e">
            <v>#N/A</v>
          </cell>
          <cell r="P452">
            <v>55.47</v>
          </cell>
          <cell r="Q452">
            <v>1.612541</v>
          </cell>
          <cell r="R452" t="e">
            <v>#N/A</v>
          </cell>
        </row>
        <row r="453">
          <cell r="A453">
            <v>40122</v>
          </cell>
          <cell r="B453">
            <v>40122</v>
          </cell>
          <cell r="C453" t="str">
            <v>Past</v>
          </cell>
          <cell r="D453">
            <v>57.12</v>
          </cell>
          <cell r="E453" t="e">
            <v>#N/A</v>
          </cell>
          <cell r="F453" t="e">
            <v>#N/A</v>
          </cell>
          <cell r="G453" t="e">
            <v>#N/A</v>
          </cell>
          <cell r="H453" t="e">
            <v>#N/A</v>
          </cell>
          <cell r="I453" t="e">
            <v>#N/A</v>
          </cell>
          <cell r="J453" t="e">
            <v>#N/A</v>
          </cell>
          <cell r="K453" t="e">
            <v>#N/A</v>
          </cell>
          <cell r="L453" t="e">
            <v>#N/A</v>
          </cell>
          <cell r="M453" t="e">
            <v>#N/A</v>
          </cell>
          <cell r="N453" t="e">
            <v>#N/A</v>
          </cell>
          <cell r="O453" t="e">
            <v>#N/A</v>
          </cell>
          <cell r="P453">
            <v>57.12</v>
          </cell>
          <cell r="Q453">
            <v>1.070058</v>
          </cell>
          <cell r="R453" t="e">
            <v>#N/A</v>
          </cell>
        </row>
        <row r="454">
          <cell r="A454">
            <v>40123</v>
          </cell>
          <cell r="B454">
            <v>40123</v>
          </cell>
          <cell r="C454" t="str">
            <v>Past</v>
          </cell>
          <cell r="D454">
            <v>57.63</v>
          </cell>
          <cell r="E454" t="e">
            <v>#N/A</v>
          </cell>
          <cell r="F454" t="e">
            <v>#N/A</v>
          </cell>
          <cell r="G454" t="e">
            <v>#N/A</v>
          </cell>
          <cell r="H454" t="e">
            <v>#N/A</v>
          </cell>
          <cell r="I454" t="e">
            <v>#N/A</v>
          </cell>
          <cell r="J454" t="e">
            <v>#N/A</v>
          </cell>
          <cell r="K454" t="e">
            <v>#N/A</v>
          </cell>
          <cell r="L454" t="e">
            <v>#N/A</v>
          </cell>
          <cell r="M454" t="e">
            <v>#N/A</v>
          </cell>
          <cell r="N454" t="e">
            <v>#N/A</v>
          </cell>
          <cell r="O454" t="e">
            <v>#N/A</v>
          </cell>
          <cell r="P454">
            <v>57.63</v>
          </cell>
          <cell r="Q454">
            <v>1.2911109999999999</v>
          </cell>
          <cell r="R454" t="e">
            <v>#N/A</v>
          </cell>
        </row>
        <row r="455">
          <cell r="A455">
            <v>40126</v>
          </cell>
          <cell r="B455">
            <v>40126</v>
          </cell>
          <cell r="C455" t="str">
            <v>Past</v>
          </cell>
          <cell r="D455">
            <v>58.2</v>
          </cell>
          <cell r="E455" t="e">
            <v>#N/A</v>
          </cell>
          <cell r="F455" t="e">
            <v>#N/A</v>
          </cell>
          <cell r="G455" t="e">
            <v>#N/A</v>
          </cell>
          <cell r="H455" t="e">
            <v>#N/A</v>
          </cell>
          <cell r="I455" t="e">
            <v>#N/A</v>
          </cell>
          <cell r="J455" t="e">
            <v>#N/A</v>
          </cell>
          <cell r="K455" t="e">
            <v>#N/A</v>
          </cell>
          <cell r="L455" t="e">
            <v>#N/A</v>
          </cell>
          <cell r="M455" t="e">
            <v>#N/A</v>
          </cell>
          <cell r="N455" t="e">
            <v>#N/A</v>
          </cell>
          <cell r="O455" t="e">
            <v>#N/A</v>
          </cell>
          <cell r="P455">
            <v>58.2</v>
          </cell>
          <cell r="Q455">
            <v>1.379686</v>
          </cell>
          <cell r="R455" t="e">
            <v>#N/A</v>
          </cell>
        </row>
        <row r="456">
          <cell r="A456">
            <v>40127</v>
          </cell>
          <cell r="B456">
            <v>40127</v>
          </cell>
          <cell r="C456" t="str">
            <v>Past</v>
          </cell>
          <cell r="D456">
            <v>57.95</v>
          </cell>
          <cell r="E456" t="e">
            <v>#N/A</v>
          </cell>
          <cell r="F456" t="e">
            <v>#N/A</v>
          </cell>
          <cell r="G456" t="e">
            <v>#N/A</v>
          </cell>
          <cell r="H456" t="e">
            <v>#N/A</v>
          </cell>
          <cell r="I456" t="e">
            <v>#N/A</v>
          </cell>
          <cell r="J456" t="e">
            <v>#N/A</v>
          </cell>
          <cell r="K456" t="e">
            <v>#N/A</v>
          </cell>
          <cell r="L456" t="e">
            <v>#N/A</v>
          </cell>
          <cell r="M456" t="e">
            <v>#N/A</v>
          </cell>
          <cell r="N456" t="e">
            <v>#N/A</v>
          </cell>
          <cell r="O456" t="e">
            <v>#N/A</v>
          </cell>
          <cell r="P456">
            <v>57.95</v>
          </cell>
          <cell r="Q456">
            <v>1.5626929999999999</v>
          </cell>
          <cell r="R456" t="e">
            <v>#N/A</v>
          </cell>
        </row>
        <row r="457">
          <cell r="A457">
            <v>40128</v>
          </cell>
          <cell r="B457">
            <v>40128</v>
          </cell>
          <cell r="C457" t="str">
            <v>Past</v>
          </cell>
          <cell r="D457">
            <v>58.84</v>
          </cell>
          <cell r="E457" t="e">
            <v>#N/A</v>
          </cell>
          <cell r="F457" t="e">
            <v>#N/A</v>
          </cell>
          <cell r="G457" t="e">
            <v>#N/A</v>
          </cell>
          <cell r="H457" t="e">
            <v>#N/A</v>
          </cell>
          <cell r="I457" t="e">
            <v>#N/A</v>
          </cell>
          <cell r="J457" t="e">
            <v>#N/A</v>
          </cell>
          <cell r="K457" t="e">
            <v>#N/A</v>
          </cell>
          <cell r="L457" t="e">
            <v>#N/A</v>
          </cell>
          <cell r="M457" t="e">
            <v>#N/A</v>
          </cell>
          <cell r="N457" t="e">
            <v>#N/A</v>
          </cell>
          <cell r="O457" t="e">
            <v>#N/A</v>
          </cell>
          <cell r="P457">
            <v>58.84</v>
          </cell>
          <cell r="Q457">
            <v>1.163095</v>
          </cell>
          <cell r="R457" t="e">
            <v>#N/A</v>
          </cell>
        </row>
        <row r="458">
          <cell r="A458">
            <v>40129</v>
          </cell>
          <cell r="B458">
            <v>40129</v>
          </cell>
          <cell r="C458" t="str">
            <v>Past</v>
          </cell>
          <cell r="D458">
            <v>58.67</v>
          </cell>
          <cell r="E458" t="e">
            <v>#N/A</v>
          </cell>
          <cell r="F458" t="e">
            <v>#N/A</v>
          </cell>
          <cell r="G458" t="e">
            <v>#N/A</v>
          </cell>
          <cell r="H458" t="e">
            <v>#N/A</v>
          </cell>
          <cell r="I458" t="e">
            <v>#N/A</v>
          </cell>
          <cell r="J458" t="e">
            <v>#N/A</v>
          </cell>
          <cell r="K458" t="e">
            <v>#N/A</v>
          </cell>
          <cell r="L458" t="e">
            <v>#N/A</v>
          </cell>
          <cell r="M458" t="e">
            <v>#N/A</v>
          </cell>
          <cell r="N458" t="e">
            <v>#N/A</v>
          </cell>
          <cell r="O458" t="e">
            <v>#N/A</v>
          </cell>
          <cell r="P458">
            <v>58.67</v>
          </cell>
          <cell r="Q458">
            <v>1.1203000000000001</v>
          </cell>
          <cell r="R458" t="e">
            <v>#N/A</v>
          </cell>
        </row>
        <row r="459">
          <cell r="A459">
            <v>40130</v>
          </cell>
          <cell r="B459">
            <v>40130</v>
          </cell>
          <cell r="C459" t="str">
            <v>Past</v>
          </cell>
          <cell r="D459">
            <v>59.8</v>
          </cell>
          <cell r="E459" t="e">
            <v>#N/A</v>
          </cell>
          <cell r="F459" t="e">
            <v>#N/A</v>
          </cell>
          <cell r="G459" t="e">
            <v>#N/A</v>
          </cell>
          <cell r="H459" t="e">
            <v>#N/A</v>
          </cell>
          <cell r="I459" t="e">
            <v>#N/A</v>
          </cell>
          <cell r="J459" t="e">
            <v>#N/A</v>
          </cell>
          <cell r="K459" t="e">
            <v>#N/A</v>
          </cell>
          <cell r="L459" t="e">
            <v>#N/A</v>
          </cell>
          <cell r="M459" t="e">
            <v>#N/A</v>
          </cell>
          <cell r="N459" t="e">
            <v>#N/A</v>
          </cell>
          <cell r="O459" t="e">
            <v>#N/A</v>
          </cell>
          <cell r="P459">
            <v>59.8</v>
          </cell>
          <cell r="Q459">
            <v>0.76032199999999994</v>
          </cell>
          <cell r="R459" t="e">
            <v>#N/A</v>
          </cell>
        </row>
        <row r="460">
          <cell r="A460">
            <v>40133</v>
          </cell>
          <cell r="B460">
            <v>40133</v>
          </cell>
          <cell r="C460" t="str">
            <v>Past</v>
          </cell>
          <cell r="D460">
            <v>60.41</v>
          </cell>
          <cell r="E460" t="e">
            <v>#N/A</v>
          </cell>
          <cell r="F460" t="e">
            <v>#N/A</v>
          </cell>
          <cell r="G460" t="e">
            <v>#N/A</v>
          </cell>
          <cell r="H460" t="e">
            <v>#N/A</v>
          </cell>
          <cell r="I460" t="e">
            <v>#N/A</v>
          </cell>
          <cell r="J460" t="e">
            <v>#N/A</v>
          </cell>
          <cell r="K460" t="e">
            <v>#N/A</v>
          </cell>
          <cell r="L460" t="e">
            <v>#N/A</v>
          </cell>
          <cell r="M460" t="e">
            <v>#N/A</v>
          </cell>
          <cell r="N460" t="e">
            <v>#N/A</v>
          </cell>
          <cell r="O460" t="e">
            <v>#N/A</v>
          </cell>
          <cell r="P460">
            <v>60.41</v>
          </cell>
          <cell r="Q460">
            <v>1.5094069999999999</v>
          </cell>
          <cell r="R460" t="e">
            <v>#N/A</v>
          </cell>
        </row>
        <row r="461">
          <cell r="A461">
            <v>40134</v>
          </cell>
          <cell r="B461">
            <v>40134</v>
          </cell>
          <cell r="C461" t="str">
            <v>Past</v>
          </cell>
          <cell r="D461">
            <v>61</v>
          </cell>
          <cell r="E461" t="e">
            <v>#N/A</v>
          </cell>
          <cell r="F461" t="e">
            <v>#N/A</v>
          </cell>
          <cell r="G461" t="e">
            <v>#N/A</v>
          </cell>
          <cell r="H461" t="e">
            <v>#N/A</v>
          </cell>
          <cell r="I461" t="e">
            <v>#N/A</v>
          </cell>
          <cell r="J461" t="e">
            <v>#N/A</v>
          </cell>
          <cell r="K461" t="e">
            <v>#N/A</v>
          </cell>
          <cell r="L461" t="e">
            <v>#N/A</v>
          </cell>
          <cell r="M461" t="e">
            <v>#N/A</v>
          </cell>
          <cell r="N461" t="e">
            <v>#N/A</v>
          </cell>
          <cell r="O461" t="e">
            <v>#N/A</v>
          </cell>
          <cell r="P461">
            <v>61</v>
          </cell>
          <cell r="Q461">
            <v>0.81066699999999992</v>
          </cell>
          <cell r="R461" t="e">
            <v>#N/A</v>
          </cell>
        </row>
        <row r="462">
          <cell r="A462">
            <v>40135</v>
          </cell>
          <cell r="B462">
            <v>40135</v>
          </cell>
          <cell r="C462" t="str">
            <v>Past</v>
          </cell>
          <cell r="D462">
            <v>60.69</v>
          </cell>
          <cell r="E462" t="e">
            <v>#N/A</v>
          </cell>
          <cell r="F462" t="e">
            <v>#N/A</v>
          </cell>
          <cell r="G462" t="e">
            <v>#N/A</v>
          </cell>
          <cell r="H462" t="e">
            <v>#N/A</v>
          </cell>
          <cell r="I462" t="e">
            <v>#N/A</v>
          </cell>
          <cell r="J462" t="e">
            <v>#N/A</v>
          </cell>
          <cell r="K462" t="e">
            <v>#N/A</v>
          </cell>
          <cell r="L462" t="e">
            <v>#N/A</v>
          </cell>
          <cell r="M462" t="e">
            <v>#N/A</v>
          </cell>
          <cell r="N462" t="e">
            <v>#N/A</v>
          </cell>
          <cell r="O462" t="e">
            <v>#N/A</v>
          </cell>
          <cell r="P462">
            <v>60.69</v>
          </cell>
          <cell r="Q462">
            <v>0.95841699999999996</v>
          </cell>
          <cell r="R462" t="e">
            <v>#N/A</v>
          </cell>
        </row>
        <row r="463">
          <cell r="A463">
            <v>40136</v>
          </cell>
          <cell r="B463">
            <v>40136</v>
          </cell>
          <cell r="C463" t="str">
            <v>Past</v>
          </cell>
          <cell r="D463">
            <v>60.42</v>
          </cell>
          <cell r="E463" t="e">
            <v>#N/A</v>
          </cell>
          <cell r="F463" t="e">
            <v>#N/A</v>
          </cell>
          <cell r="G463" t="e">
            <v>#N/A</v>
          </cell>
          <cell r="H463" t="e">
            <v>#N/A</v>
          </cell>
          <cell r="I463" t="e">
            <v>#N/A</v>
          </cell>
          <cell r="J463" t="e">
            <v>#N/A</v>
          </cell>
          <cell r="K463" t="e">
            <v>#N/A</v>
          </cell>
          <cell r="L463" t="e">
            <v>#N/A</v>
          </cell>
          <cell r="M463" t="e">
            <v>#N/A</v>
          </cell>
          <cell r="N463" t="e">
            <v>#N/A</v>
          </cell>
          <cell r="O463" t="e">
            <v>#N/A</v>
          </cell>
          <cell r="P463">
            <v>60.42</v>
          </cell>
          <cell r="Q463">
            <v>1.212874</v>
          </cell>
          <cell r="R463" t="e">
            <v>#N/A</v>
          </cell>
        </row>
        <row r="464">
          <cell r="A464">
            <v>40137</v>
          </cell>
          <cell r="B464">
            <v>40137</v>
          </cell>
          <cell r="C464" t="str">
            <v>Past</v>
          </cell>
          <cell r="D464">
            <v>60.85</v>
          </cell>
          <cell r="E464" t="e">
            <v>#N/A</v>
          </cell>
          <cell r="F464" t="e">
            <v>#N/A</v>
          </cell>
          <cell r="G464" t="e">
            <v>#N/A</v>
          </cell>
          <cell r="H464" t="e">
            <v>#N/A</v>
          </cell>
          <cell r="I464" t="e">
            <v>#N/A</v>
          </cell>
          <cell r="J464" t="e">
            <v>#N/A</v>
          </cell>
          <cell r="K464" t="e">
            <v>#N/A</v>
          </cell>
          <cell r="L464" t="e">
            <v>#N/A</v>
          </cell>
          <cell r="M464" t="e">
            <v>#N/A</v>
          </cell>
          <cell r="N464" t="e">
            <v>#N/A</v>
          </cell>
          <cell r="O464" t="e">
            <v>#N/A</v>
          </cell>
          <cell r="P464">
            <v>60.85</v>
          </cell>
          <cell r="Q464">
            <v>0.90807099999999996</v>
          </cell>
          <cell r="R464" t="e">
            <v>#N/A</v>
          </cell>
        </row>
        <row r="465">
          <cell r="A465">
            <v>40140</v>
          </cell>
          <cell r="B465">
            <v>40140</v>
          </cell>
          <cell r="C465" t="str">
            <v>Past</v>
          </cell>
          <cell r="D465">
            <v>61.5</v>
          </cell>
          <cell r="E465" t="e">
            <v>#N/A</v>
          </cell>
          <cell r="F465" t="e">
            <v>#N/A</v>
          </cell>
          <cell r="G465" t="e">
            <v>#N/A</v>
          </cell>
          <cell r="H465" t="e">
            <v>#N/A</v>
          </cell>
          <cell r="I465" t="e">
            <v>#N/A</v>
          </cell>
          <cell r="J465" t="e">
            <v>#N/A</v>
          </cell>
          <cell r="K465" t="e">
            <v>#N/A</v>
          </cell>
          <cell r="L465" t="e">
            <v>#N/A</v>
          </cell>
          <cell r="M465" t="e">
            <v>#N/A</v>
          </cell>
          <cell r="N465" t="e">
            <v>#N/A</v>
          </cell>
          <cell r="O465" t="e">
            <v>#N/A</v>
          </cell>
          <cell r="P465">
            <v>61.5</v>
          </cell>
          <cell r="Q465">
            <v>1.2440439999999999</v>
          </cell>
          <cell r="R465" t="e">
            <v>#N/A</v>
          </cell>
        </row>
        <row r="466">
          <cell r="A466">
            <v>40141</v>
          </cell>
          <cell r="B466">
            <v>40141</v>
          </cell>
          <cell r="C466" t="str">
            <v>Past</v>
          </cell>
          <cell r="D466">
            <v>61.26</v>
          </cell>
          <cell r="E466" t="e">
            <v>#N/A</v>
          </cell>
          <cell r="F466" t="e">
            <v>#N/A</v>
          </cell>
          <cell r="G466" t="e">
            <v>#N/A</v>
          </cell>
          <cell r="H466" t="e">
            <v>#N/A</v>
          </cell>
          <cell r="I466" t="e">
            <v>#N/A</v>
          </cell>
          <cell r="J466" t="e">
            <v>#N/A</v>
          </cell>
          <cell r="K466" t="e">
            <v>#N/A</v>
          </cell>
          <cell r="L466" t="e">
            <v>#N/A</v>
          </cell>
          <cell r="M466" t="e">
            <v>#N/A</v>
          </cell>
          <cell r="N466" t="e">
            <v>#N/A</v>
          </cell>
          <cell r="O466" t="e">
            <v>#N/A</v>
          </cell>
          <cell r="P466">
            <v>61.26</v>
          </cell>
          <cell r="Q466">
            <v>0.839306</v>
          </cell>
          <cell r="R466" t="e">
            <v>#N/A</v>
          </cell>
        </row>
        <row r="467">
          <cell r="A467">
            <v>40142</v>
          </cell>
          <cell r="B467">
            <v>40142</v>
          </cell>
          <cell r="C467" t="str">
            <v>Past</v>
          </cell>
          <cell r="D467">
            <v>61.22</v>
          </cell>
          <cell r="E467" t="e">
            <v>#N/A</v>
          </cell>
          <cell r="F467" t="e">
            <v>#N/A</v>
          </cell>
          <cell r="G467" t="e">
            <v>#N/A</v>
          </cell>
          <cell r="H467" t="e">
            <v>#N/A</v>
          </cell>
          <cell r="I467" t="e">
            <v>#N/A</v>
          </cell>
          <cell r="J467" t="e">
            <v>#N/A</v>
          </cell>
          <cell r="K467" t="e">
            <v>#N/A</v>
          </cell>
          <cell r="L467" t="e">
            <v>#N/A</v>
          </cell>
          <cell r="M467" t="e">
            <v>#N/A</v>
          </cell>
          <cell r="N467" t="e">
            <v>#N/A</v>
          </cell>
          <cell r="O467" t="e">
            <v>#N/A</v>
          </cell>
          <cell r="P467">
            <v>61.22</v>
          </cell>
          <cell r="Q467">
            <v>0.76066000000000011</v>
          </cell>
          <cell r="R467" t="e">
            <v>#N/A</v>
          </cell>
        </row>
        <row r="468">
          <cell r="A468">
            <v>40144</v>
          </cell>
          <cell r="B468">
            <v>40144</v>
          </cell>
          <cell r="C468" t="str">
            <v>Past</v>
          </cell>
          <cell r="D468">
            <v>60.07</v>
          </cell>
          <cell r="E468" t="e">
            <v>#N/A</v>
          </cell>
          <cell r="F468" t="e">
            <v>#N/A</v>
          </cell>
          <cell r="G468" t="e">
            <v>#N/A</v>
          </cell>
          <cell r="H468" t="e">
            <v>#N/A</v>
          </cell>
          <cell r="I468" t="e">
            <v>#N/A</v>
          </cell>
          <cell r="J468" t="e">
            <v>#N/A</v>
          </cell>
          <cell r="K468" t="e">
            <v>#N/A</v>
          </cell>
          <cell r="L468" t="e">
            <v>#N/A</v>
          </cell>
          <cell r="M468" t="e">
            <v>#N/A</v>
          </cell>
          <cell r="N468" t="e">
            <v>#N/A</v>
          </cell>
          <cell r="O468" t="e">
            <v>#N/A</v>
          </cell>
          <cell r="P468">
            <v>60.07</v>
          </cell>
          <cell r="Q468">
            <v>0.38829799999999998</v>
          </cell>
          <cell r="R468" t="e">
            <v>#N/A</v>
          </cell>
        </row>
        <row r="469">
          <cell r="A469">
            <v>40147</v>
          </cell>
          <cell r="B469">
            <v>40147</v>
          </cell>
          <cell r="C469" t="str">
            <v>Past</v>
          </cell>
          <cell r="D469">
            <v>59.34</v>
          </cell>
          <cell r="E469" t="e">
            <v>#N/A</v>
          </cell>
          <cell r="F469" t="e">
            <v>#N/A</v>
          </cell>
          <cell r="G469" t="e">
            <v>#N/A</v>
          </cell>
          <cell r="H469" t="e">
            <v>#N/A</v>
          </cell>
          <cell r="I469" t="e">
            <v>#N/A</v>
          </cell>
          <cell r="J469" t="e">
            <v>#N/A</v>
          </cell>
          <cell r="K469" t="e">
            <v>#N/A</v>
          </cell>
          <cell r="L469" t="e">
            <v>#N/A</v>
          </cell>
          <cell r="M469" t="e">
            <v>#N/A</v>
          </cell>
          <cell r="N469" t="e">
            <v>#N/A</v>
          </cell>
          <cell r="O469" t="e">
            <v>#N/A</v>
          </cell>
          <cell r="P469">
            <v>59.34</v>
          </cell>
          <cell r="Q469">
            <v>1.1980309999999998</v>
          </cell>
          <cell r="R469" t="e">
            <v>#N/A</v>
          </cell>
        </row>
        <row r="470">
          <cell r="A470">
            <v>40148</v>
          </cell>
          <cell r="B470">
            <v>40148</v>
          </cell>
          <cell r="C470" t="str">
            <v>Past</v>
          </cell>
          <cell r="D470">
            <v>60.67</v>
          </cell>
          <cell r="E470" t="e">
            <v>#N/A</v>
          </cell>
          <cell r="F470" t="e">
            <v>#N/A</v>
          </cell>
          <cell r="G470" t="e">
            <v>#N/A</v>
          </cell>
          <cell r="H470" t="e">
            <v>#N/A</v>
          </cell>
          <cell r="I470" t="e">
            <v>#N/A</v>
          </cell>
          <cell r="J470" t="e">
            <v>#N/A</v>
          </cell>
          <cell r="K470" t="e">
            <v>#N/A</v>
          </cell>
          <cell r="L470" t="e">
            <v>#N/A</v>
          </cell>
          <cell r="M470" t="e">
            <v>#N/A</v>
          </cell>
          <cell r="N470" t="e">
            <v>#N/A</v>
          </cell>
          <cell r="O470" t="e">
            <v>#N/A</v>
          </cell>
          <cell r="P470">
            <v>60.67</v>
          </cell>
          <cell r="Q470">
            <v>1.0443849999999999</v>
          </cell>
          <cell r="R470" t="e">
            <v>#N/A</v>
          </cell>
        </row>
        <row r="471">
          <cell r="A471">
            <v>40149</v>
          </cell>
          <cell r="B471">
            <v>40149</v>
          </cell>
          <cell r="C471" t="str">
            <v>Past</v>
          </cell>
          <cell r="D471">
            <v>61.04</v>
          </cell>
          <cell r="E471" t="e">
            <v>#N/A</v>
          </cell>
          <cell r="F471" t="e">
            <v>#N/A</v>
          </cell>
          <cell r="G471" t="e">
            <v>#N/A</v>
          </cell>
          <cell r="H471" t="e">
            <v>#N/A</v>
          </cell>
          <cell r="I471" t="e">
            <v>#N/A</v>
          </cell>
          <cell r="J471" t="e">
            <v>#N/A</v>
          </cell>
          <cell r="K471" t="e">
            <v>#N/A</v>
          </cell>
          <cell r="L471" t="e">
            <v>#N/A</v>
          </cell>
          <cell r="M471" t="e">
            <v>#N/A</v>
          </cell>
          <cell r="N471" t="e">
            <v>#N/A</v>
          </cell>
          <cell r="O471" t="e">
            <v>#N/A</v>
          </cell>
          <cell r="P471">
            <v>61.04</v>
          </cell>
          <cell r="Q471">
            <v>0.99718699999999993</v>
          </cell>
          <cell r="R471" t="e">
            <v>#N/A</v>
          </cell>
        </row>
        <row r="472">
          <cell r="A472">
            <v>40150</v>
          </cell>
          <cell r="B472">
            <v>40150</v>
          </cell>
          <cell r="C472" t="str">
            <v>Past</v>
          </cell>
          <cell r="D472">
            <v>60.98</v>
          </cell>
          <cell r="E472" t="e">
            <v>#N/A</v>
          </cell>
          <cell r="F472" t="e">
            <v>#N/A</v>
          </cell>
          <cell r="G472" t="e">
            <v>#N/A</v>
          </cell>
          <cell r="H472" t="e">
            <v>#N/A</v>
          </cell>
          <cell r="I472" t="e">
            <v>#N/A</v>
          </cell>
          <cell r="J472" t="e">
            <v>#N/A</v>
          </cell>
          <cell r="K472" t="e">
            <v>#N/A</v>
          </cell>
          <cell r="L472" t="e">
            <v>#N/A</v>
          </cell>
          <cell r="M472" t="e">
            <v>#N/A</v>
          </cell>
          <cell r="N472" t="e">
            <v>#N/A</v>
          </cell>
          <cell r="O472" t="e">
            <v>#N/A</v>
          </cell>
          <cell r="P472">
            <v>60.98</v>
          </cell>
          <cell r="Q472">
            <v>1.5733119999999998</v>
          </cell>
          <cell r="R472" t="e">
            <v>#N/A</v>
          </cell>
        </row>
        <row r="473">
          <cell r="A473">
            <v>40151</v>
          </cell>
          <cell r="B473">
            <v>40151</v>
          </cell>
          <cell r="C473" t="str">
            <v>Past</v>
          </cell>
          <cell r="D473">
            <v>61.36</v>
          </cell>
          <cell r="E473" t="e">
            <v>#N/A</v>
          </cell>
          <cell r="F473" t="e">
            <v>#N/A</v>
          </cell>
          <cell r="G473" t="e">
            <v>#N/A</v>
          </cell>
          <cell r="H473" t="e">
            <v>#N/A</v>
          </cell>
          <cell r="I473" t="e">
            <v>#N/A</v>
          </cell>
          <cell r="J473" t="e">
            <v>#N/A</v>
          </cell>
          <cell r="K473" t="e">
            <v>#N/A</v>
          </cell>
          <cell r="L473" t="e">
            <v>#N/A</v>
          </cell>
          <cell r="M473" t="e">
            <v>#N/A</v>
          </cell>
          <cell r="N473" t="e">
            <v>#N/A</v>
          </cell>
          <cell r="O473" t="e">
            <v>#N/A</v>
          </cell>
          <cell r="P473">
            <v>61.36</v>
          </cell>
          <cell r="Q473">
            <v>1.652218</v>
          </cell>
          <cell r="R473" t="e">
            <v>#N/A</v>
          </cell>
        </row>
        <row r="474">
          <cell r="A474">
            <v>40154</v>
          </cell>
          <cell r="B474">
            <v>40154</v>
          </cell>
          <cell r="C474" t="str">
            <v>Past</v>
          </cell>
          <cell r="D474">
            <v>61.15</v>
          </cell>
          <cell r="E474" t="e">
            <v>#N/A</v>
          </cell>
          <cell r="F474" t="e">
            <v>#N/A</v>
          </cell>
          <cell r="G474" t="e">
            <v>#N/A</v>
          </cell>
          <cell r="H474" t="e">
            <v>#N/A</v>
          </cell>
          <cell r="I474" t="e">
            <v>#N/A</v>
          </cell>
          <cell r="J474" t="e">
            <v>#N/A</v>
          </cell>
          <cell r="K474" t="e">
            <v>#N/A</v>
          </cell>
          <cell r="L474" t="e">
            <v>#N/A</v>
          </cell>
          <cell r="M474" t="e">
            <v>#N/A</v>
          </cell>
          <cell r="N474" t="e">
            <v>#N/A</v>
          </cell>
          <cell r="O474" t="e">
            <v>#N/A</v>
          </cell>
          <cell r="P474">
            <v>61.15</v>
          </cell>
          <cell r="Q474">
            <v>0.697967</v>
          </cell>
          <cell r="R474" t="e">
            <v>#N/A</v>
          </cell>
        </row>
        <row r="475">
          <cell r="A475">
            <v>40155</v>
          </cell>
          <cell r="B475">
            <v>40155</v>
          </cell>
          <cell r="C475" t="str">
            <v>Past</v>
          </cell>
          <cell r="D475">
            <v>60.7</v>
          </cell>
          <cell r="E475" t="e">
            <v>#N/A</v>
          </cell>
          <cell r="F475" t="e">
            <v>#N/A</v>
          </cell>
          <cell r="G475" t="e">
            <v>#N/A</v>
          </cell>
          <cell r="H475" t="e">
            <v>#N/A</v>
          </cell>
          <cell r="I475" t="e">
            <v>#N/A</v>
          </cell>
          <cell r="J475" t="e">
            <v>#N/A</v>
          </cell>
          <cell r="K475" t="e">
            <v>#N/A</v>
          </cell>
          <cell r="L475" t="e">
            <v>#N/A</v>
          </cell>
          <cell r="M475" t="e">
            <v>#N/A</v>
          </cell>
          <cell r="N475" t="e">
            <v>#N/A</v>
          </cell>
          <cell r="O475" t="e">
            <v>#N/A</v>
          </cell>
          <cell r="P475">
            <v>60.7</v>
          </cell>
          <cell r="Q475">
            <v>1.0189679999999999</v>
          </cell>
          <cell r="R475" t="e">
            <v>#N/A</v>
          </cell>
        </row>
        <row r="476">
          <cell r="A476">
            <v>40156</v>
          </cell>
          <cell r="B476">
            <v>40156</v>
          </cell>
          <cell r="C476" t="str">
            <v>Past</v>
          </cell>
          <cell r="D476">
            <v>60.59</v>
          </cell>
          <cell r="E476" t="e">
            <v>#N/A</v>
          </cell>
          <cell r="F476" t="e">
            <v>#N/A</v>
          </cell>
          <cell r="G476" t="e">
            <v>#N/A</v>
          </cell>
          <cell r="H476" t="e">
            <v>#N/A</v>
          </cell>
          <cell r="I476" t="e">
            <v>#N/A</v>
          </cell>
          <cell r="J476" t="e">
            <v>#N/A</v>
          </cell>
          <cell r="K476" t="e">
            <v>#N/A</v>
          </cell>
          <cell r="L476" t="e">
            <v>#N/A</v>
          </cell>
          <cell r="M476" t="e">
            <v>#N/A</v>
          </cell>
          <cell r="N476" t="e">
            <v>#N/A</v>
          </cell>
          <cell r="O476" t="e">
            <v>#N/A</v>
          </cell>
          <cell r="P476">
            <v>60.59</v>
          </cell>
          <cell r="Q476">
            <v>0.784972</v>
          </cell>
          <cell r="R476" t="e">
            <v>#N/A</v>
          </cell>
        </row>
        <row r="477">
          <cell r="A477">
            <v>40157</v>
          </cell>
          <cell r="B477">
            <v>40157</v>
          </cell>
          <cell r="C477" t="str">
            <v>Past</v>
          </cell>
          <cell r="D477">
            <v>60.66</v>
          </cell>
          <cell r="E477" t="e">
            <v>#N/A</v>
          </cell>
          <cell r="F477" t="e">
            <v>#N/A</v>
          </cell>
          <cell r="G477" t="e">
            <v>#N/A</v>
          </cell>
          <cell r="H477" t="e">
            <v>#N/A</v>
          </cell>
          <cell r="I477" t="e">
            <v>#N/A</v>
          </cell>
          <cell r="J477" t="e">
            <v>#N/A</v>
          </cell>
          <cell r="K477" t="e">
            <v>#N/A</v>
          </cell>
          <cell r="L477" t="e">
            <v>#N/A</v>
          </cell>
          <cell r="M477" t="e">
            <v>#N/A</v>
          </cell>
          <cell r="N477" t="e">
            <v>#N/A</v>
          </cell>
          <cell r="O477" t="e">
            <v>#N/A</v>
          </cell>
          <cell r="P477">
            <v>60.66</v>
          </cell>
          <cell r="Q477">
            <v>0.67529499999999998</v>
          </cell>
          <cell r="R477" t="e">
            <v>#N/A</v>
          </cell>
        </row>
        <row r="478">
          <cell r="A478">
            <v>40158</v>
          </cell>
          <cell r="B478">
            <v>40158</v>
          </cell>
          <cell r="C478" t="str">
            <v>Past</v>
          </cell>
          <cell r="D478">
            <v>62.1</v>
          </cell>
          <cell r="E478" t="e">
            <v>#N/A</v>
          </cell>
          <cell r="F478" t="e">
            <v>#N/A</v>
          </cell>
          <cell r="G478" t="e">
            <v>#N/A</v>
          </cell>
          <cell r="H478" t="e">
            <v>#N/A</v>
          </cell>
          <cell r="I478" t="e">
            <v>#N/A</v>
          </cell>
          <cell r="J478" t="e">
            <v>#N/A</v>
          </cell>
          <cell r="K478" t="e">
            <v>#N/A</v>
          </cell>
          <cell r="L478" t="e">
            <v>#N/A</v>
          </cell>
          <cell r="M478" t="e">
            <v>#N/A</v>
          </cell>
          <cell r="N478" t="e">
            <v>#N/A</v>
          </cell>
          <cell r="O478" t="e">
            <v>#N/A</v>
          </cell>
          <cell r="P478">
            <v>62.1</v>
          </cell>
          <cell r="Q478">
            <v>1.8926569999999998</v>
          </cell>
          <cell r="R478" t="e">
            <v>#N/A</v>
          </cell>
        </row>
        <row r="479">
          <cell r="A479">
            <v>40161</v>
          </cell>
          <cell r="B479">
            <v>40161</v>
          </cell>
          <cell r="C479" t="str">
            <v>Past</v>
          </cell>
          <cell r="D479">
            <v>63.78</v>
          </cell>
          <cell r="E479" t="e">
            <v>#N/A</v>
          </cell>
          <cell r="F479" t="e">
            <v>#N/A</v>
          </cell>
          <cell r="G479" t="e">
            <v>#N/A</v>
          </cell>
          <cell r="H479" t="e">
            <v>#N/A</v>
          </cell>
          <cell r="I479" t="e">
            <v>#N/A</v>
          </cell>
          <cell r="J479" t="e">
            <v>#N/A</v>
          </cell>
          <cell r="K479" t="e">
            <v>#N/A</v>
          </cell>
          <cell r="L479" t="e">
            <v>#N/A</v>
          </cell>
          <cell r="M479" t="e">
            <v>#N/A</v>
          </cell>
          <cell r="N479" t="e">
            <v>#N/A</v>
          </cell>
          <cell r="O479" t="e">
            <v>#N/A</v>
          </cell>
          <cell r="P479">
            <v>63.78</v>
          </cell>
          <cell r="Q479">
            <v>1.8493949999999999</v>
          </cell>
          <cell r="R479" t="e">
            <v>#N/A</v>
          </cell>
        </row>
        <row r="480">
          <cell r="A480">
            <v>40162</v>
          </cell>
          <cell r="B480">
            <v>40162</v>
          </cell>
          <cell r="C480" t="str">
            <v>Past</v>
          </cell>
          <cell r="D480">
            <v>62.77</v>
          </cell>
          <cell r="E480" t="e">
            <v>#N/A</v>
          </cell>
          <cell r="F480" t="e">
            <v>#N/A</v>
          </cell>
          <cell r="G480" t="e">
            <v>#N/A</v>
          </cell>
          <cell r="H480" t="e">
            <v>#N/A</v>
          </cell>
          <cell r="I480" t="e">
            <v>#N/A</v>
          </cell>
          <cell r="J480" t="e">
            <v>#N/A</v>
          </cell>
          <cell r="K480" t="e">
            <v>#N/A</v>
          </cell>
          <cell r="L480" t="e">
            <v>#N/A</v>
          </cell>
          <cell r="M480" t="e">
            <v>#N/A</v>
          </cell>
          <cell r="N480" t="e">
            <v>#N/A</v>
          </cell>
          <cell r="O480" t="e">
            <v>#N/A</v>
          </cell>
          <cell r="P480">
            <v>62.77</v>
          </cell>
          <cell r="Q480">
            <v>1.2838129999999999</v>
          </cell>
          <cell r="R480" t="e">
            <v>#N/A</v>
          </cell>
        </row>
        <row r="481">
          <cell r="A481">
            <v>40163</v>
          </cell>
          <cell r="B481">
            <v>40163</v>
          </cell>
          <cell r="C481" t="str">
            <v>Past</v>
          </cell>
          <cell r="D481">
            <v>63.01</v>
          </cell>
          <cell r="E481" t="e">
            <v>#N/A</v>
          </cell>
          <cell r="F481" t="e">
            <v>#N/A</v>
          </cell>
          <cell r="G481" t="e">
            <v>#N/A</v>
          </cell>
          <cell r="H481" t="e">
            <v>#N/A</v>
          </cell>
          <cell r="I481" t="e">
            <v>#N/A</v>
          </cell>
          <cell r="J481" t="e">
            <v>#N/A</v>
          </cell>
          <cell r="K481" t="e">
            <v>#N/A</v>
          </cell>
          <cell r="L481" t="e">
            <v>#N/A</v>
          </cell>
          <cell r="M481" t="e">
            <v>#N/A</v>
          </cell>
          <cell r="N481" t="e">
            <v>#N/A</v>
          </cell>
          <cell r="O481" t="e">
            <v>#N/A</v>
          </cell>
          <cell r="P481">
            <v>63.01</v>
          </cell>
          <cell r="Q481">
            <v>1.5893969999999999</v>
          </cell>
          <cell r="R481" t="e">
            <v>#N/A</v>
          </cell>
        </row>
        <row r="482">
          <cell r="A482">
            <v>40164</v>
          </cell>
          <cell r="B482">
            <v>40164</v>
          </cell>
          <cell r="C482" t="str">
            <v>Past</v>
          </cell>
          <cell r="D482">
            <v>63.68</v>
          </cell>
          <cell r="E482" t="e">
            <v>#N/A</v>
          </cell>
          <cell r="F482" t="e">
            <v>#N/A</v>
          </cell>
          <cell r="G482" t="e">
            <v>#N/A</v>
          </cell>
          <cell r="H482" t="e">
            <v>#N/A</v>
          </cell>
          <cell r="I482" t="e">
            <v>#N/A</v>
          </cell>
          <cell r="J482" t="e">
            <v>#N/A</v>
          </cell>
          <cell r="K482" t="e">
            <v>#N/A</v>
          </cell>
          <cell r="L482" t="e">
            <v>#N/A</v>
          </cell>
          <cell r="M482" t="e">
            <v>#N/A</v>
          </cell>
          <cell r="N482" t="e">
            <v>#N/A</v>
          </cell>
          <cell r="O482" t="e">
            <v>#N/A</v>
          </cell>
          <cell r="P482">
            <v>63.68</v>
          </cell>
          <cell r="Q482">
            <v>1.4110309999999999</v>
          </cell>
          <cell r="R482" t="e">
            <v>#N/A</v>
          </cell>
        </row>
        <row r="483">
          <cell r="A483">
            <v>40165</v>
          </cell>
          <cell r="B483">
            <v>40165</v>
          </cell>
          <cell r="C483" t="str">
            <v>Past</v>
          </cell>
          <cell r="D483">
            <v>63.85</v>
          </cell>
          <cell r="E483" t="e">
            <v>#N/A</v>
          </cell>
          <cell r="F483" t="e">
            <v>#N/A</v>
          </cell>
          <cell r="G483" t="e">
            <v>#N/A</v>
          </cell>
          <cell r="H483" t="e">
            <v>#N/A</v>
          </cell>
          <cell r="I483" t="e">
            <v>#N/A</v>
          </cell>
          <cell r="J483" t="e">
            <v>#N/A</v>
          </cell>
          <cell r="K483" t="e">
            <v>#N/A</v>
          </cell>
          <cell r="L483" t="e">
            <v>#N/A</v>
          </cell>
          <cell r="M483" t="e">
            <v>#N/A</v>
          </cell>
          <cell r="N483" t="e">
            <v>#N/A</v>
          </cell>
          <cell r="O483" t="e">
            <v>#N/A</v>
          </cell>
          <cell r="P483">
            <v>63.85</v>
          </cell>
          <cell r="Q483">
            <v>1.8057969999999999</v>
          </cell>
          <cell r="R483" t="e">
            <v>#N/A</v>
          </cell>
        </row>
        <row r="484">
          <cell r="A484">
            <v>40168</v>
          </cell>
          <cell r="B484">
            <v>40168</v>
          </cell>
          <cell r="C484" t="str">
            <v>Past</v>
          </cell>
          <cell r="D484">
            <v>64.739999999999995</v>
          </cell>
          <cell r="E484" t="e">
            <v>#N/A</v>
          </cell>
          <cell r="F484" t="e">
            <v>#N/A</v>
          </cell>
          <cell r="G484" t="e">
            <v>#N/A</v>
          </cell>
          <cell r="H484" t="e">
            <v>#N/A</v>
          </cell>
          <cell r="I484" t="e">
            <v>#N/A</v>
          </cell>
          <cell r="J484" t="e">
            <v>#N/A</v>
          </cell>
          <cell r="K484" t="e">
            <v>#N/A</v>
          </cell>
          <cell r="L484" t="e">
            <v>#N/A</v>
          </cell>
          <cell r="M484" t="e">
            <v>#N/A</v>
          </cell>
          <cell r="N484" t="e">
            <v>#N/A</v>
          </cell>
          <cell r="O484" t="e">
            <v>#N/A</v>
          </cell>
          <cell r="P484">
            <v>64.739999999999995</v>
          </cell>
          <cell r="Q484">
            <v>1.0862579999999999</v>
          </cell>
          <cell r="R484" t="e">
            <v>#N/A</v>
          </cell>
        </row>
        <row r="485">
          <cell r="A485">
            <v>40169</v>
          </cell>
          <cell r="B485">
            <v>40169</v>
          </cell>
          <cell r="C485" t="str">
            <v>Past</v>
          </cell>
          <cell r="D485">
            <v>65.64</v>
          </cell>
          <cell r="E485" t="e">
            <v>#N/A</v>
          </cell>
          <cell r="F485" t="e">
            <v>#N/A</v>
          </cell>
          <cell r="G485" t="e">
            <v>#N/A</v>
          </cell>
          <cell r="H485" t="e">
            <v>#N/A</v>
          </cell>
          <cell r="I485" t="e">
            <v>#N/A</v>
          </cell>
          <cell r="J485" t="e">
            <v>#N/A</v>
          </cell>
          <cell r="K485" t="e">
            <v>#N/A</v>
          </cell>
          <cell r="L485" t="e">
            <v>#N/A</v>
          </cell>
          <cell r="M485" t="e">
            <v>#N/A</v>
          </cell>
          <cell r="N485" t="e">
            <v>#N/A</v>
          </cell>
          <cell r="O485" t="e">
            <v>#N/A</v>
          </cell>
          <cell r="P485">
            <v>65.64</v>
          </cell>
          <cell r="Q485">
            <v>1.0566709999999999</v>
          </cell>
          <cell r="R485" t="e">
            <v>#N/A</v>
          </cell>
        </row>
        <row r="486">
          <cell r="A486">
            <v>40170</v>
          </cell>
          <cell r="B486">
            <v>40170</v>
          </cell>
          <cell r="C486" t="str">
            <v>Past</v>
          </cell>
          <cell r="D486">
            <v>65.25</v>
          </cell>
          <cell r="E486" t="e">
            <v>#N/A</v>
          </cell>
          <cell r="F486" t="e">
            <v>#N/A</v>
          </cell>
          <cell r="G486" t="e">
            <v>#N/A</v>
          </cell>
          <cell r="H486" t="e">
            <v>#N/A</v>
          </cell>
          <cell r="I486" t="e">
            <v>#N/A</v>
          </cell>
          <cell r="J486" t="e">
            <v>#N/A</v>
          </cell>
          <cell r="K486" t="e">
            <v>#N/A</v>
          </cell>
          <cell r="L486" t="e">
            <v>#N/A</v>
          </cell>
          <cell r="M486" t="e">
            <v>#N/A</v>
          </cell>
          <cell r="N486" t="e">
            <v>#N/A</v>
          </cell>
          <cell r="O486" t="e">
            <v>#N/A</v>
          </cell>
          <cell r="P486">
            <v>65.25</v>
          </cell>
          <cell r="Q486">
            <v>0.67419600000000002</v>
          </cell>
          <cell r="R486" t="e">
            <v>#N/A</v>
          </cell>
        </row>
        <row r="487">
          <cell r="A487">
            <v>40171</v>
          </cell>
          <cell r="B487">
            <v>40171</v>
          </cell>
          <cell r="C487" t="str">
            <v>Past</v>
          </cell>
          <cell r="D487">
            <v>65.25</v>
          </cell>
          <cell r="E487" t="e">
            <v>#N/A</v>
          </cell>
          <cell r="F487" t="e">
            <v>#N/A</v>
          </cell>
          <cell r="G487" t="e">
            <v>#N/A</v>
          </cell>
          <cell r="H487" t="e">
            <v>#N/A</v>
          </cell>
          <cell r="I487" t="e">
            <v>#N/A</v>
          </cell>
          <cell r="J487" t="e">
            <v>#N/A</v>
          </cell>
          <cell r="K487" t="e">
            <v>#N/A</v>
          </cell>
          <cell r="L487" t="e">
            <v>#N/A</v>
          </cell>
          <cell r="M487" t="e">
            <v>#N/A</v>
          </cell>
          <cell r="N487" t="e">
            <v>#N/A</v>
          </cell>
          <cell r="O487" t="e">
            <v>#N/A</v>
          </cell>
          <cell r="P487">
            <v>65.25</v>
          </cell>
          <cell r="Q487">
            <v>0.170405</v>
          </cell>
          <cell r="R487" t="e">
            <v>#N/A</v>
          </cell>
        </row>
        <row r="488">
          <cell r="A488">
            <v>40175</v>
          </cell>
          <cell r="B488">
            <v>40175</v>
          </cell>
          <cell r="C488" t="str">
            <v>Past</v>
          </cell>
          <cell r="D488">
            <v>64.790000000000006</v>
          </cell>
          <cell r="E488" t="e">
            <v>#N/A</v>
          </cell>
          <cell r="F488" t="e">
            <v>#N/A</v>
          </cell>
          <cell r="G488" t="e">
            <v>#N/A</v>
          </cell>
          <cell r="H488" t="e">
            <v>#N/A</v>
          </cell>
          <cell r="I488" t="e">
            <v>#N/A</v>
          </cell>
          <cell r="J488" t="e">
            <v>#N/A</v>
          </cell>
          <cell r="K488" t="e">
            <v>#N/A</v>
          </cell>
          <cell r="L488" t="e">
            <v>#N/A</v>
          </cell>
          <cell r="M488" t="e">
            <v>#N/A</v>
          </cell>
          <cell r="N488" t="e">
            <v>#N/A</v>
          </cell>
          <cell r="O488" t="e">
            <v>#N/A</v>
          </cell>
          <cell r="P488">
            <v>64.790000000000006</v>
          </cell>
          <cell r="Q488">
            <v>0.46122799999999997</v>
          </cell>
          <cell r="R488" t="e">
            <v>#N/A</v>
          </cell>
        </row>
        <row r="489">
          <cell r="A489">
            <v>40176</v>
          </cell>
          <cell r="B489">
            <v>40176</v>
          </cell>
          <cell r="C489" t="str">
            <v>Past</v>
          </cell>
          <cell r="D489">
            <v>64.34</v>
          </cell>
          <cell r="E489" t="e">
            <v>#N/A</v>
          </cell>
          <cell r="F489" t="e">
            <v>#N/A</v>
          </cell>
          <cell r="G489" t="e">
            <v>#N/A</v>
          </cell>
          <cell r="H489" t="e">
            <v>#N/A</v>
          </cell>
          <cell r="I489" t="e">
            <v>#N/A</v>
          </cell>
          <cell r="J489" t="e">
            <v>#N/A</v>
          </cell>
          <cell r="K489" t="e">
            <v>#N/A</v>
          </cell>
          <cell r="L489" t="e">
            <v>#N/A</v>
          </cell>
          <cell r="M489" t="e">
            <v>#N/A</v>
          </cell>
          <cell r="N489" t="e">
            <v>#N/A</v>
          </cell>
          <cell r="O489" t="e">
            <v>#N/A</v>
          </cell>
          <cell r="P489">
            <v>64.34</v>
          </cell>
          <cell r="Q489">
            <v>1.080222</v>
          </cell>
          <cell r="R489" t="e">
            <v>#N/A</v>
          </cell>
        </row>
        <row r="490">
          <cell r="A490">
            <v>40177</v>
          </cell>
          <cell r="B490">
            <v>40177</v>
          </cell>
          <cell r="C490" t="str">
            <v>Past</v>
          </cell>
          <cell r="D490">
            <v>64.62</v>
          </cell>
          <cell r="E490" t="e">
            <v>#N/A</v>
          </cell>
          <cell r="F490" t="e">
            <v>#N/A</v>
          </cell>
          <cell r="G490" t="e">
            <v>#N/A</v>
          </cell>
          <cell r="H490" t="e">
            <v>#N/A</v>
          </cell>
          <cell r="I490" t="e">
            <v>#N/A</v>
          </cell>
          <cell r="J490" t="e">
            <v>#N/A</v>
          </cell>
          <cell r="K490" t="e">
            <v>#N/A</v>
          </cell>
          <cell r="L490" t="e">
            <v>#N/A</v>
          </cell>
          <cell r="M490" t="e">
            <v>#N/A</v>
          </cell>
          <cell r="N490" t="e">
            <v>#N/A</v>
          </cell>
          <cell r="O490" t="e">
            <v>#N/A</v>
          </cell>
          <cell r="P490">
            <v>64.62</v>
          </cell>
          <cell r="Q490">
            <v>0.621112</v>
          </cell>
          <cell r="R490" t="e">
            <v>#N/A</v>
          </cell>
        </row>
        <row r="491">
          <cell r="A491">
            <v>40178</v>
          </cell>
          <cell r="B491">
            <v>40178</v>
          </cell>
          <cell r="C491" t="str">
            <v>Past</v>
          </cell>
          <cell r="D491">
            <v>64.25</v>
          </cell>
          <cell r="E491" t="e">
            <v>#N/A</v>
          </cell>
          <cell r="F491" t="e">
            <v>#N/A</v>
          </cell>
          <cell r="G491" t="e">
            <v>#N/A</v>
          </cell>
          <cell r="H491" t="e">
            <v>#N/A</v>
          </cell>
          <cell r="I491" t="e">
            <v>#N/A</v>
          </cell>
          <cell r="J491" t="e">
            <v>#N/A</v>
          </cell>
          <cell r="K491" t="e">
            <v>#N/A</v>
          </cell>
          <cell r="L491" t="e">
            <v>#N/A</v>
          </cell>
          <cell r="M491" t="e">
            <v>#N/A</v>
          </cell>
          <cell r="N491" t="e">
            <v>#N/A</v>
          </cell>
          <cell r="O491" t="e">
            <v>#N/A</v>
          </cell>
          <cell r="P491">
            <v>64.25</v>
          </cell>
          <cell r="Q491">
            <v>0.43151599999999996</v>
          </cell>
          <cell r="R491" t="e">
            <v>#N/A</v>
          </cell>
        </row>
        <row r="492">
          <cell r="A492">
            <v>40182</v>
          </cell>
          <cell r="B492">
            <v>40182</v>
          </cell>
          <cell r="C492" t="str">
            <v>Past</v>
          </cell>
          <cell r="D492">
            <v>66.349999999999994</v>
          </cell>
          <cell r="E492" t="e">
            <v>#N/A</v>
          </cell>
          <cell r="F492" t="e">
            <v>#N/A</v>
          </cell>
          <cell r="G492" t="e">
            <v>#N/A</v>
          </cell>
          <cell r="H492" t="e">
            <v>#N/A</v>
          </cell>
          <cell r="I492" t="e">
            <v>#N/A</v>
          </cell>
          <cell r="J492" t="e">
            <v>#N/A</v>
          </cell>
          <cell r="K492" t="e">
            <v>#N/A</v>
          </cell>
          <cell r="L492" t="e">
            <v>#N/A</v>
          </cell>
          <cell r="M492" t="e">
            <v>#N/A</v>
          </cell>
          <cell r="N492" t="e">
            <v>#N/A</v>
          </cell>
          <cell r="O492" t="e">
            <v>#N/A</v>
          </cell>
          <cell r="P492">
            <v>66.349999999999994</v>
          </cell>
          <cell r="Q492">
            <v>1.538219</v>
          </cell>
          <cell r="R492" t="e">
            <v>#N/A</v>
          </cell>
        </row>
        <row r="493">
          <cell r="A493">
            <v>40183</v>
          </cell>
          <cell r="B493">
            <v>40183</v>
          </cell>
          <cell r="C493" t="str">
            <v>Past</v>
          </cell>
          <cell r="D493">
            <v>66.44</v>
          </cell>
          <cell r="E493" t="e">
            <v>#N/A</v>
          </cell>
          <cell r="F493" t="e">
            <v>#N/A</v>
          </cell>
          <cell r="G493" t="e">
            <v>#N/A</v>
          </cell>
          <cell r="H493" t="e">
            <v>#N/A</v>
          </cell>
          <cell r="I493" t="e">
            <v>#N/A</v>
          </cell>
          <cell r="J493" t="e">
            <v>#N/A</v>
          </cell>
          <cell r="K493" t="e">
            <v>#N/A</v>
          </cell>
          <cell r="L493" t="e">
            <v>#N/A</v>
          </cell>
          <cell r="M493" t="e">
            <v>#N/A</v>
          </cell>
          <cell r="N493" t="e">
            <v>#N/A</v>
          </cell>
          <cell r="O493" t="e">
            <v>#N/A</v>
          </cell>
          <cell r="P493">
            <v>66.44</v>
          </cell>
          <cell r="Q493">
            <v>0.81039499999999998</v>
          </cell>
          <cell r="R493" t="e">
            <v>#N/A</v>
          </cell>
        </row>
        <row r="494">
          <cell r="A494">
            <v>40184</v>
          </cell>
          <cell r="B494">
            <v>40184</v>
          </cell>
          <cell r="C494" t="str">
            <v>Past</v>
          </cell>
          <cell r="D494">
            <v>66.819999999999993</v>
          </cell>
          <cell r="E494" t="e">
            <v>#N/A</v>
          </cell>
          <cell r="F494" t="e">
            <v>#N/A</v>
          </cell>
          <cell r="G494" t="e">
            <v>#N/A</v>
          </cell>
          <cell r="H494" t="e">
            <v>#N/A</v>
          </cell>
          <cell r="I494" t="e">
            <v>#N/A</v>
          </cell>
          <cell r="J494" t="e">
            <v>#N/A</v>
          </cell>
          <cell r="K494" t="e">
            <v>#N/A</v>
          </cell>
          <cell r="L494" t="e">
            <v>#N/A</v>
          </cell>
          <cell r="M494" t="e">
            <v>#N/A</v>
          </cell>
          <cell r="N494" t="e">
            <v>#N/A</v>
          </cell>
          <cell r="O494" t="e">
            <v>#N/A</v>
          </cell>
          <cell r="P494">
            <v>66.819999999999993</v>
          </cell>
          <cell r="Q494">
            <v>0.996946</v>
          </cell>
          <cell r="R494" t="e">
            <v>#N/A</v>
          </cell>
        </row>
        <row r="495">
          <cell r="A495">
            <v>40185</v>
          </cell>
          <cell r="B495">
            <v>40185</v>
          </cell>
          <cell r="C495" t="str">
            <v>Past</v>
          </cell>
          <cell r="D495">
            <v>66.16</v>
          </cell>
          <cell r="E495" t="e">
            <v>#N/A</v>
          </cell>
          <cell r="F495" t="e">
            <v>#N/A</v>
          </cell>
          <cell r="G495" t="e">
            <v>#N/A</v>
          </cell>
          <cell r="H495" t="e">
            <v>#N/A</v>
          </cell>
          <cell r="I495" t="e">
            <v>#N/A</v>
          </cell>
          <cell r="J495" t="e">
            <v>#N/A</v>
          </cell>
          <cell r="K495" t="e">
            <v>#N/A</v>
          </cell>
          <cell r="L495" t="e">
            <v>#N/A</v>
          </cell>
          <cell r="M495" t="e">
            <v>#N/A</v>
          </cell>
          <cell r="N495" t="e">
            <v>#N/A</v>
          </cell>
          <cell r="O495" t="e">
            <v>#N/A</v>
          </cell>
          <cell r="P495">
            <v>66.16</v>
          </cell>
          <cell r="Q495">
            <v>0.88902799999999993</v>
          </cell>
          <cell r="R495" t="e">
            <v>#N/A</v>
          </cell>
        </row>
        <row r="496">
          <cell r="A496">
            <v>40186</v>
          </cell>
          <cell r="B496">
            <v>40186</v>
          </cell>
          <cell r="C496" t="str">
            <v>Past</v>
          </cell>
          <cell r="D496">
            <v>66.209999999999994</v>
          </cell>
          <cell r="E496" t="e">
            <v>#N/A</v>
          </cell>
          <cell r="F496" t="e">
            <v>#N/A</v>
          </cell>
          <cell r="G496" t="e">
            <v>#N/A</v>
          </cell>
          <cell r="H496" t="e">
            <v>#N/A</v>
          </cell>
          <cell r="I496" t="e">
            <v>#N/A</v>
          </cell>
          <cell r="J496" t="e">
            <v>#N/A</v>
          </cell>
          <cell r="K496" t="e">
            <v>#N/A</v>
          </cell>
          <cell r="L496" t="e">
            <v>#N/A</v>
          </cell>
          <cell r="M496" t="e">
            <v>#N/A</v>
          </cell>
          <cell r="N496" t="e">
            <v>#N/A</v>
          </cell>
          <cell r="O496" t="e">
            <v>#N/A</v>
          </cell>
          <cell r="P496">
            <v>66.209999999999994</v>
          </cell>
          <cell r="Q496">
            <v>0.99179899999999999</v>
          </cell>
          <cell r="R496" t="e">
            <v>#N/A</v>
          </cell>
        </row>
        <row r="497">
          <cell r="A497">
            <v>40189</v>
          </cell>
          <cell r="B497">
            <v>40189</v>
          </cell>
          <cell r="C497" t="str">
            <v>Past</v>
          </cell>
          <cell r="D497">
            <v>66.349999999999994</v>
          </cell>
          <cell r="E497" t="e">
            <v>#N/A</v>
          </cell>
          <cell r="F497" t="e">
            <v>#N/A</v>
          </cell>
          <cell r="G497" t="e">
            <v>#N/A</v>
          </cell>
          <cell r="H497" t="e">
            <v>#N/A</v>
          </cell>
          <cell r="I497" t="e">
            <v>#N/A</v>
          </cell>
          <cell r="J497" t="e">
            <v>#N/A</v>
          </cell>
          <cell r="K497" t="e">
            <v>#N/A</v>
          </cell>
          <cell r="L497" t="e">
            <v>#N/A</v>
          </cell>
          <cell r="M497" t="e">
            <v>#N/A</v>
          </cell>
          <cell r="N497" t="e">
            <v>#N/A</v>
          </cell>
          <cell r="O497" t="e">
            <v>#N/A</v>
          </cell>
          <cell r="P497">
            <v>66.349999999999994</v>
          </cell>
          <cell r="Q497">
            <v>0.61704199999999998</v>
          </cell>
          <cell r="R497" t="e">
            <v>#N/A</v>
          </cell>
        </row>
        <row r="498">
          <cell r="A498">
            <v>40190</v>
          </cell>
          <cell r="B498">
            <v>40190</v>
          </cell>
          <cell r="C498" t="str">
            <v>Past</v>
          </cell>
          <cell r="D498">
            <v>64.709999999999994</v>
          </cell>
          <cell r="E498" t="e">
            <v>#N/A</v>
          </cell>
          <cell r="F498" t="e">
            <v>#N/A</v>
          </cell>
          <cell r="G498" t="e">
            <v>#N/A</v>
          </cell>
          <cell r="H498" t="e">
            <v>#N/A</v>
          </cell>
          <cell r="I498" t="e">
            <v>#N/A</v>
          </cell>
          <cell r="J498" t="e">
            <v>#N/A</v>
          </cell>
          <cell r="K498" t="e">
            <v>#N/A</v>
          </cell>
          <cell r="L498" t="e">
            <v>#N/A</v>
          </cell>
          <cell r="M498" t="e">
            <v>#N/A</v>
          </cell>
          <cell r="N498" t="e">
            <v>#N/A</v>
          </cell>
          <cell r="O498" t="e">
            <v>#N/A</v>
          </cell>
          <cell r="P498">
            <v>64.709999999999994</v>
          </cell>
          <cell r="Q498">
            <v>1.4132169999999999</v>
          </cell>
          <cell r="R498" t="e">
            <v>#N/A</v>
          </cell>
        </row>
        <row r="499">
          <cell r="A499">
            <v>40191</v>
          </cell>
          <cell r="B499">
            <v>40191</v>
          </cell>
          <cell r="C499" t="str">
            <v>Past</v>
          </cell>
          <cell r="D499">
            <v>65.599999999999994</v>
          </cell>
          <cell r="E499" t="e">
            <v>#N/A</v>
          </cell>
          <cell r="F499" t="e">
            <v>#N/A</v>
          </cell>
          <cell r="G499" t="e">
            <v>#N/A</v>
          </cell>
          <cell r="H499" t="e">
            <v>#N/A</v>
          </cell>
          <cell r="I499" t="e">
            <v>#N/A</v>
          </cell>
          <cell r="J499" t="e">
            <v>#N/A</v>
          </cell>
          <cell r="K499" t="e">
            <v>#N/A</v>
          </cell>
          <cell r="L499" t="e">
            <v>#N/A</v>
          </cell>
          <cell r="M499" t="e">
            <v>#N/A</v>
          </cell>
          <cell r="N499" t="e">
            <v>#N/A</v>
          </cell>
          <cell r="O499" t="e">
            <v>#N/A</v>
          </cell>
          <cell r="P499">
            <v>65.599999999999994</v>
          </cell>
          <cell r="Q499">
            <v>1.3525769999999999</v>
          </cell>
          <cell r="R499" t="e">
            <v>#N/A</v>
          </cell>
        </row>
        <row r="500">
          <cell r="A500">
            <v>40192</v>
          </cell>
          <cell r="B500">
            <v>40192</v>
          </cell>
          <cell r="C500" t="str">
            <v>Past</v>
          </cell>
          <cell r="D500">
            <v>66.72</v>
          </cell>
          <cell r="E500" t="e">
            <v>#N/A</v>
          </cell>
          <cell r="F500" t="e">
            <v>#N/A</v>
          </cell>
          <cell r="G500" t="e">
            <v>#N/A</v>
          </cell>
          <cell r="H500" t="e">
            <v>#N/A</v>
          </cell>
          <cell r="I500" t="e">
            <v>#N/A</v>
          </cell>
          <cell r="J500" t="e">
            <v>#N/A</v>
          </cell>
          <cell r="K500" t="e">
            <v>#N/A</v>
          </cell>
          <cell r="L500" t="e">
            <v>#N/A</v>
          </cell>
          <cell r="M500" t="e">
            <v>#N/A</v>
          </cell>
          <cell r="N500" t="e">
            <v>#N/A</v>
          </cell>
          <cell r="O500" t="e">
            <v>#N/A</v>
          </cell>
          <cell r="P500">
            <v>66.72</v>
          </cell>
          <cell r="Q500">
            <v>0.783327</v>
          </cell>
          <cell r="R500" t="e">
            <v>#N/A</v>
          </cell>
        </row>
        <row r="501">
          <cell r="A501">
            <v>40193</v>
          </cell>
          <cell r="B501">
            <v>40193</v>
          </cell>
          <cell r="C501" t="str">
            <v>Past</v>
          </cell>
          <cell r="D501">
            <v>66.22</v>
          </cell>
          <cell r="E501" t="e">
            <v>#N/A</v>
          </cell>
          <cell r="F501" t="e">
            <v>#N/A</v>
          </cell>
          <cell r="G501" t="e">
            <v>#N/A</v>
          </cell>
          <cell r="H501" t="e">
            <v>#N/A</v>
          </cell>
          <cell r="I501" t="e">
            <v>#N/A</v>
          </cell>
          <cell r="J501" t="e">
            <v>#N/A</v>
          </cell>
          <cell r="K501" t="e">
            <v>#N/A</v>
          </cell>
          <cell r="L501" t="e">
            <v>#N/A</v>
          </cell>
          <cell r="M501" t="e">
            <v>#N/A</v>
          </cell>
          <cell r="N501" t="e">
            <v>#N/A</v>
          </cell>
          <cell r="O501" t="e">
            <v>#N/A</v>
          </cell>
          <cell r="P501">
            <v>66.22</v>
          </cell>
          <cell r="Q501">
            <v>0.84484499999999996</v>
          </cell>
          <cell r="R501" t="e">
            <v>#N/A</v>
          </cell>
        </row>
        <row r="502">
          <cell r="A502">
            <v>40197</v>
          </cell>
          <cell r="B502">
            <v>40197</v>
          </cell>
          <cell r="C502" t="str">
            <v>Past</v>
          </cell>
          <cell r="D502">
            <v>66.319999999999993</v>
          </cell>
          <cell r="E502" t="e">
            <v>#N/A</v>
          </cell>
          <cell r="F502" t="e">
            <v>#N/A</v>
          </cell>
          <cell r="G502" t="e">
            <v>#N/A</v>
          </cell>
          <cell r="H502" t="e">
            <v>#N/A</v>
          </cell>
          <cell r="I502" t="e">
            <v>#N/A</v>
          </cell>
          <cell r="J502" t="e">
            <v>#N/A</v>
          </cell>
          <cell r="K502" t="e">
            <v>#N/A</v>
          </cell>
          <cell r="L502" t="e">
            <v>#N/A</v>
          </cell>
          <cell r="M502" t="e">
            <v>#N/A</v>
          </cell>
          <cell r="N502" t="e">
            <v>#N/A</v>
          </cell>
          <cell r="O502" t="e">
            <v>#N/A</v>
          </cell>
          <cell r="P502">
            <v>66.319999999999993</v>
          </cell>
          <cell r="Q502">
            <v>0.76977099999999998</v>
          </cell>
          <cell r="R502" t="e">
            <v>#N/A</v>
          </cell>
        </row>
        <row r="503">
          <cell r="A503">
            <v>40198</v>
          </cell>
          <cell r="B503">
            <v>40198</v>
          </cell>
          <cell r="C503" t="str">
            <v>Past</v>
          </cell>
          <cell r="D503">
            <v>65.06</v>
          </cell>
          <cell r="E503" t="e">
            <v>#N/A</v>
          </cell>
          <cell r="F503" t="e">
            <v>#N/A</v>
          </cell>
          <cell r="G503" t="e">
            <v>#N/A</v>
          </cell>
          <cell r="H503" t="e">
            <v>#N/A</v>
          </cell>
          <cell r="I503" t="e">
            <v>#N/A</v>
          </cell>
          <cell r="J503" t="e">
            <v>#N/A</v>
          </cell>
          <cell r="K503" t="e">
            <v>#N/A</v>
          </cell>
          <cell r="L503" t="e">
            <v>#N/A</v>
          </cell>
          <cell r="M503" t="e">
            <v>#N/A</v>
          </cell>
          <cell r="N503" t="e">
            <v>#N/A</v>
          </cell>
          <cell r="O503" t="e">
            <v>#N/A</v>
          </cell>
          <cell r="P503">
            <v>65.06</v>
          </cell>
          <cell r="Q503">
            <v>1.359834</v>
          </cell>
          <cell r="R503" t="e">
            <v>#N/A</v>
          </cell>
        </row>
        <row r="504">
          <cell r="A504">
            <v>40199</v>
          </cell>
          <cell r="B504">
            <v>40199</v>
          </cell>
          <cell r="C504" t="str">
            <v>Past</v>
          </cell>
          <cell r="D504">
            <v>62.69</v>
          </cell>
          <cell r="E504" t="e">
            <v>#N/A</v>
          </cell>
          <cell r="F504" t="e">
            <v>#N/A</v>
          </cell>
          <cell r="G504" t="e">
            <v>#N/A</v>
          </cell>
          <cell r="H504" t="e">
            <v>#N/A</v>
          </cell>
          <cell r="I504" t="e">
            <v>#N/A</v>
          </cell>
          <cell r="J504" t="e">
            <v>#N/A</v>
          </cell>
          <cell r="K504" t="e">
            <v>#N/A</v>
          </cell>
          <cell r="L504" t="e">
            <v>#N/A</v>
          </cell>
          <cell r="M504" t="e">
            <v>#N/A</v>
          </cell>
          <cell r="N504" t="e">
            <v>#N/A</v>
          </cell>
          <cell r="O504" t="e">
            <v>#N/A</v>
          </cell>
          <cell r="P504">
            <v>62.69</v>
          </cell>
          <cell r="Q504">
            <v>1.7288839999999999</v>
          </cell>
          <cell r="R504" t="e">
            <v>#N/A</v>
          </cell>
        </row>
        <row r="505">
          <cell r="A505">
            <v>40200</v>
          </cell>
          <cell r="B505">
            <v>40200</v>
          </cell>
          <cell r="C505" t="str">
            <v>Past</v>
          </cell>
          <cell r="D505">
            <v>61.41</v>
          </cell>
          <cell r="E505" t="e">
            <v>#N/A</v>
          </cell>
          <cell r="F505" t="e">
            <v>#N/A</v>
          </cell>
          <cell r="G505" t="e">
            <v>#N/A</v>
          </cell>
          <cell r="H505" t="e">
            <v>#N/A</v>
          </cell>
          <cell r="I505" t="e">
            <v>#N/A</v>
          </cell>
          <cell r="J505" t="e">
            <v>#N/A</v>
          </cell>
          <cell r="K505" t="e">
            <v>#N/A</v>
          </cell>
          <cell r="L505" t="e">
            <v>#N/A</v>
          </cell>
          <cell r="M505" t="e">
            <v>#N/A</v>
          </cell>
          <cell r="N505" t="e">
            <v>#N/A</v>
          </cell>
          <cell r="O505" t="e">
            <v>#N/A</v>
          </cell>
          <cell r="P505">
            <v>61.41</v>
          </cell>
          <cell r="Q505">
            <v>0.85359699999999994</v>
          </cell>
          <cell r="R505" t="e">
            <v>#N/A</v>
          </cell>
        </row>
        <row r="506">
          <cell r="A506">
            <v>40203</v>
          </cell>
          <cell r="B506">
            <v>40203</v>
          </cell>
          <cell r="C506" t="str">
            <v>Past</v>
          </cell>
          <cell r="D506">
            <v>61.14</v>
          </cell>
          <cell r="E506" t="e">
            <v>#N/A</v>
          </cell>
          <cell r="F506" t="e">
            <v>#N/A</v>
          </cell>
          <cell r="G506" t="e">
            <v>#N/A</v>
          </cell>
          <cell r="H506" t="e">
            <v>#N/A</v>
          </cell>
          <cell r="I506" t="e">
            <v>#N/A</v>
          </cell>
          <cell r="J506" t="e">
            <v>#N/A</v>
          </cell>
          <cell r="K506" t="e">
            <v>#N/A</v>
          </cell>
          <cell r="L506" t="e">
            <v>#N/A</v>
          </cell>
          <cell r="M506" t="e">
            <v>#N/A</v>
          </cell>
          <cell r="N506" t="e">
            <v>#N/A</v>
          </cell>
          <cell r="O506" t="e">
            <v>#N/A</v>
          </cell>
          <cell r="P506">
            <v>61.14</v>
          </cell>
          <cell r="Q506">
            <v>0.73810399999999998</v>
          </cell>
          <cell r="R506" t="e">
            <v>#N/A</v>
          </cell>
        </row>
        <row r="507">
          <cell r="A507">
            <v>40204</v>
          </cell>
          <cell r="B507">
            <v>40204</v>
          </cell>
          <cell r="C507" t="str">
            <v>Past</v>
          </cell>
          <cell r="D507">
            <v>61.43</v>
          </cell>
          <cell r="E507" t="e">
            <v>#N/A</v>
          </cell>
          <cell r="F507" t="e">
            <v>#N/A</v>
          </cell>
          <cell r="G507" t="e">
            <v>#N/A</v>
          </cell>
          <cell r="H507" t="e">
            <v>#N/A</v>
          </cell>
          <cell r="I507" t="e">
            <v>#N/A</v>
          </cell>
          <cell r="J507" t="e">
            <v>#N/A</v>
          </cell>
          <cell r="K507" t="e">
            <v>#N/A</v>
          </cell>
          <cell r="L507" t="e">
            <v>#N/A</v>
          </cell>
          <cell r="M507" t="e">
            <v>#N/A</v>
          </cell>
          <cell r="N507" t="e">
            <v>#N/A</v>
          </cell>
          <cell r="O507" t="e">
            <v>#N/A</v>
          </cell>
          <cell r="P507">
            <v>61.43</v>
          </cell>
          <cell r="Q507">
            <v>1.4430749999999999</v>
          </cell>
          <cell r="R507" t="e">
            <v>#N/A</v>
          </cell>
        </row>
        <row r="508">
          <cell r="A508">
            <v>40205</v>
          </cell>
          <cell r="B508">
            <v>40205</v>
          </cell>
          <cell r="C508" t="str">
            <v>Past</v>
          </cell>
          <cell r="D508">
            <v>62.23</v>
          </cell>
          <cell r="E508" t="e">
            <v>#N/A</v>
          </cell>
          <cell r="F508" t="e">
            <v>#N/A</v>
          </cell>
          <cell r="G508" t="e">
            <v>#N/A</v>
          </cell>
          <cell r="H508" t="e">
            <v>#N/A</v>
          </cell>
          <cell r="I508" t="e">
            <v>#N/A</v>
          </cell>
          <cell r="J508" t="e">
            <v>#N/A</v>
          </cell>
          <cell r="K508" t="e">
            <v>#N/A</v>
          </cell>
          <cell r="L508" t="e">
            <v>#N/A</v>
          </cell>
          <cell r="M508" t="e">
            <v>#N/A</v>
          </cell>
          <cell r="N508" t="e">
            <v>#N/A</v>
          </cell>
          <cell r="O508" t="e">
            <v>#N/A</v>
          </cell>
          <cell r="P508">
            <v>62.23</v>
          </cell>
          <cell r="Q508">
            <v>1.695821</v>
          </cell>
          <cell r="R508" t="e">
            <v>#N/A</v>
          </cell>
        </row>
        <row r="509">
          <cell r="A509">
            <v>40206</v>
          </cell>
          <cell r="B509">
            <v>40206</v>
          </cell>
          <cell r="C509" t="str">
            <v>Past</v>
          </cell>
          <cell r="D509">
            <v>61.37</v>
          </cell>
          <cell r="E509" t="e">
            <v>#N/A</v>
          </cell>
          <cell r="F509" t="e">
            <v>#N/A</v>
          </cell>
          <cell r="G509" t="e">
            <v>#N/A</v>
          </cell>
          <cell r="H509" t="e">
            <v>#N/A</v>
          </cell>
          <cell r="I509" t="e">
            <v>#N/A</v>
          </cell>
          <cell r="J509" t="e">
            <v>#N/A</v>
          </cell>
          <cell r="K509" t="e">
            <v>#N/A</v>
          </cell>
          <cell r="L509" t="e">
            <v>#N/A</v>
          </cell>
          <cell r="M509" t="e">
            <v>#N/A</v>
          </cell>
          <cell r="N509" t="e">
            <v>#N/A</v>
          </cell>
          <cell r="O509" t="e">
            <v>#N/A</v>
          </cell>
          <cell r="P509">
            <v>61.37</v>
          </cell>
          <cell r="Q509">
            <v>2.3307340000000001</v>
          </cell>
          <cell r="R509" t="e">
            <v>#N/A</v>
          </cell>
        </row>
        <row r="510">
          <cell r="A510">
            <v>40207</v>
          </cell>
          <cell r="B510">
            <v>40207</v>
          </cell>
          <cell r="C510" t="str">
            <v>Past</v>
          </cell>
          <cell r="D510">
            <v>61.91</v>
          </cell>
          <cell r="E510" t="e">
            <v>#N/A</v>
          </cell>
          <cell r="F510" t="e">
            <v>#N/A</v>
          </cell>
          <cell r="G510" t="e">
            <v>#N/A</v>
          </cell>
          <cell r="H510" t="e">
            <v>#N/A</v>
          </cell>
          <cell r="I510" t="e">
            <v>#N/A</v>
          </cell>
          <cell r="J510" t="e">
            <v>#N/A</v>
          </cell>
          <cell r="K510" t="e">
            <v>#N/A</v>
          </cell>
          <cell r="L510" t="e">
            <v>#N/A</v>
          </cell>
          <cell r="M510" t="e">
            <v>#N/A</v>
          </cell>
          <cell r="N510" t="e">
            <v>#N/A</v>
          </cell>
          <cell r="O510" t="e">
            <v>#N/A</v>
          </cell>
          <cell r="P510">
            <v>61.91</v>
          </cell>
          <cell r="Q510">
            <v>2.2390719999999997</v>
          </cell>
          <cell r="R510" t="e">
            <v>#N/A</v>
          </cell>
        </row>
        <row r="511">
          <cell r="A511">
            <v>40210</v>
          </cell>
          <cell r="B511">
            <v>40210</v>
          </cell>
          <cell r="C511" t="str">
            <v>Past</v>
          </cell>
          <cell r="D511">
            <v>63.09</v>
          </cell>
          <cell r="E511" t="e">
            <v>#N/A</v>
          </cell>
          <cell r="F511" t="e">
            <v>#N/A</v>
          </cell>
          <cell r="G511" t="e">
            <v>#N/A</v>
          </cell>
          <cell r="H511" t="e">
            <v>#N/A</v>
          </cell>
          <cell r="I511" t="e">
            <v>#N/A</v>
          </cell>
          <cell r="J511" t="e">
            <v>#N/A</v>
          </cell>
          <cell r="K511" t="e">
            <v>#N/A</v>
          </cell>
          <cell r="L511" t="e">
            <v>#N/A</v>
          </cell>
          <cell r="M511" t="e">
            <v>#N/A</v>
          </cell>
          <cell r="N511" t="e">
            <v>#N/A</v>
          </cell>
          <cell r="O511" t="e">
            <v>#N/A</v>
          </cell>
          <cell r="P511">
            <v>63.09</v>
          </cell>
          <cell r="Q511">
            <v>1.4132</v>
          </cell>
          <cell r="R511" t="e">
            <v>#N/A</v>
          </cell>
        </row>
        <row r="512">
          <cell r="A512">
            <v>40211</v>
          </cell>
          <cell r="B512">
            <v>40211</v>
          </cell>
          <cell r="C512" t="str">
            <v>Past</v>
          </cell>
          <cell r="D512">
            <v>64.790000000000006</v>
          </cell>
          <cell r="E512" t="e">
            <v>#N/A</v>
          </cell>
          <cell r="F512" t="e">
            <v>#N/A</v>
          </cell>
          <cell r="G512" t="e">
            <v>#N/A</v>
          </cell>
          <cell r="H512" t="e">
            <v>#N/A</v>
          </cell>
          <cell r="I512" t="e">
            <v>#N/A</v>
          </cell>
          <cell r="J512" t="e">
            <v>#N/A</v>
          </cell>
          <cell r="K512" t="e">
            <v>#N/A</v>
          </cell>
          <cell r="L512" t="e">
            <v>#N/A</v>
          </cell>
          <cell r="M512" t="e">
            <v>#N/A</v>
          </cell>
          <cell r="N512" t="e">
            <v>#N/A</v>
          </cell>
          <cell r="O512" t="e">
            <v>#N/A</v>
          </cell>
          <cell r="P512">
            <v>64.790000000000006</v>
          </cell>
          <cell r="Q512">
            <v>1.8616539999999999</v>
          </cell>
          <cell r="R512" t="e">
            <v>#N/A</v>
          </cell>
        </row>
        <row r="513">
          <cell r="A513">
            <v>40212</v>
          </cell>
          <cell r="B513">
            <v>40212</v>
          </cell>
          <cell r="C513" t="str">
            <v>Past</v>
          </cell>
          <cell r="D513">
            <v>64.22</v>
          </cell>
          <cell r="E513" t="e">
            <v>#N/A</v>
          </cell>
          <cell r="F513" t="e">
            <v>#N/A</v>
          </cell>
          <cell r="G513" t="e">
            <v>#N/A</v>
          </cell>
          <cell r="H513" t="e">
            <v>#N/A</v>
          </cell>
          <cell r="I513" t="e">
            <v>#N/A</v>
          </cell>
          <cell r="J513" t="e">
            <v>#N/A</v>
          </cell>
          <cell r="K513" t="e">
            <v>#N/A</v>
          </cell>
          <cell r="L513" t="e">
            <v>#N/A</v>
          </cell>
          <cell r="M513" t="e">
            <v>#N/A</v>
          </cell>
          <cell r="N513" t="e">
            <v>#N/A</v>
          </cell>
          <cell r="O513" t="e">
            <v>#N/A</v>
          </cell>
          <cell r="P513">
            <v>64.22</v>
          </cell>
          <cell r="Q513">
            <v>0.82956199999999991</v>
          </cell>
          <cell r="R513" t="e">
            <v>#N/A</v>
          </cell>
        </row>
        <row r="514">
          <cell r="A514">
            <v>40213</v>
          </cell>
          <cell r="B514">
            <v>40213</v>
          </cell>
          <cell r="C514" t="str">
            <v>Past</v>
          </cell>
          <cell r="D514">
            <v>62.42</v>
          </cell>
          <cell r="E514" t="e">
            <v>#N/A</v>
          </cell>
          <cell r="F514" t="e">
            <v>#N/A</v>
          </cell>
          <cell r="G514" t="e">
            <v>#N/A</v>
          </cell>
          <cell r="H514" t="e">
            <v>#N/A</v>
          </cell>
          <cell r="I514" t="e">
            <v>#N/A</v>
          </cell>
          <cell r="J514" t="e">
            <v>#N/A</v>
          </cell>
          <cell r="K514" t="e">
            <v>#N/A</v>
          </cell>
          <cell r="L514" t="e">
            <v>#N/A</v>
          </cell>
          <cell r="M514" t="e">
            <v>#N/A</v>
          </cell>
          <cell r="N514" t="e">
            <v>#N/A</v>
          </cell>
          <cell r="O514" t="e">
            <v>#N/A</v>
          </cell>
          <cell r="P514">
            <v>62.42</v>
          </cell>
          <cell r="Q514">
            <v>2.0384509999999998</v>
          </cell>
          <cell r="R514" t="e">
            <v>#N/A</v>
          </cell>
        </row>
        <row r="515">
          <cell r="A515">
            <v>40214</v>
          </cell>
          <cell r="B515">
            <v>40214</v>
          </cell>
          <cell r="C515" t="str">
            <v>Past</v>
          </cell>
          <cell r="D515">
            <v>62.45</v>
          </cell>
          <cell r="E515" t="e">
            <v>#N/A</v>
          </cell>
          <cell r="F515" t="e">
            <v>#N/A</v>
          </cell>
          <cell r="G515" t="e">
            <v>#N/A</v>
          </cell>
          <cell r="H515" t="e">
            <v>#N/A</v>
          </cell>
          <cell r="I515" t="e">
            <v>#N/A</v>
          </cell>
          <cell r="J515" t="e">
            <v>#N/A</v>
          </cell>
          <cell r="K515" t="e">
            <v>#N/A</v>
          </cell>
          <cell r="L515" t="e">
            <v>#N/A</v>
          </cell>
          <cell r="M515" t="e">
            <v>#N/A</v>
          </cell>
          <cell r="N515" t="e">
            <v>#N/A</v>
          </cell>
          <cell r="O515" t="e">
            <v>#N/A</v>
          </cell>
          <cell r="P515">
            <v>62.45</v>
          </cell>
          <cell r="Q515">
            <v>1.5878369999999999</v>
          </cell>
          <cell r="R515" t="e">
            <v>#N/A</v>
          </cell>
        </row>
        <row r="516">
          <cell r="A516">
            <v>40217</v>
          </cell>
          <cell r="B516">
            <v>40217</v>
          </cell>
          <cell r="C516" t="str">
            <v>Past</v>
          </cell>
          <cell r="D516">
            <v>61.85</v>
          </cell>
          <cell r="E516" t="e">
            <v>#N/A</v>
          </cell>
          <cell r="F516" t="e">
            <v>#N/A</v>
          </cell>
          <cell r="G516" t="e">
            <v>#N/A</v>
          </cell>
          <cell r="H516" t="e">
            <v>#N/A</v>
          </cell>
          <cell r="I516" t="e">
            <v>#N/A</v>
          </cell>
          <cell r="J516" t="e">
            <v>#N/A</v>
          </cell>
          <cell r="K516" t="e">
            <v>#N/A</v>
          </cell>
          <cell r="L516" t="e">
            <v>#N/A</v>
          </cell>
          <cell r="M516" t="e">
            <v>#N/A</v>
          </cell>
          <cell r="N516" t="e">
            <v>#N/A</v>
          </cell>
          <cell r="O516" t="e">
            <v>#N/A</v>
          </cell>
          <cell r="P516">
            <v>61.85</v>
          </cell>
          <cell r="Q516">
            <v>1.2874700000000001</v>
          </cell>
          <cell r="R516" t="e">
            <v>#N/A</v>
          </cell>
        </row>
        <row r="517">
          <cell r="A517">
            <v>40218</v>
          </cell>
          <cell r="B517">
            <v>40218</v>
          </cell>
          <cell r="C517" t="str">
            <v>Past</v>
          </cell>
          <cell r="D517">
            <v>62.69</v>
          </cell>
          <cell r="E517" t="e">
            <v>#N/A</v>
          </cell>
          <cell r="F517" t="e">
            <v>#N/A</v>
          </cell>
          <cell r="G517" t="e">
            <v>#N/A</v>
          </cell>
          <cell r="H517" t="e">
            <v>#N/A</v>
          </cell>
          <cell r="I517" t="e">
            <v>#N/A</v>
          </cell>
          <cell r="J517" t="e">
            <v>#N/A</v>
          </cell>
          <cell r="K517" t="e">
            <v>#N/A</v>
          </cell>
          <cell r="L517" t="e">
            <v>#N/A</v>
          </cell>
          <cell r="M517" t="e">
            <v>#N/A</v>
          </cell>
          <cell r="N517" t="e">
            <v>#N/A</v>
          </cell>
          <cell r="O517" t="e">
            <v>#N/A</v>
          </cell>
          <cell r="P517">
            <v>62.69</v>
          </cell>
          <cell r="Q517">
            <v>1.5607</v>
          </cell>
          <cell r="R517" t="e">
            <v>#N/A</v>
          </cell>
        </row>
        <row r="518">
          <cell r="A518">
            <v>40219</v>
          </cell>
          <cell r="B518">
            <v>40219</v>
          </cell>
          <cell r="C518" t="str">
            <v>Past</v>
          </cell>
          <cell r="D518">
            <v>62.27</v>
          </cell>
          <cell r="E518" t="e">
            <v>#N/A</v>
          </cell>
          <cell r="F518" t="e">
            <v>#N/A</v>
          </cell>
          <cell r="G518" t="e">
            <v>#N/A</v>
          </cell>
          <cell r="H518" t="e">
            <v>#N/A</v>
          </cell>
          <cell r="I518" t="e">
            <v>#N/A</v>
          </cell>
          <cell r="J518" t="e">
            <v>#N/A</v>
          </cell>
          <cell r="K518" t="e">
            <v>#N/A</v>
          </cell>
          <cell r="L518" t="e">
            <v>#N/A</v>
          </cell>
          <cell r="M518" t="e">
            <v>#N/A</v>
          </cell>
          <cell r="N518" t="e">
            <v>#N/A</v>
          </cell>
          <cell r="O518" t="e">
            <v>#N/A</v>
          </cell>
          <cell r="P518">
            <v>62.27</v>
          </cell>
          <cell r="Q518">
            <v>0.93381399999999992</v>
          </cell>
          <cell r="R518" t="e">
            <v>#N/A</v>
          </cell>
        </row>
        <row r="519">
          <cell r="A519">
            <v>40220</v>
          </cell>
          <cell r="B519">
            <v>40220</v>
          </cell>
          <cell r="C519" t="str">
            <v>Past</v>
          </cell>
          <cell r="D519">
            <v>63.51</v>
          </cell>
          <cell r="E519" t="e">
            <v>#N/A</v>
          </cell>
          <cell r="F519" t="e">
            <v>#N/A</v>
          </cell>
          <cell r="G519" t="e">
            <v>#N/A</v>
          </cell>
          <cell r="H519" t="e">
            <v>#N/A</v>
          </cell>
          <cell r="I519" t="e">
            <v>#N/A</v>
          </cell>
          <cell r="J519" t="e">
            <v>#N/A</v>
          </cell>
          <cell r="K519" t="e">
            <v>#N/A</v>
          </cell>
          <cell r="L519" t="e">
            <v>#N/A</v>
          </cell>
          <cell r="M519" t="e">
            <v>#N/A</v>
          </cell>
          <cell r="N519" t="e">
            <v>#N/A</v>
          </cell>
          <cell r="O519" t="e">
            <v>#N/A</v>
          </cell>
          <cell r="P519">
            <v>63.51</v>
          </cell>
          <cell r="Q519">
            <v>1.0413509999999999</v>
          </cell>
          <cell r="R519" t="e">
            <v>#N/A</v>
          </cell>
        </row>
        <row r="520">
          <cell r="A520">
            <v>40221</v>
          </cell>
          <cell r="B520">
            <v>40221</v>
          </cell>
          <cell r="C520" t="str">
            <v>Past</v>
          </cell>
          <cell r="D520">
            <v>63.36</v>
          </cell>
          <cell r="E520" t="e">
            <v>#N/A</v>
          </cell>
          <cell r="F520" t="e">
            <v>#N/A</v>
          </cell>
          <cell r="G520" t="e">
            <v>#N/A</v>
          </cell>
          <cell r="H520" t="e">
            <v>#N/A</v>
          </cell>
          <cell r="I520" t="e">
            <v>#N/A</v>
          </cell>
          <cell r="J520" t="e">
            <v>#N/A</v>
          </cell>
          <cell r="K520" t="e">
            <v>#N/A</v>
          </cell>
          <cell r="L520" t="e">
            <v>#N/A</v>
          </cell>
          <cell r="M520" t="e">
            <v>#N/A</v>
          </cell>
          <cell r="N520" t="e">
            <v>#N/A</v>
          </cell>
          <cell r="O520" t="e">
            <v>#N/A</v>
          </cell>
          <cell r="P520">
            <v>63.36</v>
          </cell>
          <cell r="Q520">
            <v>0.76871000000000012</v>
          </cell>
          <cell r="R520" t="e">
            <v>#N/A</v>
          </cell>
        </row>
        <row r="521">
          <cell r="A521">
            <v>40225</v>
          </cell>
          <cell r="B521">
            <v>40225</v>
          </cell>
          <cell r="C521" t="str">
            <v>Past</v>
          </cell>
          <cell r="D521">
            <v>64.17</v>
          </cell>
          <cell r="E521" t="e">
            <v>#N/A</v>
          </cell>
          <cell r="F521" t="e">
            <v>#N/A</v>
          </cell>
          <cell r="G521" t="e">
            <v>#N/A</v>
          </cell>
          <cell r="H521" t="e">
            <v>#N/A</v>
          </cell>
          <cell r="I521" t="e">
            <v>#N/A</v>
          </cell>
          <cell r="J521" t="e">
            <v>#N/A</v>
          </cell>
          <cell r="K521" t="e">
            <v>#N/A</v>
          </cell>
          <cell r="L521" t="e">
            <v>#N/A</v>
          </cell>
          <cell r="M521" t="e">
            <v>#N/A</v>
          </cell>
          <cell r="N521" t="e">
            <v>#N/A</v>
          </cell>
          <cell r="O521" t="e">
            <v>#N/A</v>
          </cell>
          <cell r="P521">
            <v>64.17</v>
          </cell>
          <cell r="Q521">
            <v>2.0793879999999998</v>
          </cell>
          <cell r="R521" t="e">
            <v>#N/A</v>
          </cell>
        </row>
        <row r="522">
          <cell r="A522">
            <v>40226</v>
          </cell>
          <cell r="B522">
            <v>40226</v>
          </cell>
          <cell r="C522" t="str">
            <v>Past</v>
          </cell>
          <cell r="D522">
            <v>64.180000000000007</v>
          </cell>
          <cell r="E522" t="e">
            <v>#N/A</v>
          </cell>
          <cell r="F522" t="e">
            <v>#N/A</v>
          </cell>
          <cell r="G522" t="e">
            <v>#N/A</v>
          </cell>
          <cell r="H522" t="e">
            <v>#N/A</v>
          </cell>
          <cell r="I522" t="e">
            <v>#N/A</v>
          </cell>
          <cell r="J522" t="e">
            <v>#N/A</v>
          </cell>
          <cell r="K522" t="e">
            <v>#N/A</v>
          </cell>
          <cell r="L522" t="e">
            <v>#N/A</v>
          </cell>
          <cell r="M522" t="e">
            <v>#N/A</v>
          </cell>
          <cell r="N522" t="e">
            <v>#N/A</v>
          </cell>
          <cell r="O522" t="e">
            <v>#N/A</v>
          </cell>
          <cell r="P522">
            <v>64.180000000000007</v>
          </cell>
          <cell r="Q522">
            <v>1.303064</v>
          </cell>
          <cell r="R522" t="e">
            <v>#N/A</v>
          </cell>
        </row>
        <row r="523">
          <cell r="A523">
            <v>40227</v>
          </cell>
          <cell r="B523">
            <v>40227</v>
          </cell>
          <cell r="C523" t="str">
            <v>Past</v>
          </cell>
          <cell r="D523">
            <v>64.88</v>
          </cell>
          <cell r="E523" t="e">
            <v>#N/A</v>
          </cell>
          <cell r="F523" t="e">
            <v>#N/A</v>
          </cell>
          <cell r="G523" t="e">
            <v>#N/A</v>
          </cell>
          <cell r="H523" t="e">
            <v>#N/A</v>
          </cell>
          <cell r="I523" t="e">
            <v>#N/A</v>
          </cell>
          <cell r="J523" t="e">
            <v>#N/A</v>
          </cell>
          <cell r="K523" t="e">
            <v>#N/A</v>
          </cell>
          <cell r="L523" t="e">
            <v>#N/A</v>
          </cell>
          <cell r="M523" t="e">
            <v>#N/A</v>
          </cell>
          <cell r="N523" t="e">
            <v>#N/A</v>
          </cell>
          <cell r="O523" t="e">
            <v>#N/A</v>
          </cell>
          <cell r="P523">
            <v>64.88</v>
          </cell>
          <cell r="Q523">
            <v>0.95619199999999993</v>
          </cell>
          <cell r="R523" t="e">
            <v>#N/A</v>
          </cell>
        </row>
        <row r="524">
          <cell r="A524">
            <v>40228</v>
          </cell>
          <cell r="B524">
            <v>40228</v>
          </cell>
          <cell r="C524" t="str">
            <v>Past</v>
          </cell>
          <cell r="D524">
            <v>65.239999999999995</v>
          </cell>
          <cell r="E524" t="e">
            <v>#N/A</v>
          </cell>
          <cell r="F524" t="e">
            <v>#N/A</v>
          </cell>
          <cell r="G524" t="e">
            <v>#N/A</v>
          </cell>
          <cell r="H524" t="e">
            <v>#N/A</v>
          </cell>
          <cell r="I524" t="e">
            <v>#N/A</v>
          </cell>
          <cell r="J524" t="e">
            <v>#N/A</v>
          </cell>
          <cell r="K524" t="e">
            <v>#N/A</v>
          </cell>
          <cell r="L524" t="e">
            <v>#N/A</v>
          </cell>
          <cell r="M524" t="e">
            <v>#N/A</v>
          </cell>
          <cell r="N524" t="e">
            <v>#N/A</v>
          </cell>
          <cell r="O524" t="e">
            <v>#N/A</v>
          </cell>
          <cell r="P524">
            <v>65.239999999999995</v>
          </cell>
          <cell r="Q524">
            <v>1.2444</v>
          </cell>
          <cell r="R524" t="e">
            <v>#N/A</v>
          </cell>
        </row>
        <row r="525">
          <cell r="A525">
            <v>40231</v>
          </cell>
          <cell r="B525">
            <v>40231</v>
          </cell>
          <cell r="C525" t="str">
            <v>Past</v>
          </cell>
          <cell r="D525">
            <v>65</v>
          </cell>
          <cell r="E525" t="e">
            <v>#N/A</v>
          </cell>
          <cell r="F525" t="e">
            <v>#N/A</v>
          </cell>
          <cell r="G525" t="e">
            <v>#N/A</v>
          </cell>
          <cell r="H525" t="e">
            <v>#N/A</v>
          </cell>
          <cell r="I525" t="e">
            <v>#N/A</v>
          </cell>
          <cell r="J525" t="e">
            <v>#N/A</v>
          </cell>
          <cell r="K525" t="e">
            <v>#N/A</v>
          </cell>
          <cell r="L525" t="e">
            <v>#N/A</v>
          </cell>
          <cell r="M525" t="e">
            <v>#N/A</v>
          </cell>
          <cell r="N525" t="e">
            <v>#N/A</v>
          </cell>
          <cell r="O525" t="e">
            <v>#N/A</v>
          </cell>
          <cell r="P525">
            <v>65</v>
          </cell>
          <cell r="Q525">
            <v>0.79830599999999996</v>
          </cell>
          <cell r="R525" t="e">
            <v>#N/A</v>
          </cell>
        </row>
        <row r="526">
          <cell r="A526">
            <v>40232</v>
          </cell>
          <cell r="B526">
            <v>40232</v>
          </cell>
          <cell r="C526" t="str">
            <v>Past</v>
          </cell>
          <cell r="D526">
            <v>64.2</v>
          </cell>
          <cell r="E526" t="e">
            <v>#N/A</v>
          </cell>
          <cell r="F526" t="e">
            <v>#N/A</v>
          </cell>
          <cell r="G526" t="e">
            <v>#N/A</v>
          </cell>
          <cell r="H526" t="e">
            <v>#N/A</v>
          </cell>
          <cell r="I526" t="e">
            <v>#N/A</v>
          </cell>
          <cell r="J526" t="e">
            <v>#N/A</v>
          </cell>
          <cell r="K526" t="e">
            <v>#N/A</v>
          </cell>
          <cell r="L526" t="e">
            <v>#N/A</v>
          </cell>
          <cell r="M526" t="e">
            <v>#N/A</v>
          </cell>
          <cell r="N526" t="e">
            <v>#N/A</v>
          </cell>
          <cell r="O526" t="e">
            <v>#N/A</v>
          </cell>
          <cell r="P526">
            <v>64.2</v>
          </cell>
          <cell r="Q526">
            <v>1.4157609999999998</v>
          </cell>
          <cell r="R526" t="e">
            <v>#N/A</v>
          </cell>
        </row>
        <row r="527">
          <cell r="A527">
            <v>40233</v>
          </cell>
          <cell r="B527">
            <v>40233</v>
          </cell>
          <cell r="C527" t="str">
            <v>Past</v>
          </cell>
          <cell r="D527">
            <v>64.900000000000006</v>
          </cell>
          <cell r="E527" t="e">
            <v>#N/A</v>
          </cell>
          <cell r="F527" t="e">
            <v>#N/A</v>
          </cell>
          <cell r="G527" t="e">
            <v>#N/A</v>
          </cell>
          <cell r="H527" t="e">
            <v>#N/A</v>
          </cell>
          <cell r="I527" t="e">
            <v>#N/A</v>
          </cell>
          <cell r="J527" t="e">
            <v>#N/A</v>
          </cell>
          <cell r="K527" t="e">
            <v>#N/A</v>
          </cell>
          <cell r="L527" t="e">
            <v>#N/A</v>
          </cell>
          <cell r="M527" t="e">
            <v>#N/A</v>
          </cell>
          <cell r="N527" t="e">
            <v>#N/A</v>
          </cell>
          <cell r="O527" t="e">
            <v>#N/A</v>
          </cell>
          <cell r="P527">
            <v>64.900000000000006</v>
          </cell>
          <cell r="Q527">
            <v>1.410061</v>
          </cell>
          <cell r="R527" t="e">
            <v>#N/A</v>
          </cell>
        </row>
        <row r="528">
          <cell r="A528">
            <v>40234</v>
          </cell>
          <cell r="B528">
            <v>40234</v>
          </cell>
          <cell r="C528" t="str">
            <v>Past</v>
          </cell>
          <cell r="D528">
            <v>64.8</v>
          </cell>
          <cell r="E528" t="e">
            <v>#N/A</v>
          </cell>
          <cell r="F528" t="e">
            <v>#N/A</v>
          </cell>
          <cell r="G528" t="e">
            <v>#N/A</v>
          </cell>
          <cell r="H528" t="e">
            <v>#N/A</v>
          </cell>
          <cell r="I528" t="e">
            <v>#N/A</v>
          </cell>
          <cell r="J528" t="e">
            <v>#N/A</v>
          </cell>
          <cell r="K528" t="e">
            <v>#N/A</v>
          </cell>
          <cell r="L528" t="e">
            <v>#N/A</v>
          </cell>
          <cell r="M528" t="e">
            <v>#N/A</v>
          </cell>
          <cell r="N528" t="e">
            <v>#N/A</v>
          </cell>
          <cell r="O528" t="e">
            <v>#N/A</v>
          </cell>
          <cell r="P528">
            <v>64.8</v>
          </cell>
          <cell r="Q528">
            <v>1.514103</v>
          </cell>
          <cell r="R528" t="e">
            <v>#N/A</v>
          </cell>
        </row>
        <row r="529">
          <cell r="A529">
            <v>40235</v>
          </cell>
          <cell r="B529">
            <v>40235</v>
          </cell>
          <cell r="C529" t="str">
            <v>Past</v>
          </cell>
          <cell r="D529">
            <v>65.63</v>
          </cell>
          <cell r="E529" t="e">
            <v>#N/A</v>
          </cell>
          <cell r="F529" t="e">
            <v>#N/A</v>
          </cell>
          <cell r="G529" t="e">
            <v>#N/A</v>
          </cell>
          <cell r="H529" t="e">
            <v>#N/A</v>
          </cell>
          <cell r="I529" t="e">
            <v>#N/A</v>
          </cell>
          <cell r="J529" t="e">
            <v>#N/A</v>
          </cell>
          <cell r="K529" t="e">
            <v>#N/A</v>
          </cell>
          <cell r="L529" t="e">
            <v>#N/A</v>
          </cell>
          <cell r="M529" t="e">
            <v>#N/A</v>
          </cell>
          <cell r="N529" t="e">
            <v>#N/A</v>
          </cell>
          <cell r="O529" t="e">
            <v>#N/A</v>
          </cell>
          <cell r="P529">
            <v>65.63</v>
          </cell>
          <cell r="Q529">
            <v>1.6516359999999999</v>
          </cell>
          <cell r="R529" t="e">
            <v>#N/A</v>
          </cell>
        </row>
        <row r="530">
          <cell r="A530">
            <v>40238</v>
          </cell>
          <cell r="B530">
            <v>40238</v>
          </cell>
          <cell r="C530" t="str">
            <v>Past</v>
          </cell>
          <cell r="D530">
            <v>67.25</v>
          </cell>
          <cell r="E530" t="e">
            <v>#N/A</v>
          </cell>
          <cell r="F530" t="e">
            <v>#N/A</v>
          </cell>
          <cell r="G530" t="e">
            <v>#N/A</v>
          </cell>
          <cell r="H530" t="e">
            <v>#N/A</v>
          </cell>
          <cell r="I530" t="e">
            <v>#N/A</v>
          </cell>
          <cell r="J530" t="e">
            <v>#N/A</v>
          </cell>
          <cell r="K530" t="e">
            <v>#N/A</v>
          </cell>
          <cell r="L530" t="e">
            <v>#N/A</v>
          </cell>
          <cell r="M530" t="e">
            <v>#N/A</v>
          </cell>
          <cell r="N530" t="e">
            <v>#N/A</v>
          </cell>
          <cell r="O530" t="e">
            <v>#N/A</v>
          </cell>
          <cell r="P530">
            <v>67.25</v>
          </cell>
          <cell r="Q530">
            <v>1.8971829999999998</v>
          </cell>
          <cell r="R530" t="e">
            <v>#N/A</v>
          </cell>
        </row>
        <row r="531">
          <cell r="A531">
            <v>40239</v>
          </cell>
          <cell r="B531">
            <v>40239</v>
          </cell>
          <cell r="C531" t="str">
            <v>Past</v>
          </cell>
          <cell r="D531">
            <v>67.790000000000006</v>
          </cell>
          <cell r="E531" t="e">
            <v>#N/A</v>
          </cell>
          <cell r="F531" t="e">
            <v>#N/A</v>
          </cell>
          <cell r="G531" t="e">
            <v>#N/A</v>
          </cell>
          <cell r="H531" t="e">
            <v>#N/A</v>
          </cell>
          <cell r="I531" t="e">
            <v>#N/A</v>
          </cell>
          <cell r="J531" t="e">
            <v>#N/A</v>
          </cell>
          <cell r="K531" t="e">
            <v>#N/A</v>
          </cell>
          <cell r="L531" t="e">
            <v>#N/A</v>
          </cell>
          <cell r="M531" t="e">
            <v>#N/A</v>
          </cell>
          <cell r="N531" t="e">
            <v>#N/A</v>
          </cell>
          <cell r="O531" t="e">
            <v>#N/A</v>
          </cell>
          <cell r="P531">
            <v>67.790000000000006</v>
          </cell>
          <cell r="Q531">
            <v>2.1222759999999998</v>
          </cell>
          <cell r="R531" t="e">
            <v>#N/A</v>
          </cell>
        </row>
        <row r="532">
          <cell r="A532">
            <v>40240</v>
          </cell>
          <cell r="B532">
            <v>40240</v>
          </cell>
          <cell r="C532" t="str">
            <v>Past</v>
          </cell>
          <cell r="D532">
            <v>67.680000000000007</v>
          </cell>
          <cell r="E532" t="e">
            <v>#N/A</v>
          </cell>
          <cell r="F532" t="e">
            <v>#N/A</v>
          </cell>
          <cell r="G532" t="e">
            <v>#N/A</v>
          </cell>
          <cell r="H532" t="e">
            <v>#N/A</v>
          </cell>
          <cell r="I532" t="e">
            <v>#N/A</v>
          </cell>
          <cell r="J532" t="e">
            <v>#N/A</v>
          </cell>
          <cell r="K532" t="e">
            <v>#N/A</v>
          </cell>
          <cell r="L532" t="e">
            <v>#N/A</v>
          </cell>
          <cell r="M532" t="e">
            <v>#N/A</v>
          </cell>
          <cell r="N532" t="e">
            <v>#N/A</v>
          </cell>
          <cell r="O532" t="e">
            <v>#N/A</v>
          </cell>
          <cell r="P532">
            <v>67.680000000000007</v>
          </cell>
          <cell r="Q532">
            <v>1.5122200000000001</v>
          </cell>
          <cell r="R532" t="e">
            <v>#N/A</v>
          </cell>
        </row>
        <row r="533">
          <cell r="A533">
            <v>40241</v>
          </cell>
          <cell r="B533">
            <v>40241</v>
          </cell>
          <cell r="C533" t="str">
            <v>Past</v>
          </cell>
          <cell r="D533">
            <v>69.040000000000006</v>
          </cell>
          <cell r="E533" t="e">
            <v>#N/A</v>
          </cell>
          <cell r="F533" t="e">
            <v>#N/A</v>
          </cell>
          <cell r="G533" t="e">
            <v>#N/A</v>
          </cell>
          <cell r="H533" t="e">
            <v>#N/A</v>
          </cell>
          <cell r="I533" t="e">
            <v>#N/A</v>
          </cell>
          <cell r="J533" t="e">
            <v>#N/A</v>
          </cell>
          <cell r="K533" t="e">
            <v>#N/A</v>
          </cell>
          <cell r="L533" t="e">
            <v>#N/A</v>
          </cell>
          <cell r="M533" t="e">
            <v>#N/A</v>
          </cell>
          <cell r="N533" t="e">
            <v>#N/A</v>
          </cell>
          <cell r="O533" t="e">
            <v>#N/A</v>
          </cell>
          <cell r="P533">
            <v>69.040000000000006</v>
          </cell>
          <cell r="Q533">
            <v>1.9760439999999999</v>
          </cell>
          <cell r="R533" t="e">
            <v>#N/A</v>
          </cell>
        </row>
        <row r="534">
          <cell r="A534">
            <v>40242</v>
          </cell>
          <cell r="B534">
            <v>40242</v>
          </cell>
          <cell r="C534" t="str">
            <v>Past</v>
          </cell>
          <cell r="D534">
            <v>69.69</v>
          </cell>
          <cell r="E534" t="e">
            <v>#N/A</v>
          </cell>
          <cell r="F534" t="e">
            <v>#N/A</v>
          </cell>
          <cell r="G534" t="e">
            <v>#N/A</v>
          </cell>
          <cell r="H534" t="e">
            <v>#N/A</v>
          </cell>
          <cell r="I534" t="e">
            <v>#N/A</v>
          </cell>
          <cell r="J534" t="e">
            <v>#N/A</v>
          </cell>
          <cell r="K534" t="e">
            <v>#N/A</v>
          </cell>
          <cell r="L534" t="e">
            <v>#N/A</v>
          </cell>
          <cell r="M534" t="e">
            <v>#N/A</v>
          </cell>
          <cell r="N534" t="e">
            <v>#N/A</v>
          </cell>
          <cell r="O534" t="e">
            <v>#N/A</v>
          </cell>
          <cell r="P534">
            <v>69.69</v>
          </cell>
          <cell r="Q534">
            <v>2.481897</v>
          </cell>
          <cell r="R534" t="e">
            <v>#N/A</v>
          </cell>
        </row>
        <row r="535">
          <cell r="A535">
            <v>40245</v>
          </cell>
          <cell r="B535">
            <v>40245</v>
          </cell>
          <cell r="C535" t="str">
            <v>Past</v>
          </cell>
          <cell r="D535">
            <v>68.739999999999995</v>
          </cell>
          <cell r="E535" t="e">
            <v>#N/A</v>
          </cell>
          <cell r="F535" t="e">
            <v>#N/A</v>
          </cell>
          <cell r="G535" t="e">
            <v>#N/A</v>
          </cell>
          <cell r="H535" t="e">
            <v>#N/A</v>
          </cell>
          <cell r="I535" t="e">
            <v>#N/A</v>
          </cell>
          <cell r="J535" t="e">
            <v>#N/A</v>
          </cell>
          <cell r="K535" t="e">
            <v>#N/A</v>
          </cell>
          <cell r="L535" t="e">
            <v>#N/A</v>
          </cell>
          <cell r="M535" t="e">
            <v>#N/A</v>
          </cell>
          <cell r="N535" t="e">
            <v>#N/A</v>
          </cell>
          <cell r="O535" t="e">
            <v>#N/A</v>
          </cell>
          <cell r="P535">
            <v>68.739999999999995</v>
          </cell>
          <cell r="Q535">
            <v>1.3382639999999999</v>
          </cell>
          <cell r="R535" t="e">
            <v>#N/A</v>
          </cell>
        </row>
        <row r="536">
          <cell r="A536">
            <v>40246</v>
          </cell>
          <cell r="B536">
            <v>40246</v>
          </cell>
          <cell r="C536" t="str">
            <v>Past</v>
          </cell>
          <cell r="D536">
            <v>69.72</v>
          </cell>
          <cell r="E536" t="e">
            <v>#N/A</v>
          </cell>
          <cell r="F536" t="e">
            <v>#N/A</v>
          </cell>
          <cell r="G536" t="e">
            <v>#N/A</v>
          </cell>
          <cell r="H536" t="e">
            <v>#N/A</v>
          </cell>
          <cell r="I536" t="e">
            <v>#N/A</v>
          </cell>
          <cell r="J536" t="e">
            <v>#N/A</v>
          </cell>
          <cell r="K536" t="e">
            <v>#N/A</v>
          </cell>
          <cell r="L536" t="e">
            <v>#N/A</v>
          </cell>
          <cell r="M536" t="e">
            <v>#N/A</v>
          </cell>
          <cell r="N536" t="e">
            <v>#N/A</v>
          </cell>
          <cell r="O536" t="e">
            <v>#N/A</v>
          </cell>
          <cell r="P536">
            <v>69.72</v>
          </cell>
          <cell r="Q536">
            <v>1.6253469999999999</v>
          </cell>
          <cell r="R536" t="e">
            <v>#N/A</v>
          </cell>
        </row>
        <row r="537">
          <cell r="A537">
            <v>40247</v>
          </cell>
          <cell r="B537">
            <v>40247</v>
          </cell>
          <cell r="C537" t="str">
            <v>Past</v>
          </cell>
          <cell r="D537">
            <v>71.2</v>
          </cell>
          <cell r="E537" t="e">
            <v>#N/A</v>
          </cell>
          <cell r="F537" t="e">
            <v>#N/A</v>
          </cell>
          <cell r="G537" t="e">
            <v>#N/A</v>
          </cell>
          <cell r="H537" t="e">
            <v>#N/A</v>
          </cell>
          <cell r="I537" t="e">
            <v>#N/A</v>
          </cell>
          <cell r="J537" t="e">
            <v>#N/A</v>
          </cell>
          <cell r="K537" t="e">
            <v>#N/A</v>
          </cell>
          <cell r="L537" t="e">
            <v>#N/A</v>
          </cell>
          <cell r="M537" t="e">
            <v>#N/A</v>
          </cell>
          <cell r="N537" t="e">
            <v>#N/A</v>
          </cell>
          <cell r="O537" t="e">
            <v>#N/A</v>
          </cell>
          <cell r="P537">
            <v>71.2</v>
          </cell>
          <cell r="Q537">
            <v>1.8022119999999999</v>
          </cell>
          <cell r="R537" t="e">
            <v>#N/A</v>
          </cell>
        </row>
        <row r="538">
          <cell r="A538">
            <v>40248</v>
          </cell>
          <cell r="B538">
            <v>40248</v>
          </cell>
          <cell r="C538" t="str">
            <v>Past</v>
          </cell>
          <cell r="D538">
            <v>72.650000000000006</v>
          </cell>
          <cell r="E538" t="e">
            <v>#N/A</v>
          </cell>
          <cell r="F538" t="e">
            <v>#N/A</v>
          </cell>
          <cell r="G538" t="e">
            <v>#N/A</v>
          </cell>
          <cell r="H538" t="e">
            <v>#N/A</v>
          </cell>
          <cell r="I538" t="e">
            <v>#N/A</v>
          </cell>
          <cell r="J538" t="e">
            <v>#N/A</v>
          </cell>
          <cell r="K538" t="e">
            <v>#N/A</v>
          </cell>
          <cell r="L538" t="e">
            <v>#N/A</v>
          </cell>
          <cell r="M538" t="e">
            <v>#N/A</v>
          </cell>
          <cell r="N538" t="e">
            <v>#N/A</v>
          </cell>
          <cell r="O538" t="e">
            <v>#N/A</v>
          </cell>
          <cell r="P538">
            <v>72.650000000000006</v>
          </cell>
          <cell r="Q538">
            <v>2.1373630000000001</v>
          </cell>
          <cell r="R538" t="e">
            <v>#N/A</v>
          </cell>
        </row>
        <row r="539">
          <cell r="A539">
            <v>40249</v>
          </cell>
          <cell r="B539">
            <v>40249</v>
          </cell>
          <cell r="C539" t="str">
            <v>Past</v>
          </cell>
          <cell r="D539">
            <v>72</v>
          </cell>
          <cell r="E539" t="e">
            <v>#N/A</v>
          </cell>
          <cell r="F539" t="e">
            <v>#N/A</v>
          </cell>
          <cell r="G539" t="e">
            <v>#N/A</v>
          </cell>
          <cell r="H539" t="e">
            <v>#N/A</v>
          </cell>
          <cell r="I539" t="e">
            <v>#N/A</v>
          </cell>
          <cell r="J539" t="e">
            <v>#N/A</v>
          </cell>
          <cell r="K539" t="e">
            <v>#N/A</v>
          </cell>
          <cell r="L539" t="e">
            <v>#N/A</v>
          </cell>
          <cell r="M539" t="e">
            <v>#N/A</v>
          </cell>
          <cell r="N539" t="e">
            <v>#N/A</v>
          </cell>
          <cell r="O539" t="e">
            <v>#N/A</v>
          </cell>
          <cell r="P539">
            <v>72</v>
          </cell>
          <cell r="Q539">
            <v>1.1227659999999999</v>
          </cell>
          <cell r="R539" t="e">
            <v>#N/A</v>
          </cell>
        </row>
        <row r="540">
          <cell r="A540">
            <v>40252</v>
          </cell>
          <cell r="B540">
            <v>40252</v>
          </cell>
          <cell r="C540" t="str">
            <v>Past</v>
          </cell>
          <cell r="D540">
            <v>71.650000000000006</v>
          </cell>
          <cell r="E540" t="e">
            <v>#N/A</v>
          </cell>
          <cell r="F540" t="e">
            <v>#N/A</v>
          </cell>
          <cell r="G540" t="e">
            <v>#N/A</v>
          </cell>
          <cell r="H540" t="e">
            <v>#N/A</v>
          </cell>
          <cell r="I540" t="e">
            <v>#N/A</v>
          </cell>
          <cell r="J540" t="e">
            <v>#N/A</v>
          </cell>
          <cell r="K540" t="e">
            <v>#N/A</v>
          </cell>
          <cell r="L540" t="e">
            <v>#N/A</v>
          </cell>
          <cell r="M540" t="e">
            <v>#N/A</v>
          </cell>
          <cell r="N540" t="e">
            <v>#N/A</v>
          </cell>
          <cell r="O540" t="e">
            <v>#N/A</v>
          </cell>
          <cell r="P540">
            <v>71.650000000000006</v>
          </cell>
          <cell r="Q540">
            <v>0.88502899999999995</v>
          </cell>
          <cell r="R540" t="e">
            <v>#N/A</v>
          </cell>
        </row>
        <row r="541">
          <cell r="A541">
            <v>40253</v>
          </cell>
          <cell r="B541">
            <v>40253</v>
          </cell>
          <cell r="C541" t="str">
            <v>Past</v>
          </cell>
          <cell r="D541">
            <v>72.03</v>
          </cell>
          <cell r="E541" t="e">
            <v>#N/A</v>
          </cell>
          <cell r="F541" t="e">
            <v>#N/A</v>
          </cell>
          <cell r="G541" t="e">
            <v>#N/A</v>
          </cell>
          <cell r="H541" t="e">
            <v>#N/A</v>
          </cell>
          <cell r="I541" t="e">
            <v>#N/A</v>
          </cell>
          <cell r="J541" t="e">
            <v>#N/A</v>
          </cell>
          <cell r="K541" t="e">
            <v>#N/A</v>
          </cell>
          <cell r="L541" t="e">
            <v>#N/A</v>
          </cell>
          <cell r="M541" t="e">
            <v>#N/A</v>
          </cell>
          <cell r="N541" t="e">
            <v>#N/A</v>
          </cell>
          <cell r="O541" t="e">
            <v>#N/A</v>
          </cell>
          <cell r="P541">
            <v>72.03</v>
          </cell>
          <cell r="Q541">
            <v>1.762262</v>
          </cell>
          <cell r="R541" t="e">
            <v>#N/A</v>
          </cell>
        </row>
        <row r="542">
          <cell r="A542">
            <v>40254</v>
          </cell>
          <cell r="B542">
            <v>40254</v>
          </cell>
          <cell r="C542" t="str">
            <v>Past</v>
          </cell>
          <cell r="D542">
            <v>71.489999999999995</v>
          </cell>
          <cell r="E542" t="e">
            <v>#N/A</v>
          </cell>
          <cell r="F542" t="e">
            <v>#N/A</v>
          </cell>
          <cell r="G542" t="e">
            <v>#N/A</v>
          </cell>
          <cell r="H542" t="e">
            <v>#N/A</v>
          </cell>
          <cell r="I542" t="e">
            <v>#N/A</v>
          </cell>
          <cell r="J542" t="e">
            <v>#N/A</v>
          </cell>
          <cell r="K542" t="e">
            <v>#N/A</v>
          </cell>
          <cell r="L542" t="e">
            <v>#N/A</v>
          </cell>
          <cell r="M542" t="e">
            <v>#N/A</v>
          </cell>
          <cell r="N542" t="e">
            <v>#N/A</v>
          </cell>
          <cell r="O542" t="e">
            <v>#N/A</v>
          </cell>
          <cell r="P542">
            <v>71.489999999999995</v>
          </cell>
          <cell r="Q542">
            <v>1.8962509999999999</v>
          </cell>
          <cell r="R542" t="e">
            <v>#N/A</v>
          </cell>
        </row>
        <row r="543">
          <cell r="A543">
            <v>40255</v>
          </cell>
          <cell r="B543">
            <v>40255</v>
          </cell>
          <cell r="C543" t="str">
            <v>Past</v>
          </cell>
          <cell r="D543">
            <v>70.23</v>
          </cell>
          <cell r="E543" t="e">
            <v>#N/A</v>
          </cell>
          <cell r="F543" t="e">
            <v>#N/A</v>
          </cell>
          <cell r="G543" t="e">
            <v>#N/A</v>
          </cell>
          <cell r="H543" t="e">
            <v>#N/A</v>
          </cell>
          <cell r="I543" t="e">
            <v>#N/A</v>
          </cell>
          <cell r="J543" t="e">
            <v>#N/A</v>
          </cell>
          <cell r="K543" t="e">
            <v>#N/A</v>
          </cell>
          <cell r="L543" t="e">
            <v>#N/A</v>
          </cell>
          <cell r="M543" t="e">
            <v>#N/A</v>
          </cell>
          <cell r="N543" t="e">
            <v>#N/A</v>
          </cell>
          <cell r="O543" t="e">
            <v>#N/A</v>
          </cell>
          <cell r="P543">
            <v>70.23</v>
          </cell>
          <cell r="Q543">
            <v>3.3027200000000003</v>
          </cell>
          <cell r="R543" t="e">
            <v>#N/A</v>
          </cell>
        </row>
        <row r="544">
          <cell r="A544">
            <v>40256</v>
          </cell>
          <cell r="B544">
            <v>40256</v>
          </cell>
          <cell r="C544" t="str">
            <v>Past</v>
          </cell>
          <cell r="D544">
            <v>71.41</v>
          </cell>
          <cell r="E544" t="e">
            <v>#N/A</v>
          </cell>
          <cell r="F544" t="e">
            <v>#N/A</v>
          </cell>
          <cell r="G544" t="e">
            <v>#N/A</v>
          </cell>
          <cell r="H544" t="e">
            <v>#N/A</v>
          </cell>
          <cell r="I544" t="e">
            <v>#N/A</v>
          </cell>
          <cell r="J544" t="e">
            <v>#N/A</v>
          </cell>
          <cell r="K544" t="e">
            <v>#N/A</v>
          </cell>
          <cell r="L544" t="e">
            <v>#N/A</v>
          </cell>
          <cell r="M544" t="e">
            <v>#N/A</v>
          </cell>
          <cell r="N544" t="e">
            <v>#N/A</v>
          </cell>
          <cell r="O544" t="e">
            <v>#N/A</v>
          </cell>
          <cell r="P544">
            <v>71.41</v>
          </cell>
          <cell r="Q544">
            <v>3.7041779999999997</v>
          </cell>
          <cell r="R544" t="e">
            <v>#N/A</v>
          </cell>
        </row>
        <row r="545">
          <cell r="A545">
            <v>40259</v>
          </cell>
          <cell r="B545">
            <v>40259</v>
          </cell>
          <cell r="C545" t="str">
            <v>Past</v>
          </cell>
          <cell r="D545">
            <v>71.459999999999994</v>
          </cell>
          <cell r="E545" t="e">
            <v>#N/A</v>
          </cell>
          <cell r="F545" t="e">
            <v>#N/A</v>
          </cell>
          <cell r="G545" t="e">
            <v>#N/A</v>
          </cell>
          <cell r="H545" t="e">
            <v>#N/A</v>
          </cell>
          <cell r="I545" t="e">
            <v>#N/A</v>
          </cell>
          <cell r="J545" t="e">
            <v>#N/A</v>
          </cell>
          <cell r="K545" t="e">
            <v>#N/A</v>
          </cell>
          <cell r="L545" t="e">
            <v>#N/A</v>
          </cell>
          <cell r="M545" t="e">
            <v>#N/A</v>
          </cell>
          <cell r="N545" t="e">
            <v>#N/A</v>
          </cell>
          <cell r="O545" t="e">
            <v>#N/A</v>
          </cell>
          <cell r="P545">
            <v>71.459999999999994</v>
          </cell>
          <cell r="Q545">
            <v>1.5193179999999999</v>
          </cell>
          <cell r="R545" t="e">
            <v>#N/A</v>
          </cell>
        </row>
        <row r="546">
          <cell r="A546">
            <v>40260</v>
          </cell>
          <cell r="B546">
            <v>40260</v>
          </cell>
          <cell r="C546" t="str">
            <v>Past</v>
          </cell>
          <cell r="D546">
            <v>71.52</v>
          </cell>
          <cell r="E546" t="e">
            <v>#N/A</v>
          </cell>
          <cell r="F546" t="e">
            <v>#N/A</v>
          </cell>
          <cell r="G546" t="e">
            <v>#N/A</v>
          </cell>
          <cell r="H546" t="e">
            <v>#N/A</v>
          </cell>
          <cell r="I546" t="e">
            <v>#N/A</v>
          </cell>
          <cell r="J546" t="e">
            <v>#N/A</v>
          </cell>
          <cell r="K546" t="e">
            <v>#N/A</v>
          </cell>
          <cell r="L546" t="e">
            <v>#N/A</v>
          </cell>
          <cell r="M546" t="e">
            <v>#N/A</v>
          </cell>
          <cell r="N546" t="e">
            <v>#N/A</v>
          </cell>
          <cell r="O546" t="e">
            <v>#N/A</v>
          </cell>
          <cell r="P546">
            <v>71.52</v>
          </cell>
          <cell r="Q546">
            <v>1.4071600000000002</v>
          </cell>
          <cell r="R546" t="e">
            <v>#N/A</v>
          </cell>
        </row>
        <row r="547">
          <cell r="A547">
            <v>40261</v>
          </cell>
          <cell r="B547">
            <v>40261</v>
          </cell>
          <cell r="C547" t="str">
            <v>Past</v>
          </cell>
          <cell r="D547">
            <v>70.849999999999994</v>
          </cell>
          <cell r="E547" t="e">
            <v>#N/A</v>
          </cell>
          <cell r="F547" t="e">
            <v>#N/A</v>
          </cell>
          <cell r="G547" t="e">
            <v>#N/A</v>
          </cell>
          <cell r="H547" t="e">
            <v>#N/A</v>
          </cell>
          <cell r="I547" t="e">
            <v>#N/A</v>
          </cell>
          <cell r="J547" t="e">
            <v>#N/A</v>
          </cell>
          <cell r="K547" t="e">
            <v>#N/A</v>
          </cell>
          <cell r="L547" t="e">
            <v>#N/A</v>
          </cell>
          <cell r="M547" t="e">
            <v>#N/A</v>
          </cell>
          <cell r="N547" t="e">
            <v>#N/A</v>
          </cell>
          <cell r="O547" t="e">
            <v>#N/A</v>
          </cell>
          <cell r="P547">
            <v>70.849999999999994</v>
          </cell>
          <cell r="Q547">
            <v>1.1509389999999999</v>
          </cell>
          <cell r="R547" t="e">
            <v>#N/A</v>
          </cell>
        </row>
        <row r="548">
          <cell r="A548">
            <v>40262</v>
          </cell>
          <cell r="B548">
            <v>40262</v>
          </cell>
          <cell r="C548" t="str">
            <v>Past</v>
          </cell>
          <cell r="D548">
            <v>70.88</v>
          </cell>
          <cell r="E548" t="e">
            <v>#N/A</v>
          </cell>
          <cell r="F548" t="e">
            <v>#N/A</v>
          </cell>
          <cell r="G548" t="e">
            <v>#N/A</v>
          </cell>
          <cell r="H548" t="e">
            <v>#N/A</v>
          </cell>
          <cell r="I548" t="e">
            <v>#N/A</v>
          </cell>
          <cell r="J548" t="e">
            <v>#N/A</v>
          </cell>
          <cell r="K548" t="e">
            <v>#N/A</v>
          </cell>
          <cell r="L548" t="e">
            <v>#N/A</v>
          </cell>
          <cell r="M548" t="e">
            <v>#N/A</v>
          </cell>
          <cell r="N548" t="e">
            <v>#N/A</v>
          </cell>
          <cell r="O548" t="e">
            <v>#N/A</v>
          </cell>
          <cell r="P548">
            <v>70.88</v>
          </cell>
          <cell r="Q548">
            <v>1.4198189999999999</v>
          </cell>
          <cell r="R548" t="e">
            <v>#N/A</v>
          </cell>
        </row>
        <row r="549">
          <cell r="A549">
            <v>40263</v>
          </cell>
          <cell r="B549">
            <v>40263</v>
          </cell>
          <cell r="C549" t="str">
            <v>Past</v>
          </cell>
          <cell r="D549">
            <v>71.010000000000005</v>
          </cell>
          <cell r="E549" t="e">
            <v>#N/A</v>
          </cell>
          <cell r="F549" t="e">
            <v>#N/A</v>
          </cell>
          <cell r="G549" t="e">
            <v>#N/A</v>
          </cell>
          <cell r="H549" t="e">
            <v>#N/A</v>
          </cell>
          <cell r="I549" t="e">
            <v>#N/A</v>
          </cell>
          <cell r="J549" t="e">
            <v>#N/A</v>
          </cell>
          <cell r="K549" t="e">
            <v>#N/A</v>
          </cell>
          <cell r="L549" t="e">
            <v>#N/A</v>
          </cell>
          <cell r="M549" t="e">
            <v>#N/A</v>
          </cell>
          <cell r="N549" t="e">
            <v>#N/A</v>
          </cell>
          <cell r="O549" t="e">
            <v>#N/A</v>
          </cell>
          <cell r="P549">
            <v>71.010000000000005</v>
          </cell>
          <cell r="Q549">
            <v>1.694269</v>
          </cell>
          <cell r="R549" t="e">
            <v>#N/A</v>
          </cell>
        </row>
        <row r="550">
          <cell r="A550">
            <v>40266</v>
          </cell>
          <cell r="B550">
            <v>40266</v>
          </cell>
          <cell r="C550" t="str">
            <v>Past</v>
          </cell>
          <cell r="D550">
            <v>71.05</v>
          </cell>
          <cell r="E550" t="e">
            <v>#N/A</v>
          </cell>
          <cell r="F550" t="e">
            <v>#N/A</v>
          </cell>
          <cell r="G550" t="e">
            <v>#N/A</v>
          </cell>
          <cell r="H550" t="e">
            <v>#N/A</v>
          </cell>
          <cell r="I550" t="e">
            <v>#N/A</v>
          </cell>
          <cell r="J550" t="e">
            <v>#N/A</v>
          </cell>
          <cell r="K550" t="e">
            <v>#N/A</v>
          </cell>
          <cell r="L550" t="e">
            <v>#N/A</v>
          </cell>
          <cell r="M550" t="e">
            <v>#N/A</v>
          </cell>
          <cell r="N550" t="e">
            <v>#N/A</v>
          </cell>
          <cell r="O550" t="e">
            <v>#N/A</v>
          </cell>
          <cell r="P550">
            <v>71.05</v>
          </cell>
          <cell r="Q550">
            <v>1.2252369999999999</v>
          </cell>
          <cell r="R550" t="e">
            <v>#N/A</v>
          </cell>
        </row>
        <row r="551">
          <cell r="A551">
            <v>40267</v>
          </cell>
          <cell r="B551">
            <v>40267</v>
          </cell>
          <cell r="C551" t="str">
            <v>Past</v>
          </cell>
          <cell r="D551">
            <v>71.540000000000006</v>
          </cell>
          <cell r="E551" t="e">
            <v>#N/A</v>
          </cell>
          <cell r="F551" t="e">
            <v>#N/A</v>
          </cell>
          <cell r="G551" t="e">
            <v>#N/A</v>
          </cell>
          <cell r="H551" t="e">
            <v>#N/A</v>
          </cell>
          <cell r="I551" t="e">
            <v>#N/A</v>
          </cell>
          <cell r="J551" t="e">
            <v>#N/A</v>
          </cell>
          <cell r="K551" t="e">
            <v>#N/A</v>
          </cell>
          <cell r="L551" t="e">
            <v>#N/A</v>
          </cell>
          <cell r="M551" t="e">
            <v>#N/A</v>
          </cell>
          <cell r="N551" t="e">
            <v>#N/A</v>
          </cell>
          <cell r="O551" t="e">
            <v>#N/A</v>
          </cell>
          <cell r="P551">
            <v>71.540000000000006</v>
          </cell>
          <cell r="Q551">
            <v>1.3155189999999999</v>
          </cell>
          <cell r="R551" t="e">
            <v>#N/A</v>
          </cell>
        </row>
        <row r="552">
          <cell r="A552">
            <v>40268</v>
          </cell>
          <cell r="B552">
            <v>40268</v>
          </cell>
          <cell r="C552" t="str">
            <v>Past</v>
          </cell>
          <cell r="D552">
            <v>70.52</v>
          </cell>
          <cell r="E552" t="e">
            <v>#N/A</v>
          </cell>
          <cell r="F552" t="e">
            <v>#N/A</v>
          </cell>
          <cell r="G552" t="e">
            <v>#N/A</v>
          </cell>
          <cell r="H552" t="e">
            <v>#N/A</v>
          </cell>
          <cell r="I552" t="e">
            <v>#N/A</v>
          </cell>
          <cell r="J552" t="e">
            <v>#N/A</v>
          </cell>
          <cell r="K552" t="e">
            <v>#N/A</v>
          </cell>
          <cell r="L552" t="e">
            <v>#N/A</v>
          </cell>
          <cell r="M552" t="e">
            <v>#N/A</v>
          </cell>
          <cell r="N552" t="e">
            <v>#N/A</v>
          </cell>
          <cell r="O552" t="e">
            <v>#N/A</v>
          </cell>
          <cell r="P552">
            <v>70.52</v>
          </cell>
          <cell r="Q552">
            <v>1.3972800000000001</v>
          </cell>
          <cell r="R552" t="e">
            <v>#N/A</v>
          </cell>
        </row>
        <row r="553">
          <cell r="A553">
            <v>40269</v>
          </cell>
          <cell r="B553">
            <v>40269</v>
          </cell>
          <cell r="C553" t="str">
            <v>Past</v>
          </cell>
          <cell r="D553">
            <v>70.930000000000007</v>
          </cell>
          <cell r="E553" t="e">
            <v>#N/A</v>
          </cell>
          <cell r="F553" t="e">
            <v>#N/A</v>
          </cell>
          <cell r="G553" t="e">
            <v>#N/A</v>
          </cell>
          <cell r="H553" t="e">
            <v>#N/A</v>
          </cell>
          <cell r="I553" t="e">
            <v>#N/A</v>
          </cell>
          <cell r="J553" t="e">
            <v>#N/A</v>
          </cell>
          <cell r="K553" t="e">
            <v>#N/A</v>
          </cell>
          <cell r="L553" t="e">
            <v>#N/A</v>
          </cell>
          <cell r="M553" t="e">
            <v>#N/A</v>
          </cell>
          <cell r="N553" t="e">
            <v>#N/A</v>
          </cell>
          <cell r="O553" t="e">
            <v>#N/A</v>
          </cell>
          <cell r="P553">
            <v>70.930000000000007</v>
          </cell>
          <cell r="Q553">
            <v>1.4024939999999999</v>
          </cell>
          <cell r="R553" t="e">
            <v>#N/A</v>
          </cell>
        </row>
        <row r="554">
          <cell r="A554">
            <v>40273</v>
          </cell>
          <cell r="B554">
            <v>40273</v>
          </cell>
          <cell r="C554" t="str">
            <v>Past</v>
          </cell>
          <cell r="D554">
            <v>71.11</v>
          </cell>
          <cell r="E554" t="e">
            <v>#N/A</v>
          </cell>
          <cell r="F554" t="e">
            <v>#N/A</v>
          </cell>
          <cell r="G554" t="e">
            <v>#N/A</v>
          </cell>
          <cell r="H554" t="e">
            <v>#N/A</v>
          </cell>
          <cell r="I554" t="e">
            <v>#N/A</v>
          </cell>
          <cell r="J554" t="e">
            <v>#N/A</v>
          </cell>
          <cell r="K554" t="e">
            <v>#N/A</v>
          </cell>
          <cell r="L554" t="e">
            <v>#N/A</v>
          </cell>
          <cell r="M554" t="e">
            <v>#N/A</v>
          </cell>
          <cell r="N554" t="e">
            <v>#N/A</v>
          </cell>
          <cell r="O554" t="e">
            <v>#N/A</v>
          </cell>
          <cell r="P554">
            <v>71.11</v>
          </cell>
          <cell r="Q554">
            <v>1.1170149999999999</v>
          </cell>
          <cell r="R554" t="e">
            <v>#N/A</v>
          </cell>
        </row>
        <row r="555">
          <cell r="A555">
            <v>40274</v>
          </cell>
          <cell r="B555">
            <v>40274</v>
          </cell>
          <cell r="C555" t="str">
            <v>Past</v>
          </cell>
          <cell r="D555">
            <v>70.55</v>
          </cell>
          <cell r="E555" t="e">
            <v>#N/A</v>
          </cell>
          <cell r="F555" t="e">
            <v>#N/A</v>
          </cell>
          <cell r="G555" t="e">
            <v>#N/A</v>
          </cell>
          <cell r="H555" t="e">
            <v>#N/A</v>
          </cell>
          <cell r="I555" t="e">
            <v>#N/A</v>
          </cell>
          <cell r="J555" t="e">
            <v>#N/A</v>
          </cell>
          <cell r="K555" t="e">
            <v>#N/A</v>
          </cell>
          <cell r="L555" t="e">
            <v>#N/A</v>
          </cell>
          <cell r="M555" t="e">
            <v>#N/A</v>
          </cell>
          <cell r="N555" t="e">
            <v>#N/A</v>
          </cell>
          <cell r="O555" t="e">
            <v>#N/A</v>
          </cell>
          <cell r="P555">
            <v>70.55</v>
          </cell>
          <cell r="Q555">
            <v>1.179543</v>
          </cell>
          <cell r="R555" t="e">
            <v>#N/A</v>
          </cell>
        </row>
        <row r="556">
          <cell r="A556">
            <v>40275</v>
          </cell>
          <cell r="B556">
            <v>40275</v>
          </cell>
          <cell r="C556" t="str">
            <v>Past</v>
          </cell>
          <cell r="D556">
            <v>70.430000000000007</v>
          </cell>
          <cell r="E556" t="e">
            <v>#N/A</v>
          </cell>
          <cell r="F556" t="e">
            <v>#N/A</v>
          </cell>
          <cell r="G556" t="e">
            <v>#N/A</v>
          </cell>
          <cell r="H556" t="e">
            <v>#N/A</v>
          </cell>
          <cell r="I556" t="e">
            <v>#N/A</v>
          </cell>
          <cell r="J556" t="e">
            <v>#N/A</v>
          </cell>
          <cell r="K556" t="e">
            <v>#N/A</v>
          </cell>
          <cell r="L556" t="e">
            <v>#N/A</v>
          </cell>
          <cell r="M556" t="e">
            <v>#N/A</v>
          </cell>
          <cell r="N556" t="e">
            <v>#N/A</v>
          </cell>
          <cell r="O556" t="e">
            <v>#N/A</v>
          </cell>
          <cell r="P556">
            <v>70.430000000000007</v>
          </cell>
          <cell r="Q556">
            <v>1.2936209999999999</v>
          </cell>
          <cell r="R556" t="e">
            <v>#N/A</v>
          </cell>
        </row>
        <row r="557">
          <cell r="A557">
            <v>40276</v>
          </cell>
          <cell r="B557">
            <v>40276</v>
          </cell>
          <cell r="C557" t="str">
            <v>Past</v>
          </cell>
          <cell r="D557">
            <v>70.5</v>
          </cell>
          <cell r="E557" t="e">
            <v>#N/A</v>
          </cell>
          <cell r="F557" t="e">
            <v>#N/A</v>
          </cell>
          <cell r="G557" t="e">
            <v>#N/A</v>
          </cell>
          <cell r="H557" t="e">
            <v>#N/A</v>
          </cell>
          <cell r="I557" t="e">
            <v>#N/A</v>
          </cell>
          <cell r="J557" t="e">
            <v>#N/A</v>
          </cell>
          <cell r="K557" t="e">
            <v>#N/A</v>
          </cell>
          <cell r="L557" t="e">
            <v>#N/A</v>
          </cell>
          <cell r="M557" t="e">
            <v>#N/A</v>
          </cell>
          <cell r="N557" t="e">
            <v>#N/A</v>
          </cell>
          <cell r="O557">
            <v>0</v>
          </cell>
          <cell r="P557">
            <v>70.5</v>
          </cell>
          <cell r="Q557">
            <v>0.67118699999999998</v>
          </cell>
          <cell r="R557" t="e">
            <v>#N/A</v>
          </cell>
        </row>
        <row r="558">
          <cell r="A558">
            <v>40277</v>
          </cell>
          <cell r="B558">
            <v>40277</v>
          </cell>
          <cell r="C558" t="str">
            <v>Current</v>
          </cell>
          <cell r="D558">
            <v>71.03</v>
          </cell>
          <cell r="E558">
            <v>71.03</v>
          </cell>
          <cell r="F558">
            <v>71.03</v>
          </cell>
          <cell r="G558">
            <v>71.03</v>
          </cell>
          <cell r="H558">
            <v>71.03</v>
          </cell>
          <cell r="I558">
            <v>71.03</v>
          </cell>
          <cell r="J558" t="e">
            <v>#N/A</v>
          </cell>
          <cell r="K558" t="e">
            <v>#N/A</v>
          </cell>
          <cell r="L558" t="e">
            <v>#N/A</v>
          </cell>
          <cell r="M558" t="e">
            <v>#N/A</v>
          </cell>
          <cell r="N558" t="e">
            <v>#N/A</v>
          </cell>
          <cell r="O558">
            <v>36.378945000000002</v>
          </cell>
          <cell r="P558">
            <v>71.03</v>
          </cell>
          <cell r="Q558">
            <v>1.638614</v>
          </cell>
          <cell r="R558" t="e">
            <v>#N/A</v>
          </cell>
        </row>
        <row r="559">
          <cell r="A559">
            <v>40280</v>
          </cell>
          <cell r="B559">
            <v>40280</v>
          </cell>
          <cell r="C559" t="str">
            <v>Future</v>
          </cell>
          <cell r="D559" t="e">
            <v>#N/A</v>
          </cell>
          <cell r="E559">
            <v>70.75035433070866</v>
          </cell>
          <cell r="F559">
            <v>71.163740157480319</v>
          </cell>
          <cell r="G559">
            <v>70.966889763779534</v>
          </cell>
          <cell r="H559">
            <v>70.966889763779534</v>
          </cell>
          <cell r="I559" t="e">
            <v>#N/A</v>
          </cell>
          <cell r="J559" t="e">
            <v>#N/A</v>
          </cell>
          <cell r="K559" t="e">
            <v>#N/A</v>
          </cell>
          <cell r="L559" t="e">
            <v>#N/A</v>
          </cell>
          <cell r="M559" t="e">
            <v>#N/A</v>
          </cell>
          <cell r="N559" t="e">
            <v>#N/A</v>
          </cell>
          <cell r="O559" t="e">
            <v>#N/A</v>
          </cell>
          <cell r="P559">
            <v>71.03</v>
          </cell>
          <cell r="Q559">
            <v>1.638614</v>
          </cell>
          <cell r="R559" t="e">
            <v>#N/A</v>
          </cell>
        </row>
        <row r="560">
          <cell r="A560">
            <v>40281</v>
          </cell>
          <cell r="B560">
            <v>40281</v>
          </cell>
          <cell r="C560" t="str">
            <v>Future</v>
          </cell>
          <cell r="D560" t="e">
            <v>#N/A</v>
          </cell>
          <cell r="E560">
            <v>70.470708661417319</v>
          </cell>
          <cell r="F560">
            <v>71.297480314960637</v>
          </cell>
          <cell r="G560">
            <v>70.903779527559067</v>
          </cell>
          <cell r="H560">
            <v>70.903779527559067</v>
          </cell>
          <cell r="I560" t="e">
            <v>#N/A</v>
          </cell>
          <cell r="J560" t="e">
            <v>#N/A</v>
          </cell>
          <cell r="K560" t="e">
            <v>#N/A</v>
          </cell>
          <cell r="L560" t="e">
            <v>#N/A</v>
          </cell>
          <cell r="M560" t="e">
            <v>#N/A</v>
          </cell>
          <cell r="N560" t="e">
            <v>#N/A</v>
          </cell>
          <cell r="O560" t="e">
            <v>#N/A</v>
          </cell>
          <cell r="P560">
            <v>71.03</v>
          </cell>
          <cell r="Q560" t="str">
            <v/>
          </cell>
          <cell r="R560" t="e">
            <v>#N/A</v>
          </cell>
        </row>
        <row r="561">
          <cell r="A561">
            <v>40282</v>
          </cell>
          <cell r="B561">
            <v>40282</v>
          </cell>
          <cell r="C561" t="str">
            <v>Future</v>
          </cell>
          <cell r="D561" t="e">
            <v>#N/A</v>
          </cell>
          <cell r="E561">
            <v>70.191062992125978</v>
          </cell>
          <cell r="F561">
            <v>71.431220472440955</v>
          </cell>
          <cell r="G561">
            <v>70.8406692913386</v>
          </cell>
          <cell r="H561">
            <v>70.8406692913386</v>
          </cell>
          <cell r="I561" t="e">
            <v>#N/A</v>
          </cell>
          <cell r="J561" t="e">
            <v>#N/A</v>
          </cell>
          <cell r="K561" t="e">
            <v>#N/A</v>
          </cell>
          <cell r="L561" t="e">
            <v>#N/A</v>
          </cell>
          <cell r="M561" t="e">
            <v>#N/A</v>
          </cell>
          <cell r="N561" t="e">
            <v>#N/A</v>
          </cell>
          <cell r="O561" t="e">
            <v>#N/A</v>
          </cell>
          <cell r="P561">
            <v>71.03</v>
          </cell>
          <cell r="Q561" t="str">
            <v/>
          </cell>
          <cell r="R561" t="e">
            <v>#N/A</v>
          </cell>
        </row>
        <row r="562">
          <cell r="A562">
            <v>40283</v>
          </cell>
          <cell r="B562">
            <v>40283</v>
          </cell>
          <cell r="C562" t="str">
            <v>Future</v>
          </cell>
          <cell r="D562" t="e">
            <v>#N/A</v>
          </cell>
          <cell r="E562">
            <v>69.911417322834637</v>
          </cell>
          <cell r="F562">
            <v>71.564960629921273</v>
          </cell>
          <cell r="G562">
            <v>70.777559055118132</v>
          </cell>
          <cell r="H562">
            <v>70.777559055118132</v>
          </cell>
          <cell r="I562" t="e">
            <v>#N/A</v>
          </cell>
          <cell r="J562" t="e">
            <v>#N/A</v>
          </cell>
          <cell r="K562" t="e">
            <v>#N/A</v>
          </cell>
          <cell r="L562" t="e">
            <v>#N/A</v>
          </cell>
          <cell r="M562" t="e">
            <v>#N/A</v>
          </cell>
          <cell r="N562" t="e">
            <v>#N/A</v>
          </cell>
          <cell r="O562" t="e">
            <v>#N/A</v>
          </cell>
          <cell r="P562">
            <v>71.03</v>
          </cell>
          <cell r="Q562" t="str">
            <v/>
          </cell>
          <cell r="R562" t="e">
            <v>#N/A</v>
          </cell>
        </row>
        <row r="563">
          <cell r="A563">
            <v>40284</v>
          </cell>
          <cell r="B563">
            <v>40284</v>
          </cell>
          <cell r="C563" t="str">
            <v>Future</v>
          </cell>
          <cell r="D563" t="e">
            <v>#N/A</v>
          </cell>
          <cell r="E563">
            <v>69.631771653543296</v>
          </cell>
          <cell r="F563">
            <v>71.698700787401592</v>
          </cell>
          <cell r="G563">
            <v>70.714448818897665</v>
          </cell>
          <cell r="H563">
            <v>70.714448818897665</v>
          </cell>
          <cell r="I563" t="e">
            <v>#N/A</v>
          </cell>
          <cell r="J563" t="e">
            <v>#N/A</v>
          </cell>
          <cell r="K563" t="e">
            <v>#N/A</v>
          </cell>
          <cell r="L563" t="e">
            <v>#N/A</v>
          </cell>
          <cell r="M563" t="e">
            <v>#N/A</v>
          </cell>
          <cell r="N563" t="e">
            <v>#N/A</v>
          </cell>
          <cell r="O563" t="e">
            <v>#N/A</v>
          </cell>
          <cell r="P563">
            <v>71.03</v>
          </cell>
          <cell r="Q563" t="str">
            <v/>
          </cell>
          <cell r="R563" t="e">
            <v>#N/A</v>
          </cell>
        </row>
        <row r="564">
          <cell r="A564">
            <v>40287</v>
          </cell>
          <cell r="B564">
            <v>40287</v>
          </cell>
          <cell r="C564" t="str">
            <v>Future</v>
          </cell>
          <cell r="D564" t="e">
            <v>#N/A</v>
          </cell>
          <cell r="E564">
            <v>69.352125984251956</v>
          </cell>
          <cell r="F564">
            <v>71.83244094488191</v>
          </cell>
          <cell r="G564">
            <v>70.651338582677198</v>
          </cell>
          <cell r="H564">
            <v>70.651338582677198</v>
          </cell>
          <cell r="I564" t="e">
            <v>#N/A</v>
          </cell>
          <cell r="J564" t="e">
            <v>#N/A</v>
          </cell>
          <cell r="K564" t="e">
            <v>#N/A</v>
          </cell>
          <cell r="L564" t="e">
            <v>#N/A</v>
          </cell>
          <cell r="M564" t="e">
            <v>#N/A</v>
          </cell>
          <cell r="N564" t="e">
            <v>#N/A</v>
          </cell>
          <cell r="O564" t="e">
            <v>#N/A</v>
          </cell>
          <cell r="P564">
            <v>71.03</v>
          </cell>
          <cell r="Q564" t="str">
            <v/>
          </cell>
          <cell r="R564" t="e">
            <v>#N/A</v>
          </cell>
        </row>
        <row r="565">
          <cell r="A565">
            <v>40288</v>
          </cell>
          <cell r="B565">
            <v>40288</v>
          </cell>
          <cell r="C565" t="str">
            <v>Future</v>
          </cell>
          <cell r="D565" t="e">
            <v>#N/A</v>
          </cell>
          <cell r="E565">
            <v>69.072480314960615</v>
          </cell>
          <cell r="F565">
            <v>71.966181102362228</v>
          </cell>
          <cell r="G565">
            <v>70.588228346456731</v>
          </cell>
          <cell r="H565">
            <v>70.588228346456731</v>
          </cell>
          <cell r="I565" t="e">
            <v>#N/A</v>
          </cell>
          <cell r="J565" t="e">
            <v>#N/A</v>
          </cell>
          <cell r="K565" t="e">
            <v>#N/A</v>
          </cell>
          <cell r="L565" t="e">
            <v>#N/A</v>
          </cell>
          <cell r="M565" t="e">
            <v>#N/A</v>
          </cell>
          <cell r="N565" t="e">
            <v>#N/A</v>
          </cell>
          <cell r="O565" t="e">
            <v>#N/A</v>
          </cell>
          <cell r="P565">
            <v>71.03</v>
          </cell>
          <cell r="Q565" t="str">
            <v/>
          </cell>
          <cell r="R565" t="e">
            <v>#N/A</v>
          </cell>
        </row>
        <row r="566">
          <cell r="A566">
            <v>40289</v>
          </cell>
          <cell r="B566">
            <v>40289</v>
          </cell>
          <cell r="C566" t="str">
            <v>Future</v>
          </cell>
          <cell r="D566" t="e">
            <v>#N/A</v>
          </cell>
          <cell r="E566">
            <v>68.792834645669274</v>
          </cell>
          <cell r="F566">
            <v>72.099921259842546</v>
          </cell>
          <cell r="G566">
            <v>70.525118110236264</v>
          </cell>
          <cell r="H566">
            <v>70.525118110236264</v>
          </cell>
          <cell r="I566" t="e">
            <v>#N/A</v>
          </cell>
          <cell r="J566" t="e">
            <v>#N/A</v>
          </cell>
          <cell r="K566" t="e">
            <v>#N/A</v>
          </cell>
          <cell r="L566" t="e">
            <v>#N/A</v>
          </cell>
          <cell r="M566" t="e">
            <v>#N/A</v>
          </cell>
          <cell r="N566" t="e">
            <v>#N/A</v>
          </cell>
          <cell r="O566" t="e">
            <v>#N/A</v>
          </cell>
          <cell r="P566">
            <v>71.03</v>
          </cell>
          <cell r="Q566" t="str">
            <v/>
          </cell>
          <cell r="R566" t="e">
            <v>#N/A</v>
          </cell>
        </row>
        <row r="567">
          <cell r="A567">
            <v>40290</v>
          </cell>
          <cell r="B567">
            <v>40290</v>
          </cell>
          <cell r="C567" t="str">
            <v>Future</v>
          </cell>
          <cell r="D567" t="e">
            <v>#N/A</v>
          </cell>
          <cell r="E567">
            <v>68.513188976377933</v>
          </cell>
          <cell r="F567">
            <v>72.233661417322864</v>
          </cell>
          <cell r="G567">
            <v>70.462007874015796</v>
          </cell>
          <cell r="H567">
            <v>70.462007874015796</v>
          </cell>
          <cell r="I567" t="e">
            <v>#N/A</v>
          </cell>
          <cell r="J567" t="e">
            <v>#N/A</v>
          </cell>
          <cell r="K567" t="e">
            <v>#N/A</v>
          </cell>
          <cell r="L567" t="e">
            <v>#N/A</v>
          </cell>
          <cell r="M567" t="e">
            <v>#N/A</v>
          </cell>
          <cell r="N567" t="e">
            <v>#N/A</v>
          </cell>
          <cell r="O567" t="e">
            <v>#N/A</v>
          </cell>
          <cell r="P567">
            <v>71.03</v>
          </cell>
          <cell r="Q567" t="str">
            <v/>
          </cell>
          <cell r="R567" t="e">
            <v>#N/A</v>
          </cell>
        </row>
        <row r="568">
          <cell r="A568">
            <v>40291</v>
          </cell>
          <cell r="B568">
            <v>40291</v>
          </cell>
          <cell r="C568" t="str">
            <v>Future</v>
          </cell>
          <cell r="D568" t="e">
            <v>#N/A</v>
          </cell>
          <cell r="E568">
            <v>68.233543307086592</v>
          </cell>
          <cell r="F568">
            <v>72.367401574803182</v>
          </cell>
          <cell r="G568">
            <v>70.398897637795329</v>
          </cell>
          <cell r="H568">
            <v>70.398897637795329</v>
          </cell>
          <cell r="I568" t="e">
            <v>#N/A</v>
          </cell>
          <cell r="J568" t="e">
            <v>#N/A</v>
          </cell>
          <cell r="K568" t="e">
            <v>#N/A</v>
          </cell>
          <cell r="L568" t="e">
            <v>#N/A</v>
          </cell>
          <cell r="M568" t="e">
            <v>#N/A</v>
          </cell>
          <cell r="N568" t="e">
            <v>#N/A</v>
          </cell>
          <cell r="O568" t="e">
            <v>#N/A</v>
          </cell>
          <cell r="P568">
            <v>71.03</v>
          </cell>
          <cell r="Q568" t="str">
            <v/>
          </cell>
          <cell r="R568" t="e">
            <v>#N/A</v>
          </cell>
        </row>
        <row r="569">
          <cell r="A569">
            <v>40294</v>
          </cell>
          <cell r="B569">
            <v>40294</v>
          </cell>
          <cell r="C569" t="str">
            <v>Future</v>
          </cell>
          <cell r="D569" t="e">
            <v>#N/A</v>
          </cell>
          <cell r="E569">
            <v>67.953897637795251</v>
          </cell>
          <cell r="F569">
            <v>72.5011417322835</v>
          </cell>
          <cell r="G569">
            <v>70.335787401574862</v>
          </cell>
          <cell r="H569">
            <v>70.335787401574862</v>
          </cell>
          <cell r="I569" t="e">
            <v>#N/A</v>
          </cell>
          <cell r="J569" t="e">
            <v>#N/A</v>
          </cell>
          <cell r="K569" t="e">
            <v>#N/A</v>
          </cell>
          <cell r="L569" t="e">
            <v>#N/A</v>
          </cell>
          <cell r="M569" t="e">
            <v>#N/A</v>
          </cell>
          <cell r="N569" t="e">
            <v>#N/A</v>
          </cell>
          <cell r="O569" t="e">
            <v>#N/A</v>
          </cell>
          <cell r="P569">
            <v>71.03</v>
          </cell>
          <cell r="Q569" t="str">
            <v/>
          </cell>
          <cell r="R569" t="e">
            <v>#N/A</v>
          </cell>
        </row>
        <row r="570">
          <cell r="A570">
            <v>40295</v>
          </cell>
          <cell r="B570">
            <v>40295</v>
          </cell>
          <cell r="C570" t="str">
            <v>Future</v>
          </cell>
          <cell r="D570" t="e">
            <v>#N/A</v>
          </cell>
          <cell r="E570">
            <v>67.67425196850391</v>
          </cell>
          <cell r="F570">
            <v>72.634881889763818</v>
          </cell>
          <cell r="G570">
            <v>70.272677165354395</v>
          </cell>
          <cell r="H570">
            <v>70.272677165354395</v>
          </cell>
          <cell r="I570" t="e">
            <v>#N/A</v>
          </cell>
          <cell r="J570" t="e">
            <v>#N/A</v>
          </cell>
          <cell r="K570" t="e">
            <v>#N/A</v>
          </cell>
          <cell r="L570" t="e">
            <v>#N/A</v>
          </cell>
          <cell r="M570" t="e">
            <v>#N/A</v>
          </cell>
          <cell r="N570" t="e">
            <v>#N/A</v>
          </cell>
          <cell r="O570" t="e">
            <v>#N/A</v>
          </cell>
          <cell r="P570">
            <v>71.03</v>
          </cell>
          <cell r="Q570" t="str">
            <v/>
          </cell>
          <cell r="R570" t="e">
            <v>#N/A</v>
          </cell>
        </row>
        <row r="571">
          <cell r="A571">
            <v>40296</v>
          </cell>
          <cell r="B571">
            <v>40296</v>
          </cell>
          <cell r="C571" t="str">
            <v>Future</v>
          </cell>
          <cell r="D571" t="e">
            <v>#N/A</v>
          </cell>
          <cell r="E571">
            <v>67.394606299212569</v>
          </cell>
          <cell r="F571">
            <v>72.768622047244136</v>
          </cell>
          <cell r="G571">
            <v>70.209566929133928</v>
          </cell>
          <cell r="H571">
            <v>70.209566929133928</v>
          </cell>
          <cell r="I571" t="e">
            <v>#N/A</v>
          </cell>
          <cell r="J571" t="e">
            <v>#N/A</v>
          </cell>
          <cell r="K571" t="e">
            <v>#N/A</v>
          </cell>
          <cell r="L571" t="e">
            <v>#N/A</v>
          </cell>
          <cell r="M571" t="e">
            <v>#N/A</v>
          </cell>
          <cell r="N571" t="e">
            <v>#N/A</v>
          </cell>
          <cell r="O571" t="e">
            <v>#N/A</v>
          </cell>
          <cell r="P571">
            <v>71.03</v>
          </cell>
          <cell r="Q571" t="str">
            <v/>
          </cell>
          <cell r="R571" t="e">
            <v>#N/A</v>
          </cell>
        </row>
        <row r="572">
          <cell r="A572">
            <v>40297</v>
          </cell>
          <cell r="B572">
            <v>40297</v>
          </cell>
          <cell r="C572" t="str">
            <v>Future</v>
          </cell>
          <cell r="D572" t="e">
            <v>#N/A</v>
          </cell>
          <cell r="E572">
            <v>67.114960629921228</v>
          </cell>
          <cell r="F572">
            <v>72.902362204724454</v>
          </cell>
          <cell r="G572">
            <v>70.146456692913461</v>
          </cell>
          <cell r="H572">
            <v>70.146456692913461</v>
          </cell>
          <cell r="I572" t="e">
            <v>#N/A</v>
          </cell>
          <cell r="J572" t="e">
            <v>#N/A</v>
          </cell>
          <cell r="K572" t="e">
            <v>#N/A</v>
          </cell>
          <cell r="L572" t="e">
            <v>#N/A</v>
          </cell>
          <cell r="M572" t="e">
            <v>#N/A</v>
          </cell>
          <cell r="N572" t="e">
            <v>#N/A</v>
          </cell>
          <cell r="O572" t="e">
            <v>#N/A</v>
          </cell>
          <cell r="P572">
            <v>71.03</v>
          </cell>
          <cell r="Q572" t="str">
            <v/>
          </cell>
          <cell r="R572" t="e">
            <v>#N/A</v>
          </cell>
        </row>
        <row r="573">
          <cell r="A573">
            <v>40298</v>
          </cell>
          <cell r="B573">
            <v>40298</v>
          </cell>
          <cell r="C573" t="str">
            <v>Future</v>
          </cell>
          <cell r="D573" t="e">
            <v>#N/A</v>
          </cell>
          <cell r="E573">
            <v>66.835314960629887</v>
          </cell>
          <cell r="F573">
            <v>73.036102362204772</v>
          </cell>
          <cell r="G573">
            <v>70.083346456692993</v>
          </cell>
          <cell r="H573">
            <v>70.083346456692993</v>
          </cell>
          <cell r="I573" t="e">
            <v>#N/A</v>
          </cell>
          <cell r="J573" t="e">
            <v>#N/A</v>
          </cell>
          <cell r="K573" t="e">
            <v>#N/A</v>
          </cell>
          <cell r="L573" t="e">
            <v>#N/A</v>
          </cell>
          <cell r="M573" t="e">
            <v>#N/A</v>
          </cell>
          <cell r="N573" t="e">
            <v>#N/A</v>
          </cell>
          <cell r="O573" t="e">
            <v>#N/A</v>
          </cell>
          <cell r="P573">
            <v>71.03</v>
          </cell>
          <cell r="Q573" t="str">
            <v/>
          </cell>
          <cell r="R573" t="e">
            <v>#N/A</v>
          </cell>
        </row>
        <row r="574">
          <cell r="A574">
            <v>40301</v>
          </cell>
          <cell r="B574">
            <v>40301</v>
          </cell>
          <cell r="C574" t="str">
            <v>Future</v>
          </cell>
          <cell r="D574" t="e">
            <v>#N/A</v>
          </cell>
          <cell r="E574">
            <v>66.555669291338546</v>
          </cell>
          <cell r="F574">
            <v>73.169842519685091</v>
          </cell>
          <cell r="G574">
            <v>70.020236220472526</v>
          </cell>
          <cell r="H574">
            <v>70.020236220472526</v>
          </cell>
          <cell r="I574" t="e">
            <v>#N/A</v>
          </cell>
          <cell r="J574" t="e">
            <v>#N/A</v>
          </cell>
          <cell r="K574" t="e">
            <v>#N/A</v>
          </cell>
          <cell r="L574" t="e">
            <v>#N/A</v>
          </cell>
          <cell r="M574" t="e">
            <v>#N/A</v>
          </cell>
          <cell r="N574" t="e">
            <v>#N/A</v>
          </cell>
          <cell r="O574" t="e">
            <v>#N/A</v>
          </cell>
          <cell r="P574">
            <v>71.03</v>
          </cell>
          <cell r="Q574" t="str">
            <v/>
          </cell>
          <cell r="R574" t="e">
            <v>#N/A</v>
          </cell>
        </row>
        <row r="575">
          <cell r="A575">
            <v>40302</v>
          </cell>
          <cell r="B575">
            <v>40302</v>
          </cell>
          <cell r="C575" t="str">
            <v>Future</v>
          </cell>
          <cell r="D575" t="e">
            <v>#N/A</v>
          </cell>
          <cell r="E575">
            <v>66.276023622047205</v>
          </cell>
          <cell r="F575">
            <v>73.303582677165409</v>
          </cell>
          <cell r="G575">
            <v>69.957125984252059</v>
          </cell>
          <cell r="H575">
            <v>69.957125984252059</v>
          </cell>
          <cell r="I575" t="e">
            <v>#N/A</v>
          </cell>
          <cell r="J575" t="e">
            <v>#N/A</v>
          </cell>
          <cell r="K575" t="e">
            <v>#N/A</v>
          </cell>
          <cell r="L575" t="e">
            <v>#N/A</v>
          </cell>
          <cell r="M575" t="e">
            <v>#N/A</v>
          </cell>
          <cell r="N575" t="e">
            <v>#N/A</v>
          </cell>
          <cell r="O575" t="e">
            <v>#N/A</v>
          </cell>
          <cell r="P575">
            <v>71.03</v>
          </cell>
          <cell r="Q575" t="str">
            <v/>
          </cell>
          <cell r="R575" t="e">
            <v>#N/A</v>
          </cell>
        </row>
        <row r="576">
          <cell r="A576">
            <v>40303</v>
          </cell>
          <cell r="B576">
            <v>40303</v>
          </cell>
          <cell r="C576" t="str">
            <v>Future</v>
          </cell>
          <cell r="D576" t="e">
            <v>#N/A</v>
          </cell>
          <cell r="E576">
            <v>65.996377952755864</v>
          </cell>
          <cell r="F576">
            <v>73.437322834645727</v>
          </cell>
          <cell r="G576">
            <v>69.894015748031592</v>
          </cell>
          <cell r="H576">
            <v>69.894015748031592</v>
          </cell>
          <cell r="I576" t="e">
            <v>#N/A</v>
          </cell>
          <cell r="J576" t="e">
            <v>#N/A</v>
          </cell>
          <cell r="K576" t="e">
            <v>#N/A</v>
          </cell>
          <cell r="L576" t="e">
            <v>#N/A</v>
          </cell>
          <cell r="M576" t="e">
            <v>#N/A</v>
          </cell>
          <cell r="N576" t="e">
            <v>#N/A</v>
          </cell>
          <cell r="O576" t="e">
            <v>#N/A</v>
          </cell>
          <cell r="P576">
            <v>71.03</v>
          </cell>
          <cell r="Q576" t="str">
            <v/>
          </cell>
          <cell r="R576" t="e">
            <v>#N/A</v>
          </cell>
        </row>
        <row r="577">
          <cell r="A577">
            <v>40304</v>
          </cell>
          <cell r="B577">
            <v>40304</v>
          </cell>
          <cell r="C577" t="str">
            <v>Future</v>
          </cell>
          <cell r="D577" t="e">
            <v>#N/A</v>
          </cell>
          <cell r="E577">
            <v>65.716732283464523</v>
          </cell>
          <cell r="F577">
            <v>73.571062992126045</v>
          </cell>
          <cell r="G577">
            <v>69.830905511811125</v>
          </cell>
          <cell r="H577">
            <v>69.830905511811125</v>
          </cell>
          <cell r="I577" t="e">
            <v>#N/A</v>
          </cell>
          <cell r="J577" t="e">
            <v>#N/A</v>
          </cell>
          <cell r="K577" t="e">
            <v>#N/A</v>
          </cell>
          <cell r="L577" t="e">
            <v>#N/A</v>
          </cell>
          <cell r="M577" t="e">
            <v>#N/A</v>
          </cell>
          <cell r="N577" t="e">
            <v>#N/A</v>
          </cell>
          <cell r="O577" t="e">
            <v>#N/A</v>
          </cell>
          <cell r="P577">
            <v>71.03</v>
          </cell>
          <cell r="Q577" t="str">
            <v/>
          </cell>
          <cell r="R577" t="e">
            <v>#N/A</v>
          </cell>
        </row>
        <row r="578">
          <cell r="A578">
            <v>40305</v>
          </cell>
          <cell r="B578">
            <v>40305</v>
          </cell>
          <cell r="C578" t="str">
            <v>Future</v>
          </cell>
          <cell r="D578" t="e">
            <v>#N/A</v>
          </cell>
          <cell r="E578">
            <v>65.437086614173182</v>
          </cell>
          <cell r="F578">
            <v>73.704803149606363</v>
          </cell>
          <cell r="G578">
            <v>69.767795275590657</v>
          </cell>
          <cell r="H578">
            <v>69.767795275590657</v>
          </cell>
          <cell r="I578" t="e">
            <v>#N/A</v>
          </cell>
          <cell r="J578" t="e">
            <v>#N/A</v>
          </cell>
          <cell r="K578" t="e">
            <v>#N/A</v>
          </cell>
          <cell r="L578" t="e">
            <v>#N/A</v>
          </cell>
          <cell r="M578" t="e">
            <v>#N/A</v>
          </cell>
          <cell r="N578" t="e">
            <v>#N/A</v>
          </cell>
          <cell r="O578" t="e">
            <v>#N/A</v>
          </cell>
          <cell r="P578">
            <v>71.03</v>
          </cell>
          <cell r="Q578" t="str">
            <v/>
          </cell>
          <cell r="R578" t="e">
            <v>#N/A</v>
          </cell>
        </row>
        <row r="579">
          <cell r="A579">
            <v>40308</v>
          </cell>
          <cell r="B579">
            <v>40308</v>
          </cell>
          <cell r="C579" t="str">
            <v>Future</v>
          </cell>
          <cell r="D579" t="e">
            <v>#N/A</v>
          </cell>
          <cell r="E579">
            <v>65.157440944881841</v>
          </cell>
          <cell r="F579">
            <v>73.838543307086681</v>
          </cell>
          <cell r="G579">
            <v>69.70468503937019</v>
          </cell>
          <cell r="H579">
            <v>69.70468503937019</v>
          </cell>
          <cell r="I579" t="e">
            <v>#N/A</v>
          </cell>
          <cell r="J579" t="e">
            <v>#N/A</v>
          </cell>
          <cell r="K579" t="e">
            <v>#N/A</v>
          </cell>
          <cell r="L579" t="e">
            <v>#N/A</v>
          </cell>
          <cell r="M579" t="e">
            <v>#N/A</v>
          </cell>
          <cell r="N579" t="e">
            <v>#N/A</v>
          </cell>
          <cell r="O579" t="e">
            <v>#N/A</v>
          </cell>
          <cell r="P579">
            <v>71.03</v>
          </cell>
          <cell r="Q579" t="str">
            <v/>
          </cell>
          <cell r="R579" t="e">
            <v>#N/A</v>
          </cell>
        </row>
        <row r="580">
          <cell r="A580">
            <v>40309</v>
          </cell>
          <cell r="B580">
            <v>40309</v>
          </cell>
          <cell r="C580" t="str">
            <v>Future</v>
          </cell>
          <cell r="D580" t="e">
            <v>#N/A</v>
          </cell>
          <cell r="E580">
            <v>64.877795275590501</v>
          </cell>
          <cell r="F580">
            <v>73.972283464566999</v>
          </cell>
          <cell r="G580">
            <v>69.641574803149723</v>
          </cell>
          <cell r="H580">
            <v>69.641574803149723</v>
          </cell>
          <cell r="I580" t="e">
            <v>#N/A</v>
          </cell>
          <cell r="J580" t="e">
            <v>#N/A</v>
          </cell>
          <cell r="K580" t="e">
            <v>#N/A</v>
          </cell>
          <cell r="L580" t="e">
            <v>#N/A</v>
          </cell>
          <cell r="M580" t="e">
            <v>#N/A</v>
          </cell>
          <cell r="N580" t="e">
            <v>#N/A</v>
          </cell>
          <cell r="O580" t="e">
            <v>#N/A</v>
          </cell>
          <cell r="P580">
            <v>71.03</v>
          </cell>
          <cell r="Q580" t="str">
            <v/>
          </cell>
          <cell r="R580" t="e">
            <v>#N/A</v>
          </cell>
        </row>
        <row r="581">
          <cell r="A581">
            <v>40310</v>
          </cell>
          <cell r="B581">
            <v>40310</v>
          </cell>
          <cell r="C581" t="str">
            <v>Future</v>
          </cell>
          <cell r="D581" t="e">
            <v>#N/A</v>
          </cell>
          <cell r="E581">
            <v>64.59814960629916</v>
          </cell>
          <cell r="F581">
            <v>74.106023622047317</v>
          </cell>
          <cell r="G581">
            <v>69.578464566929256</v>
          </cell>
          <cell r="H581">
            <v>69.578464566929256</v>
          </cell>
          <cell r="I581" t="e">
            <v>#N/A</v>
          </cell>
          <cell r="J581" t="e">
            <v>#N/A</v>
          </cell>
          <cell r="K581" t="e">
            <v>#N/A</v>
          </cell>
          <cell r="L581" t="e">
            <v>#N/A</v>
          </cell>
          <cell r="M581" t="e">
            <v>#N/A</v>
          </cell>
          <cell r="N581" t="e">
            <v>#N/A</v>
          </cell>
          <cell r="O581" t="e">
            <v>#N/A</v>
          </cell>
          <cell r="P581">
            <v>71.03</v>
          </cell>
          <cell r="Q581" t="str">
            <v/>
          </cell>
          <cell r="R581" t="e">
            <v>#N/A</v>
          </cell>
        </row>
        <row r="582">
          <cell r="A582">
            <v>40311</v>
          </cell>
          <cell r="B582">
            <v>40311</v>
          </cell>
          <cell r="C582" t="str">
            <v>Future</v>
          </cell>
          <cell r="D582" t="e">
            <v>#N/A</v>
          </cell>
          <cell r="E582">
            <v>64.318503937007819</v>
          </cell>
          <cell r="F582">
            <v>74.239763779527635</v>
          </cell>
          <cell r="G582">
            <v>69.515354330708789</v>
          </cell>
          <cell r="H582">
            <v>69.515354330708789</v>
          </cell>
          <cell r="I582" t="e">
            <v>#N/A</v>
          </cell>
          <cell r="J582" t="e">
            <v>#N/A</v>
          </cell>
          <cell r="K582" t="e">
            <v>#N/A</v>
          </cell>
          <cell r="L582" t="e">
            <v>#N/A</v>
          </cell>
          <cell r="M582" t="e">
            <v>#N/A</v>
          </cell>
          <cell r="N582" t="e">
            <v>#N/A</v>
          </cell>
          <cell r="O582" t="e">
            <v>#N/A</v>
          </cell>
          <cell r="P582">
            <v>71.03</v>
          </cell>
          <cell r="Q582" t="str">
            <v/>
          </cell>
          <cell r="R582" t="e">
            <v>#N/A</v>
          </cell>
        </row>
        <row r="583">
          <cell r="A583">
            <v>40312</v>
          </cell>
          <cell r="B583">
            <v>40312</v>
          </cell>
          <cell r="C583" t="str">
            <v>Future</v>
          </cell>
          <cell r="D583" t="e">
            <v>#N/A</v>
          </cell>
          <cell r="E583">
            <v>64.038858267716478</v>
          </cell>
          <cell r="F583">
            <v>74.373503937007953</v>
          </cell>
          <cell r="G583">
            <v>69.452244094488321</v>
          </cell>
          <cell r="H583">
            <v>69.452244094488321</v>
          </cell>
          <cell r="I583" t="e">
            <v>#N/A</v>
          </cell>
          <cell r="J583" t="e">
            <v>#N/A</v>
          </cell>
          <cell r="K583" t="e">
            <v>#N/A</v>
          </cell>
          <cell r="L583" t="e">
            <v>#N/A</v>
          </cell>
          <cell r="M583" t="e">
            <v>#N/A</v>
          </cell>
          <cell r="N583" t="e">
            <v>#N/A</v>
          </cell>
          <cell r="O583" t="e">
            <v>#N/A</v>
          </cell>
          <cell r="P583">
            <v>71.03</v>
          </cell>
          <cell r="Q583" t="str">
            <v/>
          </cell>
          <cell r="R583" t="e">
            <v>#N/A</v>
          </cell>
        </row>
        <row r="584">
          <cell r="A584">
            <v>40315</v>
          </cell>
          <cell r="B584">
            <v>40315</v>
          </cell>
          <cell r="C584" t="str">
            <v>Future</v>
          </cell>
          <cell r="D584" t="e">
            <v>#N/A</v>
          </cell>
          <cell r="E584">
            <v>63.759212598425137</v>
          </cell>
          <cell r="F584">
            <v>74.507244094488271</v>
          </cell>
          <cell r="G584">
            <v>69.389133858267854</v>
          </cell>
          <cell r="H584">
            <v>69.389133858267854</v>
          </cell>
          <cell r="I584" t="e">
            <v>#N/A</v>
          </cell>
          <cell r="J584" t="e">
            <v>#N/A</v>
          </cell>
          <cell r="K584" t="e">
            <v>#N/A</v>
          </cell>
          <cell r="L584" t="e">
            <v>#N/A</v>
          </cell>
          <cell r="M584" t="e">
            <v>#N/A</v>
          </cell>
          <cell r="N584" t="e">
            <v>#N/A</v>
          </cell>
          <cell r="O584" t="e">
            <v>#N/A</v>
          </cell>
          <cell r="P584">
            <v>71.03</v>
          </cell>
          <cell r="Q584" t="str">
            <v/>
          </cell>
          <cell r="R584" t="e">
            <v>#N/A</v>
          </cell>
        </row>
        <row r="585">
          <cell r="A585">
            <v>40316</v>
          </cell>
          <cell r="B585">
            <v>40316</v>
          </cell>
          <cell r="C585" t="str">
            <v>Future</v>
          </cell>
          <cell r="D585" t="e">
            <v>#N/A</v>
          </cell>
          <cell r="E585">
            <v>63.479566929133796</v>
          </cell>
          <cell r="F585">
            <v>74.64098425196859</v>
          </cell>
          <cell r="G585">
            <v>69.326023622047387</v>
          </cell>
          <cell r="H585">
            <v>69.326023622047387</v>
          </cell>
          <cell r="I585" t="e">
            <v>#N/A</v>
          </cell>
          <cell r="J585" t="e">
            <v>#N/A</v>
          </cell>
          <cell r="K585" t="e">
            <v>#N/A</v>
          </cell>
          <cell r="L585" t="e">
            <v>#N/A</v>
          </cell>
          <cell r="M585" t="e">
            <v>#N/A</v>
          </cell>
          <cell r="N585" t="e">
            <v>#N/A</v>
          </cell>
          <cell r="O585" t="e">
            <v>#N/A</v>
          </cell>
          <cell r="P585">
            <v>71.03</v>
          </cell>
          <cell r="Q585" t="str">
            <v/>
          </cell>
          <cell r="R585" t="e">
            <v>#N/A</v>
          </cell>
        </row>
        <row r="586">
          <cell r="A586">
            <v>40317</v>
          </cell>
          <cell r="B586">
            <v>40317</v>
          </cell>
          <cell r="C586" t="str">
            <v>Future</v>
          </cell>
          <cell r="D586" t="e">
            <v>#N/A</v>
          </cell>
          <cell r="E586">
            <v>63.199921259842455</v>
          </cell>
          <cell r="F586">
            <v>74.774724409448908</v>
          </cell>
          <cell r="G586">
            <v>69.26291338582692</v>
          </cell>
          <cell r="H586">
            <v>69.26291338582692</v>
          </cell>
          <cell r="I586" t="e">
            <v>#N/A</v>
          </cell>
          <cell r="J586" t="e">
            <v>#N/A</v>
          </cell>
          <cell r="K586" t="e">
            <v>#N/A</v>
          </cell>
          <cell r="L586" t="e">
            <v>#N/A</v>
          </cell>
          <cell r="M586" t="e">
            <v>#N/A</v>
          </cell>
          <cell r="N586" t="e">
            <v>#N/A</v>
          </cell>
          <cell r="O586" t="e">
            <v>#N/A</v>
          </cell>
          <cell r="P586">
            <v>71.03</v>
          </cell>
          <cell r="Q586" t="str">
            <v/>
          </cell>
          <cell r="R586" t="e">
            <v>#N/A</v>
          </cell>
        </row>
        <row r="587">
          <cell r="A587">
            <v>40318</v>
          </cell>
          <cell r="B587">
            <v>40318</v>
          </cell>
          <cell r="C587" t="str">
            <v>Future</v>
          </cell>
          <cell r="D587" t="e">
            <v>#N/A</v>
          </cell>
          <cell r="E587">
            <v>62.920275590551114</v>
          </cell>
          <cell r="F587">
            <v>74.908464566929226</v>
          </cell>
          <cell r="G587">
            <v>69.199803149606453</v>
          </cell>
          <cell r="H587">
            <v>69.199803149606453</v>
          </cell>
          <cell r="I587" t="e">
            <v>#N/A</v>
          </cell>
          <cell r="J587" t="e">
            <v>#N/A</v>
          </cell>
          <cell r="K587" t="e">
            <v>#N/A</v>
          </cell>
          <cell r="L587" t="e">
            <v>#N/A</v>
          </cell>
          <cell r="M587" t="e">
            <v>#N/A</v>
          </cell>
          <cell r="N587" t="e">
            <v>#N/A</v>
          </cell>
          <cell r="O587" t="e">
            <v>#N/A</v>
          </cell>
          <cell r="P587">
            <v>71.03</v>
          </cell>
          <cell r="Q587" t="str">
            <v/>
          </cell>
          <cell r="R587" t="e">
            <v>#N/A</v>
          </cell>
        </row>
        <row r="588">
          <cell r="A588">
            <v>40319</v>
          </cell>
          <cell r="B588">
            <v>40319</v>
          </cell>
          <cell r="C588" t="str">
            <v>Future</v>
          </cell>
          <cell r="D588" t="e">
            <v>#N/A</v>
          </cell>
          <cell r="E588">
            <v>62.640629921259773</v>
          </cell>
          <cell r="F588">
            <v>75.042204724409544</v>
          </cell>
          <cell r="G588">
            <v>69.136692913385986</v>
          </cell>
          <cell r="H588">
            <v>69.136692913385986</v>
          </cell>
          <cell r="I588" t="e">
            <v>#N/A</v>
          </cell>
          <cell r="J588" t="e">
            <v>#N/A</v>
          </cell>
          <cell r="K588" t="e">
            <v>#N/A</v>
          </cell>
          <cell r="L588" t="e">
            <v>#N/A</v>
          </cell>
          <cell r="M588" t="e">
            <v>#N/A</v>
          </cell>
          <cell r="N588" t="e">
            <v>#N/A</v>
          </cell>
          <cell r="O588" t="e">
            <v>#N/A</v>
          </cell>
          <cell r="P588">
            <v>71.03</v>
          </cell>
          <cell r="Q588" t="str">
            <v/>
          </cell>
          <cell r="R588" t="e">
            <v>#N/A</v>
          </cell>
        </row>
        <row r="589">
          <cell r="A589">
            <v>40322</v>
          </cell>
          <cell r="B589">
            <v>40322</v>
          </cell>
          <cell r="C589" t="str">
            <v>Future</v>
          </cell>
          <cell r="D589" t="e">
            <v>#N/A</v>
          </cell>
          <cell r="E589">
            <v>62.360984251968432</v>
          </cell>
          <cell r="F589">
            <v>75.175944881889862</v>
          </cell>
          <cell r="G589">
            <v>69.073582677165518</v>
          </cell>
          <cell r="H589">
            <v>69.073582677165518</v>
          </cell>
          <cell r="I589" t="e">
            <v>#N/A</v>
          </cell>
          <cell r="J589" t="e">
            <v>#N/A</v>
          </cell>
          <cell r="K589" t="e">
            <v>#N/A</v>
          </cell>
          <cell r="L589" t="e">
            <v>#N/A</v>
          </cell>
          <cell r="M589" t="e">
            <v>#N/A</v>
          </cell>
          <cell r="N589" t="e">
            <v>#N/A</v>
          </cell>
          <cell r="O589" t="e">
            <v>#N/A</v>
          </cell>
          <cell r="P589">
            <v>71.03</v>
          </cell>
          <cell r="Q589" t="str">
            <v/>
          </cell>
          <cell r="R589" t="e">
            <v>#N/A</v>
          </cell>
        </row>
        <row r="590">
          <cell r="A590">
            <v>40323</v>
          </cell>
          <cell r="B590">
            <v>40323</v>
          </cell>
          <cell r="C590" t="str">
            <v>Future</v>
          </cell>
          <cell r="D590" t="e">
            <v>#N/A</v>
          </cell>
          <cell r="E590">
            <v>62.081338582677091</v>
          </cell>
          <cell r="F590">
            <v>75.30968503937018</v>
          </cell>
          <cell r="G590">
            <v>69.010472440945051</v>
          </cell>
          <cell r="H590">
            <v>69.010472440945051</v>
          </cell>
          <cell r="I590" t="e">
            <v>#N/A</v>
          </cell>
          <cell r="J590" t="e">
            <v>#N/A</v>
          </cell>
          <cell r="K590" t="e">
            <v>#N/A</v>
          </cell>
          <cell r="L590" t="e">
            <v>#N/A</v>
          </cell>
          <cell r="M590" t="e">
            <v>#N/A</v>
          </cell>
          <cell r="N590" t="e">
            <v>#N/A</v>
          </cell>
          <cell r="O590" t="e">
            <v>#N/A</v>
          </cell>
          <cell r="P590">
            <v>71.03</v>
          </cell>
          <cell r="Q590" t="str">
            <v/>
          </cell>
          <cell r="R590" t="e">
            <v>#N/A</v>
          </cell>
        </row>
        <row r="591">
          <cell r="A591">
            <v>40324</v>
          </cell>
          <cell r="B591">
            <v>40324</v>
          </cell>
          <cell r="C591" t="str">
            <v>Future</v>
          </cell>
          <cell r="D591" t="e">
            <v>#N/A</v>
          </cell>
          <cell r="E591">
            <v>61.80169291338575</v>
          </cell>
          <cell r="F591">
            <v>75.443425196850498</v>
          </cell>
          <cell r="G591">
            <v>68.947362204724584</v>
          </cell>
          <cell r="H591">
            <v>68.947362204724584</v>
          </cell>
          <cell r="I591" t="e">
            <v>#N/A</v>
          </cell>
          <cell r="J591" t="e">
            <v>#N/A</v>
          </cell>
          <cell r="K591" t="e">
            <v>#N/A</v>
          </cell>
          <cell r="L591" t="e">
            <v>#N/A</v>
          </cell>
          <cell r="M591" t="e">
            <v>#N/A</v>
          </cell>
          <cell r="N591" t="e">
            <v>#N/A</v>
          </cell>
          <cell r="O591" t="e">
            <v>#N/A</v>
          </cell>
          <cell r="P591">
            <v>71.03</v>
          </cell>
          <cell r="Q591" t="str">
            <v/>
          </cell>
          <cell r="R591" t="e">
            <v>#N/A</v>
          </cell>
        </row>
        <row r="592">
          <cell r="A592">
            <v>40325</v>
          </cell>
          <cell r="B592">
            <v>40325</v>
          </cell>
          <cell r="C592" t="str">
            <v>Future</v>
          </cell>
          <cell r="D592" t="e">
            <v>#N/A</v>
          </cell>
          <cell r="E592">
            <v>61.522047244094409</v>
          </cell>
          <cell r="F592">
            <v>75.577165354330816</v>
          </cell>
          <cell r="G592">
            <v>68.884251968504117</v>
          </cell>
          <cell r="H592">
            <v>68.884251968504117</v>
          </cell>
          <cell r="I592" t="e">
            <v>#N/A</v>
          </cell>
          <cell r="J592" t="e">
            <v>#N/A</v>
          </cell>
          <cell r="K592" t="e">
            <v>#N/A</v>
          </cell>
          <cell r="L592" t="e">
            <v>#N/A</v>
          </cell>
          <cell r="M592" t="e">
            <v>#N/A</v>
          </cell>
          <cell r="N592" t="e">
            <v>#N/A</v>
          </cell>
          <cell r="O592" t="e">
            <v>#N/A</v>
          </cell>
          <cell r="P592">
            <v>71.03</v>
          </cell>
          <cell r="Q592" t="str">
            <v/>
          </cell>
          <cell r="R592" t="e">
            <v>#N/A</v>
          </cell>
        </row>
        <row r="593">
          <cell r="A593">
            <v>40326</v>
          </cell>
          <cell r="B593">
            <v>40326</v>
          </cell>
          <cell r="C593" t="str">
            <v>Future</v>
          </cell>
          <cell r="D593" t="e">
            <v>#N/A</v>
          </cell>
          <cell r="E593">
            <v>61.242401574803068</v>
          </cell>
          <cell r="F593">
            <v>75.710905511811134</v>
          </cell>
          <cell r="G593">
            <v>68.82114173228365</v>
          </cell>
          <cell r="H593">
            <v>68.82114173228365</v>
          </cell>
          <cell r="I593" t="e">
            <v>#N/A</v>
          </cell>
          <cell r="J593" t="e">
            <v>#N/A</v>
          </cell>
          <cell r="K593" t="e">
            <v>#N/A</v>
          </cell>
          <cell r="L593" t="e">
            <v>#N/A</v>
          </cell>
          <cell r="M593" t="e">
            <v>#N/A</v>
          </cell>
          <cell r="N593" t="e">
            <v>#N/A</v>
          </cell>
          <cell r="O593" t="e">
            <v>#N/A</v>
          </cell>
          <cell r="P593">
            <v>71.03</v>
          </cell>
          <cell r="Q593" t="str">
            <v/>
          </cell>
          <cell r="R593" t="e">
            <v>#N/A</v>
          </cell>
        </row>
        <row r="594">
          <cell r="A594">
            <v>40330</v>
          </cell>
          <cell r="B594">
            <v>40330</v>
          </cell>
          <cell r="C594" t="str">
            <v>Future</v>
          </cell>
          <cell r="D594" t="e">
            <v>#N/A</v>
          </cell>
          <cell r="E594">
            <v>60.962755905511727</v>
          </cell>
          <cell r="F594">
            <v>75.844645669291452</v>
          </cell>
          <cell r="G594">
            <v>68.758031496063182</v>
          </cell>
          <cell r="H594">
            <v>68.758031496063182</v>
          </cell>
          <cell r="I594" t="e">
            <v>#N/A</v>
          </cell>
          <cell r="J594" t="e">
            <v>#N/A</v>
          </cell>
          <cell r="K594" t="e">
            <v>#N/A</v>
          </cell>
          <cell r="L594" t="e">
            <v>#N/A</v>
          </cell>
          <cell r="M594" t="e">
            <v>#N/A</v>
          </cell>
          <cell r="N594" t="e">
            <v>#N/A</v>
          </cell>
          <cell r="O594" t="e">
            <v>#N/A</v>
          </cell>
          <cell r="P594">
            <v>71.03</v>
          </cell>
          <cell r="Q594" t="str">
            <v/>
          </cell>
          <cell r="R594" t="e">
            <v>#N/A</v>
          </cell>
        </row>
        <row r="595">
          <cell r="A595">
            <v>40331</v>
          </cell>
          <cell r="B595">
            <v>40331</v>
          </cell>
          <cell r="C595" t="str">
            <v>Future</v>
          </cell>
          <cell r="D595" t="e">
            <v>#N/A</v>
          </cell>
          <cell r="E595">
            <v>60.683110236220386</v>
          </cell>
          <cell r="F595">
            <v>75.97838582677177</v>
          </cell>
          <cell r="G595">
            <v>68.694921259842715</v>
          </cell>
          <cell r="H595">
            <v>68.694921259842715</v>
          </cell>
          <cell r="I595" t="e">
            <v>#N/A</v>
          </cell>
          <cell r="J595" t="e">
            <v>#N/A</v>
          </cell>
          <cell r="K595" t="e">
            <v>#N/A</v>
          </cell>
          <cell r="L595" t="e">
            <v>#N/A</v>
          </cell>
          <cell r="M595" t="e">
            <v>#N/A</v>
          </cell>
          <cell r="N595" t="e">
            <v>#N/A</v>
          </cell>
          <cell r="O595" t="e">
            <v>#N/A</v>
          </cell>
          <cell r="P595">
            <v>71.03</v>
          </cell>
          <cell r="Q595" t="str">
            <v/>
          </cell>
          <cell r="R595" t="e">
            <v>#N/A</v>
          </cell>
        </row>
        <row r="596">
          <cell r="A596">
            <v>40332</v>
          </cell>
          <cell r="B596">
            <v>40332</v>
          </cell>
          <cell r="C596" t="str">
            <v>Future</v>
          </cell>
          <cell r="D596" t="e">
            <v>#N/A</v>
          </cell>
          <cell r="E596">
            <v>60.403464566929046</v>
          </cell>
          <cell r="F596">
            <v>76.112125984252089</v>
          </cell>
          <cell r="G596">
            <v>68.631811023622248</v>
          </cell>
          <cell r="H596">
            <v>68.631811023622248</v>
          </cell>
          <cell r="I596" t="e">
            <v>#N/A</v>
          </cell>
          <cell r="J596" t="e">
            <v>#N/A</v>
          </cell>
          <cell r="K596" t="e">
            <v>#N/A</v>
          </cell>
          <cell r="L596" t="e">
            <v>#N/A</v>
          </cell>
          <cell r="M596" t="e">
            <v>#N/A</v>
          </cell>
          <cell r="N596" t="e">
            <v>#N/A</v>
          </cell>
          <cell r="O596" t="e">
            <v>#N/A</v>
          </cell>
          <cell r="P596">
            <v>71.03</v>
          </cell>
          <cell r="Q596" t="str">
            <v/>
          </cell>
          <cell r="R596" t="e">
            <v>#N/A</v>
          </cell>
        </row>
        <row r="597">
          <cell r="A597">
            <v>40333</v>
          </cell>
          <cell r="B597">
            <v>40333</v>
          </cell>
          <cell r="C597" t="str">
            <v>Future</v>
          </cell>
          <cell r="D597" t="e">
            <v>#N/A</v>
          </cell>
          <cell r="E597">
            <v>60.123818897637705</v>
          </cell>
          <cell r="F597">
            <v>76.245866141732407</v>
          </cell>
          <cell r="G597">
            <v>68.568700787401781</v>
          </cell>
          <cell r="H597">
            <v>68.568700787401781</v>
          </cell>
          <cell r="I597" t="e">
            <v>#N/A</v>
          </cell>
          <cell r="J597" t="e">
            <v>#N/A</v>
          </cell>
          <cell r="K597" t="e">
            <v>#N/A</v>
          </cell>
          <cell r="L597" t="e">
            <v>#N/A</v>
          </cell>
          <cell r="M597" t="e">
            <v>#N/A</v>
          </cell>
          <cell r="N597" t="e">
            <v>#N/A</v>
          </cell>
          <cell r="O597" t="e">
            <v>#N/A</v>
          </cell>
          <cell r="P597">
            <v>71.03</v>
          </cell>
          <cell r="Q597" t="str">
            <v/>
          </cell>
          <cell r="R597" t="e">
            <v>#N/A</v>
          </cell>
        </row>
        <row r="598">
          <cell r="A598">
            <v>40336</v>
          </cell>
          <cell r="B598">
            <v>40336</v>
          </cell>
          <cell r="C598" t="str">
            <v>Future</v>
          </cell>
          <cell r="D598" t="e">
            <v>#N/A</v>
          </cell>
          <cell r="E598">
            <v>59.844173228346364</v>
          </cell>
          <cell r="F598">
            <v>76.379606299212725</v>
          </cell>
          <cell r="G598">
            <v>68.505590551181314</v>
          </cell>
          <cell r="H598">
            <v>68.505590551181314</v>
          </cell>
          <cell r="I598" t="e">
            <v>#N/A</v>
          </cell>
          <cell r="J598" t="e">
            <v>#N/A</v>
          </cell>
          <cell r="K598" t="e">
            <v>#N/A</v>
          </cell>
          <cell r="L598" t="e">
            <v>#N/A</v>
          </cell>
          <cell r="M598" t="e">
            <v>#N/A</v>
          </cell>
          <cell r="N598" t="e">
            <v>#N/A</v>
          </cell>
          <cell r="O598" t="e">
            <v>#N/A</v>
          </cell>
          <cell r="P598">
            <v>71.03</v>
          </cell>
          <cell r="Q598" t="str">
            <v/>
          </cell>
          <cell r="R598" t="e">
            <v>#N/A</v>
          </cell>
        </row>
        <row r="599">
          <cell r="A599">
            <v>40337</v>
          </cell>
          <cell r="B599">
            <v>40337</v>
          </cell>
          <cell r="C599" t="str">
            <v>Future</v>
          </cell>
          <cell r="D599" t="e">
            <v>#N/A</v>
          </cell>
          <cell r="E599">
            <v>59.564527559055023</v>
          </cell>
          <cell r="F599">
            <v>76.513346456693043</v>
          </cell>
          <cell r="G599">
            <v>68.442480314960846</v>
          </cell>
          <cell r="H599">
            <v>68.442480314960846</v>
          </cell>
          <cell r="I599" t="e">
            <v>#N/A</v>
          </cell>
          <cell r="J599" t="e">
            <v>#N/A</v>
          </cell>
          <cell r="K599" t="e">
            <v>#N/A</v>
          </cell>
          <cell r="L599" t="e">
            <v>#N/A</v>
          </cell>
          <cell r="M599" t="e">
            <v>#N/A</v>
          </cell>
          <cell r="N599" t="e">
            <v>#N/A</v>
          </cell>
          <cell r="O599" t="e">
            <v>#N/A</v>
          </cell>
          <cell r="P599">
            <v>71.03</v>
          </cell>
          <cell r="Q599" t="str">
            <v/>
          </cell>
          <cell r="R599" t="e">
            <v>#N/A</v>
          </cell>
        </row>
        <row r="600">
          <cell r="A600">
            <v>40338</v>
          </cell>
          <cell r="B600">
            <v>40338</v>
          </cell>
          <cell r="C600" t="str">
            <v>Future</v>
          </cell>
          <cell r="D600" t="e">
            <v>#N/A</v>
          </cell>
          <cell r="E600">
            <v>59.284881889763682</v>
          </cell>
          <cell r="F600">
            <v>76.647086614173361</v>
          </cell>
          <cell r="G600">
            <v>68.379370078740379</v>
          </cell>
          <cell r="H600">
            <v>68.379370078740379</v>
          </cell>
          <cell r="I600" t="e">
            <v>#N/A</v>
          </cell>
          <cell r="J600" t="e">
            <v>#N/A</v>
          </cell>
          <cell r="K600" t="e">
            <v>#N/A</v>
          </cell>
          <cell r="L600" t="e">
            <v>#N/A</v>
          </cell>
          <cell r="M600" t="e">
            <v>#N/A</v>
          </cell>
          <cell r="N600" t="e">
            <v>#N/A</v>
          </cell>
          <cell r="O600" t="e">
            <v>#N/A</v>
          </cell>
          <cell r="P600">
            <v>71.03</v>
          </cell>
          <cell r="Q600" t="str">
            <v/>
          </cell>
          <cell r="R600" t="e">
            <v>#N/A</v>
          </cell>
        </row>
        <row r="601">
          <cell r="A601">
            <v>40339</v>
          </cell>
          <cell r="B601">
            <v>40339</v>
          </cell>
          <cell r="C601" t="str">
            <v>Future</v>
          </cell>
          <cell r="D601" t="e">
            <v>#N/A</v>
          </cell>
          <cell r="E601">
            <v>59.005236220472341</v>
          </cell>
          <cell r="F601">
            <v>76.780826771653679</v>
          </cell>
          <cell r="G601">
            <v>68.316259842519912</v>
          </cell>
          <cell r="H601">
            <v>68.316259842519912</v>
          </cell>
          <cell r="I601" t="e">
            <v>#N/A</v>
          </cell>
          <cell r="J601" t="e">
            <v>#N/A</v>
          </cell>
          <cell r="K601" t="e">
            <v>#N/A</v>
          </cell>
          <cell r="L601" t="e">
            <v>#N/A</v>
          </cell>
          <cell r="M601" t="e">
            <v>#N/A</v>
          </cell>
          <cell r="N601" t="e">
            <v>#N/A</v>
          </cell>
          <cell r="O601" t="e">
            <v>#N/A</v>
          </cell>
          <cell r="P601">
            <v>71.03</v>
          </cell>
          <cell r="Q601" t="str">
            <v/>
          </cell>
          <cell r="R601" t="e">
            <v>#N/A</v>
          </cell>
        </row>
        <row r="602">
          <cell r="A602">
            <v>40340</v>
          </cell>
          <cell r="B602">
            <v>40340</v>
          </cell>
          <cell r="C602" t="str">
            <v>Future</v>
          </cell>
          <cell r="D602" t="e">
            <v>#N/A</v>
          </cell>
          <cell r="E602">
            <v>58.725590551181</v>
          </cell>
          <cell r="F602">
            <v>76.914566929133997</v>
          </cell>
          <cell r="G602">
            <v>68.253149606299445</v>
          </cell>
          <cell r="H602">
            <v>68.253149606299445</v>
          </cell>
          <cell r="I602" t="e">
            <v>#N/A</v>
          </cell>
          <cell r="J602" t="e">
            <v>#N/A</v>
          </cell>
          <cell r="K602" t="e">
            <v>#N/A</v>
          </cell>
          <cell r="L602" t="e">
            <v>#N/A</v>
          </cell>
          <cell r="M602" t="e">
            <v>#N/A</v>
          </cell>
          <cell r="N602" t="e">
            <v>#N/A</v>
          </cell>
          <cell r="O602" t="e">
            <v>#N/A</v>
          </cell>
          <cell r="P602">
            <v>71.03</v>
          </cell>
          <cell r="Q602" t="str">
            <v/>
          </cell>
          <cell r="R602" t="e">
            <v>#N/A</v>
          </cell>
        </row>
        <row r="603">
          <cell r="A603">
            <v>40343</v>
          </cell>
          <cell r="B603">
            <v>40343</v>
          </cell>
          <cell r="C603" t="str">
            <v>Future</v>
          </cell>
          <cell r="D603" t="e">
            <v>#N/A</v>
          </cell>
          <cell r="E603">
            <v>58.445944881889659</v>
          </cell>
          <cell r="F603">
            <v>77.048307086614315</v>
          </cell>
          <cell r="G603">
            <v>68.190039370078978</v>
          </cell>
          <cell r="H603">
            <v>68.190039370078978</v>
          </cell>
          <cell r="I603" t="e">
            <v>#N/A</v>
          </cell>
          <cell r="J603" t="e">
            <v>#N/A</v>
          </cell>
          <cell r="K603" t="e">
            <v>#N/A</v>
          </cell>
          <cell r="L603" t="e">
            <v>#N/A</v>
          </cell>
          <cell r="M603" t="e">
            <v>#N/A</v>
          </cell>
          <cell r="N603" t="e">
            <v>#N/A</v>
          </cell>
          <cell r="O603" t="e">
            <v>#N/A</v>
          </cell>
          <cell r="P603">
            <v>71.03</v>
          </cell>
          <cell r="Q603" t="str">
            <v/>
          </cell>
          <cell r="R603" t="e">
            <v>#N/A</v>
          </cell>
        </row>
        <row r="604">
          <cell r="A604">
            <v>40344</v>
          </cell>
          <cell r="B604">
            <v>40344</v>
          </cell>
          <cell r="C604" t="str">
            <v>Future</v>
          </cell>
          <cell r="D604" t="e">
            <v>#N/A</v>
          </cell>
          <cell r="E604">
            <v>58.166299212598318</v>
          </cell>
          <cell r="F604">
            <v>77.182047244094633</v>
          </cell>
          <cell r="G604">
            <v>68.126929133858511</v>
          </cell>
          <cell r="H604">
            <v>68.126929133858511</v>
          </cell>
          <cell r="I604" t="e">
            <v>#N/A</v>
          </cell>
          <cell r="J604" t="e">
            <v>#N/A</v>
          </cell>
          <cell r="K604" t="e">
            <v>#N/A</v>
          </cell>
          <cell r="L604" t="e">
            <v>#N/A</v>
          </cell>
          <cell r="M604" t="e">
            <v>#N/A</v>
          </cell>
          <cell r="N604" t="e">
            <v>#N/A</v>
          </cell>
          <cell r="O604" t="e">
            <v>#N/A</v>
          </cell>
          <cell r="P604">
            <v>71.03</v>
          </cell>
          <cell r="Q604" t="str">
            <v/>
          </cell>
          <cell r="R604" t="e">
            <v>#N/A</v>
          </cell>
        </row>
        <row r="605">
          <cell r="A605">
            <v>40345</v>
          </cell>
          <cell r="B605">
            <v>40345</v>
          </cell>
          <cell r="C605" t="str">
            <v>Future</v>
          </cell>
          <cell r="D605" t="e">
            <v>#N/A</v>
          </cell>
          <cell r="E605">
            <v>57.886653543306977</v>
          </cell>
          <cell r="F605">
            <v>77.315787401574951</v>
          </cell>
          <cell r="G605">
            <v>68.063818897638043</v>
          </cell>
          <cell r="H605">
            <v>68.063818897638043</v>
          </cell>
          <cell r="I605" t="e">
            <v>#N/A</v>
          </cell>
          <cell r="J605" t="e">
            <v>#N/A</v>
          </cell>
          <cell r="K605" t="e">
            <v>#N/A</v>
          </cell>
          <cell r="L605" t="e">
            <v>#N/A</v>
          </cell>
          <cell r="M605" t="e">
            <v>#N/A</v>
          </cell>
          <cell r="N605" t="e">
            <v>#N/A</v>
          </cell>
          <cell r="O605" t="e">
            <v>#N/A</v>
          </cell>
          <cell r="P605">
            <v>71.03</v>
          </cell>
          <cell r="Q605" t="str">
            <v/>
          </cell>
          <cell r="R605" t="e">
            <v>#N/A</v>
          </cell>
        </row>
        <row r="606">
          <cell r="A606">
            <v>40346</v>
          </cell>
          <cell r="B606">
            <v>40346</v>
          </cell>
          <cell r="C606" t="str">
            <v>Future</v>
          </cell>
          <cell r="D606" t="e">
            <v>#N/A</v>
          </cell>
          <cell r="E606">
            <v>57.607007874015636</v>
          </cell>
          <cell r="F606">
            <v>77.449527559055269</v>
          </cell>
          <cell r="G606">
            <v>68.000708661417576</v>
          </cell>
          <cell r="H606">
            <v>68.000708661417576</v>
          </cell>
          <cell r="I606" t="e">
            <v>#N/A</v>
          </cell>
          <cell r="J606" t="e">
            <v>#N/A</v>
          </cell>
          <cell r="K606" t="e">
            <v>#N/A</v>
          </cell>
          <cell r="L606" t="e">
            <v>#N/A</v>
          </cell>
          <cell r="M606" t="e">
            <v>#N/A</v>
          </cell>
          <cell r="N606" t="e">
            <v>#N/A</v>
          </cell>
          <cell r="O606" t="e">
            <v>#N/A</v>
          </cell>
          <cell r="P606">
            <v>71.03</v>
          </cell>
          <cell r="Q606" t="str">
            <v/>
          </cell>
          <cell r="R606" t="e">
            <v>#N/A</v>
          </cell>
        </row>
        <row r="607">
          <cell r="A607">
            <v>40347</v>
          </cell>
          <cell r="B607">
            <v>40347</v>
          </cell>
          <cell r="C607" t="str">
            <v>Future</v>
          </cell>
          <cell r="D607" t="e">
            <v>#N/A</v>
          </cell>
          <cell r="E607">
            <v>57.327362204724295</v>
          </cell>
          <cell r="F607">
            <v>77.583267716535588</v>
          </cell>
          <cell r="G607">
            <v>67.937598425197109</v>
          </cell>
          <cell r="H607">
            <v>67.937598425197109</v>
          </cell>
          <cell r="I607" t="e">
            <v>#N/A</v>
          </cell>
          <cell r="J607" t="e">
            <v>#N/A</v>
          </cell>
          <cell r="K607" t="e">
            <v>#N/A</v>
          </cell>
          <cell r="L607" t="e">
            <v>#N/A</v>
          </cell>
          <cell r="M607" t="e">
            <v>#N/A</v>
          </cell>
          <cell r="N607" t="e">
            <v>#N/A</v>
          </cell>
          <cell r="O607" t="e">
            <v>#N/A</v>
          </cell>
          <cell r="P607">
            <v>71.03</v>
          </cell>
          <cell r="Q607" t="str">
            <v/>
          </cell>
          <cell r="R607" t="e">
            <v>#N/A</v>
          </cell>
        </row>
        <row r="608">
          <cell r="A608">
            <v>40350</v>
          </cell>
          <cell r="B608">
            <v>40350</v>
          </cell>
          <cell r="C608" t="str">
            <v>Future</v>
          </cell>
          <cell r="D608" t="e">
            <v>#N/A</v>
          </cell>
          <cell r="E608">
            <v>57.047716535432954</v>
          </cell>
          <cell r="F608">
            <v>77.717007874015906</v>
          </cell>
          <cell r="G608">
            <v>67.874488188976642</v>
          </cell>
          <cell r="H608">
            <v>67.874488188976642</v>
          </cell>
          <cell r="I608" t="e">
            <v>#N/A</v>
          </cell>
          <cell r="J608" t="e">
            <v>#N/A</v>
          </cell>
          <cell r="K608" t="e">
            <v>#N/A</v>
          </cell>
          <cell r="L608" t="e">
            <v>#N/A</v>
          </cell>
          <cell r="M608" t="e">
            <v>#N/A</v>
          </cell>
          <cell r="N608" t="e">
            <v>#N/A</v>
          </cell>
          <cell r="O608" t="e">
            <v>#N/A</v>
          </cell>
          <cell r="P608">
            <v>71.03</v>
          </cell>
          <cell r="Q608" t="str">
            <v/>
          </cell>
          <cell r="R608" t="e">
            <v>#N/A</v>
          </cell>
        </row>
        <row r="609">
          <cell r="A609">
            <v>40351</v>
          </cell>
          <cell r="B609">
            <v>40351</v>
          </cell>
          <cell r="C609" t="str">
            <v>Future</v>
          </cell>
          <cell r="D609" t="e">
            <v>#N/A</v>
          </cell>
          <cell r="E609">
            <v>56.768070866141613</v>
          </cell>
          <cell r="F609">
            <v>77.850748031496224</v>
          </cell>
          <cell r="G609">
            <v>67.811377952756175</v>
          </cell>
          <cell r="H609">
            <v>67.811377952756175</v>
          </cell>
          <cell r="I609" t="e">
            <v>#N/A</v>
          </cell>
          <cell r="J609" t="e">
            <v>#N/A</v>
          </cell>
          <cell r="K609" t="e">
            <v>#N/A</v>
          </cell>
          <cell r="L609" t="e">
            <v>#N/A</v>
          </cell>
          <cell r="M609" t="e">
            <v>#N/A</v>
          </cell>
          <cell r="N609" t="e">
            <v>#N/A</v>
          </cell>
          <cell r="O609" t="e">
            <v>#N/A</v>
          </cell>
          <cell r="P609">
            <v>71.03</v>
          </cell>
          <cell r="Q609" t="str">
            <v/>
          </cell>
          <cell r="R609" t="e">
            <v>#N/A</v>
          </cell>
        </row>
        <row r="610">
          <cell r="A610">
            <v>40352</v>
          </cell>
          <cell r="B610">
            <v>40352</v>
          </cell>
          <cell r="C610" t="str">
            <v>Future</v>
          </cell>
          <cell r="D610" t="e">
            <v>#N/A</v>
          </cell>
          <cell r="E610">
            <v>56.488425196850272</v>
          </cell>
          <cell r="F610">
            <v>77.984488188976542</v>
          </cell>
          <cell r="G610">
            <v>67.748267716535707</v>
          </cell>
          <cell r="H610">
            <v>67.748267716535707</v>
          </cell>
          <cell r="I610" t="e">
            <v>#N/A</v>
          </cell>
          <cell r="J610" t="e">
            <v>#N/A</v>
          </cell>
          <cell r="K610" t="e">
            <v>#N/A</v>
          </cell>
          <cell r="L610" t="e">
            <v>#N/A</v>
          </cell>
          <cell r="M610" t="e">
            <v>#N/A</v>
          </cell>
          <cell r="N610" t="e">
            <v>#N/A</v>
          </cell>
          <cell r="O610" t="e">
            <v>#N/A</v>
          </cell>
          <cell r="P610">
            <v>71.03</v>
          </cell>
          <cell r="Q610" t="str">
            <v/>
          </cell>
          <cell r="R610" t="e">
            <v>#N/A</v>
          </cell>
        </row>
        <row r="611">
          <cell r="A611">
            <v>40353</v>
          </cell>
          <cell r="B611">
            <v>40353</v>
          </cell>
          <cell r="C611" t="str">
            <v>Future</v>
          </cell>
          <cell r="D611" t="e">
            <v>#N/A</v>
          </cell>
          <cell r="E611">
            <v>56.208779527558931</v>
          </cell>
          <cell r="F611">
            <v>78.11822834645686</v>
          </cell>
          <cell r="G611">
            <v>67.68515748031524</v>
          </cell>
          <cell r="H611">
            <v>67.68515748031524</v>
          </cell>
          <cell r="I611" t="e">
            <v>#N/A</v>
          </cell>
          <cell r="J611" t="e">
            <v>#N/A</v>
          </cell>
          <cell r="K611" t="e">
            <v>#N/A</v>
          </cell>
          <cell r="L611" t="e">
            <v>#N/A</v>
          </cell>
          <cell r="M611" t="e">
            <v>#N/A</v>
          </cell>
          <cell r="N611" t="e">
            <v>#N/A</v>
          </cell>
          <cell r="O611" t="e">
            <v>#N/A</v>
          </cell>
          <cell r="P611">
            <v>71.03</v>
          </cell>
          <cell r="Q611" t="str">
            <v/>
          </cell>
          <cell r="R611" t="e">
            <v>#N/A</v>
          </cell>
        </row>
        <row r="612">
          <cell r="A612">
            <v>40354</v>
          </cell>
          <cell r="B612">
            <v>40354</v>
          </cell>
          <cell r="C612" t="str">
            <v>Future</v>
          </cell>
          <cell r="D612" t="e">
            <v>#N/A</v>
          </cell>
          <cell r="E612">
            <v>55.929133858267591</v>
          </cell>
          <cell r="F612">
            <v>78.251968503937178</v>
          </cell>
          <cell r="G612">
            <v>67.622047244094773</v>
          </cell>
          <cell r="H612">
            <v>67.622047244094773</v>
          </cell>
          <cell r="I612" t="e">
            <v>#N/A</v>
          </cell>
          <cell r="J612" t="e">
            <v>#N/A</v>
          </cell>
          <cell r="K612" t="e">
            <v>#N/A</v>
          </cell>
          <cell r="L612" t="e">
            <v>#N/A</v>
          </cell>
          <cell r="M612" t="e">
            <v>#N/A</v>
          </cell>
          <cell r="N612" t="e">
            <v>#N/A</v>
          </cell>
          <cell r="O612" t="e">
            <v>#N/A</v>
          </cell>
          <cell r="P612">
            <v>71.03</v>
          </cell>
          <cell r="Q612" t="str">
            <v/>
          </cell>
          <cell r="R612" t="e">
            <v>#N/A</v>
          </cell>
        </row>
        <row r="613">
          <cell r="A613">
            <v>40357</v>
          </cell>
          <cell r="B613">
            <v>40357</v>
          </cell>
          <cell r="C613" t="str">
            <v>Future</v>
          </cell>
          <cell r="D613" t="e">
            <v>#N/A</v>
          </cell>
          <cell r="E613">
            <v>55.64948818897625</v>
          </cell>
          <cell r="F613">
            <v>78.385708661417496</v>
          </cell>
          <cell r="G613">
            <v>67.558937007874306</v>
          </cell>
          <cell r="H613">
            <v>67.558937007874306</v>
          </cell>
          <cell r="I613" t="e">
            <v>#N/A</v>
          </cell>
          <cell r="J613" t="e">
            <v>#N/A</v>
          </cell>
          <cell r="K613" t="e">
            <v>#N/A</v>
          </cell>
          <cell r="L613" t="e">
            <v>#N/A</v>
          </cell>
          <cell r="M613" t="e">
            <v>#N/A</v>
          </cell>
          <cell r="N613" t="e">
            <v>#N/A</v>
          </cell>
          <cell r="O613" t="e">
            <v>#N/A</v>
          </cell>
          <cell r="P613">
            <v>71.03</v>
          </cell>
          <cell r="Q613" t="str">
            <v/>
          </cell>
          <cell r="R613" t="e">
            <v>#N/A</v>
          </cell>
        </row>
        <row r="614">
          <cell r="A614">
            <v>40358</v>
          </cell>
          <cell r="B614">
            <v>40358</v>
          </cell>
          <cell r="C614" t="str">
            <v>Future</v>
          </cell>
          <cell r="D614" t="e">
            <v>#N/A</v>
          </cell>
          <cell r="E614">
            <v>55.369842519684909</v>
          </cell>
          <cell r="F614">
            <v>78.519448818897814</v>
          </cell>
          <cell r="G614">
            <v>67.495826771653839</v>
          </cell>
          <cell r="H614">
            <v>67.495826771653839</v>
          </cell>
          <cell r="I614" t="e">
            <v>#N/A</v>
          </cell>
          <cell r="J614" t="e">
            <v>#N/A</v>
          </cell>
          <cell r="K614" t="e">
            <v>#N/A</v>
          </cell>
          <cell r="L614" t="e">
            <v>#N/A</v>
          </cell>
          <cell r="M614" t="e">
            <v>#N/A</v>
          </cell>
          <cell r="N614" t="e">
            <v>#N/A</v>
          </cell>
          <cell r="O614" t="e">
            <v>#N/A</v>
          </cell>
          <cell r="P614">
            <v>71.03</v>
          </cell>
          <cell r="Q614" t="str">
            <v/>
          </cell>
          <cell r="R614" t="e">
            <v>#N/A</v>
          </cell>
        </row>
        <row r="615">
          <cell r="A615">
            <v>40359</v>
          </cell>
          <cell r="B615">
            <v>40359</v>
          </cell>
          <cell r="C615" t="str">
            <v>Future</v>
          </cell>
          <cell r="D615" t="e">
            <v>#N/A</v>
          </cell>
          <cell r="E615">
            <v>55.090196850393568</v>
          </cell>
          <cell r="F615">
            <v>78.653188976378132</v>
          </cell>
          <cell r="G615">
            <v>67.432716535433372</v>
          </cell>
          <cell r="H615">
            <v>67.432716535433372</v>
          </cell>
          <cell r="I615" t="e">
            <v>#N/A</v>
          </cell>
          <cell r="J615" t="e">
            <v>#N/A</v>
          </cell>
          <cell r="K615" t="e">
            <v>#N/A</v>
          </cell>
          <cell r="L615" t="e">
            <v>#N/A</v>
          </cell>
          <cell r="M615" t="e">
            <v>#N/A</v>
          </cell>
          <cell r="N615" t="e">
            <v>#N/A</v>
          </cell>
          <cell r="O615" t="e">
            <v>#N/A</v>
          </cell>
          <cell r="P615">
            <v>71.03</v>
          </cell>
          <cell r="Q615" t="str">
            <v/>
          </cell>
          <cell r="R615" t="e">
            <v>#N/A</v>
          </cell>
        </row>
        <row r="616">
          <cell r="A616">
            <v>40360</v>
          </cell>
          <cell r="B616">
            <v>40360</v>
          </cell>
          <cell r="C616" t="str">
            <v>Future</v>
          </cell>
          <cell r="D616" t="e">
            <v>#N/A</v>
          </cell>
          <cell r="E616">
            <v>54.810551181102227</v>
          </cell>
          <cell r="F616">
            <v>78.78692913385845</v>
          </cell>
          <cell r="G616">
            <v>67.369606299212904</v>
          </cell>
          <cell r="H616">
            <v>67.369606299212904</v>
          </cell>
          <cell r="I616" t="e">
            <v>#N/A</v>
          </cell>
          <cell r="J616" t="e">
            <v>#N/A</v>
          </cell>
          <cell r="K616" t="e">
            <v>#N/A</v>
          </cell>
          <cell r="L616" t="e">
            <v>#N/A</v>
          </cell>
          <cell r="M616" t="e">
            <v>#N/A</v>
          </cell>
          <cell r="N616" t="e">
            <v>#N/A</v>
          </cell>
          <cell r="O616" t="e">
            <v>#N/A</v>
          </cell>
          <cell r="P616">
            <v>71.03</v>
          </cell>
          <cell r="Q616" t="str">
            <v/>
          </cell>
          <cell r="R616" t="e">
            <v>#N/A</v>
          </cell>
        </row>
        <row r="617">
          <cell r="A617">
            <v>40361</v>
          </cell>
          <cell r="B617">
            <v>40361</v>
          </cell>
          <cell r="C617" t="str">
            <v>Future</v>
          </cell>
          <cell r="D617" t="e">
            <v>#N/A</v>
          </cell>
          <cell r="E617">
            <v>54.530905511810886</v>
          </cell>
          <cell r="F617">
            <v>78.920669291338768</v>
          </cell>
          <cell r="G617">
            <v>67.306496062992437</v>
          </cell>
          <cell r="H617">
            <v>67.306496062992437</v>
          </cell>
          <cell r="I617" t="e">
            <v>#N/A</v>
          </cell>
          <cell r="J617" t="e">
            <v>#N/A</v>
          </cell>
          <cell r="K617" t="e">
            <v>#N/A</v>
          </cell>
          <cell r="L617" t="e">
            <v>#N/A</v>
          </cell>
          <cell r="M617" t="e">
            <v>#N/A</v>
          </cell>
          <cell r="N617" t="e">
            <v>#N/A</v>
          </cell>
          <cell r="O617" t="e">
            <v>#N/A</v>
          </cell>
          <cell r="P617">
            <v>71.03</v>
          </cell>
          <cell r="Q617" t="str">
            <v/>
          </cell>
          <cell r="R617" t="e">
            <v>#N/A</v>
          </cell>
        </row>
        <row r="618">
          <cell r="A618">
            <v>40365</v>
          </cell>
          <cell r="B618">
            <v>40365</v>
          </cell>
          <cell r="C618" t="str">
            <v>Future</v>
          </cell>
          <cell r="D618" t="e">
            <v>#N/A</v>
          </cell>
          <cell r="E618">
            <v>54.251259842519545</v>
          </cell>
          <cell r="F618">
            <v>79.054409448819086</v>
          </cell>
          <cell r="G618">
            <v>67.24338582677197</v>
          </cell>
          <cell r="H618">
            <v>67.24338582677197</v>
          </cell>
          <cell r="I618" t="e">
            <v>#N/A</v>
          </cell>
          <cell r="J618" t="e">
            <v>#N/A</v>
          </cell>
          <cell r="K618" t="e">
            <v>#N/A</v>
          </cell>
          <cell r="L618" t="e">
            <v>#N/A</v>
          </cell>
          <cell r="M618" t="e">
            <v>#N/A</v>
          </cell>
          <cell r="N618" t="e">
            <v>#N/A</v>
          </cell>
          <cell r="O618" t="e">
            <v>#N/A</v>
          </cell>
          <cell r="P618">
            <v>71.03</v>
          </cell>
          <cell r="Q618" t="str">
            <v/>
          </cell>
          <cell r="R618" t="e">
            <v>#N/A</v>
          </cell>
        </row>
        <row r="619">
          <cell r="A619">
            <v>40366</v>
          </cell>
          <cell r="B619">
            <v>40366</v>
          </cell>
          <cell r="C619" t="str">
            <v>Future</v>
          </cell>
          <cell r="D619" t="e">
            <v>#N/A</v>
          </cell>
          <cell r="E619">
            <v>53.971614173228204</v>
          </cell>
          <cell r="F619">
            <v>79.188149606299405</v>
          </cell>
          <cell r="G619">
            <v>67.180275590551503</v>
          </cell>
          <cell r="H619">
            <v>67.180275590551503</v>
          </cell>
          <cell r="I619" t="e">
            <v>#N/A</v>
          </cell>
          <cell r="J619" t="e">
            <v>#N/A</v>
          </cell>
          <cell r="K619" t="e">
            <v>#N/A</v>
          </cell>
          <cell r="L619" t="e">
            <v>#N/A</v>
          </cell>
          <cell r="M619" t="e">
            <v>#N/A</v>
          </cell>
          <cell r="N619" t="e">
            <v>#N/A</v>
          </cell>
          <cell r="O619" t="e">
            <v>#N/A</v>
          </cell>
          <cell r="P619">
            <v>71.03</v>
          </cell>
          <cell r="Q619" t="str">
            <v/>
          </cell>
          <cell r="R619" t="e">
            <v>#N/A</v>
          </cell>
        </row>
        <row r="620">
          <cell r="A620">
            <v>40367</v>
          </cell>
          <cell r="B620">
            <v>40367</v>
          </cell>
          <cell r="C620" t="str">
            <v>Future</v>
          </cell>
          <cell r="D620" t="e">
            <v>#N/A</v>
          </cell>
          <cell r="E620">
            <v>53.691968503936863</v>
          </cell>
          <cell r="F620">
            <v>79.321889763779723</v>
          </cell>
          <cell r="G620">
            <v>67.117165354331036</v>
          </cell>
          <cell r="H620">
            <v>67.117165354331036</v>
          </cell>
          <cell r="I620" t="e">
            <v>#N/A</v>
          </cell>
          <cell r="J620" t="e">
            <v>#N/A</v>
          </cell>
          <cell r="K620" t="e">
            <v>#N/A</v>
          </cell>
          <cell r="L620" t="e">
            <v>#N/A</v>
          </cell>
          <cell r="M620" t="e">
            <v>#N/A</v>
          </cell>
          <cell r="N620" t="e">
            <v>#N/A</v>
          </cell>
          <cell r="O620" t="e">
            <v>#N/A</v>
          </cell>
          <cell r="P620">
            <v>71.03</v>
          </cell>
          <cell r="Q620" t="str">
            <v/>
          </cell>
          <cell r="R620" t="e">
            <v>#N/A</v>
          </cell>
        </row>
        <row r="621">
          <cell r="A621">
            <v>40368</v>
          </cell>
          <cell r="B621">
            <v>40368</v>
          </cell>
          <cell r="C621" t="str">
            <v>Future</v>
          </cell>
          <cell r="D621" t="e">
            <v>#N/A</v>
          </cell>
          <cell r="E621">
            <v>53.412322834645522</v>
          </cell>
          <cell r="F621">
            <v>79.455629921260041</v>
          </cell>
          <cell r="G621">
            <v>67.054055118110568</v>
          </cell>
          <cell r="H621">
            <v>67.054055118110568</v>
          </cell>
          <cell r="I621" t="e">
            <v>#N/A</v>
          </cell>
          <cell r="J621" t="e">
            <v>#N/A</v>
          </cell>
          <cell r="K621" t="e">
            <v>#N/A</v>
          </cell>
          <cell r="L621" t="e">
            <v>#N/A</v>
          </cell>
          <cell r="M621" t="e">
            <v>#N/A</v>
          </cell>
          <cell r="N621" t="e">
            <v>#N/A</v>
          </cell>
          <cell r="O621" t="e">
            <v>#N/A</v>
          </cell>
          <cell r="P621">
            <v>71.03</v>
          </cell>
          <cell r="Q621" t="str">
            <v/>
          </cell>
          <cell r="R621" t="e">
            <v>#N/A</v>
          </cell>
        </row>
        <row r="622">
          <cell r="A622">
            <v>40371</v>
          </cell>
          <cell r="B622">
            <v>40371</v>
          </cell>
          <cell r="C622" t="str">
            <v>Future</v>
          </cell>
          <cell r="D622" t="e">
            <v>#N/A</v>
          </cell>
          <cell r="E622">
            <v>53.132677165354181</v>
          </cell>
          <cell r="F622">
            <v>79.589370078740359</v>
          </cell>
          <cell r="G622">
            <v>66.990944881890101</v>
          </cell>
          <cell r="H622">
            <v>66.990944881890101</v>
          </cell>
          <cell r="I622" t="e">
            <v>#N/A</v>
          </cell>
          <cell r="J622" t="e">
            <v>#N/A</v>
          </cell>
          <cell r="K622" t="e">
            <v>#N/A</v>
          </cell>
          <cell r="L622" t="e">
            <v>#N/A</v>
          </cell>
          <cell r="M622" t="e">
            <v>#N/A</v>
          </cell>
          <cell r="N622" t="e">
            <v>#N/A</v>
          </cell>
          <cell r="O622" t="e">
            <v>#N/A</v>
          </cell>
          <cell r="P622">
            <v>71.03</v>
          </cell>
          <cell r="Q622" t="str">
            <v/>
          </cell>
          <cell r="R622" t="e">
            <v>#N/A</v>
          </cell>
        </row>
        <row r="623">
          <cell r="A623">
            <v>40372</v>
          </cell>
          <cell r="B623">
            <v>40372</v>
          </cell>
          <cell r="C623" t="str">
            <v>Future</v>
          </cell>
          <cell r="D623" t="e">
            <v>#N/A</v>
          </cell>
          <cell r="E623">
            <v>52.85303149606284</v>
          </cell>
          <cell r="F623">
            <v>79.723110236220677</v>
          </cell>
          <cell r="G623">
            <v>66.927834645669634</v>
          </cell>
          <cell r="H623">
            <v>66.927834645669634</v>
          </cell>
          <cell r="I623" t="e">
            <v>#N/A</v>
          </cell>
          <cell r="J623" t="e">
            <v>#N/A</v>
          </cell>
          <cell r="K623" t="e">
            <v>#N/A</v>
          </cell>
          <cell r="L623" t="e">
            <v>#N/A</v>
          </cell>
          <cell r="M623" t="e">
            <v>#N/A</v>
          </cell>
          <cell r="N623" t="e">
            <v>#N/A</v>
          </cell>
          <cell r="O623" t="e">
            <v>#N/A</v>
          </cell>
          <cell r="P623">
            <v>71.03</v>
          </cell>
          <cell r="Q623" t="str">
            <v/>
          </cell>
          <cell r="R623" t="e">
            <v>#N/A</v>
          </cell>
        </row>
        <row r="624">
          <cell r="A624">
            <v>40373</v>
          </cell>
          <cell r="B624">
            <v>40373</v>
          </cell>
          <cell r="C624" t="str">
            <v>Future</v>
          </cell>
          <cell r="D624" t="e">
            <v>#N/A</v>
          </cell>
          <cell r="E624">
            <v>52.573385826771499</v>
          </cell>
          <cell r="F624">
            <v>79.856850393700995</v>
          </cell>
          <cell r="G624">
            <v>66.864724409449167</v>
          </cell>
          <cell r="H624">
            <v>66.864724409449167</v>
          </cell>
          <cell r="I624" t="e">
            <v>#N/A</v>
          </cell>
          <cell r="J624" t="e">
            <v>#N/A</v>
          </cell>
          <cell r="K624" t="e">
            <v>#N/A</v>
          </cell>
          <cell r="L624" t="e">
            <v>#N/A</v>
          </cell>
          <cell r="M624" t="e">
            <v>#N/A</v>
          </cell>
          <cell r="N624" t="e">
            <v>#N/A</v>
          </cell>
          <cell r="O624" t="e">
            <v>#N/A</v>
          </cell>
          <cell r="P624">
            <v>71.03</v>
          </cell>
          <cell r="Q624" t="str">
            <v/>
          </cell>
          <cell r="R624" t="e">
            <v>#N/A</v>
          </cell>
        </row>
        <row r="625">
          <cell r="A625">
            <v>40374</v>
          </cell>
          <cell r="B625">
            <v>40374</v>
          </cell>
          <cell r="C625" t="str">
            <v>Future</v>
          </cell>
          <cell r="D625" t="e">
            <v>#N/A</v>
          </cell>
          <cell r="E625">
            <v>52.293740157480158</v>
          </cell>
          <cell r="F625">
            <v>79.990590551181313</v>
          </cell>
          <cell r="G625">
            <v>66.8016141732287</v>
          </cell>
          <cell r="H625">
            <v>66.8016141732287</v>
          </cell>
          <cell r="I625" t="e">
            <v>#N/A</v>
          </cell>
          <cell r="J625" t="e">
            <v>#N/A</v>
          </cell>
          <cell r="K625" t="e">
            <v>#N/A</v>
          </cell>
          <cell r="L625" t="e">
            <v>#N/A</v>
          </cell>
          <cell r="M625" t="e">
            <v>#N/A</v>
          </cell>
          <cell r="N625" t="e">
            <v>#N/A</v>
          </cell>
          <cell r="O625" t="e">
            <v>#N/A</v>
          </cell>
          <cell r="P625">
            <v>71.03</v>
          </cell>
          <cell r="Q625" t="str">
            <v/>
          </cell>
          <cell r="R625" t="e">
            <v>#N/A</v>
          </cell>
        </row>
        <row r="626">
          <cell r="A626">
            <v>40375</v>
          </cell>
          <cell r="B626">
            <v>40375</v>
          </cell>
          <cell r="C626" t="str">
            <v>Future</v>
          </cell>
          <cell r="D626" t="e">
            <v>#N/A</v>
          </cell>
          <cell r="E626">
            <v>52.014094488188817</v>
          </cell>
          <cell r="F626">
            <v>80.124330708661631</v>
          </cell>
          <cell r="G626">
            <v>66.738503937008232</v>
          </cell>
          <cell r="H626">
            <v>66.738503937008232</v>
          </cell>
          <cell r="I626" t="e">
            <v>#N/A</v>
          </cell>
          <cell r="J626" t="e">
            <v>#N/A</v>
          </cell>
          <cell r="K626" t="e">
            <v>#N/A</v>
          </cell>
          <cell r="L626" t="e">
            <v>#N/A</v>
          </cell>
          <cell r="M626" t="e">
            <v>#N/A</v>
          </cell>
          <cell r="N626" t="e">
            <v>#N/A</v>
          </cell>
          <cell r="O626" t="e">
            <v>#N/A</v>
          </cell>
          <cell r="P626">
            <v>71.03</v>
          </cell>
          <cell r="Q626" t="str">
            <v/>
          </cell>
          <cell r="R626" t="e">
            <v>#N/A</v>
          </cell>
        </row>
        <row r="627">
          <cell r="A627">
            <v>40378</v>
          </cell>
          <cell r="B627">
            <v>40378</v>
          </cell>
          <cell r="C627" t="str">
            <v>Future</v>
          </cell>
          <cell r="D627" t="e">
            <v>#N/A</v>
          </cell>
          <cell r="E627">
            <v>51.734448818897476</v>
          </cell>
          <cell r="F627">
            <v>80.258070866141949</v>
          </cell>
          <cell r="G627">
            <v>66.675393700787765</v>
          </cell>
          <cell r="H627">
            <v>66.675393700787765</v>
          </cell>
          <cell r="I627" t="e">
            <v>#N/A</v>
          </cell>
          <cell r="J627" t="e">
            <v>#N/A</v>
          </cell>
          <cell r="K627" t="e">
            <v>#N/A</v>
          </cell>
          <cell r="L627" t="e">
            <v>#N/A</v>
          </cell>
          <cell r="M627" t="e">
            <v>#N/A</v>
          </cell>
          <cell r="N627" t="e">
            <v>#N/A</v>
          </cell>
          <cell r="O627" t="e">
            <v>#N/A</v>
          </cell>
          <cell r="P627">
            <v>71.03</v>
          </cell>
          <cell r="Q627" t="str">
            <v/>
          </cell>
          <cell r="R627" t="e">
            <v>#N/A</v>
          </cell>
        </row>
        <row r="628">
          <cell r="A628">
            <v>40379</v>
          </cell>
          <cell r="B628">
            <v>40379</v>
          </cell>
          <cell r="C628" t="str">
            <v>Future</v>
          </cell>
          <cell r="D628" t="e">
            <v>#N/A</v>
          </cell>
          <cell r="E628">
            <v>51.454803149606136</v>
          </cell>
          <cell r="F628">
            <v>80.391811023622267</v>
          </cell>
          <cell r="G628">
            <v>66.612283464567298</v>
          </cell>
          <cell r="H628">
            <v>66.612283464567298</v>
          </cell>
          <cell r="I628" t="e">
            <v>#N/A</v>
          </cell>
          <cell r="J628" t="e">
            <v>#N/A</v>
          </cell>
          <cell r="K628" t="e">
            <v>#N/A</v>
          </cell>
          <cell r="L628" t="e">
            <v>#N/A</v>
          </cell>
          <cell r="M628" t="e">
            <v>#N/A</v>
          </cell>
          <cell r="N628" t="e">
            <v>#N/A</v>
          </cell>
          <cell r="O628" t="e">
            <v>#N/A</v>
          </cell>
          <cell r="P628">
            <v>71.03</v>
          </cell>
          <cell r="Q628" t="str">
            <v/>
          </cell>
          <cell r="R628" t="e">
            <v>#N/A</v>
          </cell>
        </row>
        <row r="629">
          <cell r="A629">
            <v>40380</v>
          </cell>
          <cell r="B629">
            <v>40380</v>
          </cell>
          <cell r="C629" t="str">
            <v>Future</v>
          </cell>
          <cell r="D629" t="e">
            <v>#N/A</v>
          </cell>
          <cell r="E629">
            <v>51.175157480314795</v>
          </cell>
          <cell r="F629">
            <v>80.525551181102585</v>
          </cell>
          <cell r="G629">
            <v>66.549173228346831</v>
          </cell>
          <cell r="H629">
            <v>66.549173228346831</v>
          </cell>
          <cell r="I629" t="e">
            <v>#N/A</v>
          </cell>
          <cell r="J629" t="e">
            <v>#N/A</v>
          </cell>
          <cell r="K629" t="e">
            <v>#N/A</v>
          </cell>
          <cell r="L629" t="e">
            <v>#N/A</v>
          </cell>
          <cell r="M629" t="e">
            <v>#N/A</v>
          </cell>
          <cell r="N629" t="e">
            <v>#N/A</v>
          </cell>
          <cell r="O629" t="e">
            <v>#N/A</v>
          </cell>
          <cell r="P629">
            <v>71.03</v>
          </cell>
          <cell r="Q629" t="str">
            <v/>
          </cell>
          <cell r="R629" t="e">
            <v>#N/A</v>
          </cell>
        </row>
        <row r="630">
          <cell r="A630">
            <v>40381</v>
          </cell>
          <cell r="B630">
            <v>40381</v>
          </cell>
          <cell r="C630" t="str">
            <v>Future</v>
          </cell>
          <cell r="D630" t="e">
            <v>#N/A</v>
          </cell>
          <cell r="E630">
            <v>50.895511811023454</v>
          </cell>
          <cell r="F630">
            <v>80.659291338582904</v>
          </cell>
          <cell r="G630">
            <v>66.486062992126364</v>
          </cell>
          <cell r="H630">
            <v>66.486062992126364</v>
          </cell>
          <cell r="I630" t="e">
            <v>#N/A</v>
          </cell>
          <cell r="J630" t="e">
            <v>#N/A</v>
          </cell>
          <cell r="K630" t="e">
            <v>#N/A</v>
          </cell>
          <cell r="L630" t="e">
            <v>#N/A</v>
          </cell>
          <cell r="M630" t="e">
            <v>#N/A</v>
          </cell>
          <cell r="N630" t="e">
            <v>#N/A</v>
          </cell>
          <cell r="O630" t="e">
            <v>#N/A</v>
          </cell>
          <cell r="P630">
            <v>71.03</v>
          </cell>
          <cell r="Q630" t="str">
            <v/>
          </cell>
          <cell r="R630" t="e">
            <v>#N/A</v>
          </cell>
        </row>
        <row r="631">
          <cell r="A631">
            <v>40382</v>
          </cell>
          <cell r="B631">
            <v>40382</v>
          </cell>
          <cell r="C631" t="str">
            <v>Future</v>
          </cell>
          <cell r="D631" t="e">
            <v>#N/A</v>
          </cell>
          <cell r="E631">
            <v>50.615866141732113</v>
          </cell>
          <cell r="F631">
            <v>80.793031496063222</v>
          </cell>
          <cell r="G631">
            <v>66.422952755905897</v>
          </cell>
          <cell r="H631">
            <v>66.422952755905897</v>
          </cell>
          <cell r="I631" t="e">
            <v>#N/A</v>
          </cell>
          <cell r="J631" t="e">
            <v>#N/A</v>
          </cell>
          <cell r="K631" t="e">
            <v>#N/A</v>
          </cell>
          <cell r="L631" t="e">
            <v>#N/A</v>
          </cell>
          <cell r="M631" t="e">
            <v>#N/A</v>
          </cell>
          <cell r="N631" t="e">
            <v>#N/A</v>
          </cell>
          <cell r="O631" t="e">
            <v>#N/A</v>
          </cell>
          <cell r="P631">
            <v>71.03</v>
          </cell>
          <cell r="Q631" t="str">
            <v/>
          </cell>
          <cell r="R631" t="e">
            <v>#N/A</v>
          </cell>
        </row>
        <row r="632">
          <cell r="A632">
            <v>40385</v>
          </cell>
          <cell r="B632">
            <v>40385</v>
          </cell>
          <cell r="C632" t="str">
            <v>Future</v>
          </cell>
          <cell r="D632" t="e">
            <v>#N/A</v>
          </cell>
          <cell r="E632">
            <v>50.336220472440772</v>
          </cell>
          <cell r="F632">
            <v>80.92677165354354</v>
          </cell>
          <cell r="G632">
            <v>66.359842519685429</v>
          </cell>
          <cell r="H632">
            <v>66.359842519685429</v>
          </cell>
          <cell r="I632" t="e">
            <v>#N/A</v>
          </cell>
          <cell r="J632" t="e">
            <v>#N/A</v>
          </cell>
          <cell r="K632" t="e">
            <v>#N/A</v>
          </cell>
          <cell r="L632" t="e">
            <v>#N/A</v>
          </cell>
          <cell r="M632" t="e">
            <v>#N/A</v>
          </cell>
          <cell r="N632" t="e">
            <v>#N/A</v>
          </cell>
          <cell r="O632" t="e">
            <v>#N/A</v>
          </cell>
          <cell r="P632">
            <v>71.03</v>
          </cell>
          <cell r="Q632" t="str">
            <v/>
          </cell>
          <cell r="R632" t="e">
            <v>#N/A</v>
          </cell>
        </row>
        <row r="633">
          <cell r="A633">
            <v>40386</v>
          </cell>
          <cell r="B633">
            <v>40386</v>
          </cell>
          <cell r="C633" t="str">
            <v>Future</v>
          </cell>
          <cell r="D633" t="e">
            <v>#N/A</v>
          </cell>
          <cell r="E633">
            <v>50.056574803149431</v>
          </cell>
          <cell r="F633">
            <v>81.060511811023858</v>
          </cell>
          <cell r="G633">
            <v>66.296732283464962</v>
          </cell>
          <cell r="H633">
            <v>66.296732283464962</v>
          </cell>
          <cell r="I633" t="e">
            <v>#N/A</v>
          </cell>
          <cell r="J633" t="e">
            <v>#N/A</v>
          </cell>
          <cell r="K633" t="e">
            <v>#N/A</v>
          </cell>
          <cell r="L633" t="e">
            <v>#N/A</v>
          </cell>
          <cell r="M633" t="e">
            <v>#N/A</v>
          </cell>
          <cell r="N633" t="e">
            <v>#N/A</v>
          </cell>
          <cell r="O633" t="e">
            <v>#N/A</v>
          </cell>
          <cell r="P633">
            <v>71.03</v>
          </cell>
          <cell r="Q633" t="str">
            <v/>
          </cell>
          <cell r="R633" t="e">
            <v>#N/A</v>
          </cell>
        </row>
        <row r="634">
          <cell r="A634">
            <v>40387</v>
          </cell>
          <cell r="B634">
            <v>40387</v>
          </cell>
          <cell r="C634" t="str">
            <v>Future</v>
          </cell>
          <cell r="D634" t="e">
            <v>#N/A</v>
          </cell>
          <cell r="E634">
            <v>49.77692913385809</v>
          </cell>
          <cell r="F634">
            <v>81.194251968504176</v>
          </cell>
          <cell r="G634">
            <v>66.233622047244495</v>
          </cell>
          <cell r="H634">
            <v>66.233622047244495</v>
          </cell>
          <cell r="I634" t="e">
            <v>#N/A</v>
          </cell>
          <cell r="J634" t="e">
            <v>#N/A</v>
          </cell>
          <cell r="K634" t="e">
            <v>#N/A</v>
          </cell>
          <cell r="L634" t="e">
            <v>#N/A</v>
          </cell>
          <cell r="M634" t="e">
            <v>#N/A</v>
          </cell>
          <cell r="N634" t="e">
            <v>#N/A</v>
          </cell>
          <cell r="O634" t="e">
            <v>#N/A</v>
          </cell>
          <cell r="P634">
            <v>71.03</v>
          </cell>
          <cell r="Q634" t="str">
            <v/>
          </cell>
          <cell r="R634" t="e">
            <v>#N/A</v>
          </cell>
        </row>
        <row r="635">
          <cell r="A635">
            <v>40388</v>
          </cell>
          <cell r="B635">
            <v>40388</v>
          </cell>
          <cell r="C635" t="str">
            <v>Future</v>
          </cell>
          <cell r="D635" t="e">
            <v>#N/A</v>
          </cell>
          <cell r="E635">
            <v>49.497283464566749</v>
          </cell>
          <cell r="F635">
            <v>81.327992125984494</v>
          </cell>
          <cell r="G635">
            <v>66.170511811024028</v>
          </cell>
          <cell r="H635">
            <v>66.170511811024028</v>
          </cell>
          <cell r="I635" t="e">
            <v>#N/A</v>
          </cell>
          <cell r="J635" t="e">
            <v>#N/A</v>
          </cell>
          <cell r="K635" t="e">
            <v>#N/A</v>
          </cell>
          <cell r="L635" t="e">
            <v>#N/A</v>
          </cell>
          <cell r="M635" t="e">
            <v>#N/A</v>
          </cell>
          <cell r="N635" t="e">
            <v>#N/A</v>
          </cell>
          <cell r="O635" t="e">
            <v>#N/A</v>
          </cell>
          <cell r="P635">
            <v>71.03</v>
          </cell>
          <cell r="Q635" t="str">
            <v/>
          </cell>
          <cell r="R635" t="e">
            <v>#N/A</v>
          </cell>
        </row>
        <row r="636">
          <cell r="A636">
            <v>40389</v>
          </cell>
          <cell r="B636">
            <v>40389</v>
          </cell>
          <cell r="C636" t="str">
            <v>Future</v>
          </cell>
          <cell r="D636" t="e">
            <v>#N/A</v>
          </cell>
          <cell r="E636">
            <v>49.217637795275408</v>
          </cell>
          <cell r="F636">
            <v>81.461732283464812</v>
          </cell>
          <cell r="G636">
            <v>66.107401574803561</v>
          </cell>
          <cell r="H636">
            <v>66.107401574803561</v>
          </cell>
          <cell r="I636" t="e">
            <v>#N/A</v>
          </cell>
          <cell r="J636" t="e">
            <v>#N/A</v>
          </cell>
          <cell r="K636" t="e">
            <v>#N/A</v>
          </cell>
          <cell r="L636" t="e">
            <v>#N/A</v>
          </cell>
          <cell r="M636" t="e">
            <v>#N/A</v>
          </cell>
          <cell r="N636" t="e">
            <v>#N/A</v>
          </cell>
          <cell r="O636" t="e">
            <v>#N/A</v>
          </cell>
          <cell r="P636">
            <v>71.03</v>
          </cell>
          <cell r="Q636" t="str">
            <v/>
          </cell>
          <cell r="R636" t="e">
            <v>#N/A</v>
          </cell>
        </row>
        <row r="637">
          <cell r="A637">
            <v>40392</v>
          </cell>
          <cell r="B637">
            <v>40392</v>
          </cell>
          <cell r="C637" t="str">
            <v>Future</v>
          </cell>
          <cell r="D637" t="e">
            <v>#N/A</v>
          </cell>
          <cell r="E637">
            <v>48.937992125984067</v>
          </cell>
          <cell r="F637">
            <v>81.59547244094513</v>
          </cell>
          <cell r="G637">
            <v>66.044291338583093</v>
          </cell>
          <cell r="H637">
            <v>66.044291338583093</v>
          </cell>
          <cell r="I637" t="e">
            <v>#N/A</v>
          </cell>
          <cell r="J637" t="e">
            <v>#N/A</v>
          </cell>
          <cell r="K637" t="e">
            <v>#N/A</v>
          </cell>
          <cell r="L637" t="e">
            <v>#N/A</v>
          </cell>
          <cell r="M637" t="e">
            <v>#N/A</v>
          </cell>
          <cell r="N637" t="e">
            <v>#N/A</v>
          </cell>
          <cell r="O637" t="e">
            <v>#N/A</v>
          </cell>
          <cell r="P637">
            <v>71.03</v>
          </cell>
          <cell r="Q637" t="str">
            <v/>
          </cell>
          <cell r="R637" t="e">
            <v>#N/A</v>
          </cell>
        </row>
        <row r="638">
          <cell r="A638">
            <v>40393</v>
          </cell>
          <cell r="B638">
            <v>40393</v>
          </cell>
          <cell r="C638" t="str">
            <v>Future</v>
          </cell>
          <cell r="D638" t="e">
            <v>#N/A</v>
          </cell>
          <cell r="E638">
            <v>48.658346456692726</v>
          </cell>
          <cell r="F638">
            <v>81.729212598425448</v>
          </cell>
          <cell r="G638">
            <v>65.981181102362626</v>
          </cell>
          <cell r="H638">
            <v>65.981181102362626</v>
          </cell>
          <cell r="I638" t="e">
            <v>#N/A</v>
          </cell>
          <cell r="J638" t="e">
            <v>#N/A</v>
          </cell>
          <cell r="K638" t="e">
            <v>#N/A</v>
          </cell>
          <cell r="L638" t="e">
            <v>#N/A</v>
          </cell>
          <cell r="M638" t="e">
            <v>#N/A</v>
          </cell>
          <cell r="N638" t="e">
            <v>#N/A</v>
          </cell>
          <cell r="O638" t="e">
            <v>#N/A</v>
          </cell>
          <cell r="P638">
            <v>71.03</v>
          </cell>
          <cell r="Q638" t="str">
            <v/>
          </cell>
          <cell r="R638" t="e">
            <v>#N/A</v>
          </cell>
        </row>
        <row r="639">
          <cell r="A639">
            <v>40394</v>
          </cell>
          <cell r="B639">
            <v>40394</v>
          </cell>
          <cell r="C639" t="str">
            <v>Future</v>
          </cell>
          <cell r="D639" t="e">
            <v>#N/A</v>
          </cell>
          <cell r="E639">
            <v>48.378700787401385</v>
          </cell>
          <cell r="F639">
            <v>81.862952755905766</v>
          </cell>
          <cell r="G639">
            <v>65.918070866142159</v>
          </cell>
          <cell r="H639">
            <v>65.918070866142159</v>
          </cell>
          <cell r="I639" t="e">
            <v>#N/A</v>
          </cell>
          <cell r="J639" t="e">
            <v>#N/A</v>
          </cell>
          <cell r="K639" t="e">
            <v>#N/A</v>
          </cell>
          <cell r="L639" t="e">
            <v>#N/A</v>
          </cell>
          <cell r="M639" t="e">
            <v>#N/A</v>
          </cell>
          <cell r="N639" t="e">
            <v>#N/A</v>
          </cell>
          <cell r="O639" t="e">
            <v>#N/A</v>
          </cell>
          <cell r="P639">
            <v>71.03</v>
          </cell>
          <cell r="Q639" t="str">
            <v/>
          </cell>
          <cell r="R639" t="e">
            <v>#N/A</v>
          </cell>
        </row>
        <row r="640">
          <cell r="A640">
            <v>40395</v>
          </cell>
          <cell r="B640">
            <v>40395</v>
          </cell>
          <cell r="C640" t="str">
            <v>Future</v>
          </cell>
          <cell r="D640" t="e">
            <v>#N/A</v>
          </cell>
          <cell r="E640">
            <v>48.099055118110044</v>
          </cell>
          <cell r="F640">
            <v>81.996692913386084</v>
          </cell>
          <cell r="G640">
            <v>65.854960629921692</v>
          </cell>
          <cell r="H640">
            <v>65.854960629921692</v>
          </cell>
          <cell r="I640" t="e">
            <v>#N/A</v>
          </cell>
          <cell r="J640" t="e">
            <v>#N/A</v>
          </cell>
          <cell r="K640" t="e">
            <v>#N/A</v>
          </cell>
          <cell r="L640" t="e">
            <v>#N/A</v>
          </cell>
          <cell r="M640" t="e">
            <v>#N/A</v>
          </cell>
          <cell r="N640" t="e">
            <v>#N/A</v>
          </cell>
          <cell r="O640" t="e">
            <v>#N/A</v>
          </cell>
          <cell r="P640">
            <v>71.03</v>
          </cell>
          <cell r="Q640" t="str">
            <v/>
          </cell>
          <cell r="R640" t="e">
            <v>#N/A</v>
          </cell>
        </row>
        <row r="641">
          <cell r="A641">
            <v>40396</v>
          </cell>
          <cell r="B641">
            <v>40396</v>
          </cell>
          <cell r="C641" t="str">
            <v>Future</v>
          </cell>
          <cell r="D641" t="e">
            <v>#N/A</v>
          </cell>
          <cell r="E641">
            <v>47.819409448818703</v>
          </cell>
          <cell r="F641">
            <v>82.130433070866403</v>
          </cell>
          <cell r="G641">
            <v>65.791850393701225</v>
          </cell>
          <cell r="H641">
            <v>65.791850393701225</v>
          </cell>
          <cell r="I641" t="e">
            <v>#N/A</v>
          </cell>
          <cell r="J641" t="e">
            <v>#N/A</v>
          </cell>
          <cell r="K641" t="e">
            <v>#N/A</v>
          </cell>
          <cell r="L641" t="e">
            <v>#N/A</v>
          </cell>
          <cell r="M641" t="e">
            <v>#N/A</v>
          </cell>
          <cell r="N641" t="e">
            <v>#N/A</v>
          </cell>
          <cell r="O641" t="e">
            <v>#N/A</v>
          </cell>
          <cell r="P641">
            <v>71.03</v>
          </cell>
          <cell r="Q641" t="str">
            <v/>
          </cell>
          <cell r="R641" t="e">
            <v>#N/A</v>
          </cell>
        </row>
        <row r="642">
          <cell r="A642">
            <v>40399</v>
          </cell>
          <cell r="B642">
            <v>40399</v>
          </cell>
          <cell r="C642" t="str">
            <v>Future</v>
          </cell>
          <cell r="D642" t="e">
            <v>#N/A</v>
          </cell>
          <cell r="E642">
            <v>47.539763779527362</v>
          </cell>
          <cell r="F642">
            <v>82.264173228346721</v>
          </cell>
          <cell r="G642">
            <v>65.728740157480757</v>
          </cell>
          <cell r="H642">
            <v>65.728740157480757</v>
          </cell>
          <cell r="I642" t="e">
            <v>#N/A</v>
          </cell>
          <cell r="J642" t="e">
            <v>#N/A</v>
          </cell>
          <cell r="K642" t="e">
            <v>#N/A</v>
          </cell>
          <cell r="L642" t="e">
            <v>#N/A</v>
          </cell>
          <cell r="M642" t="e">
            <v>#N/A</v>
          </cell>
          <cell r="N642" t="e">
            <v>#N/A</v>
          </cell>
          <cell r="O642" t="e">
            <v>#N/A</v>
          </cell>
          <cell r="P642">
            <v>71.03</v>
          </cell>
          <cell r="Q642" t="str">
            <v/>
          </cell>
          <cell r="R642" t="e">
            <v>#N/A</v>
          </cell>
        </row>
        <row r="643">
          <cell r="A643">
            <v>40400</v>
          </cell>
          <cell r="B643">
            <v>40400</v>
          </cell>
          <cell r="C643" t="str">
            <v>Future</v>
          </cell>
          <cell r="D643" t="e">
            <v>#N/A</v>
          </cell>
          <cell r="E643">
            <v>47.260118110236021</v>
          </cell>
          <cell r="F643">
            <v>82.397913385827039</v>
          </cell>
          <cell r="G643">
            <v>65.66562992126029</v>
          </cell>
          <cell r="H643">
            <v>65.66562992126029</v>
          </cell>
          <cell r="I643" t="e">
            <v>#N/A</v>
          </cell>
          <cell r="J643" t="e">
            <v>#N/A</v>
          </cell>
          <cell r="K643" t="e">
            <v>#N/A</v>
          </cell>
          <cell r="L643" t="e">
            <v>#N/A</v>
          </cell>
          <cell r="M643" t="e">
            <v>#N/A</v>
          </cell>
          <cell r="N643" t="e">
            <v>#N/A</v>
          </cell>
          <cell r="O643" t="e">
            <v>#N/A</v>
          </cell>
          <cell r="P643">
            <v>71.03</v>
          </cell>
          <cell r="Q643" t="str">
            <v/>
          </cell>
          <cell r="R643" t="e">
            <v>#N/A</v>
          </cell>
        </row>
        <row r="644">
          <cell r="A644">
            <v>40401</v>
          </cell>
          <cell r="B644">
            <v>40401</v>
          </cell>
          <cell r="C644" t="str">
            <v>Future</v>
          </cell>
          <cell r="D644" t="e">
            <v>#N/A</v>
          </cell>
          <cell r="E644">
            <v>46.980472440944681</v>
          </cell>
          <cell r="F644">
            <v>82.531653543307357</v>
          </cell>
          <cell r="G644">
            <v>65.602519685039823</v>
          </cell>
          <cell r="H644">
            <v>65.602519685039823</v>
          </cell>
          <cell r="I644" t="e">
            <v>#N/A</v>
          </cell>
          <cell r="J644" t="e">
            <v>#N/A</v>
          </cell>
          <cell r="K644" t="e">
            <v>#N/A</v>
          </cell>
          <cell r="L644" t="e">
            <v>#N/A</v>
          </cell>
          <cell r="M644" t="e">
            <v>#N/A</v>
          </cell>
          <cell r="N644" t="e">
            <v>#N/A</v>
          </cell>
          <cell r="O644" t="e">
            <v>#N/A</v>
          </cell>
          <cell r="P644">
            <v>71.03</v>
          </cell>
          <cell r="Q644" t="str">
            <v/>
          </cell>
          <cell r="R644" t="e">
            <v>#N/A</v>
          </cell>
        </row>
        <row r="645">
          <cell r="A645">
            <v>40402</v>
          </cell>
          <cell r="B645">
            <v>40402</v>
          </cell>
          <cell r="C645" t="str">
            <v>Future</v>
          </cell>
          <cell r="D645" t="e">
            <v>#N/A</v>
          </cell>
          <cell r="E645">
            <v>46.70082677165334</v>
          </cell>
          <cell r="F645">
            <v>82.665393700787675</v>
          </cell>
          <cell r="G645">
            <v>65.539409448819356</v>
          </cell>
          <cell r="H645">
            <v>65.539409448819356</v>
          </cell>
          <cell r="I645" t="e">
            <v>#N/A</v>
          </cell>
          <cell r="J645" t="e">
            <v>#N/A</v>
          </cell>
          <cell r="K645" t="e">
            <v>#N/A</v>
          </cell>
          <cell r="L645" t="e">
            <v>#N/A</v>
          </cell>
          <cell r="M645" t="e">
            <v>#N/A</v>
          </cell>
          <cell r="N645" t="e">
            <v>#N/A</v>
          </cell>
          <cell r="O645" t="e">
            <v>#N/A</v>
          </cell>
          <cell r="P645">
            <v>71.03</v>
          </cell>
          <cell r="Q645" t="str">
            <v/>
          </cell>
          <cell r="R645" t="e">
            <v>#N/A</v>
          </cell>
        </row>
        <row r="646">
          <cell r="A646">
            <v>40403</v>
          </cell>
          <cell r="B646">
            <v>40403</v>
          </cell>
          <cell r="C646" t="str">
            <v>Future</v>
          </cell>
          <cell r="D646" t="e">
            <v>#N/A</v>
          </cell>
          <cell r="E646">
            <v>46.421181102361999</v>
          </cell>
          <cell r="F646">
            <v>82.799133858267993</v>
          </cell>
          <cell r="G646">
            <v>65.476299212598889</v>
          </cell>
          <cell r="H646">
            <v>65.476299212598889</v>
          </cell>
          <cell r="I646" t="e">
            <v>#N/A</v>
          </cell>
          <cell r="J646" t="e">
            <v>#N/A</v>
          </cell>
          <cell r="K646" t="e">
            <v>#N/A</v>
          </cell>
          <cell r="L646" t="e">
            <v>#N/A</v>
          </cell>
          <cell r="M646" t="e">
            <v>#N/A</v>
          </cell>
          <cell r="N646" t="e">
            <v>#N/A</v>
          </cell>
          <cell r="O646" t="e">
            <v>#N/A</v>
          </cell>
          <cell r="P646">
            <v>71.03</v>
          </cell>
          <cell r="Q646" t="str">
            <v/>
          </cell>
          <cell r="R646" t="e">
            <v>#N/A</v>
          </cell>
        </row>
        <row r="647">
          <cell r="A647">
            <v>40406</v>
          </cell>
          <cell r="B647">
            <v>40406</v>
          </cell>
          <cell r="C647" t="str">
            <v>Future</v>
          </cell>
          <cell r="D647" t="e">
            <v>#N/A</v>
          </cell>
          <cell r="E647">
            <v>46.141535433070658</v>
          </cell>
          <cell r="F647">
            <v>82.932874015748311</v>
          </cell>
          <cell r="G647">
            <v>65.413188976378422</v>
          </cell>
          <cell r="H647">
            <v>65.413188976378422</v>
          </cell>
          <cell r="I647" t="e">
            <v>#N/A</v>
          </cell>
          <cell r="J647" t="e">
            <v>#N/A</v>
          </cell>
          <cell r="K647" t="e">
            <v>#N/A</v>
          </cell>
          <cell r="L647" t="e">
            <v>#N/A</v>
          </cell>
          <cell r="M647" t="e">
            <v>#N/A</v>
          </cell>
          <cell r="N647" t="e">
            <v>#N/A</v>
          </cell>
          <cell r="O647" t="e">
            <v>#N/A</v>
          </cell>
          <cell r="P647">
            <v>71.03</v>
          </cell>
          <cell r="Q647" t="str">
            <v/>
          </cell>
          <cell r="R647" t="e">
            <v>#N/A</v>
          </cell>
        </row>
        <row r="648">
          <cell r="A648">
            <v>40407</v>
          </cell>
          <cell r="B648">
            <v>40407</v>
          </cell>
          <cell r="C648" t="str">
            <v>Future</v>
          </cell>
          <cell r="D648" t="e">
            <v>#N/A</v>
          </cell>
          <cell r="E648">
            <v>45.861889763779317</v>
          </cell>
          <cell r="F648">
            <v>83.066614173228629</v>
          </cell>
          <cell r="G648">
            <v>65.350078740157954</v>
          </cell>
          <cell r="H648">
            <v>65.350078740157954</v>
          </cell>
          <cell r="I648" t="e">
            <v>#N/A</v>
          </cell>
          <cell r="J648" t="e">
            <v>#N/A</v>
          </cell>
          <cell r="K648" t="e">
            <v>#N/A</v>
          </cell>
          <cell r="L648" t="e">
            <v>#N/A</v>
          </cell>
          <cell r="M648" t="e">
            <v>#N/A</v>
          </cell>
          <cell r="N648" t="e">
            <v>#N/A</v>
          </cell>
          <cell r="O648" t="e">
            <v>#N/A</v>
          </cell>
          <cell r="P648">
            <v>71.03</v>
          </cell>
          <cell r="Q648" t="str">
            <v/>
          </cell>
          <cell r="R648" t="e">
            <v>#N/A</v>
          </cell>
        </row>
        <row r="649">
          <cell r="A649">
            <v>40408</v>
          </cell>
          <cell r="B649">
            <v>40408</v>
          </cell>
          <cell r="C649" t="str">
            <v>Future</v>
          </cell>
          <cell r="D649" t="e">
            <v>#N/A</v>
          </cell>
          <cell r="E649">
            <v>45.582244094487976</v>
          </cell>
          <cell r="F649">
            <v>83.200354330708947</v>
          </cell>
          <cell r="G649">
            <v>65.286968503937487</v>
          </cell>
          <cell r="H649">
            <v>65.286968503937487</v>
          </cell>
          <cell r="I649" t="e">
            <v>#N/A</v>
          </cell>
          <cell r="J649" t="e">
            <v>#N/A</v>
          </cell>
          <cell r="K649" t="e">
            <v>#N/A</v>
          </cell>
          <cell r="L649" t="e">
            <v>#N/A</v>
          </cell>
          <cell r="M649" t="e">
            <v>#N/A</v>
          </cell>
          <cell r="N649" t="e">
            <v>#N/A</v>
          </cell>
          <cell r="O649" t="e">
            <v>#N/A</v>
          </cell>
          <cell r="P649">
            <v>71.03</v>
          </cell>
          <cell r="Q649" t="str">
            <v/>
          </cell>
          <cell r="R649" t="e">
            <v>#N/A</v>
          </cell>
        </row>
        <row r="650">
          <cell r="A650">
            <v>40409</v>
          </cell>
          <cell r="B650">
            <v>40409</v>
          </cell>
          <cell r="C650" t="str">
            <v>Future</v>
          </cell>
          <cell r="D650" t="e">
            <v>#N/A</v>
          </cell>
          <cell r="E650">
            <v>45.302598425196635</v>
          </cell>
          <cell r="F650">
            <v>83.334094488189265</v>
          </cell>
          <cell r="G650">
            <v>65.22385826771702</v>
          </cell>
          <cell r="H650">
            <v>65.22385826771702</v>
          </cell>
          <cell r="I650" t="e">
            <v>#N/A</v>
          </cell>
          <cell r="J650" t="e">
            <v>#N/A</v>
          </cell>
          <cell r="K650" t="e">
            <v>#N/A</v>
          </cell>
          <cell r="L650" t="e">
            <v>#N/A</v>
          </cell>
          <cell r="M650" t="e">
            <v>#N/A</v>
          </cell>
          <cell r="N650" t="e">
            <v>#N/A</v>
          </cell>
          <cell r="O650" t="e">
            <v>#N/A</v>
          </cell>
          <cell r="P650">
            <v>71.03</v>
          </cell>
          <cell r="Q650" t="str">
            <v/>
          </cell>
          <cell r="R650" t="e">
            <v>#N/A</v>
          </cell>
        </row>
        <row r="651">
          <cell r="A651">
            <v>40410</v>
          </cell>
          <cell r="B651">
            <v>40410</v>
          </cell>
          <cell r="C651" t="str">
            <v>Future</v>
          </cell>
          <cell r="D651" t="e">
            <v>#N/A</v>
          </cell>
          <cell r="E651">
            <v>45.022952755905294</v>
          </cell>
          <cell r="F651">
            <v>83.467834645669583</v>
          </cell>
          <cell r="G651">
            <v>65.160748031496553</v>
          </cell>
          <cell r="H651">
            <v>65.160748031496553</v>
          </cell>
          <cell r="I651" t="e">
            <v>#N/A</v>
          </cell>
          <cell r="J651" t="e">
            <v>#N/A</v>
          </cell>
          <cell r="K651" t="e">
            <v>#N/A</v>
          </cell>
          <cell r="L651" t="e">
            <v>#N/A</v>
          </cell>
          <cell r="M651" t="e">
            <v>#N/A</v>
          </cell>
          <cell r="N651" t="e">
            <v>#N/A</v>
          </cell>
          <cell r="O651" t="e">
            <v>#N/A</v>
          </cell>
          <cell r="P651">
            <v>71.03</v>
          </cell>
          <cell r="Q651" t="str">
            <v/>
          </cell>
          <cell r="R651" t="e">
            <v>#N/A</v>
          </cell>
        </row>
        <row r="652">
          <cell r="A652">
            <v>40413</v>
          </cell>
          <cell r="B652">
            <v>40413</v>
          </cell>
          <cell r="C652" t="str">
            <v>Future</v>
          </cell>
          <cell r="D652" t="e">
            <v>#N/A</v>
          </cell>
          <cell r="E652">
            <v>44.743307086613953</v>
          </cell>
          <cell r="F652">
            <v>83.601574803149902</v>
          </cell>
          <cell r="G652">
            <v>65.097637795276086</v>
          </cell>
          <cell r="H652">
            <v>65.097637795276086</v>
          </cell>
          <cell r="I652" t="e">
            <v>#N/A</v>
          </cell>
          <cell r="J652" t="e">
            <v>#N/A</v>
          </cell>
          <cell r="K652" t="e">
            <v>#N/A</v>
          </cell>
          <cell r="L652" t="e">
            <v>#N/A</v>
          </cell>
          <cell r="M652" t="e">
            <v>#N/A</v>
          </cell>
          <cell r="N652" t="e">
            <v>#N/A</v>
          </cell>
          <cell r="O652" t="e">
            <v>#N/A</v>
          </cell>
          <cell r="P652">
            <v>71.03</v>
          </cell>
          <cell r="Q652" t="str">
            <v/>
          </cell>
          <cell r="R652" t="e">
            <v>#N/A</v>
          </cell>
        </row>
        <row r="653">
          <cell r="A653">
            <v>40414</v>
          </cell>
          <cell r="B653">
            <v>40414</v>
          </cell>
          <cell r="C653" t="str">
            <v>Future</v>
          </cell>
          <cell r="D653" t="e">
            <v>#N/A</v>
          </cell>
          <cell r="E653">
            <v>44.463661417322612</v>
          </cell>
          <cell r="F653">
            <v>83.73531496063022</v>
          </cell>
          <cell r="G653">
            <v>65.034527559055618</v>
          </cell>
          <cell r="H653">
            <v>65.034527559055618</v>
          </cell>
          <cell r="I653" t="e">
            <v>#N/A</v>
          </cell>
          <cell r="J653" t="e">
            <v>#N/A</v>
          </cell>
          <cell r="K653" t="e">
            <v>#N/A</v>
          </cell>
          <cell r="L653" t="e">
            <v>#N/A</v>
          </cell>
          <cell r="M653" t="e">
            <v>#N/A</v>
          </cell>
          <cell r="N653" t="e">
            <v>#N/A</v>
          </cell>
          <cell r="O653" t="e">
            <v>#N/A</v>
          </cell>
          <cell r="P653">
            <v>71.03</v>
          </cell>
          <cell r="Q653" t="str">
            <v/>
          </cell>
          <cell r="R653" t="e">
            <v>#N/A</v>
          </cell>
        </row>
        <row r="654">
          <cell r="A654">
            <v>40415</v>
          </cell>
          <cell r="B654">
            <v>40415</v>
          </cell>
          <cell r="C654" t="str">
            <v>Future</v>
          </cell>
          <cell r="D654" t="e">
            <v>#N/A</v>
          </cell>
          <cell r="E654">
            <v>44.184015748031271</v>
          </cell>
          <cell r="F654">
            <v>83.869055118110538</v>
          </cell>
          <cell r="G654">
            <v>64.971417322835151</v>
          </cell>
          <cell r="H654">
            <v>64.971417322835151</v>
          </cell>
          <cell r="I654" t="e">
            <v>#N/A</v>
          </cell>
          <cell r="J654" t="e">
            <v>#N/A</v>
          </cell>
          <cell r="K654" t="e">
            <v>#N/A</v>
          </cell>
          <cell r="L654" t="e">
            <v>#N/A</v>
          </cell>
          <cell r="M654" t="e">
            <v>#N/A</v>
          </cell>
          <cell r="N654" t="e">
            <v>#N/A</v>
          </cell>
          <cell r="O654" t="e">
            <v>#N/A</v>
          </cell>
          <cell r="P654">
            <v>71.03</v>
          </cell>
          <cell r="Q654" t="str">
            <v/>
          </cell>
          <cell r="R654" t="e">
            <v>#N/A</v>
          </cell>
        </row>
        <row r="655">
          <cell r="A655">
            <v>40416</v>
          </cell>
          <cell r="B655">
            <v>40416</v>
          </cell>
          <cell r="C655" t="str">
            <v>Future</v>
          </cell>
          <cell r="D655" t="e">
            <v>#N/A</v>
          </cell>
          <cell r="E655">
            <v>43.90437007873993</v>
          </cell>
          <cell r="F655">
            <v>84.002795275590856</v>
          </cell>
          <cell r="G655">
            <v>64.908307086614684</v>
          </cell>
          <cell r="H655">
            <v>64.908307086614684</v>
          </cell>
          <cell r="I655" t="e">
            <v>#N/A</v>
          </cell>
          <cell r="J655" t="e">
            <v>#N/A</v>
          </cell>
          <cell r="K655" t="e">
            <v>#N/A</v>
          </cell>
          <cell r="L655" t="e">
            <v>#N/A</v>
          </cell>
          <cell r="M655" t="e">
            <v>#N/A</v>
          </cell>
          <cell r="N655" t="e">
            <v>#N/A</v>
          </cell>
          <cell r="O655" t="e">
            <v>#N/A</v>
          </cell>
          <cell r="P655">
            <v>71.03</v>
          </cell>
          <cell r="Q655" t="str">
            <v/>
          </cell>
          <cell r="R655" t="e">
            <v>#N/A</v>
          </cell>
        </row>
        <row r="656">
          <cell r="A656">
            <v>40417</v>
          </cell>
          <cell r="B656">
            <v>40417</v>
          </cell>
          <cell r="C656" t="str">
            <v>Future</v>
          </cell>
          <cell r="D656" t="e">
            <v>#N/A</v>
          </cell>
          <cell r="E656">
            <v>43.624724409448589</v>
          </cell>
          <cell r="F656">
            <v>84.136535433071174</v>
          </cell>
          <cell r="G656">
            <v>64.845196850394217</v>
          </cell>
          <cell r="H656">
            <v>64.845196850394217</v>
          </cell>
          <cell r="I656" t="e">
            <v>#N/A</v>
          </cell>
          <cell r="J656" t="e">
            <v>#N/A</v>
          </cell>
          <cell r="K656" t="e">
            <v>#N/A</v>
          </cell>
          <cell r="L656" t="e">
            <v>#N/A</v>
          </cell>
          <cell r="M656" t="e">
            <v>#N/A</v>
          </cell>
          <cell r="N656" t="e">
            <v>#N/A</v>
          </cell>
          <cell r="O656" t="e">
            <v>#N/A</v>
          </cell>
          <cell r="P656">
            <v>71.03</v>
          </cell>
          <cell r="Q656" t="str">
            <v/>
          </cell>
          <cell r="R656" t="e">
            <v>#N/A</v>
          </cell>
        </row>
        <row r="657">
          <cell r="A657">
            <v>40420</v>
          </cell>
          <cell r="B657">
            <v>40420</v>
          </cell>
          <cell r="C657" t="str">
            <v>Future</v>
          </cell>
          <cell r="D657" t="e">
            <v>#N/A</v>
          </cell>
          <cell r="E657">
            <v>43.345078740157248</v>
          </cell>
          <cell r="F657">
            <v>84.270275590551492</v>
          </cell>
          <cell r="G657">
            <v>64.78208661417375</v>
          </cell>
          <cell r="H657">
            <v>64.78208661417375</v>
          </cell>
          <cell r="I657" t="e">
            <v>#N/A</v>
          </cell>
          <cell r="J657" t="e">
            <v>#N/A</v>
          </cell>
          <cell r="K657" t="e">
            <v>#N/A</v>
          </cell>
          <cell r="L657" t="e">
            <v>#N/A</v>
          </cell>
          <cell r="M657" t="e">
            <v>#N/A</v>
          </cell>
          <cell r="N657" t="e">
            <v>#N/A</v>
          </cell>
          <cell r="O657" t="e">
            <v>#N/A</v>
          </cell>
          <cell r="P657">
            <v>71.03</v>
          </cell>
          <cell r="Q657" t="str">
            <v/>
          </cell>
          <cell r="R657" t="e">
            <v>#N/A</v>
          </cell>
        </row>
        <row r="658">
          <cell r="A658">
            <v>40421</v>
          </cell>
          <cell r="B658">
            <v>40421</v>
          </cell>
          <cell r="C658" t="str">
            <v>Future</v>
          </cell>
          <cell r="D658" t="e">
            <v>#N/A</v>
          </cell>
          <cell r="E658">
            <v>43.065433070865907</v>
          </cell>
          <cell r="F658">
            <v>84.40401574803181</v>
          </cell>
          <cell r="G658">
            <v>64.718976377953283</v>
          </cell>
          <cell r="H658">
            <v>64.718976377953283</v>
          </cell>
          <cell r="I658" t="e">
            <v>#N/A</v>
          </cell>
          <cell r="J658" t="e">
            <v>#N/A</v>
          </cell>
          <cell r="K658" t="e">
            <v>#N/A</v>
          </cell>
          <cell r="L658" t="e">
            <v>#N/A</v>
          </cell>
          <cell r="M658" t="e">
            <v>#N/A</v>
          </cell>
          <cell r="N658" t="e">
            <v>#N/A</v>
          </cell>
          <cell r="O658" t="e">
            <v>#N/A</v>
          </cell>
          <cell r="P658">
            <v>71.03</v>
          </cell>
          <cell r="Q658" t="str">
            <v/>
          </cell>
          <cell r="R658" t="e">
            <v>#N/A</v>
          </cell>
        </row>
        <row r="659">
          <cell r="A659">
            <v>40422</v>
          </cell>
          <cell r="B659">
            <v>40422</v>
          </cell>
          <cell r="C659" t="str">
            <v>Future</v>
          </cell>
          <cell r="D659" t="e">
            <v>#N/A</v>
          </cell>
          <cell r="E659">
            <v>42.785787401574567</v>
          </cell>
          <cell r="F659">
            <v>84.537755905512128</v>
          </cell>
          <cell r="G659">
            <v>64.655866141732815</v>
          </cell>
          <cell r="H659">
            <v>64.655866141732815</v>
          </cell>
          <cell r="I659" t="e">
            <v>#N/A</v>
          </cell>
          <cell r="J659" t="e">
            <v>#N/A</v>
          </cell>
          <cell r="K659" t="e">
            <v>#N/A</v>
          </cell>
          <cell r="L659" t="e">
            <v>#N/A</v>
          </cell>
          <cell r="M659" t="e">
            <v>#N/A</v>
          </cell>
          <cell r="N659" t="e">
            <v>#N/A</v>
          </cell>
          <cell r="O659" t="e">
            <v>#N/A</v>
          </cell>
          <cell r="P659">
            <v>71.03</v>
          </cell>
          <cell r="Q659" t="str">
            <v/>
          </cell>
          <cell r="R659" t="e">
            <v>#N/A</v>
          </cell>
        </row>
        <row r="660">
          <cell r="A660">
            <v>40423</v>
          </cell>
          <cell r="B660">
            <v>40423</v>
          </cell>
          <cell r="C660" t="str">
            <v>Future</v>
          </cell>
          <cell r="D660" t="e">
            <v>#N/A</v>
          </cell>
          <cell r="E660">
            <v>42.506141732283226</v>
          </cell>
          <cell r="F660">
            <v>84.671496062992446</v>
          </cell>
          <cell r="G660">
            <v>64.592755905512348</v>
          </cell>
          <cell r="H660">
            <v>64.592755905512348</v>
          </cell>
          <cell r="I660" t="e">
            <v>#N/A</v>
          </cell>
          <cell r="J660" t="e">
            <v>#N/A</v>
          </cell>
          <cell r="K660" t="e">
            <v>#N/A</v>
          </cell>
          <cell r="L660" t="e">
            <v>#N/A</v>
          </cell>
          <cell r="M660" t="e">
            <v>#N/A</v>
          </cell>
          <cell r="N660" t="e">
            <v>#N/A</v>
          </cell>
          <cell r="O660" t="e">
            <v>#N/A</v>
          </cell>
          <cell r="P660">
            <v>71.03</v>
          </cell>
          <cell r="Q660" t="str">
            <v/>
          </cell>
          <cell r="R660" t="e">
            <v>#N/A</v>
          </cell>
        </row>
        <row r="661">
          <cell r="A661">
            <v>40424</v>
          </cell>
          <cell r="B661">
            <v>40424</v>
          </cell>
          <cell r="C661" t="str">
            <v>Future</v>
          </cell>
          <cell r="D661" t="e">
            <v>#N/A</v>
          </cell>
          <cell r="E661">
            <v>42.226496062991885</v>
          </cell>
          <cell r="F661">
            <v>84.805236220472764</v>
          </cell>
          <cell r="G661">
            <v>64.529645669291881</v>
          </cell>
          <cell r="H661">
            <v>64.529645669291881</v>
          </cell>
          <cell r="I661" t="e">
            <v>#N/A</v>
          </cell>
          <cell r="J661" t="e">
            <v>#N/A</v>
          </cell>
          <cell r="K661" t="e">
            <v>#N/A</v>
          </cell>
          <cell r="L661" t="e">
            <v>#N/A</v>
          </cell>
          <cell r="M661" t="e">
            <v>#N/A</v>
          </cell>
          <cell r="N661" t="e">
            <v>#N/A</v>
          </cell>
          <cell r="O661" t="e">
            <v>#N/A</v>
          </cell>
          <cell r="P661">
            <v>71.03</v>
          </cell>
          <cell r="Q661" t="str">
            <v/>
          </cell>
          <cell r="R661" t="e">
            <v>#N/A</v>
          </cell>
        </row>
        <row r="662">
          <cell r="A662">
            <v>40428</v>
          </cell>
          <cell r="B662">
            <v>40428</v>
          </cell>
          <cell r="C662" t="str">
            <v>Future</v>
          </cell>
          <cell r="D662" t="e">
            <v>#N/A</v>
          </cell>
          <cell r="E662">
            <v>41.946850393700544</v>
          </cell>
          <cell r="F662">
            <v>84.938976377953082</v>
          </cell>
          <cell r="G662">
            <v>64.466535433071414</v>
          </cell>
          <cell r="H662">
            <v>64.466535433071414</v>
          </cell>
          <cell r="I662" t="e">
            <v>#N/A</v>
          </cell>
          <cell r="J662" t="e">
            <v>#N/A</v>
          </cell>
          <cell r="K662" t="e">
            <v>#N/A</v>
          </cell>
          <cell r="L662" t="e">
            <v>#N/A</v>
          </cell>
          <cell r="M662" t="e">
            <v>#N/A</v>
          </cell>
          <cell r="N662" t="e">
            <v>#N/A</v>
          </cell>
          <cell r="O662" t="e">
            <v>#N/A</v>
          </cell>
          <cell r="P662">
            <v>71.03</v>
          </cell>
          <cell r="Q662" t="str">
            <v/>
          </cell>
          <cell r="R662" t="e">
            <v>#N/A</v>
          </cell>
        </row>
        <row r="663">
          <cell r="A663">
            <v>40429</v>
          </cell>
          <cell r="B663">
            <v>40429</v>
          </cell>
          <cell r="C663" t="str">
            <v>Future</v>
          </cell>
          <cell r="D663" t="e">
            <v>#N/A</v>
          </cell>
          <cell r="E663">
            <v>41.667204724409203</v>
          </cell>
          <cell r="F663">
            <v>85.072716535433401</v>
          </cell>
          <cell r="G663">
            <v>64.403425196850947</v>
          </cell>
          <cell r="H663">
            <v>64.403425196850947</v>
          </cell>
          <cell r="I663" t="e">
            <v>#N/A</v>
          </cell>
          <cell r="J663" t="e">
            <v>#N/A</v>
          </cell>
          <cell r="K663" t="e">
            <v>#N/A</v>
          </cell>
          <cell r="L663" t="e">
            <v>#N/A</v>
          </cell>
          <cell r="M663" t="e">
            <v>#N/A</v>
          </cell>
          <cell r="N663" t="e">
            <v>#N/A</v>
          </cell>
          <cell r="O663" t="e">
            <v>#N/A</v>
          </cell>
          <cell r="P663">
            <v>71.03</v>
          </cell>
          <cell r="Q663" t="str">
            <v/>
          </cell>
          <cell r="R663" t="e">
            <v>#N/A</v>
          </cell>
        </row>
        <row r="664">
          <cell r="A664">
            <v>40430</v>
          </cell>
          <cell r="B664">
            <v>40430</v>
          </cell>
          <cell r="C664" t="str">
            <v>Future</v>
          </cell>
          <cell r="D664" t="e">
            <v>#N/A</v>
          </cell>
          <cell r="E664">
            <v>41.387559055117862</v>
          </cell>
          <cell r="F664">
            <v>85.206456692913719</v>
          </cell>
          <cell r="G664">
            <v>64.340314960630479</v>
          </cell>
          <cell r="H664">
            <v>64.340314960630479</v>
          </cell>
          <cell r="I664" t="e">
            <v>#N/A</v>
          </cell>
          <cell r="J664" t="e">
            <v>#N/A</v>
          </cell>
          <cell r="K664" t="e">
            <v>#N/A</v>
          </cell>
          <cell r="L664" t="e">
            <v>#N/A</v>
          </cell>
          <cell r="M664" t="e">
            <v>#N/A</v>
          </cell>
          <cell r="N664" t="e">
            <v>#N/A</v>
          </cell>
          <cell r="O664" t="e">
            <v>#N/A</v>
          </cell>
          <cell r="P664">
            <v>71.03</v>
          </cell>
          <cell r="Q664" t="str">
            <v/>
          </cell>
          <cell r="R664" t="e">
            <v>#N/A</v>
          </cell>
        </row>
        <row r="665">
          <cell r="A665">
            <v>40431</v>
          </cell>
          <cell r="B665">
            <v>40431</v>
          </cell>
          <cell r="C665" t="str">
            <v>Future</v>
          </cell>
          <cell r="D665" t="e">
            <v>#N/A</v>
          </cell>
          <cell r="E665">
            <v>41.107913385826521</v>
          </cell>
          <cell r="F665">
            <v>85.340196850394037</v>
          </cell>
          <cell r="G665">
            <v>64.277204724410012</v>
          </cell>
          <cell r="H665">
            <v>64.277204724410012</v>
          </cell>
          <cell r="I665" t="e">
            <v>#N/A</v>
          </cell>
          <cell r="J665" t="e">
            <v>#N/A</v>
          </cell>
          <cell r="K665" t="e">
            <v>#N/A</v>
          </cell>
          <cell r="L665" t="e">
            <v>#N/A</v>
          </cell>
          <cell r="M665" t="e">
            <v>#N/A</v>
          </cell>
          <cell r="N665" t="e">
            <v>#N/A</v>
          </cell>
          <cell r="O665" t="e">
            <v>#N/A</v>
          </cell>
          <cell r="P665">
            <v>71.03</v>
          </cell>
          <cell r="Q665" t="str">
            <v/>
          </cell>
          <cell r="R665" t="e">
            <v>#N/A</v>
          </cell>
        </row>
        <row r="666">
          <cell r="A666">
            <v>40434</v>
          </cell>
          <cell r="B666">
            <v>40434</v>
          </cell>
          <cell r="C666" t="str">
            <v>Future</v>
          </cell>
          <cell r="D666" t="e">
            <v>#N/A</v>
          </cell>
          <cell r="E666">
            <v>40.82826771653518</v>
          </cell>
          <cell r="F666">
            <v>85.473937007874355</v>
          </cell>
          <cell r="G666">
            <v>64.214094488189545</v>
          </cell>
          <cell r="H666">
            <v>64.214094488189545</v>
          </cell>
          <cell r="I666" t="e">
            <v>#N/A</v>
          </cell>
          <cell r="J666" t="e">
            <v>#N/A</v>
          </cell>
          <cell r="K666" t="e">
            <v>#N/A</v>
          </cell>
          <cell r="L666" t="e">
            <v>#N/A</v>
          </cell>
          <cell r="M666" t="e">
            <v>#N/A</v>
          </cell>
          <cell r="N666" t="e">
            <v>#N/A</v>
          </cell>
          <cell r="O666" t="e">
            <v>#N/A</v>
          </cell>
          <cell r="P666">
            <v>71.03</v>
          </cell>
          <cell r="Q666" t="str">
            <v/>
          </cell>
          <cell r="R666" t="e">
            <v>#N/A</v>
          </cell>
        </row>
        <row r="667">
          <cell r="A667">
            <v>40435</v>
          </cell>
          <cell r="B667">
            <v>40435</v>
          </cell>
          <cell r="C667" t="str">
            <v>Future</v>
          </cell>
          <cell r="D667" t="e">
            <v>#N/A</v>
          </cell>
          <cell r="E667">
            <v>40.548622047243839</v>
          </cell>
          <cell r="F667">
            <v>85.607677165354673</v>
          </cell>
          <cell r="G667">
            <v>64.150984251969078</v>
          </cell>
          <cell r="H667">
            <v>64.150984251969078</v>
          </cell>
          <cell r="I667" t="e">
            <v>#N/A</v>
          </cell>
          <cell r="J667" t="e">
            <v>#N/A</v>
          </cell>
          <cell r="K667" t="e">
            <v>#N/A</v>
          </cell>
          <cell r="L667" t="e">
            <v>#N/A</v>
          </cell>
          <cell r="M667" t="e">
            <v>#N/A</v>
          </cell>
          <cell r="N667" t="e">
            <v>#N/A</v>
          </cell>
          <cell r="O667" t="e">
            <v>#N/A</v>
          </cell>
          <cell r="P667">
            <v>71.03</v>
          </cell>
          <cell r="Q667" t="str">
            <v/>
          </cell>
          <cell r="R667" t="e">
            <v>#N/A</v>
          </cell>
        </row>
        <row r="668">
          <cell r="A668">
            <v>40436</v>
          </cell>
          <cell r="B668">
            <v>40436</v>
          </cell>
          <cell r="C668" t="str">
            <v>Future</v>
          </cell>
          <cell r="D668" t="e">
            <v>#N/A</v>
          </cell>
          <cell r="E668">
            <v>40.268976377952498</v>
          </cell>
          <cell r="F668">
            <v>85.741417322834991</v>
          </cell>
          <cell r="G668">
            <v>64.087874015748611</v>
          </cell>
          <cell r="H668">
            <v>64.087874015748611</v>
          </cell>
          <cell r="I668" t="e">
            <v>#N/A</v>
          </cell>
          <cell r="J668" t="e">
            <v>#N/A</v>
          </cell>
          <cell r="K668" t="e">
            <v>#N/A</v>
          </cell>
          <cell r="L668" t="e">
            <v>#N/A</v>
          </cell>
          <cell r="M668" t="e">
            <v>#N/A</v>
          </cell>
          <cell r="N668" t="e">
            <v>#N/A</v>
          </cell>
          <cell r="O668" t="e">
            <v>#N/A</v>
          </cell>
          <cell r="P668">
            <v>71.03</v>
          </cell>
          <cell r="Q668" t="str">
            <v/>
          </cell>
          <cell r="R668" t="e">
            <v>#N/A</v>
          </cell>
        </row>
        <row r="669">
          <cell r="A669">
            <v>40437</v>
          </cell>
          <cell r="B669">
            <v>40437</v>
          </cell>
          <cell r="C669" t="str">
            <v>Future</v>
          </cell>
          <cell r="D669" t="e">
            <v>#N/A</v>
          </cell>
          <cell r="E669">
            <v>39.989330708661157</v>
          </cell>
          <cell r="F669">
            <v>85.875157480315309</v>
          </cell>
          <cell r="G669">
            <v>64.024763779528143</v>
          </cell>
          <cell r="H669">
            <v>64.024763779528143</v>
          </cell>
          <cell r="I669" t="e">
            <v>#N/A</v>
          </cell>
          <cell r="J669" t="e">
            <v>#N/A</v>
          </cell>
          <cell r="K669" t="e">
            <v>#N/A</v>
          </cell>
          <cell r="L669" t="e">
            <v>#N/A</v>
          </cell>
          <cell r="M669" t="e">
            <v>#N/A</v>
          </cell>
          <cell r="N669" t="e">
            <v>#N/A</v>
          </cell>
          <cell r="O669" t="e">
            <v>#N/A</v>
          </cell>
          <cell r="P669">
            <v>71.03</v>
          </cell>
          <cell r="Q669" t="str">
            <v/>
          </cell>
          <cell r="R669" t="e">
            <v>#N/A</v>
          </cell>
        </row>
        <row r="670">
          <cell r="A670">
            <v>40438</v>
          </cell>
          <cell r="B670">
            <v>40438</v>
          </cell>
          <cell r="C670" t="str">
            <v>Future</v>
          </cell>
          <cell r="D670" t="e">
            <v>#N/A</v>
          </cell>
          <cell r="E670">
            <v>39.709685039369816</v>
          </cell>
          <cell r="F670">
            <v>86.008897637795627</v>
          </cell>
          <cell r="G670">
            <v>63.961653543307669</v>
          </cell>
          <cell r="H670">
            <v>63.961653543307669</v>
          </cell>
          <cell r="I670" t="e">
            <v>#N/A</v>
          </cell>
          <cell r="J670" t="e">
            <v>#N/A</v>
          </cell>
          <cell r="K670" t="e">
            <v>#N/A</v>
          </cell>
          <cell r="L670" t="e">
            <v>#N/A</v>
          </cell>
          <cell r="M670" t="e">
            <v>#N/A</v>
          </cell>
          <cell r="N670" t="e">
            <v>#N/A</v>
          </cell>
          <cell r="O670" t="e">
            <v>#N/A</v>
          </cell>
          <cell r="P670">
            <v>71.03</v>
          </cell>
          <cell r="Q670" t="str">
            <v/>
          </cell>
          <cell r="R670" t="e">
            <v>#N/A</v>
          </cell>
        </row>
        <row r="671">
          <cell r="A671">
            <v>40441</v>
          </cell>
          <cell r="B671">
            <v>40441</v>
          </cell>
          <cell r="C671" t="str">
            <v>Future</v>
          </cell>
          <cell r="D671" t="e">
            <v>#N/A</v>
          </cell>
          <cell r="E671">
            <v>39.430039370078475</v>
          </cell>
          <cell r="F671">
            <v>86.142637795275945</v>
          </cell>
          <cell r="G671">
            <v>63.898543307087195</v>
          </cell>
          <cell r="H671">
            <v>63.898543307087195</v>
          </cell>
          <cell r="I671" t="e">
            <v>#N/A</v>
          </cell>
          <cell r="J671" t="e">
            <v>#N/A</v>
          </cell>
          <cell r="K671" t="e">
            <v>#N/A</v>
          </cell>
          <cell r="L671" t="e">
            <v>#N/A</v>
          </cell>
          <cell r="M671" t="e">
            <v>#N/A</v>
          </cell>
          <cell r="N671" t="e">
            <v>#N/A</v>
          </cell>
          <cell r="O671" t="e">
            <v>#N/A</v>
          </cell>
          <cell r="P671">
            <v>71.03</v>
          </cell>
          <cell r="Q671" t="str">
            <v/>
          </cell>
          <cell r="R671" t="e">
            <v>#N/A</v>
          </cell>
        </row>
        <row r="672">
          <cell r="A672">
            <v>40442</v>
          </cell>
          <cell r="B672">
            <v>40442</v>
          </cell>
          <cell r="C672" t="str">
            <v>Future</v>
          </cell>
          <cell r="D672" t="e">
            <v>#N/A</v>
          </cell>
          <cell r="E672">
            <v>39.150393700787134</v>
          </cell>
          <cell r="F672">
            <v>86.276377952756263</v>
          </cell>
          <cell r="G672">
            <v>63.835433070866721</v>
          </cell>
          <cell r="H672">
            <v>63.835433070866721</v>
          </cell>
          <cell r="I672" t="e">
            <v>#N/A</v>
          </cell>
          <cell r="J672" t="e">
            <v>#N/A</v>
          </cell>
          <cell r="K672" t="e">
            <v>#N/A</v>
          </cell>
          <cell r="L672" t="e">
            <v>#N/A</v>
          </cell>
          <cell r="M672" t="e">
            <v>#N/A</v>
          </cell>
          <cell r="N672" t="e">
            <v>#N/A</v>
          </cell>
          <cell r="O672" t="e">
            <v>#N/A</v>
          </cell>
          <cell r="P672">
            <v>71.03</v>
          </cell>
          <cell r="Q672" t="str">
            <v/>
          </cell>
          <cell r="R672" t="e">
            <v>#N/A</v>
          </cell>
        </row>
        <row r="673">
          <cell r="A673">
            <v>40443</v>
          </cell>
          <cell r="B673">
            <v>40443</v>
          </cell>
          <cell r="C673" t="str">
            <v>Future</v>
          </cell>
          <cell r="D673" t="e">
            <v>#N/A</v>
          </cell>
          <cell r="E673">
            <v>38.870748031495793</v>
          </cell>
          <cell r="F673">
            <v>86.410118110236581</v>
          </cell>
          <cell r="G673">
            <v>63.772322834646246</v>
          </cell>
          <cell r="H673">
            <v>63.772322834646246</v>
          </cell>
          <cell r="I673" t="e">
            <v>#N/A</v>
          </cell>
          <cell r="J673" t="e">
            <v>#N/A</v>
          </cell>
          <cell r="K673" t="e">
            <v>#N/A</v>
          </cell>
          <cell r="L673" t="e">
            <v>#N/A</v>
          </cell>
          <cell r="M673" t="e">
            <v>#N/A</v>
          </cell>
          <cell r="N673" t="e">
            <v>#N/A</v>
          </cell>
          <cell r="O673" t="e">
            <v>#N/A</v>
          </cell>
          <cell r="P673">
            <v>71.03</v>
          </cell>
          <cell r="Q673" t="str">
            <v/>
          </cell>
          <cell r="R673" t="e">
            <v>#N/A</v>
          </cell>
        </row>
        <row r="674">
          <cell r="A674">
            <v>40444</v>
          </cell>
          <cell r="B674">
            <v>40444</v>
          </cell>
          <cell r="C674" t="str">
            <v>Future</v>
          </cell>
          <cell r="D674" t="e">
            <v>#N/A</v>
          </cell>
          <cell r="E674">
            <v>38.591102362204452</v>
          </cell>
          <cell r="F674">
            <v>86.543858267716899</v>
          </cell>
          <cell r="G674">
            <v>63.709212598425772</v>
          </cell>
          <cell r="H674">
            <v>63.709212598425772</v>
          </cell>
          <cell r="I674" t="e">
            <v>#N/A</v>
          </cell>
          <cell r="J674" t="e">
            <v>#N/A</v>
          </cell>
          <cell r="K674" t="e">
            <v>#N/A</v>
          </cell>
          <cell r="L674" t="e">
            <v>#N/A</v>
          </cell>
          <cell r="M674" t="e">
            <v>#N/A</v>
          </cell>
          <cell r="N674" t="e">
            <v>#N/A</v>
          </cell>
          <cell r="O674" t="e">
            <v>#N/A</v>
          </cell>
          <cell r="P674">
            <v>71.03</v>
          </cell>
          <cell r="Q674" t="str">
            <v/>
          </cell>
          <cell r="R674" t="e">
            <v>#N/A</v>
          </cell>
        </row>
        <row r="675">
          <cell r="A675">
            <v>40445</v>
          </cell>
          <cell r="B675">
            <v>40445</v>
          </cell>
          <cell r="C675" t="str">
            <v>Future</v>
          </cell>
          <cell r="D675" t="e">
            <v>#N/A</v>
          </cell>
          <cell r="E675">
            <v>38.311456692913112</v>
          </cell>
          <cell r="F675">
            <v>86.677598425197218</v>
          </cell>
          <cell r="G675">
            <v>63.646102362205298</v>
          </cell>
          <cell r="H675">
            <v>63.646102362205298</v>
          </cell>
          <cell r="I675" t="e">
            <v>#N/A</v>
          </cell>
          <cell r="J675" t="e">
            <v>#N/A</v>
          </cell>
          <cell r="K675" t="e">
            <v>#N/A</v>
          </cell>
          <cell r="L675" t="e">
            <v>#N/A</v>
          </cell>
          <cell r="M675" t="e">
            <v>#N/A</v>
          </cell>
          <cell r="N675" t="e">
            <v>#N/A</v>
          </cell>
          <cell r="O675" t="e">
            <v>#N/A</v>
          </cell>
          <cell r="P675">
            <v>71.03</v>
          </cell>
          <cell r="Q675" t="str">
            <v/>
          </cell>
          <cell r="R675" t="e">
            <v>#N/A</v>
          </cell>
        </row>
        <row r="676">
          <cell r="A676">
            <v>40448</v>
          </cell>
          <cell r="B676">
            <v>40448</v>
          </cell>
          <cell r="C676" t="str">
            <v>Future</v>
          </cell>
          <cell r="D676" t="e">
            <v>#N/A</v>
          </cell>
          <cell r="E676">
            <v>38.031811023621771</v>
          </cell>
          <cell r="F676">
            <v>86.811338582677536</v>
          </cell>
          <cell r="G676">
            <v>63.582992125984823</v>
          </cell>
          <cell r="H676">
            <v>63.582992125984823</v>
          </cell>
          <cell r="I676" t="e">
            <v>#N/A</v>
          </cell>
          <cell r="J676" t="e">
            <v>#N/A</v>
          </cell>
          <cell r="K676" t="e">
            <v>#N/A</v>
          </cell>
          <cell r="L676" t="e">
            <v>#N/A</v>
          </cell>
          <cell r="M676" t="e">
            <v>#N/A</v>
          </cell>
          <cell r="N676" t="e">
            <v>#N/A</v>
          </cell>
          <cell r="O676" t="e">
            <v>#N/A</v>
          </cell>
          <cell r="P676">
            <v>71.03</v>
          </cell>
          <cell r="Q676" t="str">
            <v/>
          </cell>
          <cell r="R676" t="e">
            <v>#N/A</v>
          </cell>
        </row>
        <row r="677">
          <cell r="A677">
            <v>40449</v>
          </cell>
          <cell r="B677">
            <v>40449</v>
          </cell>
          <cell r="C677" t="str">
            <v>Future</v>
          </cell>
          <cell r="D677" t="e">
            <v>#N/A</v>
          </cell>
          <cell r="E677">
            <v>37.75216535433043</v>
          </cell>
          <cell r="F677">
            <v>86.945078740157854</v>
          </cell>
          <cell r="G677">
            <v>63.519881889764349</v>
          </cell>
          <cell r="H677">
            <v>63.519881889764349</v>
          </cell>
          <cell r="I677" t="e">
            <v>#N/A</v>
          </cell>
          <cell r="J677" t="e">
            <v>#N/A</v>
          </cell>
          <cell r="K677" t="e">
            <v>#N/A</v>
          </cell>
          <cell r="L677" t="e">
            <v>#N/A</v>
          </cell>
          <cell r="M677" t="e">
            <v>#N/A</v>
          </cell>
          <cell r="N677" t="e">
            <v>#N/A</v>
          </cell>
          <cell r="O677" t="e">
            <v>#N/A</v>
          </cell>
          <cell r="P677">
            <v>71.03</v>
          </cell>
          <cell r="Q677" t="str">
            <v/>
          </cell>
          <cell r="R677" t="e">
            <v>#N/A</v>
          </cell>
        </row>
        <row r="678">
          <cell r="A678">
            <v>40450</v>
          </cell>
          <cell r="B678">
            <v>40450</v>
          </cell>
          <cell r="C678" t="str">
            <v>Future</v>
          </cell>
          <cell r="D678" t="e">
            <v>#N/A</v>
          </cell>
          <cell r="E678">
            <v>37.472519685039089</v>
          </cell>
          <cell r="F678">
            <v>87.078818897638172</v>
          </cell>
          <cell r="G678">
            <v>63.456771653543875</v>
          </cell>
          <cell r="H678">
            <v>63.456771653543875</v>
          </cell>
          <cell r="I678" t="e">
            <v>#N/A</v>
          </cell>
          <cell r="J678" t="e">
            <v>#N/A</v>
          </cell>
          <cell r="K678" t="e">
            <v>#N/A</v>
          </cell>
          <cell r="L678" t="e">
            <v>#N/A</v>
          </cell>
          <cell r="M678" t="e">
            <v>#N/A</v>
          </cell>
          <cell r="N678" t="e">
            <v>#N/A</v>
          </cell>
          <cell r="O678" t="e">
            <v>#N/A</v>
          </cell>
          <cell r="P678">
            <v>71.03</v>
          </cell>
          <cell r="Q678" t="str">
            <v/>
          </cell>
          <cell r="R678" t="e">
            <v>#N/A</v>
          </cell>
        </row>
        <row r="679">
          <cell r="A679">
            <v>40451</v>
          </cell>
          <cell r="B679">
            <v>40451</v>
          </cell>
          <cell r="C679" t="str">
            <v>Future</v>
          </cell>
          <cell r="D679" t="e">
            <v>#N/A</v>
          </cell>
          <cell r="E679">
            <v>37.192874015747748</v>
          </cell>
          <cell r="F679">
            <v>87.21255905511849</v>
          </cell>
          <cell r="G679">
            <v>63.393661417323401</v>
          </cell>
          <cell r="H679">
            <v>63.393661417323401</v>
          </cell>
          <cell r="I679" t="e">
            <v>#N/A</v>
          </cell>
          <cell r="J679" t="e">
            <v>#N/A</v>
          </cell>
          <cell r="K679" t="e">
            <v>#N/A</v>
          </cell>
          <cell r="L679" t="e">
            <v>#N/A</v>
          </cell>
          <cell r="M679" t="e">
            <v>#N/A</v>
          </cell>
          <cell r="N679" t="e">
            <v>#N/A</v>
          </cell>
          <cell r="O679" t="e">
            <v>#N/A</v>
          </cell>
          <cell r="P679">
            <v>71.03</v>
          </cell>
          <cell r="Q679" t="str">
            <v/>
          </cell>
          <cell r="R679" t="e">
            <v>#N/A</v>
          </cell>
        </row>
        <row r="680">
          <cell r="A680">
            <v>40452</v>
          </cell>
          <cell r="B680">
            <v>40452</v>
          </cell>
          <cell r="C680" t="str">
            <v>Future</v>
          </cell>
          <cell r="D680" t="e">
            <v>#N/A</v>
          </cell>
          <cell r="E680">
            <v>36.913228346456407</v>
          </cell>
          <cell r="F680">
            <v>87.346299212598808</v>
          </cell>
          <cell r="G680">
            <v>63.330551181102926</v>
          </cell>
          <cell r="H680">
            <v>63.330551181102926</v>
          </cell>
          <cell r="I680" t="e">
            <v>#N/A</v>
          </cell>
          <cell r="J680" t="e">
            <v>#N/A</v>
          </cell>
          <cell r="K680" t="e">
            <v>#N/A</v>
          </cell>
          <cell r="L680" t="e">
            <v>#N/A</v>
          </cell>
          <cell r="M680" t="e">
            <v>#N/A</v>
          </cell>
          <cell r="N680" t="e">
            <v>#N/A</v>
          </cell>
          <cell r="O680" t="e">
            <v>#N/A</v>
          </cell>
          <cell r="P680">
            <v>71.03</v>
          </cell>
          <cell r="Q680" t="str">
            <v/>
          </cell>
          <cell r="R680" t="e">
            <v>#N/A</v>
          </cell>
        </row>
        <row r="681">
          <cell r="A681">
            <v>40455</v>
          </cell>
          <cell r="B681">
            <v>40455</v>
          </cell>
          <cell r="C681" t="str">
            <v>Future</v>
          </cell>
          <cell r="D681" t="e">
            <v>#N/A</v>
          </cell>
          <cell r="E681">
            <v>36.633582677165066</v>
          </cell>
          <cell r="F681">
            <v>87.480039370079126</v>
          </cell>
          <cell r="G681">
            <v>63.267440944882452</v>
          </cell>
          <cell r="H681">
            <v>63.267440944882452</v>
          </cell>
          <cell r="I681" t="e">
            <v>#N/A</v>
          </cell>
          <cell r="J681" t="e">
            <v>#N/A</v>
          </cell>
          <cell r="K681" t="e">
            <v>#N/A</v>
          </cell>
          <cell r="L681" t="e">
            <v>#N/A</v>
          </cell>
          <cell r="M681" t="e">
            <v>#N/A</v>
          </cell>
          <cell r="N681" t="e">
            <v>#N/A</v>
          </cell>
          <cell r="O681" t="e">
            <v>#N/A</v>
          </cell>
          <cell r="P681">
            <v>71.03</v>
          </cell>
          <cell r="Q681" t="str">
            <v/>
          </cell>
          <cell r="R681" t="e">
            <v>#N/A</v>
          </cell>
        </row>
        <row r="682">
          <cell r="A682">
            <v>40456</v>
          </cell>
          <cell r="B682">
            <v>40456</v>
          </cell>
          <cell r="C682" t="str">
            <v>Future</v>
          </cell>
          <cell r="D682" t="e">
            <v>#N/A</v>
          </cell>
          <cell r="E682">
            <v>36.353937007873725</v>
          </cell>
          <cell r="F682">
            <v>87.613779527559444</v>
          </cell>
          <cell r="G682">
            <v>63.204330708661978</v>
          </cell>
          <cell r="H682">
            <v>63.204330708661978</v>
          </cell>
          <cell r="I682" t="e">
            <v>#N/A</v>
          </cell>
          <cell r="J682" t="e">
            <v>#N/A</v>
          </cell>
          <cell r="K682" t="e">
            <v>#N/A</v>
          </cell>
          <cell r="L682" t="e">
            <v>#N/A</v>
          </cell>
          <cell r="M682" t="e">
            <v>#N/A</v>
          </cell>
          <cell r="N682" t="e">
            <v>#N/A</v>
          </cell>
          <cell r="O682" t="e">
            <v>#N/A</v>
          </cell>
          <cell r="P682">
            <v>71.03</v>
          </cell>
          <cell r="Q682" t="str">
            <v/>
          </cell>
          <cell r="R682" t="e">
            <v>#N/A</v>
          </cell>
        </row>
        <row r="683">
          <cell r="A683">
            <v>40457</v>
          </cell>
          <cell r="B683">
            <v>40457</v>
          </cell>
          <cell r="C683" t="str">
            <v>Future</v>
          </cell>
          <cell r="D683" t="e">
            <v>#N/A</v>
          </cell>
          <cell r="E683">
            <v>36.074291338582384</v>
          </cell>
          <cell r="F683">
            <v>87.747519685039762</v>
          </cell>
          <cell r="G683">
            <v>63.141220472441503</v>
          </cell>
          <cell r="H683">
            <v>63.141220472441503</v>
          </cell>
          <cell r="I683" t="e">
            <v>#N/A</v>
          </cell>
          <cell r="J683" t="e">
            <v>#N/A</v>
          </cell>
          <cell r="K683" t="e">
            <v>#N/A</v>
          </cell>
          <cell r="L683" t="e">
            <v>#N/A</v>
          </cell>
          <cell r="M683" t="e">
            <v>#N/A</v>
          </cell>
          <cell r="N683" t="e">
            <v>#N/A</v>
          </cell>
          <cell r="O683" t="e">
            <v>#N/A</v>
          </cell>
          <cell r="P683">
            <v>71.03</v>
          </cell>
          <cell r="Q683" t="str">
            <v/>
          </cell>
          <cell r="R683" t="e">
            <v>#N/A</v>
          </cell>
        </row>
        <row r="684">
          <cell r="A684">
            <v>40458</v>
          </cell>
          <cell r="B684">
            <v>40458</v>
          </cell>
          <cell r="C684" t="str">
            <v>Future</v>
          </cell>
          <cell r="D684" t="e">
            <v>#N/A</v>
          </cell>
          <cell r="E684">
            <v>35.794645669291043</v>
          </cell>
          <cell r="F684">
            <v>87.88125984252008</v>
          </cell>
          <cell r="G684">
            <v>63.078110236221029</v>
          </cell>
          <cell r="H684">
            <v>63.078110236221029</v>
          </cell>
          <cell r="I684" t="e">
            <v>#N/A</v>
          </cell>
          <cell r="J684" t="e">
            <v>#N/A</v>
          </cell>
          <cell r="K684" t="e">
            <v>#N/A</v>
          </cell>
          <cell r="L684" t="e">
            <v>#N/A</v>
          </cell>
          <cell r="M684" t="e">
            <v>#N/A</v>
          </cell>
          <cell r="N684" t="e">
            <v>#N/A</v>
          </cell>
          <cell r="O684" t="e">
            <v>#N/A</v>
          </cell>
          <cell r="P684">
            <v>71.03</v>
          </cell>
          <cell r="Q684" t="str">
            <v/>
          </cell>
          <cell r="R684" t="e">
            <v>#N/A</v>
          </cell>
        </row>
        <row r="685">
          <cell r="A685">
            <v>40459</v>
          </cell>
          <cell r="B685">
            <v>40459</v>
          </cell>
          <cell r="C685" t="str">
            <v>Future</v>
          </cell>
          <cell r="D685" t="e">
            <v>#N/A</v>
          </cell>
          <cell r="E685">
            <v>35.514999999999702</v>
          </cell>
          <cell r="F685">
            <v>88.015000000000398</v>
          </cell>
          <cell r="G685">
            <v>63.015000000000555</v>
          </cell>
          <cell r="H685">
            <v>63.015000000000555</v>
          </cell>
          <cell r="I685" t="e">
            <v>#N/A</v>
          </cell>
          <cell r="J685" t="e">
            <v>#N/A</v>
          </cell>
          <cell r="K685" t="e">
            <v>#N/A</v>
          </cell>
          <cell r="L685" t="e">
            <v>#N/A</v>
          </cell>
          <cell r="M685" t="e">
            <v>#N/A</v>
          </cell>
          <cell r="N685" t="e">
            <v>#N/A</v>
          </cell>
          <cell r="O685" t="e">
            <v>#N/A</v>
          </cell>
          <cell r="P685">
            <v>71.03</v>
          </cell>
          <cell r="Q685" t="str">
            <v/>
          </cell>
          <cell r="R685" t="e">
            <v>#N/A</v>
          </cell>
        </row>
        <row r="686">
          <cell r="A686">
            <v>40462</v>
          </cell>
          <cell r="B686">
            <v>40462</v>
          </cell>
          <cell r="C686" t="str">
            <v>Future</v>
          </cell>
          <cell r="D686" t="e">
            <v>#N/A</v>
          </cell>
          <cell r="E686">
            <v>35.235354330708361</v>
          </cell>
          <cell r="F686">
            <v>88.148740157480717</v>
          </cell>
          <cell r="G686">
            <v>62.951889763780081</v>
          </cell>
          <cell r="H686">
            <v>62.951889763780081</v>
          </cell>
          <cell r="I686" t="e">
            <v>#N/A</v>
          </cell>
          <cell r="J686" t="e">
            <v>#N/A</v>
          </cell>
          <cell r="K686" t="e">
            <v>#N/A</v>
          </cell>
          <cell r="L686" t="e">
            <v>#N/A</v>
          </cell>
          <cell r="M686" t="e">
            <v>#N/A</v>
          </cell>
          <cell r="N686" t="e">
            <v>#N/A</v>
          </cell>
          <cell r="O686" t="e">
            <v>#N/A</v>
          </cell>
          <cell r="P686">
            <v>71.03</v>
          </cell>
          <cell r="Q686" t="str">
            <v/>
          </cell>
          <cell r="R686" t="e">
            <v>#N/A</v>
          </cell>
        </row>
        <row r="687">
          <cell r="A687">
            <v>40463</v>
          </cell>
          <cell r="B687">
            <v>40463</v>
          </cell>
          <cell r="C687" t="str">
            <v>Future</v>
          </cell>
          <cell r="D687" t="e">
            <v>#N/A</v>
          </cell>
          <cell r="E687">
            <v>34.95570866141702</v>
          </cell>
          <cell r="F687">
            <v>88.282480314961035</v>
          </cell>
          <cell r="G687">
            <v>62.888779527559606</v>
          </cell>
          <cell r="H687">
            <v>62.888779527559606</v>
          </cell>
          <cell r="I687" t="e">
            <v>#N/A</v>
          </cell>
          <cell r="J687" t="e">
            <v>#N/A</v>
          </cell>
          <cell r="K687" t="e">
            <v>#N/A</v>
          </cell>
          <cell r="L687" t="e">
            <v>#N/A</v>
          </cell>
          <cell r="M687" t="e">
            <v>#N/A</v>
          </cell>
          <cell r="N687" t="e">
            <v>#N/A</v>
          </cell>
          <cell r="O687" t="e">
            <v>#N/A</v>
          </cell>
          <cell r="P687">
            <v>71.03</v>
          </cell>
          <cell r="Q687" t="str">
            <v/>
          </cell>
          <cell r="R687" t="e">
            <v>#N/A</v>
          </cell>
        </row>
        <row r="688">
          <cell r="A688">
            <v>40464</v>
          </cell>
          <cell r="B688">
            <v>40464</v>
          </cell>
          <cell r="C688" t="str">
            <v>Future</v>
          </cell>
          <cell r="D688" t="e">
            <v>#N/A</v>
          </cell>
          <cell r="E688">
            <v>34.676062992125679</v>
          </cell>
          <cell r="F688">
            <v>88.416220472441353</v>
          </cell>
          <cell r="G688">
            <v>62.825669291339132</v>
          </cell>
          <cell r="H688">
            <v>62.825669291339132</v>
          </cell>
          <cell r="I688" t="e">
            <v>#N/A</v>
          </cell>
          <cell r="J688" t="e">
            <v>#N/A</v>
          </cell>
          <cell r="K688" t="e">
            <v>#N/A</v>
          </cell>
          <cell r="L688" t="e">
            <v>#N/A</v>
          </cell>
          <cell r="M688" t="e">
            <v>#N/A</v>
          </cell>
          <cell r="N688" t="e">
            <v>#N/A</v>
          </cell>
          <cell r="O688" t="e">
            <v>#N/A</v>
          </cell>
          <cell r="P688">
            <v>71.03</v>
          </cell>
          <cell r="Q688" t="str">
            <v/>
          </cell>
          <cell r="R688" t="e">
            <v>#N/A</v>
          </cell>
        </row>
        <row r="689">
          <cell r="A689">
            <v>40465</v>
          </cell>
          <cell r="B689">
            <v>40465</v>
          </cell>
          <cell r="C689" t="str">
            <v>Future</v>
          </cell>
          <cell r="D689" t="e">
            <v>#N/A</v>
          </cell>
          <cell r="E689">
            <v>34.396417322834338</v>
          </cell>
          <cell r="F689">
            <v>88.549960629921671</v>
          </cell>
          <cell r="G689">
            <v>62.762559055118658</v>
          </cell>
          <cell r="H689">
            <v>62.762559055118658</v>
          </cell>
          <cell r="I689" t="e">
            <v>#N/A</v>
          </cell>
          <cell r="J689" t="e">
            <v>#N/A</v>
          </cell>
          <cell r="K689" t="e">
            <v>#N/A</v>
          </cell>
          <cell r="L689" t="e">
            <v>#N/A</v>
          </cell>
          <cell r="M689" t="e">
            <v>#N/A</v>
          </cell>
          <cell r="N689" t="e">
            <v>#N/A</v>
          </cell>
          <cell r="O689" t="e">
            <v>#N/A</v>
          </cell>
          <cell r="P689">
            <v>71.03</v>
          </cell>
          <cell r="Q689" t="str">
            <v/>
          </cell>
          <cell r="R689" t="e">
            <v>#N/A</v>
          </cell>
        </row>
        <row r="690">
          <cell r="A690">
            <v>40466</v>
          </cell>
          <cell r="B690">
            <v>40466</v>
          </cell>
          <cell r="C690" t="str">
            <v>Future</v>
          </cell>
          <cell r="D690" t="e">
            <v>#N/A</v>
          </cell>
          <cell r="E690">
            <v>34.116771653542997</v>
          </cell>
          <cell r="F690">
            <v>88.683700787401989</v>
          </cell>
          <cell r="G690">
            <v>62.699448818898183</v>
          </cell>
          <cell r="H690">
            <v>62.699448818898183</v>
          </cell>
          <cell r="I690" t="e">
            <v>#N/A</v>
          </cell>
          <cell r="J690" t="e">
            <v>#N/A</v>
          </cell>
          <cell r="K690" t="e">
            <v>#N/A</v>
          </cell>
          <cell r="L690" t="e">
            <v>#N/A</v>
          </cell>
          <cell r="M690" t="e">
            <v>#N/A</v>
          </cell>
          <cell r="N690" t="e">
            <v>#N/A</v>
          </cell>
          <cell r="O690" t="e">
            <v>#N/A</v>
          </cell>
          <cell r="P690">
            <v>71.03</v>
          </cell>
          <cell r="Q690" t="str">
            <v/>
          </cell>
          <cell r="R690" t="e">
            <v>#N/A</v>
          </cell>
        </row>
        <row r="691">
          <cell r="A691">
            <v>40469</v>
          </cell>
          <cell r="B691">
            <v>40469</v>
          </cell>
          <cell r="C691" t="str">
            <v>Future</v>
          </cell>
          <cell r="D691" t="e">
            <v>#N/A</v>
          </cell>
          <cell r="E691">
            <v>33.837125984251657</v>
          </cell>
          <cell r="F691">
            <v>88.817440944882307</v>
          </cell>
          <cell r="G691">
            <v>62.636338582677709</v>
          </cell>
          <cell r="H691">
            <v>62.636338582677709</v>
          </cell>
          <cell r="I691" t="e">
            <v>#N/A</v>
          </cell>
          <cell r="J691" t="e">
            <v>#N/A</v>
          </cell>
          <cell r="K691" t="e">
            <v>#N/A</v>
          </cell>
          <cell r="L691" t="e">
            <v>#N/A</v>
          </cell>
          <cell r="M691" t="e">
            <v>#N/A</v>
          </cell>
          <cell r="N691" t="e">
            <v>#N/A</v>
          </cell>
          <cell r="O691" t="e">
            <v>#N/A</v>
          </cell>
          <cell r="P691">
            <v>71.03</v>
          </cell>
          <cell r="Q691" t="str">
            <v/>
          </cell>
          <cell r="R691" t="e">
            <v>#N/A</v>
          </cell>
        </row>
        <row r="692">
          <cell r="A692">
            <v>40470</v>
          </cell>
          <cell r="B692">
            <v>40470</v>
          </cell>
          <cell r="C692" t="str">
            <v>Future</v>
          </cell>
          <cell r="D692" t="e">
            <v>#N/A</v>
          </cell>
          <cell r="E692">
            <v>33.557480314960316</v>
          </cell>
          <cell r="F692">
            <v>88.951181102362625</v>
          </cell>
          <cell r="G692">
            <v>62.573228346457235</v>
          </cell>
          <cell r="H692">
            <v>62.573228346457235</v>
          </cell>
          <cell r="I692" t="e">
            <v>#N/A</v>
          </cell>
          <cell r="J692" t="e">
            <v>#N/A</v>
          </cell>
          <cell r="K692" t="e">
            <v>#N/A</v>
          </cell>
          <cell r="L692" t="e">
            <v>#N/A</v>
          </cell>
          <cell r="M692" t="e">
            <v>#N/A</v>
          </cell>
          <cell r="N692" t="e">
            <v>#N/A</v>
          </cell>
          <cell r="O692" t="e">
            <v>#N/A</v>
          </cell>
          <cell r="P692">
            <v>71.03</v>
          </cell>
          <cell r="Q692" t="str">
            <v/>
          </cell>
          <cell r="R692" t="e">
            <v>#N/A</v>
          </cell>
        </row>
        <row r="693">
          <cell r="A693">
            <v>40471</v>
          </cell>
          <cell r="B693">
            <v>40471</v>
          </cell>
          <cell r="C693" t="str">
            <v>Future</v>
          </cell>
          <cell r="D693" t="e">
            <v>#N/A</v>
          </cell>
          <cell r="E693">
            <v>33.277834645668975</v>
          </cell>
          <cell r="F693">
            <v>89.084921259842943</v>
          </cell>
          <cell r="G693">
            <v>62.51011811023676</v>
          </cell>
          <cell r="H693">
            <v>62.51011811023676</v>
          </cell>
          <cell r="I693" t="e">
            <v>#N/A</v>
          </cell>
          <cell r="J693" t="e">
            <v>#N/A</v>
          </cell>
          <cell r="K693" t="e">
            <v>#N/A</v>
          </cell>
          <cell r="L693" t="e">
            <v>#N/A</v>
          </cell>
          <cell r="M693" t="e">
            <v>#N/A</v>
          </cell>
          <cell r="N693" t="e">
            <v>#N/A</v>
          </cell>
          <cell r="O693" t="e">
            <v>#N/A</v>
          </cell>
          <cell r="P693">
            <v>71.03</v>
          </cell>
          <cell r="Q693" t="str">
            <v/>
          </cell>
          <cell r="R693" t="e">
            <v>#N/A</v>
          </cell>
        </row>
        <row r="694">
          <cell r="A694">
            <v>40472</v>
          </cell>
          <cell r="B694">
            <v>40472</v>
          </cell>
          <cell r="C694" t="str">
            <v>Future</v>
          </cell>
          <cell r="D694" t="e">
            <v>#N/A</v>
          </cell>
          <cell r="E694">
            <v>32.998188976377634</v>
          </cell>
          <cell r="F694">
            <v>89.218661417323261</v>
          </cell>
          <cell r="G694">
            <v>62.447007874016286</v>
          </cell>
          <cell r="H694">
            <v>62.447007874016286</v>
          </cell>
          <cell r="I694" t="e">
            <v>#N/A</v>
          </cell>
          <cell r="J694" t="e">
            <v>#N/A</v>
          </cell>
          <cell r="K694" t="e">
            <v>#N/A</v>
          </cell>
          <cell r="L694" t="e">
            <v>#N/A</v>
          </cell>
          <cell r="M694" t="e">
            <v>#N/A</v>
          </cell>
          <cell r="N694" t="e">
            <v>#N/A</v>
          </cell>
          <cell r="O694" t="e">
            <v>#N/A</v>
          </cell>
          <cell r="P694">
            <v>71.03</v>
          </cell>
          <cell r="Q694" t="str">
            <v/>
          </cell>
          <cell r="R694" t="e">
            <v>#N/A</v>
          </cell>
        </row>
        <row r="695">
          <cell r="A695">
            <v>40473</v>
          </cell>
          <cell r="B695">
            <v>40473</v>
          </cell>
          <cell r="C695" t="str">
            <v>Future</v>
          </cell>
          <cell r="D695" t="e">
            <v>#N/A</v>
          </cell>
          <cell r="E695">
            <v>32.718543307086293</v>
          </cell>
          <cell r="F695">
            <v>89.352401574803579</v>
          </cell>
          <cell r="G695">
            <v>62.383897637795812</v>
          </cell>
          <cell r="H695">
            <v>62.383897637795812</v>
          </cell>
          <cell r="I695" t="e">
            <v>#N/A</v>
          </cell>
          <cell r="J695" t="e">
            <v>#N/A</v>
          </cell>
          <cell r="K695" t="e">
            <v>#N/A</v>
          </cell>
          <cell r="L695" t="e">
            <v>#N/A</v>
          </cell>
          <cell r="M695" t="e">
            <v>#N/A</v>
          </cell>
          <cell r="N695" t="e">
            <v>#N/A</v>
          </cell>
          <cell r="O695" t="e">
            <v>#N/A</v>
          </cell>
          <cell r="P695">
            <v>71.03</v>
          </cell>
          <cell r="Q695" t="str">
            <v/>
          </cell>
          <cell r="R695" t="e">
            <v>#N/A</v>
          </cell>
        </row>
        <row r="696">
          <cell r="A696">
            <v>40476</v>
          </cell>
          <cell r="B696">
            <v>40476</v>
          </cell>
          <cell r="C696" t="str">
            <v>Future</v>
          </cell>
          <cell r="D696" t="e">
            <v>#N/A</v>
          </cell>
          <cell r="E696">
            <v>32.438897637794952</v>
          </cell>
          <cell r="F696">
            <v>89.486141732283897</v>
          </cell>
          <cell r="G696">
            <v>62.320787401575338</v>
          </cell>
          <cell r="H696">
            <v>62.320787401575338</v>
          </cell>
          <cell r="I696" t="e">
            <v>#N/A</v>
          </cell>
          <cell r="J696" t="e">
            <v>#N/A</v>
          </cell>
          <cell r="K696" t="e">
            <v>#N/A</v>
          </cell>
          <cell r="L696" t="e">
            <v>#N/A</v>
          </cell>
          <cell r="M696" t="e">
            <v>#N/A</v>
          </cell>
          <cell r="N696" t="e">
            <v>#N/A</v>
          </cell>
          <cell r="O696" t="e">
            <v>#N/A</v>
          </cell>
          <cell r="P696">
            <v>71.03</v>
          </cell>
          <cell r="Q696" t="str">
            <v/>
          </cell>
          <cell r="R696" t="e">
            <v>#N/A</v>
          </cell>
        </row>
        <row r="697">
          <cell r="A697">
            <v>40477</v>
          </cell>
          <cell r="B697">
            <v>40477</v>
          </cell>
          <cell r="C697" t="str">
            <v>Future</v>
          </cell>
          <cell r="D697" t="e">
            <v>#N/A</v>
          </cell>
          <cell r="E697">
            <v>32.159251968503611</v>
          </cell>
          <cell r="F697">
            <v>89.619881889764216</v>
          </cell>
          <cell r="G697">
            <v>62.257677165354863</v>
          </cell>
          <cell r="H697">
            <v>62.257677165354863</v>
          </cell>
          <cell r="I697" t="e">
            <v>#N/A</v>
          </cell>
          <cell r="J697" t="e">
            <v>#N/A</v>
          </cell>
          <cell r="K697" t="e">
            <v>#N/A</v>
          </cell>
          <cell r="L697" t="e">
            <v>#N/A</v>
          </cell>
          <cell r="M697" t="e">
            <v>#N/A</v>
          </cell>
          <cell r="N697" t="e">
            <v>#N/A</v>
          </cell>
          <cell r="O697" t="e">
            <v>#N/A</v>
          </cell>
          <cell r="P697">
            <v>71.03</v>
          </cell>
          <cell r="Q697" t="str">
            <v/>
          </cell>
          <cell r="R697" t="e">
            <v>#N/A</v>
          </cell>
        </row>
        <row r="698">
          <cell r="A698">
            <v>40478</v>
          </cell>
          <cell r="B698">
            <v>40478</v>
          </cell>
          <cell r="C698" t="str">
            <v>Future</v>
          </cell>
          <cell r="D698" t="e">
            <v>#N/A</v>
          </cell>
          <cell r="E698">
            <v>31.879606299212274</v>
          </cell>
          <cell r="F698">
            <v>89.753622047244534</v>
          </cell>
          <cell r="G698">
            <v>62.194566929134389</v>
          </cell>
          <cell r="H698">
            <v>62.194566929134389</v>
          </cell>
          <cell r="I698" t="e">
            <v>#N/A</v>
          </cell>
          <cell r="J698" t="e">
            <v>#N/A</v>
          </cell>
          <cell r="K698" t="e">
            <v>#N/A</v>
          </cell>
          <cell r="L698" t="e">
            <v>#N/A</v>
          </cell>
          <cell r="M698" t="e">
            <v>#N/A</v>
          </cell>
          <cell r="N698" t="e">
            <v>#N/A</v>
          </cell>
          <cell r="O698" t="e">
            <v>#N/A</v>
          </cell>
          <cell r="P698">
            <v>71.03</v>
          </cell>
          <cell r="Q698" t="str">
            <v/>
          </cell>
          <cell r="R698" t="e">
            <v>#N/A</v>
          </cell>
        </row>
        <row r="699">
          <cell r="A699">
            <v>40479</v>
          </cell>
          <cell r="B699">
            <v>40479</v>
          </cell>
          <cell r="C699" t="str">
            <v>Future</v>
          </cell>
          <cell r="D699" t="e">
            <v>#N/A</v>
          </cell>
          <cell r="E699">
            <v>31.599960629920936</v>
          </cell>
          <cell r="F699">
            <v>89.887362204724852</v>
          </cell>
          <cell r="G699">
            <v>62.131456692913915</v>
          </cell>
          <cell r="H699">
            <v>62.131456692913915</v>
          </cell>
          <cell r="I699" t="e">
            <v>#N/A</v>
          </cell>
          <cell r="J699" t="e">
            <v>#N/A</v>
          </cell>
          <cell r="K699" t="e">
            <v>#N/A</v>
          </cell>
          <cell r="L699" t="e">
            <v>#N/A</v>
          </cell>
          <cell r="M699" t="e">
            <v>#N/A</v>
          </cell>
          <cell r="N699" t="e">
            <v>#N/A</v>
          </cell>
          <cell r="O699" t="e">
            <v>#N/A</v>
          </cell>
          <cell r="P699">
            <v>71.03</v>
          </cell>
          <cell r="Q699" t="str">
            <v/>
          </cell>
          <cell r="R699" t="e">
            <v>#N/A</v>
          </cell>
        </row>
        <row r="700">
          <cell r="A700">
            <v>40480</v>
          </cell>
          <cell r="B700">
            <v>40480</v>
          </cell>
          <cell r="C700" t="str">
            <v>Future</v>
          </cell>
          <cell r="D700" t="e">
            <v>#N/A</v>
          </cell>
          <cell r="E700">
            <v>31.320314960629599</v>
          </cell>
          <cell r="F700">
            <v>90.02110236220517</v>
          </cell>
          <cell r="G700">
            <v>62.06834645669344</v>
          </cell>
          <cell r="H700">
            <v>62.06834645669344</v>
          </cell>
          <cell r="I700" t="e">
            <v>#N/A</v>
          </cell>
          <cell r="J700" t="e">
            <v>#N/A</v>
          </cell>
          <cell r="K700" t="e">
            <v>#N/A</v>
          </cell>
          <cell r="L700" t="e">
            <v>#N/A</v>
          </cell>
          <cell r="M700" t="e">
            <v>#N/A</v>
          </cell>
          <cell r="N700" t="e">
            <v>#N/A</v>
          </cell>
          <cell r="O700" t="e">
            <v>#N/A</v>
          </cell>
          <cell r="P700">
            <v>71.03</v>
          </cell>
          <cell r="Q700" t="str">
            <v/>
          </cell>
          <cell r="R700" t="e">
            <v>#N/A</v>
          </cell>
        </row>
        <row r="701">
          <cell r="A701">
            <v>40483</v>
          </cell>
          <cell r="B701">
            <v>40483</v>
          </cell>
          <cell r="C701" t="str">
            <v>Future</v>
          </cell>
          <cell r="D701" t="e">
            <v>#N/A</v>
          </cell>
          <cell r="E701">
            <v>31.040669291338261</v>
          </cell>
          <cell r="F701">
            <v>90.154842519685488</v>
          </cell>
          <cell r="G701">
            <v>62.005236220472966</v>
          </cell>
          <cell r="H701">
            <v>62.005236220472966</v>
          </cell>
          <cell r="I701" t="e">
            <v>#N/A</v>
          </cell>
          <cell r="J701" t="e">
            <v>#N/A</v>
          </cell>
          <cell r="K701" t="e">
            <v>#N/A</v>
          </cell>
          <cell r="L701" t="e">
            <v>#N/A</v>
          </cell>
          <cell r="M701" t="e">
            <v>#N/A</v>
          </cell>
          <cell r="N701" t="e">
            <v>#N/A</v>
          </cell>
          <cell r="O701" t="e">
            <v>#N/A</v>
          </cell>
          <cell r="P701">
            <v>71.03</v>
          </cell>
          <cell r="Q701" t="str">
            <v/>
          </cell>
          <cell r="R701" t="e">
            <v>#N/A</v>
          </cell>
        </row>
        <row r="702">
          <cell r="A702">
            <v>40484</v>
          </cell>
          <cell r="B702">
            <v>40484</v>
          </cell>
          <cell r="C702" t="str">
            <v>Future</v>
          </cell>
          <cell r="D702" t="e">
            <v>#N/A</v>
          </cell>
          <cell r="E702">
            <v>30.761023622046924</v>
          </cell>
          <cell r="F702">
            <v>90.288582677165806</v>
          </cell>
          <cell r="G702">
            <v>61.942125984252492</v>
          </cell>
          <cell r="H702">
            <v>61.942125984252492</v>
          </cell>
          <cell r="I702" t="e">
            <v>#N/A</v>
          </cell>
          <cell r="J702" t="e">
            <v>#N/A</v>
          </cell>
          <cell r="K702" t="e">
            <v>#N/A</v>
          </cell>
          <cell r="L702" t="e">
            <v>#N/A</v>
          </cell>
          <cell r="M702" t="e">
            <v>#N/A</v>
          </cell>
          <cell r="N702" t="e">
            <v>#N/A</v>
          </cell>
          <cell r="O702" t="e">
            <v>#N/A</v>
          </cell>
          <cell r="P702">
            <v>71.03</v>
          </cell>
          <cell r="Q702" t="str">
            <v/>
          </cell>
          <cell r="R702" t="e">
            <v>#N/A</v>
          </cell>
        </row>
        <row r="703">
          <cell r="A703">
            <v>40485</v>
          </cell>
          <cell r="B703">
            <v>40485</v>
          </cell>
          <cell r="C703" t="str">
            <v>Future</v>
          </cell>
          <cell r="D703" t="e">
            <v>#N/A</v>
          </cell>
          <cell r="E703">
            <v>30.481377952755587</v>
          </cell>
          <cell r="F703">
            <v>90.422322834646124</v>
          </cell>
          <cell r="G703">
            <v>61.879015748032018</v>
          </cell>
          <cell r="H703">
            <v>61.879015748032018</v>
          </cell>
          <cell r="I703" t="e">
            <v>#N/A</v>
          </cell>
          <cell r="J703" t="e">
            <v>#N/A</v>
          </cell>
          <cell r="K703" t="e">
            <v>#N/A</v>
          </cell>
          <cell r="L703" t="e">
            <v>#N/A</v>
          </cell>
          <cell r="M703" t="e">
            <v>#N/A</v>
          </cell>
          <cell r="N703" t="e">
            <v>#N/A</v>
          </cell>
          <cell r="O703" t="e">
            <v>#N/A</v>
          </cell>
          <cell r="P703">
            <v>71.03</v>
          </cell>
          <cell r="Q703" t="str">
            <v/>
          </cell>
          <cell r="R703" t="e">
            <v>#N/A</v>
          </cell>
        </row>
        <row r="704">
          <cell r="A704">
            <v>40486</v>
          </cell>
          <cell r="B704">
            <v>40486</v>
          </cell>
          <cell r="C704" t="str">
            <v>Future</v>
          </cell>
          <cell r="D704" t="e">
            <v>#N/A</v>
          </cell>
          <cell r="E704">
            <v>30.201732283464249</v>
          </cell>
          <cell r="F704">
            <v>90.556062992126442</v>
          </cell>
          <cell r="G704">
            <v>61.815905511811543</v>
          </cell>
          <cell r="H704">
            <v>61.815905511811543</v>
          </cell>
          <cell r="I704" t="e">
            <v>#N/A</v>
          </cell>
          <cell r="J704" t="e">
            <v>#N/A</v>
          </cell>
          <cell r="K704" t="e">
            <v>#N/A</v>
          </cell>
          <cell r="L704" t="e">
            <v>#N/A</v>
          </cell>
          <cell r="M704" t="e">
            <v>#N/A</v>
          </cell>
          <cell r="N704" t="e">
            <v>#N/A</v>
          </cell>
          <cell r="O704" t="e">
            <v>#N/A</v>
          </cell>
          <cell r="P704">
            <v>71.03</v>
          </cell>
          <cell r="Q704" t="str">
            <v/>
          </cell>
          <cell r="R704" t="e">
            <v>#N/A</v>
          </cell>
        </row>
        <row r="705">
          <cell r="A705">
            <v>40487</v>
          </cell>
          <cell r="B705">
            <v>40487</v>
          </cell>
          <cell r="C705" t="str">
            <v>Future</v>
          </cell>
          <cell r="D705" t="e">
            <v>#N/A</v>
          </cell>
          <cell r="E705">
            <v>29.922086614172912</v>
          </cell>
          <cell r="F705">
            <v>90.68980314960676</v>
          </cell>
          <cell r="G705">
            <v>61.752795275591069</v>
          </cell>
          <cell r="H705">
            <v>61.752795275591069</v>
          </cell>
          <cell r="I705" t="e">
            <v>#N/A</v>
          </cell>
          <cell r="J705" t="e">
            <v>#N/A</v>
          </cell>
          <cell r="K705" t="e">
            <v>#N/A</v>
          </cell>
          <cell r="L705" t="e">
            <v>#N/A</v>
          </cell>
          <cell r="M705" t="e">
            <v>#N/A</v>
          </cell>
          <cell r="N705" t="e">
            <v>#N/A</v>
          </cell>
          <cell r="O705" t="e">
            <v>#N/A</v>
          </cell>
          <cell r="P705">
            <v>71.03</v>
          </cell>
          <cell r="Q705" t="str">
            <v/>
          </cell>
          <cell r="R705" t="e">
            <v>#N/A</v>
          </cell>
        </row>
        <row r="706">
          <cell r="A706">
            <v>40490</v>
          </cell>
          <cell r="B706">
            <v>40490</v>
          </cell>
          <cell r="C706" t="str">
            <v>Future</v>
          </cell>
          <cell r="D706" t="e">
            <v>#N/A</v>
          </cell>
          <cell r="E706">
            <v>29.642440944881574</v>
          </cell>
          <cell r="F706">
            <v>90.823543307087078</v>
          </cell>
          <cell r="G706">
            <v>61.689685039370595</v>
          </cell>
          <cell r="H706">
            <v>61.689685039370595</v>
          </cell>
          <cell r="I706" t="e">
            <v>#N/A</v>
          </cell>
          <cell r="J706" t="e">
            <v>#N/A</v>
          </cell>
          <cell r="K706" t="e">
            <v>#N/A</v>
          </cell>
          <cell r="L706" t="e">
            <v>#N/A</v>
          </cell>
          <cell r="M706" t="e">
            <v>#N/A</v>
          </cell>
          <cell r="N706" t="e">
            <v>#N/A</v>
          </cell>
          <cell r="O706" t="e">
            <v>#N/A</v>
          </cell>
          <cell r="P706">
            <v>71.03</v>
          </cell>
          <cell r="Q706" t="str">
            <v/>
          </cell>
          <cell r="R706" t="e">
            <v>#N/A</v>
          </cell>
        </row>
        <row r="707">
          <cell r="A707">
            <v>40491</v>
          </cell>
          <cell r="B707">
            <v>40491</v>
          </cell>
          <cell r="C707" t="str">
            <v>Future</v>
          </cell>
          <cell r="D707" t="e">
            <v>#N/A</v>
          </cell>
          <cell r="E707">
            <v>29.362795275590237</v>
          </cell>
          <cell r="F707">
            <v>90.957283464567396</v>
          </cell>
          <cell r="G707">
            <v>61.62657480315012</v>
          </cell>
          <cell r="H707">
            <v>61.62657480315012</v>
          </cell>
          <cell r="I707" t="e">
            <v>#N/A</v>
          </cell>
          <cell r="J707" t="e">
            <v>#N/A</v>
          </cell>
          <cell r="K707" t="e">
            <v>#N/A</v>
          </cell>
          <cell r="L707" t="e">
            <v>#N/A</v>
          </cell>
          <cell r="M707" t="e">
            <v>#N/A</v>
          </cell>
          <cell r="N707" t="e">
            <v>#N/A</v>
          </cell>
          <cell r="O707" t="e">
            <v>#N/A</v>
          </cell>
          <cell r="P707">
            <v>71.03</v>
          </cell>
          <cell r="Q707" t="str">
            <v/>
          </cell>
          <cell r="R707" t="e">
            <v>#N/A</v>
          </cell>
        </row>
        <row r="708">
          <cell r="A708">
            <v>40492</v>
          </cell>
          <cell r="B708">
            <v>40492</v>
          </cell>
          <cell r="C708" t="str">
            <v>Future</v>
          </cell>
          <cell r="D708" t="e">
            <v>#N/A</v>
          </cell>
          <cell r="E708">
            <v>29.0831496062989</v>
          </cell>
          <cell r="F708">
            <v>91.091023622047715</v>
          </cell>
          <cell r="G708">
            <v>61.563464566929646</v>
          </cell>
          <cell r="H708">
            <v>61.563464566929646</v>
          </cell>
          <cell r="I708" t="e">
            <v>#N/A</v>
          </cell>
          <cell r="J708" t="e">
            <v>#N/A</v>
          </cell>
          <cell r="K708" t="e">
            <v>#N/A</v>
          </cell>
          <cell r="L708" t="e">
            <v>#N/A</v>
          </cell>
          <cell r="M708" t="e">
            <v>#N/A</v>
          </cell>
          <cell r="N708" t="e">
            <v>#N/A</v>
          </cell>
          <cell r="O708" t="e">
            <v>#N/A</v>
          </cell>
          <cell r="P708">
            <v>71.03</v>
          </cell>
          <cell r="Q708" t="str">
            <v/>
          </cell>
          <cell r="R708" t="e">
            <v>#N/A</v>
          </cell>
        </row>
        <row r="709">
          <cell r="A709">
            <v>40493</v>
          </cell>
          <cell r="B709">
            <v>40493</v>
          </cell>
          <cell r="C709" t="str">
            <v>Future</v>
          </cell>
          <cell r="D709" t="e">
            <v>#N/A</v>
          </cell>
          <cell r="E709">
            <v>28.803503937007562</v>
          </cell>
          <cell r="F709">
            <v>91.224763779528033</v>
          </cell>
          <cell r="G709">
            <v>61.500354330709172</v>
          </cell>
          <cell r="H709">
            <v>61.500354330709172</v>
          </cell>
          <cell r="I709" t="e">
            <v>#N/A</v>
          </cell>
          <cell r="J709" t="e">
            <v>#N/A</v>
          </cell>
          <cell r="K709" t="e">
            <v>#N/A</v>
          </cell>
          <cell r="L709" t="e">
            <v>#N/A</v>
          </cell>
          <cell r="M709" t="e">
            <v>#N/A</v>
          </cell>
          <cell r="N709" t="e">
            <v>#N/A</v>
          </cell>
          <cell r="O709" t="e">
            <v>#N/A</v>
          </cell>
          <cell r="P709">
            <v>71.03</v>
          </cell>
          <cell r="Q709" t="str">
            <v/>
          </cell>
          <cell r="R709" t="e">
            <v>#N/A</v>
          </cell>
        </row>
        <row r="710">
          <cell r="A710">
            <v>40494</v>
          </cell>
          <cell r="B710">
            <v>40494</v>
          </cell>
          <cell r="C710" t="str">
            <v>Future</v>
          </cell>
          <cell r="D710" t="e">
            <v>#N/A</v>
          </cell>
          <cell r="E710">
            <v>28.523858267716225</v>
          </cell>
          <cell r="F710">
            <v>91.358503937008351</v>
          </cell>
          <cell r="G710">
            <v>61.437244094488697</v>
          </cell>
          <cell r="H710">
            <v>61.437244094488697</v>
          </cell>
          <cell r="I710" t="e">
            <v>#N/A</v>
          </cell>
          <cell r="J710" t="e">
            <v>#N/A</v>
          </cell>
          <cell r="K710" t="e">
            <v>#N/A</v>
          </cell>
          <cell r="L710" t="e">
            <v>#N/A</v>
          </cell>
          <cell r="M710" t="e">
            <v>#N/A</v>
          </cell>
          <cell r="N710" t="e">
            <v>#N/A</v>
          </cell>
          <cell r="O710" t="e">
            <v>#N/A</v>
          </cell>
          <cell r="P710">
            <v>71.03</v>
          </cell>
          <cell r="Q710" t="str">
            <v/>
          </cell>
          <cell r="R710" t="e">
            <v>#N/A</v>
          </cell>
        </row>
        <row r="711">
          <cell r="A711">
            <v>40497</v>
          </cell>
          <cell r="B711">
            <v>40497</v>
          </cell>
          <cell r="C711" t="str">
            <v>Future</v>
          </cell>
          <cell r="D711" t="e">
            <v>#N/A</v>
          </cell>
          <cell r="E711">
            <v>28.244212598424888</v>
          </cell>
          <cell r="F711">
            <v>91.492244094488669</v>
          </cell>
          <cell r="G711">
            <v>61.374133858268223</v>
          </cell>
          <cell r="H711">
            <v>61.374133858268223</v>
          </cell>
          <cell r="I711" t="e">
            <v>#N/A</v>
          </cell>
          <cell r="J711" t="e">
            <v>#N/A</v>
          </cell>
          <cell r="K711" t="e">
            <v>#N/A</v>
          </cell>
          <cell r="L711" t="e">
            <v>#N/A</v>
          </cell>
          <cell r="M711" t="e">
            <v>#N/A</v>
          </cell>
          <cell r="N711" t="e">
            <v>#N/A</v>
          </cell>
          <cell r="O711" t="e">
            <v>#N/A</v>
          </cell>
          <cell r="P711">
            <v>71.03</v>
          </cell>
          <cell r="Q711" t="str">
            <v/>
          </cell>
          <cell r="R711" t="e">
            <v>#N/A</v>
          </cell>
        </row>
        <row r="712">
          <cell r="A712">
            <v>40498</v>
          </cell>
          <cell r="B712">
            <v>40498</v>
          </cell>
          <cell r="C712" t="str">
            <v>Future</v>
          </cell>
          <cell r="D712" t="e">
            <v>#N/A</v>
          </cell>
          <cell r="E712">
            <v>27.96456692913355</v>
          </cell>
          <cell r="F712">
            <v>91.625984251968987</v>
          </cell>
          <cell r="G712">
            <v>61.311023622047749</v>
          </cell>
          <cell r="H712">
            <v>61.311023622047749</v>
          </cell>
          <cell r="I712" t="e">
            <v>#N/A</v>
          </cell>
          <cell r="J712" t="e">
            <v>#N/A</v>
          </cell>
          <cell r="K712" t="e">
            <v>#N/A</v>
          </cell>
          <cell r="L712" t="e">
            <v>#N/A</v>
          </cell>
          <cell r="M712" t="e">
            <v>#N/A</v>
          </cell>
          <cell r="N712" t="e">
            <v>#N/A</v>
          </cell>
          <cell r="O712" t="e">
            <v>#N/A</v>
          </cell>
          <cell r="P712">
            <v>71.03</v>
          </cell>
          <cell r="Q712" t="str">
            <v/>
          </cell>
          <cell r="R712" t="e">
            <v>#N/A</v>
          </cell>
        </row>
        <row r="713">
          <cell r="A713">
            <v>40499</v>
          </cell>
          <cell r="B713">
            <v>40499</v>
          </cell>
          <cell r="C713" t="str">
            <v>Future</v>
          </cell>
          <cell r="D713" t="e">
            <v>#N/A</v>
          </cell>
          <cell r="E713">
            <v>27.684921259842213</v>
          </cell>
          <cell r="F713">
            <v>91.759724409449305</v>
          </cell>
          <cell r="G713">
            <v>61.247913385827275</v>
          </cell>
          <cell r="H713">
            <v>61.247913385827275</v>
          </cell>
          <cell r="I713" t="e">
            <v>#N/A</v>
          </cell>
          <cell r="J713" t="e">
            <v>#N/A</v>
          </cell>
          <cell r="K713" t="e">
            <v>#N/A</v>
          </cell>
          <cell r="L713" t="e">
            <v>#N/A</v>
          </cell>
          <cell r="M713" t="e">
            <v>#N/A</v>
          </cell>
          <cell r="N713" t="e">
            <v>#N/A</v>
          </cell>
          <cell r="O713" t="e">
            <v>#N/A</v>
          </cell>
          <cell r="P713">
            <v>71.03</v>
          </cell>
          <cell r="Q713" t="str">
            <v/>
          </cell>
          <cell r="R713" t="e">
            <v>#N/A</v>
          </cell>
        </row>
        <row r="714">
          <cell r="A714">
            <v>40500</v>
          </cell>
          <cell r="B714">
            <v>40500</v>
          </cell>
          <cell r="C714" t="str">
            <v>Future</v>
          </cell>
          <cell r="D714" t="e">
            <v>#N/A</v>
          </cell>
          <cell r="E714">
            <v>27.405275590550875</v>
          </cell>
          <cell r="F714">
            <v>91.893464566929623</v>
          </cell>
          <cell r="G714">
            <v>61.1848031496068</v>
          </cell>
          <cell r="H714">
            <v>61.1848031496068</v>
          </cell>
          <cell r="I714" t="e">
            <v>#N/A</v>
          </cell>
          <cell r="J714" t="e">
            <v>#N/A</v>
          </cell>
          <cell r="K714" t="e">
            <v>#N/A</v>
          </cell>
          <cell r="L714" t="e">
            <v>#N/A</v>
          </cell>
          <cell r="M714" t="e">
            <v>#N/A</v>
          </cell>
          <cell r="N714" t="e">
            <v>#N/A</v>
          </cell>
          <cell r="O714" t="e">
            <v>#N/A</v>
          </cell>
          <cell r="P714">
            <v>71.03</v>
          </cell>
          <cell r="Q714" t="str">
            <v/>
          </cell>
          <cell r="R714" t="e">
            <v>#N/A</v>
          </cell>
        </row>
        <row r="715">
          <cell r="A715">
            <v>40501</v>
          </cell>
          <cell r="B715">
            <v>40501</v>
          </cell>
          <cell r="C715" t="str">
            <v>Future</v>
          </cell>
          <cell r="D715" t="e">
            <v>#N/A</v>
          </cell>
          <cell r="E715">
            <v>27.125629921259538</v>
          </cell>
          <cell r="F715">
            <v>92.027204724409941</v>
          </cell>
          <cell r="G715">
            <v>61.121692913386326</v>
          </cell>
          <cell r="H715">
            <v>61.121692913386326</v>
          </cell>
          <cell r="I715" t="e">
            <v>#N/A</v>
          </cell>
          <cell r="J715" t="e">
            <v>#N/A</v>
          </cell>
          <cell r="K715" t="e">
            <v>#N/A</v>
          </cell>
          <cell r="L715" t="e">
            <v>#N/A</v>
          </cell>
          <cell r="M715" t="e">
            <v>#N/A</v>
          </cell>
          <cell r="N715" t="e">
            <v>#N/A</v>
          </cell>
          <cell r="O715" t="e">
            <v>#N/A</v>
          </cell>
          <cell r="P715">
            <v>71.03</v>
          </cell>
          <cell r="Q715" t="str">
            <v/>
          </cell>
          <cell r="R715" t="e">
            <v>#N/A</v>
          </cell>
        </row>
        <row r="716">
          <cell r="A716">
            <v>40504</v>
          </cell>
          <cell r="B716">
            <v>40504</v>
          </cell>
          <cell r="C716" t="str">
            <v>Future</v>
          </cell>
          <cell r="D716" t="e">
            <v>#N/A</v>
          </cell>
          <cell r="E716">
            <v>26.845984251968201</v>
          </cell>
          <cell r="F716">
            <v>92.160944881890259</v>
          </cell>
          <cell r="G716">
            <v>61.058582677165852</v>
          </cell>
          <cell r="H716">
            <v>61.058582677165852</v>
          </cell>
          <cell r="I716" t="e">
            <v>#N/A</v>
          </cell>
          <cell r="J716" t="e">
            <v>#N/A</v>
          </cell>
          <cell r="K716" t="e">
            <v>#N/A</v>
          </cell>
          <cell r="L716" t="e">
            <v>#N/A</v>
          </cell>
          <cell r="M716" t="e">
            <v>#N/A</v>
          </cell>
          <cell r="N716" t="e">
            <v>#N/A</v>
          </cell>
          <cell r="O716" t="e">
            <v>#N/A</v>
          </cell>
          <cell r="P716">
            <v>71.03</v>
          </cell>
          <cell r="Q716" t="str">
            <v/>
          </cell>
          <cell r="R716" t="e">
            <v>#N/A</v>
          </cell>
        </row>
        <row r="717">
          <cell r="A717">
            <v>40505</v>
          </cell>
          <cell r="B717">
            <v>40505</v>
          </cell>
          <cell r="C717" t="str">
            <v>Future</v>
          </cell>
          <cell r="D717" t="e">
            <v>#N/A</v>
          </cell>
          <cell r="E717">
            <v>26.566338582676863</v>
          </cell>
          <cell r="F717">
            <v>92.294685039370577</v>
          </cell>
          <cell r="G717">
            <v>60.995472440945377</v>
          </cell>
          <cell r="H717">
            <v>60.995472440945377</v>
          </cell>
          <cell r="I717" t="e">
            <v>#N/A</v>
          </cell>
          <cell r="J717" t="e">
            <v>#N/A</v>
          </cell>
          <cell r="K717" t="e">
            <v>#N/A</v>
          </cell>
          <cell r="L717" t="e">
            <v>#N/A</v>
          </cell>
          <cell r="M717" t="e">
            <v>#N/A</v>
          </cell>
          <cell r="N717" t="e">
            <v>#N/A</v>
          </cell>
          <cell r="O717" t="e">
            <v>#N/A</v>
          </cell>
          <cell r="P717">
            <v>71.03</v>
          </cell>
          <cell r="Q717" t="str">
            <v/>
          </cell>
          <cell r="R717" t="e">
            <v>#N/A</v>
          </cell>
        </row>
        <row r="718">
          <cell r="A718">
            <v>40506</v>
          </cell>
          <cell r="B718">
            <v>40506</v>
          </cell>
          <cell r="C718" t="str">
            <v>Future</v>
          </cell>
          <cell r="D718" t="e">
            <v>#N/A</v>
          </cell>
          <cell r="E718">
            <v>26.286692913385526</v>
          </cell>
          <cell r="F718">
            <v>92.428425196850895</v>
          </cell>
          <cell r="G718">
            <v>60.932362204724903</v>
          </cell>
          <cell r="H718">
            <v>60.932362204724903</v>
          </cell>
          <cell r="I718" t="e">
            <v>#N/A</v>
          </cell>
          <cell r="J718" t="e">
            <v>#N/A</v>
          </cell>
          <cell r="K718" t="e">
            <v>#N/A</v>
          </cell>
          <cell r="L718" t="e">
            <v>#N/A</v>
          </cell>
          <cell r="M718" t="e">
            <v>#N/A</v>
          </cell>
          <cell r="N718" t="e">
            <v>#N/A</v>
          </cell>
          <cell r="O718" t="e">
            <v>#N/A</v>
          </cell>
          <cell r="P718">
            <v>71.03</v>
          </cell>
          <cell r="Q718" t="str">
            <v/>
          </cell>
          <cell r="R718" t="e">
            <v>#N/A</v>
          </cell>
        </row>
        <row r="719">
          <cell r="A719">
            <v>40508</v>
          </cell>
          <cell r="B719">
            <v>40508</v>
          </cell>
          <cell r="C719" t="str">
            <v>Future</v>
          </cell>
          <cell r="D719" t="e">
            <v>#N/A</v>
          </cell>
          <cell r="E719">
            <v>26.007047244094188</v>
          </cell>
          <cell r="F719">
            <v>92.562165354331214</v>
          </cell>
          <cell r="G719">
            <v>60.869251968504429</v>
          </cell>
          <cell r="H719">
            <v>60.869251968504429</v>
          </cell>
          <cell r="I719" t="e">
            <v>#N/A</v>
          </cell>
          <cell r="J719" t="e">
            <v>#N/A</v>
          </cell>
          <cell r="K719" t="e">
            <v>#N/A</v>
          </cell>
          <cell r="L719" t="e">
            <v>#N/A</v>
          </cell>
          <cell r="M719" t="e">
            <v>#N/A</v>
          </cell>
          <cell r="N719" t="e">
            <v>#N/A</v>
          </cell>
          <cell r="O719" t="e">
            <v>#N/A</v>
          </cell>
          <cell r="P719">
            <v>71.03</v>
          </cell>
          <cell r="Q719" t="str">
            <v/>
          </cell>
          <cell r="R719" t="e">
            <v>#N/A</v>
          </cell>
        </row>
        <row r="720">
          <cell r="A720">
            <v>40511</v>
          </cell>
          <cell r="B720">
            <v>40511</v>
          </cell>
          <cell r="C720" t="str">
            <v>Future</v>
          </cell>
          <cell r="D720" t="e">
            <v>#N/A</v>
          </cell>
          <cell r="E720">
            <v>25.727401574802851</v>
          </cell>
          <cell r="F720">
            <v>92.695905511811532</v>
          </cell>
          <cell r="G720">
            <v>60.806141732283955</v>
          </cell>
          <cell r="H720">
            <v>60.806141732283955</v>
          </cell>
          <cell r="I720" t="e">
            <v>#N/A</v>
          </cell>
          <cell r="J720" t="e">
            <v>#N/A</v>
          </cell>
          <cell r="K720" t="e">
            <v>#N/A</v>
          </cell>
          <cell r="L720" t="e">
            <v>#N/A</v>
          </cell>
          <cell r="M720" t="e">
            <v>#N/A</v>
          </cell>
          <cell r="N720" t="e">
            <v>#N/A</v>
          </cell>
          <cell r="O720" t="e">
            <v>#N/A</v>
          </cell>
          <cell r="P720">
            <v>71.03</v>
          </cell>
          <cell r="Q720" t="str">
            <v/>
          </cell>
          <cell r="R720" t="e">
            <v>#N/A</v>
          </cell>
        </row>
        <row r="721">
          <cell r="A721">
            <v>40512</v>
          </cell>
          <cell r="B721">
            <v>40512</v>
          </cell>
          <cell r="C721" t="str">
            <v>Future</v>
          </cell>
          <cell r="D721" t="e">
            <v>#N/A</v>
          </cell>
          <cell r="E721">
            <v>25.447755905511514</v>
          </cell>
          <cell r="F721">
            <v>92.82964566929185</v>
          </cell>
          <cell r="G721">
            <v>60.74303149606348</v>
          </cell>
          <cell r="H721">
            <v>60.74303149606348</v>
          </cell>
          <cell r="I721" t="e">
            <v>#N/A</v>
          </cell>
          <cell r="J721" t="e">
            <v>#N/A</v>
          </cell>
          <cell r="K721" t="e">
            <v>#N/A</v>
          </cell>
          <cell r="L721" t="e">
            <v>#N/A</v>
          </cell>
          <cell r="M721" t="e">
            <v>#N/A</v>
          </cell>
          <cell r="N721" t="e">
            <v>#N/A</v>
          </cell>
          <cell r="O721" t="e">
            <v>#N/A</v>
          </cell>
          <cell r="P721">
            <v>71.03</v>
          </cell>
          <cell r="Q721" t="str">
            <v/>
          </cell>
          <cell r="R721" t="e">
            <v>#N/A</v>
          </cell>
        </row>
        <row r="722">
          <cell r="A722">
            <v>40513</v>
          </cell>
          <cell r="B722">
            <v>40513</v>
          </cell>
          <cell r="C722" t="str">
            <v>Future</v>
          </cell>
          <cell r="D722" t="e">
            <v>#N/A</v>
          </cell>
          <cell r="E722">
            <v>25.168110236220176</v>
          </cell>
          <cell r="F722">
            <v>92.963385826772168</v>
          </cell>
          <cell r="G722">
            <v>60.679921259843006</v>
          </cell>
          <cell r="H722">
            <v>60.679921259843006</v>
          </cell>
          <cell r="I722" t="e">
            <v>#N/A</v>
          </cell>
          <cell r="J722" t="e">
            <v>#N/A</v>
          </cell>
          <cell r="K722" t="e">
            <v>#N/A</v>
          </cell>
          <cell r="L722" t="e">
            <v>#N/A</v>
          </cell>
          <cell r="M722" t="e">
            <v>#N/A</v>
          </cell>
          <cell r="N722" t="e">
            <v>#N/A</v>
          </cell>
          <cell r="O722" t="e">
            <v>#N/A</v>
          </cell>
          <cell r="P722">
            <v>71.03</v>
          </cell>
          <cell r="Q722" t="str">
            <v/>
          </cell>
          <cell r="R722" t="e">
            <v>#N/A</v>
          </cell>
        </row>
        <row r="723">
          <cell r="A723">
            <v>40514</v>
          </cell>
          <cell r="B723">
            <v>40514</v>
          </cell>
          <cell r="C723" t="str">
            <v>Future</v>
          </cell>
          <cell r="D723" t="e">
            <v>#N/A</v>
          </cell>
          <cell r="E723">
            <v>24.888464566928839</v>
          </cell>
          <cell r="F723">
            <v>93.097125984252486</v>
          </cell>
          <cell r="G723">
            <v>60.616811023622532</v>
          </cell>
          <cell r="H723">
            <v>60.616811023622532</v>
          </cell>
          <cell r="I723" t="e">
            <v>#N/A</v>
          </cell>
          <cell r="J723" t="e">
            <v>#N/A</v>
          </cell>
          <cell r="K723" t="e">
            <v>#N/A</v>
          </cell>
          <cell r="L723" t="e">
            <v>#N/A</v>
          </cell>
          <cell r="M723" t="e">
            <v>#N/A</v>
          </cell>
          <cell r="N723" t="e">
            <v>#N/A</v>
          </cell>
          <cell r="O723" t="e">
            <v>#N/A</v>
          </cell>
          <cell r="P723">
            <v>71.03</v>
          </cell>
          <cell r="Q723" t="str">
            <v/>
          </cell>
          <cell r="R723" t="e">
            <v>#N/A</v>
          </cell>
        </row>
        <row r="724">
          <cell r="A724">
            <v>40515</v>
          </cell>
          <cell r="B724">
            <v>40515</v>
          </cell>
          <cell r="C724" t="str">
            <v>Future</v>
          </cell>
          <cell r="D724" t="e">
            <v>#N/A</v>
          </cell>
          <cell r="E724">
            <v>24.608818897637502</v>
          </cell>
          <cell r="F724">
            <v>93.230866141732804</v>
          </cell>
          <cell r="G724">
            <v>60.553700787402057</v>
          </cell>
          <cell r="H724">
            <v>60.553700787402057</v>
          </cell>
          <cell r="I724" t="e">
            <v>#N/A</v>
          </cell>
          <cell r="J724" t="e">
            <v>#N/A</v>
          </cell>
          <cell r="K724" t="e">
            <v>#N/A</v>
          </cell>
          <cell r="L724" t="e">
            <v>#N/A</v>
          </cell>
          <cell r="M724" t="e">
            <v>#N/A</v>
          </cell>
          <cell r="N724" t="e">
            <v>#N/A</v>
          </cell>
          <cell r="O724" t="e">
            <v>#N/A</v>
          </cell>
          <cell r="P724">
            <v>71.03</v>
          </cell>
          <cell r="Q724" t="str">
            <v/>
          </cell>
          <cell r="R724" t="e">
            <v>#N/A</v>
          </cell>
        </row>
        <row r="725">
          <cell r="A725">
            <v>40518</v>
          </cell>
          <cell r="B725">
            <v>40518</v>
          </cell>
          <cell r="C725" t="str">
            <v>Future</v>
          </cell>
          <cell r="D725" t="e">
            <v>#N/A</v>
          </cell>
          <cell r="E725">
            <v>24.329173228346164</v>
          </cell>
          <cell r="F725">
            <v>93.364606299213122</v>
          </cell>
          <cell r="G725">
            <v>60.490590551181583</v>
          </cell>
          <cell r="H725">
            <v>60.490590551181583</v>
          </cell>
          <cell r="I725" t="e">
            <v>#N/A</v>
          </cell>
          <cell r="J725" t="e">
            <v>#N/A</v>
          </cell>
          <cell r="K725" t="e">
            <v>#N/A</v>
          </cell>
          <cell r="L725" t="e">
            <v>#N/A</v>
          </cell>
          <cell r="M725" t="e">
            <v>#N/A</v>
          </cell>
          <cell r="N725" t="e">
            <v>#N/A</v>
          </cell>
          <cell r="O725" t="e">
            <v>#N/A</v>
          </cell>
          <cell r="P725">
            <v>71.03</v>
          </cell>
          <cell r="Q725" t="str">
            <v/>
          </cell>
          <cell r="R725" t="e">
            <v>#N/A</v>
          </cell>
        </row>
        <row r="726">
          <cell r="A726">
            <v>40519</v>
          </cell>
          <cell r="B726">
            <v>40519</v>
          </cell>
          <cell r="C726" t="str">
            <v>Future</v>
          </cell>
          <cell r="D726" t="e">
            <v>#N/A</v>
          </cell>
          <cell r="E726">
            <v>24.049527559054827</v>
          </cell>
          <cell r="F726">
            <v>93.49834645669344</v>
          </cell>
          <cell r="G726">
            <v>60.427480314961109</v>
          </cell>
          <cell r="H726">
            <v>60.427480314961109</v>
          </cell>
          <cell r="I726" t="e">
            <v>#N/A</v>
          </cell>
          <cell r="J726" t="e">
            <v>#N/A</v>
          </cell>
          <cell r="K726" t="e">
            <v>#N/A</v>
          </cell>
          <cell r="L726" t="e">
            <v>#N/A</v>
          </cell>
          <cell r="M726" t="e">
            <v>#N/A</v>
          </cell>
          <cell r="N726" t="e">
            <v>#N/A</v>
          </cell>
          <cell r="O726" t="e">
            <v>#N/A</v>
          </cell>
          <cell r="P726">
            <v>71.03</v>
          </cell>
          <cell r="Q726" t="str">
            <v/>
          </cell>
          <cell r="R726" t="e">
            <v>#N/A</v>
          </cell>
        </row>
        <row r="727">
          <cell r="A727">
            <v>40520</v>
          </cell>
          <cell r="B727">
            <v>40520</v>
          </cell>
          <cell r="C727" t="str">
            <v>Future</v>
          </cell>
          <cell r="D727" t="e">
            <v>#N/A</v>
          </cell>
          <cell r="E727">
            <v>23.769881889763489</v>
          </cell>
          <cell r="F727">
            <v>93.632086614173758</v>
          </cell>
          <cell r="G727">
            <v>60.364370078740635</v>
          </cell>
          <cell r="H727">
            <v>60.364370078740635</v>
          </cell>
          <cell r="I727" t="e">
            <v>#N/A</v>
          </cell>
          <cell r="J727" t="e">
            <v>#N/A</v>
          </cell>
          <cell r="K727" t="e">
            <v>#N/A</v>
          </cell>
          <cell r="L727" t="e">
            <v>#N/A</v>
          </cell>
          <cell r="M727" t="e">
            <v>#N/A</v>
          </cell>
          <cell r="N727" t="e">
            <v>#N/A</v>
          </cell>
          <cell r="O727" t="e">
            <v>#N/A</v>
          </cell>
          <cell r="P727">
            <v>71.03</v>
          </cell>
          <cell r="Q727" t="str">
            <v/>
          </cell>
          <cell r="R727" t="e">
            <v>#N/A</v>
          </cell>
        </row>
        <row r="728">
          <cell r="A728">
            <v>40521</v>
          </cell>
          <cell r="B728">
            <v>40521</v>
          </cell>
          <cell r="C728" t="str">
            <v>Future</v>
          </cell>
          <cell r="D728" t="e">
            <v>#N/A</v>
          </cell>
          <cell r="E728">
            <v>23.490236220472152</v>
          </cell>
          <cell r="F728">
            <v>93.765826771654076</v>
          </cell>
          <cell r="G728">
            <v>60.30125984252016</v>
          </cell>
          <cell r="H728">
            <v>60.30125984252016</v>
          </cell>
          <cell r="I728" t="e">
            <v>#N/A</v>
          </cell>
          <cell r="J728" t="e">
            <v>#N/A</v>
          </cell>
          <cell r="K728" t="e">
            <v>#N/A</v>
          </cell>
          <cell r="L728" t="e">
            <v>#N/A</v>
          </cell>
          <cell r="M728" t="e">
            <v>#N/A</v>
          </cell>
          <cell r="N728" t="e">
            <v>#N/A</v>
          </cell>
          <cell r="O728" t="e">
            <v>#N/A</v>
          </cell>
          <cell r="P728">
            <v>71.03</v>
          </cell>
          <cell r="Q728" t="str">
            <v/>
          </cell>
          <cell r="R728" t="e">
            <v>#N/A</v>
          </cell>
        </row>
        <row r="729">
          <cell r="A729">
            <v>40522</v>
          </cell>
          <cell r="B729">
            <v>40522</v>
          </cell>
          <cell r="C729" t="str">
            <v>Future</v>
          </cell>
          <cell r="D729" t="e">
            <v>#N/A</v>
          </cell>
          <cell r="E729">
            <v>23.210590551180815</v>
          </cell>
          <cell r="F729">
            <v>93.899566929134394</v>
          </cell>
          <cell r="G729">
            <v>60.238149606299686</v>
          </cell>
          <cell r="H729">
            <v>60.238149606299686</v>
          </cell>
          <cell r="I729" t="e">
            <v>#N/A</v>
          </cell>
          <cell r="J729" t="e">
            <v>#N/A</v>
          </cell>
          <cell r="K729" t="e">
            <v>#N/A</v>
          </cell>
          <cell r="L729" t="e">
            <v>#N/A</v>
          </cell>
          <cell r="M729" t="e">
            <v>#N/A</v>
          </cell>
          <cell r="N729" t="e">
            <v>#N/A</v>
          </cell>
          <cell r="O729" t="e">
            <v>#N/A</v>
          </cell>
          <cell r="P729">
            <v>71.03</v>
          </cell>
          <cell r="Q729" t="str">
            <v/>
          </cell>
          <cell r="R729" t="e">
            <v>#N/A</v>
          </cell>
        </row>
        <row r="730">
          <cell r="A730">
            <v>40525</v>
          </cell>
          <cell r="B730">
            <v>40525</v>
          </cell>
          <cell r="C730" t="str">
            <v>Future</v>
          </cell>
          <cell r="D730" t="e">
            <v>#N/A</v>
          </cell>
          <cell r="E730">
            <v>22.930944881889477</v>
          </cell>
          <cell r="F730">
            <v>94.033307086614712</v>
          </cell>
          <cell r="G730">
            <v>60.175039370079212</v>
          </cell>
          <cell r="H730">
            <v>60.175039370079212</v>
          </cell>
          <cell r="I730" t="e">
            <v>#N/A</v>
          </cell>
          <cell r="J730" t="e">
            <v>#N/A</v>
          </cell>
          <cell r="K730" t="e">
            <v>#N/A</v>
          </cell>
          <cell r="L730" t="e">
            <v>#N/A</v>
          </cell>
          <cell r="M730" t="e">
            <v>#N/A</v>
          </cell>
          <cell r="N730" t="e">
            <v>#N/A</v>
          </cell>
          <cell r="O730" t="e">
            <v>#N/A</v>
          </cell>
          <cell r="P730">
            <v>71.03</v>
          </cell>
          <cell r="Q730" t="str">
            <v/>
          </cell>
          <cell r="R730" t="e">
            <v>#N/A</v>
          </cell>
        </row>
        <row r="731">
          <cell r="A731">
            <v>40526</v>
          </cell>
          <cell r="B731">
            <v>40526</v>
          </cell>
          <cell r="C731" t="str">
            <v>Future</v>
          </cell>
          <cell r="D731" t="e">
            <v>#N/A</v>
          </cell>
          <cell r="E731">
            <v>22.65129921259814</v>
          </cell>
          <cell r="F731">
            <v>94.167047244095031</v>
          </cell>
          <cell r="G731">
            <v>60.111929133858737</v>
          </cell>
          <cell r="H731">
            <v>60.111929133858737</v>
          </cell>
          <cell r="I731" t="e">
            <v>#N/A</v>
          </cell>
          <cell r="J731" t="e">
            <v>#N/A</v>
          </cell>
          <cell r="K731" t="e">
            <v>#N/A</v>
          </cell>
          <cell r="L731" t="e">
            <v>#N/A</v>
          </cell>
          <cell r="M731" t="e">
            <v>#N/A</v>
          </cell>
          <cell r="N731" t="e">
            <v>#N/A</v>
          </cell>
          <cell r="O731" t="e">
            <v>#N/A</v>
          </cell>
          <cell r="P731">
            <v>71.03</v>
          </cell>
          <cell r="Q731" t="str">
            <v/>
          </cell>
          <cell r="R731" t="e">
            <v>#N/A</v>
          </cell>
        </row>
        <row r="732">
          <cell r="A732">
            <v>40527</v>
          </cell>
          <cell r="B732">
            <v>40527</v>
          </cell>
          <cell r="C732" t="str">
            <v>Future</v>
          </cell>
          <cell r="D732" t="e">
            <v>#N/A</v>
          </cell>
          <cell r="E732">
            <v>22.371653543306802</v>
          </cell>
          <cell r="F732">
            <v>94.300787401575349</v>
          </cell>
          <cell r="G732">
            <v>60.048818897638263</v>
          </cell>
          <cell r="H732">
            <v>60.048818897638263</v>
          </cell>
          <cell r="I732" t="e">
            <v>#N/A</v>
          </cell>
          <cell r="J732" t="e">
            <v>#N/A</v>
          </cell>
          <cell r="K732" t="e">
            <v>#N/A</v>
          </cell>
          <cell r="L732" t="e">
            <v>#N/A</v>
          </cell>
          <cell r="M732" t="e">
            <v>#N/A</v>
          </cell>
          <cell r="N732" t="e">
            <v>#N/A</v>
          </cell>
          <cell r="O732" t="e">
            <v>#N/A</v>
          </cell>
          <cell r="P732">
            <v>71.03</v>
          </cell>
          <cell r="Q732" t="str">
            <v/>
          </cell>
          <cell r="R732" t="e">
            <v>#N/A</v>
          </cell>
        </row>
        <row r="733">
          <cell r="A733">
            <v>40528</v>
          </cell>
          <cell r="B733">
            <v>40528</v>
          </cell>
          <cell r="C733" t="str">
            <v>Future</v>
          </cell>
          <cell r="D733" t="e">
            <v>#N/A</v>
          </cell>
          <cell r="E733">
            <v>22.092007874015465</v>
          </cell>
          <cell r="F733">
            <v>94.434527559055667</v>
          </cell>
          <cell r="G733">
            <v>59.985708661417789</v>
          </cell>
          <cell r="H733">
            <v>59.985708661417789</v>
          </cell>
          <cell r="I733" t="e">
            <v>#N/A</v>
          </cell>
          <cell r="J733" t="e">
            <v>#N/A</v>
          </cell>
          <cell r="K733" t="e">
            <v>#N/A</v>
          </cell>
          <cell r="L733" t="e">
            <v>#N/A</v>
          </cell>
          <cell r="M733" t="e">
            <v>#N/A</v>
          </cell>
          <cell r="N733" t="e">
            <v>#N/A</v>
          </cell>
          <cell r="O733" t="e">
            <v>#N/A</v>
          </cell>
          <cell r="P733">
            <v>71.03</v>
          </cell>
          <cell r="Q733" t="str">
            <v/>
          </cell>
          <cell r="R733" t="e">
            <v>#N/A</v>
          </cell>
        </row>
        <row r="734">
          <cell r="A734">
            <v>40529</v>
          </cell>
          <cell r="B734">
            <v>40529</v>
          </cell>
          <cell r="C734" t="str">
            <v>Future</v>
          </cell>
          <cell r="D734" t="e">
            <v>#N/A</v>
          </cell>
          <cell r="E734">
            <v>21.812362204724128</v>
          </cell>
          <cell r="F734">
            <v>94.568267716535985</v>
          </cell>
          <cell r="G734">
            <v>59.922598425197314</v>
          </cell>
          <cell r="H734">
            <v>59.922598425197314</v>
          </cell>
          <cell r="I734" t="e">
            <v>#N/A</v>
          </cell>
          <cell r="J734" t="e">
            <v>#N/A</v>
          </cell>
          <cell r="K734" t="e">
            <v>#N/A</v>
          </cell>
          <cell r="L734" t="e">
            <v>#N/A</v>
          </cell>
          <cell r="M734" t="e">
            <v>#N/A</v>
          </cell>
          <cell r="N734" t="e">
            <v>#N/A</v>
          </cell>
          <cell r="O734" t="e">
            <v>#N/A</v>
          </cell>
          <cell r="P734">
            <v>71.03</v>
          </cell>
          <cell r="Q734" t="str">
            <v/>
          </cell>
          <cell r="R734" t="e">
            <v>#N/A</v>
          </cell>
        </row>
        <row r="735">
          <cell r="A735">
            <v>40532</v>
          </cell>
          <cell r="B735">
            <v>40532</v>
          </cell>
          <cell r="C735" t="str">
            <v>Future</v>
          </cell>
          <cell r="D735" t="e">
            <v>#N/A</v>
          </cell>
          <cell r="E735">
            <v>21.53271653543279</v>
          </cell>
          <cell r="F735">
            <v>94.702007874016303</v>
          </cell>
          <cell r="G735">
            <v>59.85948818897684</v>
          </cell>
          <cell r="H735">
            <v>59.85948818897684</v>
          </cell>
          <cell r="I735" t="e">
            <v>#N/A</v>
          </cell>
          <cell r="J735" t="e">
            <v>#N/A</v>
          </cell>
          <cell r="K735" t="e">
            <v>#N/A</v>
          </cell>
          <cell r="L735" t="e">
            <v>#N/A</v>
          </cell>
          <cell r="M735" t="e">
            <v>#N/A</v>
          </cell>
          <cell r="N735" t="e">
            <v>#N/A</v>
          </cell>
          <cell r="O735" t="e">
            <v>#N/A</v>
          </cell>
          <cell r="P735">
            <v>71.03</v>
          </cell>
          <cell r="Q735" t="str">
            <v/>
          </cell>
          <cell r="R735" t="e">
            <v>#N/A</v>
          </cell>
        </row>
        <row r="736">
          <cell r="A736">
            <v>40533</v>
          </cell>
          <cell r="B736">
            <v>40533</v>
          </cell>
          <cell r="C736" t="str">
            <v>Future</v>
          </cell>
          <cell r="D736" t="e">
            <v>#N/A</v>
          </cell>
          <cell r="E736">
            <v>21.253070866141453</v>
          </cell>
          <cell r="F736">
            <v>94.835748031496621</v>
          </cell>
          <cell r="G736">
            <v>59.796377952756366</v>
          </cell>
          <cell r="H736">
            <v>59.796377952756366</v>
          </cell>
          <cell r="I736" t="e">
            <v>#N/A</v>
          </cell>
          <cell r="J736" t="e">
            <v>#N/A</v>
          </cell>
          <cell r="K736" t="e">
            <v>#N/A</v>
          </cell>
          <cell r="L736" t="e">
            <v>#N/A</v>
          </cell>
          <cell r="M736" t="e">
            <v>#N/A</v>
          </cell>
          <cell r="N736" t="e">
            <v>#N/A</v>
          </cell>
          <cell r="O736" t="e">
            <v>#N/A</v>
          </cell>
          <cell r="P736">
            <v>71.03</v>
          </cell>
          <cell r="Q736" t="str">
            <v/>
          </cell>
          <cell r="R736" t="e">
            <v>#N/A</v>
          </cell>
        </row>
        <row r="737">
          <cell r="A737">
            <v>40534</v>
          </cell>
          <cell r="B737">
            <v>40534</v>
          </cell>
          <cell r="C737" t="str">
            <v>Future</v>
          </cell>
          <cell r="D737" t="e">
            <v>#N/A</v>
          </cell>
          <cell r="E737">
            <v>20.973425196850116</v>
          </cell>
          <cell r="F737">
            <v>94.969488188976939</v>
          </cell>
          <cell r="G737">
            <v>59.733267716535892</v>
          </cell>
          <cell r="H737">
            <v>59.733267716535892</v>
          </cell>
          <cell r="I737" t="e">
            <v>#N/A</v>
          </cell>
          <cell r="J737" t="e">
            <v>#N/A</v>
          </cell>
          <cell r="K737" t="e">
            <v>#N/A</v>
          </cell>
          <cell r="L737" t="e">
            <v>#N/A</v>
          </cell>
          <cell r="M737" t="e">
            <v>#N/A</v>
          </cell>
          <cell r="N737" t="e">
            <v>#N/A</v>
          </cell>
          <cell r="O737" t="e">
            <v>#N/A</v>
          </cell>
          <cell r="P737">
            <v>71.03</v>
          </cell>
          <cell r="Q737" t="str">
            <v/>
          </cell>
          <cell r="R737" t="e">
            <v>#N/A</v>
          </cell>
        </row>
        <row r="738">
          <cell r="A738">
            <v>40535</v>
          </cell>
          <cell r="B738">
            <v>40535</v>
          </cell>
          <cell r="C738" t="str">
            <v>Future</v>
          </cell>
          <cell r="D738" t="e">
            <v>#N/A</v>
          </cell>
          <cell r="E738">
            <v>20.693779527558778</v>
          </cell>
          <cell r="F738">
            <v>95.103228346457257</v>
          </cell>
          <cell r="G738">
            <v>59.670157480315417</v>
          </cell>
          <cell r="H738">
            <v>59.670157480315417</v>
          </cell>
          <cell r="I738" t="e">
            <v>#N/A</v>
          </cell>
          <cell r="J738" t="e">
            <v>#N/A</v>
          </cell>
          <cell r="K738" t="e">
            <v>#N/A</v>
          </cell>
          <cell r="L738" t="e">
            <v>#N/A</v>
          </cell>
          <cell r="M738" t="e">
            <v>#N/A</v>
          </cell>
          <cell r="N738" t="e">
            <v>#N/A</v>
          </cell>
          <cell r="O738" t="e">
            <v>#N/A</v>
          </cell>
          <cell r="P738">
            <v>71.03</v>
          </cell>
          <cell r="Q738" t="str">
            <v/>
          </cell>
          <cell r="R738" t="e">
            <v>#N/A</v>
          </cell>
        </row>
        <row r="739">
          <cell r="A739">
            <v>40539</v>
          </cell>
          <cell r="B739">
            <v>40539</v>
          </cell>
          <cell r="C739" t="str">
            <v>Future</v>
          </cell>
          <cell r="D739" t="e">
            <v>#N/A</v>
          </cell>
          <cell r="E739">
            <v>20.414133858267441</v>
          </cell>
          <cell r="F739">
            <v>95.236968503937575</v>
          </cell>
          <cell r="G739">
            <v>59.607047244094943</v>
          </cell>
          <cell r="H739">
            <v>59.607047244094943</v>
          </cell>
          <cell r="I739" t="e">
            <v>#N/A</v>
          </cell>
          <cell r="J739" t="e">
            <v>#N/A</v>
          </cell>
          <cell r="K739" t="e">
            <v>#N/A</v>
          </cell>
          <cell r="L739" t="e">
            <v>#N/A</v>
          </cell>
          <cell r="M739" t="e">
            <v>#N/A</v>
          </cell>
          <cell r="N739" t="e">
            <v>#N/A</v>
          </cell>
          <cell r="O739" t="e">
            <v>#N/A</v>
          </cell>
          <cell r="P739">
            <v>71.03</v>
          </cell>
          <cell r="Q739" t="str">
            <v/>
          </cell>
          <cell r="R739" t="e">
            <v>#N/A</v>
          </cell>
        </row>
        <row r="740">
          <cell r="A740">
            <v>40540</v>
          </cell>
          <cell r="B740">
            <v>40540</v>
          </cell>
          <cell r="C740" t="str">
            <v>Future</v>
          </cell>
          <cell r="D740" t="e">
            <v>#N/A</v>
          </cell>
          <cell r="E740">
            <v>20.134488188976103</v>
          </cell>
          <cell r="F740">
            <v>95.370708661417893</v>
          </cell>
          <cell r="G740">
            <v>59.543937007874469</v>
          </cell>
          <cell r="H740">
            <v>59.543937007874469</v>
          </cell>
          <cell r="I740" t="e">
            <v>#N/A</v>
          </cell>
          <cell r="J740" t="e">
            <v>#N/A</v>
          </cell>
          <cell r="K740" t="e">
            <v>#N/A</v>
          </cell>
          <cell r="L740" t="e">
            <v>#N/A</v>
          </cell>
          <cell r="M740" t="e">
            <v>#N/A</v>
          </cell>
          <cell r="N740" t="e">
            <v>#N/A</v>
          </cell>
          <cell r="O740" t="e">
            <v>#N/A</v>
          </cell>
          <cell r="P740">
            <v>71.03</v>
          </cell>
          <cell r="Q740" t="str">
            <v/>
          </cell>
          <cell r="R740" t="e">
            <v>#N/A</v>
          </cell>
        </row>
        <row r="741">
          <cell r="A741">
            <v>40541</v>
          </cell>
          <cell r="B741">
            <v>40541</v>
          </cell>
          <cell r="C741" t="str">
            <v>Future</v>
          </cell>
          <cell r="D741" t="e">
            <v>#N/A</v>
          </cell>
          <cell r="E741">
            <v>19.854842519684766</v>
          </cell>
          <cell r="F741">
            <v>95.504448818898211</v>
          </cell>
          <cell r="G741">
            <v>59.480826771653994</v>
          </cell>
          <cell r="H741">
            <v>59.480826771653994</v>
          </cell>
          <cell r="I741" t="e">
            <v>#N/A</v>
          </cell>
          <cell r="J741" t="e">
            <v>#N/A</v>
          </cell>
          <cell r="K741" t="e">
            <v>#N/A</v>
          </cell>
          <cell r="L741" t="e">
            <v>#N/A</v>
          </cell>
          <cell r="M741" t="e">
            <v>#N/A</v>
          </cell>
          <cell r="N741" t="e">
            <v>#N/A</v>
          </cell>
          <cell r="O741" t="e">
            <v>#N/A</v>
          </cell>
          <cell r="P741">
            <v>71.03</v>
          </cell>
          <cell r="Q741" t="str">
            <v/>
          </cell>
          <cell r="R741" t="e">
            <v>#N/A</v>
          </cell>
        </row>
        <row r="742">
          <cell r="A742">
            <v>40542</v>
          </cell>
          <cell r="B742">
            <v>40542</v>
          </cell>
          <cell r="C742" t="str">
            <v>Future</v>
          </cell>
          <cell r="D742" t="e">
            <v>#N/A</v>
          </cell>
          <cell r="E742">
            <v>19.575196850393429</v>
          </cell>
          <cell r="F742">
            <v>95.63818897637853</v>
          </cell>
          <cell r="G742">
            <v>59.41771653543352</v>
          </cell>
          <cell r="H742">
            <v>59.41771653543352</v>
          </cell>
          <cell r="I742" t="e">
            <v>#N/A</v>
          </cell>
          <cell r="J742" t="e">
            <v>#N/A</v>
          </cell>
          <cell r="K742" t="e">
            <v>#N/A</v>
          </cell>
          <cell r="L742" t="e">
            <v>#N/A</v>
          </cell>
          <cell r="M742" t="e">
            <v>#N/A</v>
          </cell>
          <cell r="N742" t="e">
            <v>#N/A</v>
          </cell>
          <cell r="O742" t="e">
            <v>#N/A</v>
          </cell>
          <cell r="P742">
            <v>71.03</v>
          </cell>
          <cell r="Q742" t="str">
            <v/>
          </cell>
          <cell r="R742" t="e">
            <v>#N/A</v>
          </cell>
        </row>
        <row r="743">
          <cell r="A743">
            <v>40543</v>
          </cell>
          <cell r="B743">
            <v>40543</v>
          </cell>
          <cell r="C743" t="str">
            <v>Future</v>
          </cell>
          <cell r="D743" t="e">
            <v>#N/A</v>
          </cell>
          <cell r="E743">
            <v>19.295551181102091</v>
          </cell>
          <cell r="F743">
            <v>95.771929133858848</v>
          </cell>
          <cell r="G743">
            <v>59.354606299213046</v>
          </cell>
          <cell r="H743">
            <v>59.354606299213046</v>
          </cell>
          <cell r="I743" t="e">
            <v>#N/A</v>
          </cell>
          <cell r="J743" t="e">
            <v>#N/A</v>
          </cell>
          <cell r="K743" t="e">
            <v>#N/A</v>
          </cell>
          <cell r="L743" t="e">
            <v>#N/A</v>
          </cell>
          <cell r="M743" t="e">
            <v>#N/A</v>
          </cell>
          <cell r="N743" t="e">
            <v>#N/A</v>
          </cell>
          <cell r="O743" t="e">
            <v>#N/A</v>
          </cell>
          <cell r="P743">
            <v>71.03</v>
          </cell>
          <cell r="Q743" t="str">
            <v/>
          </cell>
          <cell r="R743" t="e">
            <v>#N/A</v>
          </cell>
        </row>
        <row r="744">
          <cell r="A744">
            <v>40546</v>
          </cell>
          <cell r="B744">
            <v>40546</v>
          </cell>
          <cell r="C744" t="str">
            <v>Future</v>
          </cell>
          <cell r="D744" t="e">
            <v>#N/A</v>
          </cell>
          <cell r="E744">
            <v>19.015905511810754</v>
          </cell>
          <cell r="F744">
            <v>95.905669291339166</v>
          </cell>
          <cell r="G744">
            <v>59.291496062992572</v>
          </cell>
          <cell r="H744">
            <v>59.291496062992572</v>
          </cell>
          <cell r="I744" t="e">
            <v>#N/A</v>
          </cell>
          <cell r="J744" t="e">
            <v>#N/A</v>
          </cell>
          <cell r="K744" t="e">
            <v>#N/A</v>
          </cell>
          <cell r="L744" t="e">
            <v>#N/A</v>
          </cell>
          <cell r="M744" t="e">
            <v>#N/A</v>
          </cell>
          <cell r="N744" t="e">
            <v>#N/A</v>
          </cell>
          <cell r="O744" t="e">
            <v>#N/A</v>
          </cell>
          <cell r="P744">
            <v>71.03</v>
          </cell>
          <cell r="Q744" t="str">
            <v/>
          </cell>
          <cell r="R744" t="e">
            <v>#N/A</v>
          </cell>
        </row>
        <row r="745">
          <cell r="A745">
            <v>40547</v>
          </cell>
          <cell r="B745">
            <v>40547</v>
          </cell>
          <cell r="C745" t="str">
            <v>Future</v>
          </cell>
          <cell r="D745" t="e">
            <v>#N/A</v>
          </cell>
          <cell r="E745">
            <v>18.736259842519416</v>
          </cell>
          <cell r="F745">
            <v>96.039409448819484</v>
          </cell>
          <cell r="G745">
            <v>59.228385826772097</v>
          </cell>
          <cell r="H745">
            <v>59.228385826772097</v>
          </cell>
          <cell r="I745" t="e">
            <v>#N/A</v>
          </cell>
          <cell r="J745" t="e">
            <v>#N/A</v>
          </cell>
          <cell r="K745" t="e">
            <v>#N/A</v>
          </cell>
          <cell r="L745" t="e">
            <v>#N/A</v>
          </cell>
          <cell r="M745" t="e">
            <v>#N/A</v>
          </cell>
          <cell r="N745" t="e">
            <v>#N/A</v>
          </cell>
          <cell r="O745" t="e">
            <v>#N/A</v>
          </cell>
          <cell r="P745">
            <v>71.03</v>
          </cell>
          <cell r="Q745" t="str">
            <v/>
          </cell>
          <cell r="R745" t="e">
            <v>#N/A</v>
          </cell>
        </row>
        <row r="746">
          <cell r="A746">
            <v>40548</v>
          </cell>
          <cell r="B746">
            <v>40548</v>
          </cell>
          <cell r="C746" t="str">
            <v>Future</v>
          </cell>
          <cell r="D746" t="e">
            <v>#N/A</v>
          </cell>
          <cell r="E746">
            <v>18.456614173228079</v>
          </cell>
          <cell r="F746">
            <v>96.173149606299802</v>
          </cell>
          <cell r="G746">
            <v>59.165275590551623</v>
          </cell>
          <cell r="H746">
            <v>59.165275590551623</v>
          </cell>
          <cell r="I746" t="e">
            <v>#N/A</v>
          </cell>
          <cell r="J746" t="e">
            <v>#N/A</v>
          </cell>
          <cell r="K746" t="e">
            <v>#N/A</v>
          </cell>
          <cell r="L746" t="e">
            <v>#N/A</v>
          </cell>
          <cell r="M746" t="e">
            <v>#N/A</v>
          </cell>
          <cell r="N746" t="e">
            <v>#N/A</v>
          </cell>
          <cell r="O746" t="e">
            <v>#N/A</v>
          </cell>
          <cell r="P746">
            <v>71.03</v>
          </cell>
          <cell r="Q746" t="str">
            <v/>
          </cell>
          <cell r="R746" t="e">
            <v>#N/A</v>
          </cell>
        </row>
        <row r="747">
          <cell r="A747">
            <v>40549</v>
          </cell>
          <cell r="B747">
            <v>40549</v>
          </cell>
          <cell r="C747" t="str">
            <v>Future</v>
          </cell>
          <cell r="D747" t="e">
            <v>#N/A</v>
          </cell>
          <cell r="E747">
            <v>18.176968503936742</v>
          </cell>
          <cell r="F747">
            <v>96.30688976378012</v>
          </cell>
          <cell r="G747">
            <v>59.102165354331149</v>
          </cell>
          <cell r="H747">
            <v>59.102165354331149</v>
          </cell>
          <cell r="I747" t="e">
            <v>#N/A</v>
          </cell>
          <cell r="J747" t="e">
            <v>#N/A</v>
          </cell>
          <cell r="K747" t="e">
            <v>#N/A</v>
          </cell>
          <cell r="L747" t="e">
            <v>#N/A</v>
          </cell>
          <cell r="M747" t="e">
            <v>#N/A</v>
          </cell>
          <cell r="N747" t="e">
            <v>#N/A</v>
          </cell>
          <cell r="O747" t="e">
            <v>#N/A</v>
          </cell>
          <cell r="P747">
            <v>71.03</v>
          </cell>
          <cell r="Q747" t="str">
            <v/>
          </cell>
          <cell r="R747" t="e">
            <v>#N/A</v>
          </cell>
        </row>
        <row r="748">
          <cell r="A748">
            <v>40550</v>
          </cell>
          <cell r="B748">
            <v>40550</v>
          </cell>
          <cell r="C748" t="str">
            <v>Future</v>
          </cell>
          <cell r="D748" t="e">
            <v>#N/A</v>
          </cell>
          <cell r="E748">
            <v>17.897322834645404</v>
          </cell>
          <cell r="F748">
            <v>96.440629921260438</v>
          </cell>
          <cell r="G748">
            <v>59.039055118110674</v>
          </cell>
          <cell r="H748">
            <v>59.039055118110674</v>
          </cell>
          <cell r="I748" t="e">
            <v>#N/A</v>
          </cell>
          <cell r="J748" t="e">
            <v>#N/A</v>
          </cell>
          <cell r="K748" t="e">
            <v>#N/A</v>
          </cell>
          <cell r="L748" t="e">
            <v>#N/A</v>
          </cell>
          <cell r="M748" t="e">
            <v>#N/A</v>
          </cell>
          <cell r="N748" t="e">
            <v>#N/A</v>
          </cell>
          <cell r="O748" t="e">
            <v>#N/A</v>
          </cell>
          <cell r="P748">
            <v>71.03</v>
          </cell>
          <cell r="Q748" t="str">
            <v/>
          </cell>
          <cell r="R748" t="e">
            <v>#N/A</v>
          </cell>
        </row>
        <row r="749">
          <cell r="A749">
            <v>40553</v>
          </cell>
          <cell r="B749">
            <v>40553</v>
          </cell>
          <cell r="C749" t="str">
            <v>Future</v>
          </cell>
          <cell r="D749" t="e">
            <v>#N/A</v>
          </cell>
          <cell r="E749">
            <v>17.617677165354067</v>
          </cell>
          <cell r="F749">
            <v>96.574370078740756</v>
          </cell>
          <cell r="G749">
            <v>58.9759448818902</v>
          </cell>
          <cell r="H749">
            <v>58.9759448818902</v>
          </cell>
          <cell r="I749" t="e">
            <v>#N/A</v>
          </cell>
          <cell r="J749" t="e">
            <v>#N/A</v>
          </cell>
          <cell r="K749" t="e">
            <v>#N/A</v>
          </cell>
          <cell r="L749" t="e">
            <v>#N/A</v>
          </cell>
          <cell r="M749" t="e">
            <v>#N/A</v>
          </cell>
          <cell r="N749" t="e">
            <v>#N/A</v>
          </cell>
          <cell r="O749" t="e">
            <v>#N/A</v>
          </cell>
          <cell r="P749">
            <v>71.03</v>
          </cell>
          <cell r="Q749" t="str">
            <v/>
          </cell>
          <cell r="R749" t="e">
            <v>#N/A</v>
          </cell>
        </row>
        <row r="750">
          <cell r="A750">
            <v>40554</v>
          </cell>
          <cell r="B750">
            <v>40554</v>
          </cell>
          <cell r="C750" t="str">
            <v>Future</v>
          </cell>
          <cell r="D750" t="e">
            <v>#N/A</v>
          </cell>
          <cell r="E750">
            <v>17.33803149606273</v>
          </cell>
          <cell r="F750">
            <v>96.708110236221074</v>
          </cell>
          <cell r="G750">
            <v>58.912834645669726</v>
          </cell>
          <cell r="H750">
            <v>58.912834645669726</v>
          </cell>
          <cell r="I750" t="e">
            <v>#N/A</v>
          </cell>
          <cell r="J750" t="e">
            <v>#N/A</v>
          </cell>
          <cell r="K750" t="e">
            <v>#N/A</v>
          </cell>
          <cell r="L750" t="e">
            <v>#N/A</v>
          </cell>
          <cell r="M750" t="e">
            <v>#N/A</v>
          </cell>
          <cell r="N750" t="e">
            <v>#N/A</v>
          </cell>
          <cell r="O750" t="e">
            <v>#N/A</v>
          </cell>
          <cell r="P750">
            <v>71.03</v>
          </cell>
          <cell r="Q750" t="str">
            <v/>
          </cell>
          <cell r="R750" t="e">
            <v>#N/A</v>
          </cell>
        </row>
        <row r="751">
          <cell r="A751">
            <v>40555</v>
          </cell>
          <cell r="B751">
            <v>40555</v>
          </cell>
          <cell r="C751" t="str">
            <v>Future</v>
          </cell>
          <cell r="D751" t="e">
            <v>#N/A</v>
          </cell>
          <cell r="E751">
            <v>17.058385826771392</v>
          </cell>
          <cell r="F751">
            <v>96.841850393701392</v>
          </cell>
          <cell r="G751">
            <v>58.849724409449252</v>
          </cell>
          <cell r="H751">
            <v>58.849724409449252</v>
          </cell>
          <cell r="I751" t="e">
            <v>#N/A</v>
          </cell>
          <cell r="J751" t="e">
            <v>#N/A</v>
          </cell>
          <cell r="K751" t="e">
            <v>#N/A</v>
          </cell>
          <cell r="L751" t="e">
            <v>#N/A</v>
          </cell>
          <cell r="M751" t="e">
            <v>#N/A</v>
          </cell>
          <cell r="N751" t="e">
            <v>#N/A</v>
          </cell>
          <cell r="O751" t="e">
            <v>#N/A</v>
          </cell>
          <cell r="P751">
            <v>71.03</v>
          </cell>
          <cell r="Q751" t="str">
            <v/>
          </cell>
          <cell r="R751" t="e">
            <v>#N/A</v>
          </cell>
        </row>
        <row r="752">
          <cell r="A752">
            <v>40556</v>
          </cell>
          <cell r="B752">
            <v>40556</v>
          </cell>
          <cell r="C752" t="str">
            <v>Future</v>
          </cell>
          <cell r="D752" t="e">
            <v>#N/A</v>
          </cell>
          <cell r="E752">
            <v>16.778740157480055</v>
          </cell>
          <cell r="F752">
            <v>96.97559055118171</v>
          </cell>
          <cell r="G752">
            <v>58.786614173228777</v>
          </cell>
          <cell r="H752">
            <v>58.786614173228777</v>
          </cell>
          <cell r="I752" t="e">
            <v>#N/A</v>
          </cell>
          <cell r="J752" t="e">
            <v>#N/A</v>
          </cell>
          <cell r="K752" t="e">
            <v>#N/A</v>
          </cell>
          <cell r="L752" t="e">
            <v>#N/A</v>
          </cell>
          <cell r="M752" t="e">
            <v>#N/A</v>
          </cell>
          <cell r="N752" t="e">
            <v>#N/A</v>
          </cell>
          <cell r="O752" t="e">
            <v>#N/A</v>
          </cell>
          <cell r="P752">
            <v>71.03</v>
          </cell>
          <cell r="Q752" t="str">
            <v/>
          </cell>
          <cell r="R752" t="e">
            <v>#N/A</v>
          </cell>
        </row>
        <row r="753">
          <cell r="A753">
            <v>40557</v>
          </cell>
          <cell r="B753">
            <v>40557</v>
          </cell>
          <cell r="C753" t="str">
            <v>Future</v>
          </cell>
          <cell r="D753" t="e">
            <v>#N/A</v>
          </cell>
          <cell r="E753">
            <v>16.499094488188717</v>
          </cell>
          <cell r="F753">
            <v>97.109330708662029</v>
          </cell>
          <cell r="G753">
            <v>58.723503937008303</v>
          </cell>
          <cell r="H753">
            <v>58.723503937008303</v>
          </cell>
          <cell r="I753" t="e">
            <v>#N/A</v>
          </cell>
          <cell r="J753" t="e">
            <v>#N/A</v>
          </cell>
          <cell r="K753" t="e">
            <v>#N/A</v>
          </cell>
          <cell r="L753" t="e">
            <v>#N/A</v>
          </cell>
          <cell r="M753" t="e">
            <v>#N/A</v>
          </cell>
          <cell r="N753" t="e">
            <v>#N/A</v>
          </cell>
          <cell r="O753" t="e">
            <v>#N/A</v>
          </cell>
          <cell r="P753">
            <v>71.03</v>
          </cell>
          <cell r="Q753" t="str">
            <v/>
          </cell>
          <cell r="R753" t="e">
            <v>#N/A</v>
          </cell>
        </row>
        <row r="754">
          <cell r="A754">
            <v>40561</v>
          </cell>
          <cell r="B754">
            <v>40561</v>
          </cell>
          <cell r="C754" t="str">
            <v>Future</v>
          </cell>
          <cell r="D754" t="e">
            <v>#N/A</v>
          </cell>
          <cell r="E754">
            <v>16.21944881889738</v>
          </cell>
          <cell r="F754">
            <v>97.243070866142347</v>
          </cell>
          <cell r="G754">
            <v>58.660393700787829</v>
          </cell>
          <cell r="H754">
            <v>58.660393700787829</v>
          </cell>
          <cell r="I754" t="e">
            <v>#N/A</v>
          </cell>
          <cell r="J754" t="e">
            <v>#N/A</v>
          </cell>
          <cell r="K754" t="e">
            <v>#N/A</v>
          </cell>
          <cell r="L754" t="e">
            <v>#N/A</v>
          </cell>
          <cell r="M754" t="e">
            <v>#N/A</v>
          </cell>
          <cell r="N754" t="e">
            <v>#N/A</v>
          </cell>
          <cell r="O754" t="e">
            <v>#N/A</v>
          </cell>
          <cell r="P754">
            <v>71.03</v>
          </cell>
          <cell r="Q754" t="str">
            <v/>
          </cell>
          <cell r="R754" t="e">
            <v>#N/A</v>
          </cell>
        </row>
        <row r="755">
          <cell r="A755">
            <v>40562</v>
          </cell>
          <cell r="B755">
            <v>40562</v>
          </cell>
          <cell r="C755" t="str">
            <v>Future</v>
          </cell>
          <cell r="D755" t="e">
            <v>#N/A</v>
          </cell>
          <cell r="E755">
            <v>15.939803149606041</v>
          </cell>
          <cell r="F755">
            <v>97.376811023622665</v>
          </cell>
          <cell r="G755">
            <v>58.597283464567354</v>
          </cell>
          <cell r="H755">
            <v>58.597283464567354</v>
          </cell>
          <cell r="I755" t="e">
            <v>#N/A</v>
          </cell>
          <cell r="J755" t="e">
            <v>#N/A</v>
          </cell>
          <cell r="K755" t="e">
            <v>#N/A</v>
          </cell>
          <cell r="L755" t="e">
            <v>#N/A</v>
          </cell>
          <cell r="M755" t="e">
            <v>#N/A</v>
          </cell>
          <cell r="N755" t="e">
            <v>#N/A</v>
          </cell>
          <cell r="O755" t="e">
            <v>#N/A</v>
          </cell>
          <cell r="P755">
            <v>71.03</v>
          </cell>
          <cell r="Q755" t="str">
            <v/>
          </cell>
          <cell r="R755" t="e">
            <v>#N/A</v>
          </cell>
        </row>
        <row r="756">
          <cell r="A756">
            <v>40563</v>
          </cell>
          <cell r="B756">
            <v>40563</v>
          </cell>
          <cell r="C756" t="str">
            <v>Future</v>
          </cell>
          <cell r="D756" t="e">
            <v>#N/A</v>
          </cell>
          <cell r="E756">
            <v>15.660157480314702</v>
          </cell>
          <cell r="F756">
            <v>97.510551181102983</v>
          </cell>
          <cell r="G756">
            <v>58.53417322834688</v>
          </cell>
          <cell r="H756">
            <v>58.53417322834688</v>
          </cell>
          <cell r="I756" t="e">
            <v>#N/A</v>
          </cell>
          <cell r="J756" t="e">
            <v>#N/A</v>
          </cell>
          <cell r="K756" t="e">
            <v>#N/A</v>
          </cell>
          <cell r="L756" t="e">
            <v>#N/A</v>
          </cell>
          <cell r="M756" t="e">
            <v>#N/A</v>
          </cell>
          <cell r="N756" t="e">
            <v>#N/A</v>
          </cell>
          <cell r="O756" t="e">
            <v>#N/A</v>
          </cell>
          <cell r="P756">
            <v>71.03</v>
          </cell>
          <cell r="Q756" t="str">
            <v/>
          </cell>
          <cell r="R756" t="e">
            <v>#N/A</v>
          </cell>
        </row>
        <row r="757">
          <cell r="A757">
            <v>40564</v>
          </cell>
          <cell r="B757">
            <v>40564</v>
          </cell>
          <cell r="C757" t="str">
            <v>Future</v>
          </cell>
          <cell r="D757" t="e">
            <v>#N/A</v>
          </cell>
          <cell r="E757">
            <v>15.380511811023363</v>
          </cell>
          <cell r="F757">
            <v>97.644291338583301</v>
          </cell>
          <cell r="G757">
            <v>58.471062992126406</v>
          </cell>
          <cell r="H757">
            <v>58.471062992126406</v>
          </cell>
          <cell r="I757" t="e">
            <v>#N/A</v>
          </cell>
          <cell r="J757" t="e">
            <v>#N/A</v>
          </cell>
          <cell r="K757" t="e">
            <v>#N/A</v>
          </cell>
          <cell r="L757" t="e">
            <v>#N/A</v>
          </cell>
          <cell r="M757" t="e">
            <v>#N/A</v>
          </cell>
          <cell r="N757" t="e">
            <v>#N/A</v>
          </cell>
          <cell r="O757" t="e">
            <v>#N/A</v>
          </cell>
          <cell r="P757">
            <v>71.03</v>
          </cell>
          <cell r="Q757" t="str">
            <v/>
          </cell>
          <cell r="R757" t="e">
            <v>#N/A</v>
          </cell>
        </row>
        <row r="758">
          <cell r="A758">
            <v>40567</v>
          </cell>
          <cell r="B758">
            <v>40567</v>
          </cell>
          <cell r="C758" t="str">
            <v>Future</v>
          </cell>
          <cell r="D758" t="e">
            <v>#N/A</v>
          </cell>
          <cell r="E758">
            <v>15.100866141732023</v>
          </cell>
          <cell r="F758">
            <v>97.778031496063619</v>
          </cell>
          <cell r="G758">
            <v>58.407952755905931</v>
          </cell>
          <cell r="H758">
            <v>58.407952755905931</v>
          </cell>
          <cell r="I758" t="e">
            <v>#N/A</v>
          </cell>
          <cell r="J758" t="e">
            <v>#N/A</v>
          </cell>
          <cell r="K758" t="e">
            <v>#N/A</v>
          </cell>
          <cell r="L758" t="e">
            <v>#N/A</v>
          </cell>
          <cell r="M758" t="e">
            <v>#N/A</v>
          </cell>
          <cell r="N758" t="e">
            <v>#N/A</v>
          </cell>
          <cell r="O758" t="e">
            <v>#N/A</v>
          </cell>
          <cell r="P758">
            <v>71.03</v>
          </cell>
          <cell r="Q758" t="str">
            <v/>
          </cell>
          <cell r="R758" t="e">
            <v>#N/A</v>
          </cell>
        </row>
        <row r="759">
          <cell r="A759">
            <v>40568</v>
          </cell>
          <cell r="B759">
            <v>40568</v>
          </cell>
          <cell r="C759" t="str">
            <v>Future</v>
          </cell>
          <cell r="D759" t="e">
            <v>#N/A</v>
          </cell>
          <cell r="E759">
            <v>14.821220472440684</v>
          </cell>
          <cell r="F759">
            <v>97.911771653543937</v>
          </cell>
          <cell r="G759">
            <v>58.344842519685457</v>
          </cell>
          <cell r="H759">
            <v>58.344842519685457</v>
          </cell>
          <cell r="I759" t="e">
            <v>#N/A</v>
          </cell>
          <cell r="J759" t="e">
            <v>#N/A</v>
          </cell>
          <cell r="K759" t="e">
            <v>#N/A</v>
          </cell>
          <cell r="L759" t="e">
            <v>#N/A</v>
          </cell>
          <cell r="M759" t="e">
            <v>#N/A</v>
          </cell>
          <cell r="N759" t="e">
            <v>#N/A</v>
          </cell>
          <cell r="O759" t="e">
            <v>#N/A</v>
          </cell>
          <cell r="P759">
            <v>71.03</v>
          </cell>
          <cell r="Q759" t="str">
            <v/>
          </cell>
          <cell r="R759" t="e">
            <v>#N/A</v>
          </cell>
        </row>
        <row r="760">
          <cell r="A760">
            <v>40569</v>
          </cell>
          <cell r="B760">
            <v>40569</v>
          </cell>
          <cell r="C760" t="str">
            <v>Future</v>
          </cell>
          <cell r="D760" t="e">
            <v>#N/A</v>
          </cell>
          <cell r="E760">
            <v>14.541574803149345</v>
          </cell>
          <cell r="F760">
            <v>98.045511811024255</v>
          </cell>
          <cell r="G760">
            <v>58.281732283464983</v>
          </cell>
          <cell r="H760">
            <v>58.281732283464983</v>
          </cell>
          <cell r="I760" t="e">
            <v>#N/A</v>
          </cell>
          <cell r="J760" t="e">
            <v>#N/A</v>
          </cell>
          <cell r="K760" t="e">
            <v>#N/A</v>
          </cell>
          <cell r="L760" t="e">
            <v>#N/A</v>
          </cell>
          <cell r="M760" t="e">
            <v>#N/A</v>
          </cell>
          <cell r="N760" t="e">
            <v>#N/A</v>
          </cell>
          <cell r="O760" t="e">
            <v>#N/A</v>
          </cell>
          <cell r="P760">
            <v>71.03</v>
          </cell>
          <cell r="Q760" t="str">
            <v/>
          </cell>
          <cell r="R760" t="e">
            <v>#N/A</v>
          </cell>
        </row>
        <row r="761">
          <cell r="A761">
            <v>40570</v>
          </cell>
          <cell r="B761">
            <v>40570</v>
          </cell>
          <cell r="C761" t="str">
            <v>Future</v>
          </cell>
          <cell r="D761" t="e">
            <v>#N/A</v>
          </cell>
          <cell r="E761">
            <v>14.261929133858006</v>
          </cell>
          <cell r="F761">
            <v>98.179251968504573</v>
          </cell>
          <cell r="G761">
            <v>58.218622047244509</v>
          </cell>
          <cell r="H761">
            <v>58.218622047244509</v>
          </cell>
          <cell r="I761" t="e">
            <v>#N/A</v>
          </cell>
          <cell r="J761" t="e">
            <v>#N/A</v>
          </cell>
          <cell r="K761" t="e">
            <v>#N/A</v>
          </cell>
          <cell r="L761" t="e">
            <v>#N/A</v>
          </cell>
          <cell r="M761" t="e">
            <v>#N/A</v>
          </cell>
          <cell r="N761" t="e">
            <v>#N/A</v>
          </cell>
          <cell r="O761" t="e">
            <v>#N/A</v>
          </cell>
          <cell r="P761">
            <v>71.03</v>
          </cell>
          <cell r="Q761" t="str">
            <v/>
          </cell>
          <cell r="R761" t="e">
            <v>#N/A</v>
          </cell>
        </row>
        <row r="762">
          <cell r="A762">
            <v>40571</v>
          </cell>
          <cell r="B762">
            <v>40571</v>
          </cell>
          <cell r="C762" t="str">
            <v>Future</v>
          </cell>
          <cell r="D762" t="e">
            <v>#N/A</v>
          </cell>
          <cell r="E762">
            <v>13.982283464566667</v>
          </cell>
          <cell r="F762">
            <v>98.312992125984891</v>
          </cell>
          <cell r="G762">
            <v>58.155511811024034</v>
          </cell>
          <cell r="H762">
            <v>58.155511811024034</v>
          </cell>
          <cell r="I762" t="e">
            <v>#N/A</v>
          </cell>
          <cell r="J762" t="e">
            <v>#N/A</v>
          </cell>
          <cell r="K762" t="e">
            <v>#N/A</v>
          </cell>
          <cell r="L762" t="e">
            <v>#N/A</v>
          </cell>
          <cell r="M762" t="e">
            <v>#N/A</v>
          </cell>
          <cell r="N762" t="e">
            <v>#N/A</v>
          </cell>
          <cell r="O762" t="e">
            <v>#N/A</v>
          </cell>
          <cell r="P762">
            <v>71.03</v>
          </cell>
          <cell r="Q762" t="str">
            <v/>
          </cell>
          <cell r="R762" t="e">
            <v>#N/A</v>
          </cell>
        </row>
        <row r="763">
          <cell r="A763">
            <v>40574</v>
          </cell>
          <cell r="B763">
            <v>40574</v>
          </cell>
          <cell r="C763" t="str">
            <v>Future</v>
          </cell>
          <cell r="D763" t="e">
            <v>#N/A</v>
          </cell>
          <cell r="E763">
            <v>13.702637795275328</v>
          </cell>
          <cell r="F763">
            <v>98.446732283465209</v>
          </cell>
          <cell r="G763">
            <v>58.09240157480356</v>
          </cell>
          <cell r="H763">
            <v>58.09240157480356</v>
          </cell>
          <cell r="I763" t="e">
            <v>#N/A</v>
          </cell>
          <cell r="J763" t="e">
            <v>#N/A</v>
          </cell>
          <cell r="K763" t="e">
            <v>#N/A</v>
          </cell>
          <cell r="L763" t="e">
            <v>#N/A</v>
          </cell>
          <cell r="M763" t="e">
            <v>#N/A</v>
          </cell>
          <cell r="N763" t="e">
            <v>#N/A</v>
          </cell>
          <cell r="O763" t="e">
            <v>#N/A</v>
          </cell>
          <cell r="P763">
            <v>71.03</v>
          </cell>
          <cell r="Q763" t="str">
            <v/>
          </cell>
          <cell r="R763" t="e">
            <v>#N/A</v>
          </cell>
        </row>
        <row r="764">
          <cell r="A764">
            <v>40575</v>
          </cell>
          <cell r="B764">
            <v>40575</v>
          </cell>
          <cell r="C764" t="str">
            <v>Future</v>
          </cell>
          <cell r="D764" t="e">
            <v>#N/A</v>
          </cell>
          <cell r="E764">
            <v>13.422992125983988</v>
          </cell>
          <cell r="F764">
            <v>98.580472440945528</v>
          </cell>
          <cell r="G764">
            <v>58.029291338583086</v>
          </cell>
          <cell r="H764">
            <v>58.029291338583086</v>
          </cell>
          <cell r="I764" t="e">
            <v>#N/A</v>
          </cell>
          <cell r="J764" t="e">
            <v>#N/A</v>
          </cell>
          <cell r="K764" t="e">
            <v>#N/A</v>
          </cell>
          <cell r="L764" t="e">
            <v>#N/A</v>
          </cell>
          <cell r="M764" t="e">
            <v>#N/A</v>
          </cell>
          <cell r="N764" t="e">
            <v>#N/A</v>
          </cell>
          <cell r="O764" t="e">
            <v>#N/A</v>
          </cell>
          <cell r="P764">
            <v>71.03</v>
          </cell>
          <cell r="Q764" t="str">
            <v/>
          </cell>
          <cell r="R764" t="e">
            <v>#N/A</v>
          </cell>
        </row>
        <row r="765">
          <cell r="A765">
            <v>40576</v>
          </cell>
          <cell r="B765">
            <v>40576</v>
          </cell>
          <cell r="C765" t="str">
            <v>Future</v>
          </cell>
          <cell r="D765" t="e">
            <v>#N/A</v>
          </cell>
          <cell r="E765">
            <v>13.143346456692649</v>
          </cell>
          <cell r="F765">
            <v>98.714212598425846</v>
          </cell>
          <cell r="G765">
            <v>57.966181102362611</v>
          </cell>
          <cell r="H765">
            <v>57.966181102362611</v>
          </cell>
          <cell r="I765" t="e">
            <v>#N/A</v>
          </cell>
          <cell r="J765" t="e">
            <v>#N/A</v>
          </cell>
          <cell r="K765" t="e">
            <v>#N/A</v>
          </cell>
          <cell r="L765" t="e">
            <v>#N/A</v>
          </cell>
          <cell r="M765" t="e">
            <v>#N/A</v>
          </cell>
          <cell r="N765" t="e">
            <v>#N/A</v>
          </cell>
          <cell r="O765" t="e">
            <v>#N/A</v>
          </cell>
          <cell r="P765">
            <v>71.03</v>
          </cell>
          <cell r="Q765" t="str">
            <v/>
          </cell>
          <cell r="R765" t="e">
            <v>#N/A</v>
          </cell>
        </row>
        <row r="766">
          <cell r="A766">
            <v>40577</v>
          </cell>
          <cell r="B766">
            <v>40577</v>
          </cell>
          <cell r="C766" t="str">
            <v>Future</v>
          </cell>
          <cell r="D766" t="e">
            <v>#N/A</v>
          </cell>
          <cell r="E766">
            <v>12.86370078740131</v>
          </cell>
          <cell r="F766">
            <v>98.847952755906164</v>
          </cell>
          <cell r="G766">
            <v>57.903070866142137</v>
          </cell>
          <cell r="H766">
            <v>57.903070866142137</v>
          </cell>
          <cell r="I766" t="e">
            <v>#N/A</v>
          </cell>
          <cell r="J766" t="e">
            <v>#N/A</v>
          </cell>
          <cell r="K766" t="e">
            <v>#N/A</v>
          </cell>
          <cell r="L766" t="e">
            <v>#N/A</v>
          </cell>
          <cell r="M766" t="e">
            <v>#N/A</v>
          </cell>
          <cell r="N766" t="e">
            <v>#N/A</v>
          </cell>
          <cell r="O766" t="e">
            <v>#N/A</v>
          </cell>
          <cell r="P766">
            <v>71.03</v>
          </cell>
          <cell r="Q766" t="str">
            <v/>
          </cell>
          <cell r="R766" t="e">
            <v>#N/A</v>
          </cell>
        </row>
        <row r="767">
          <cell r="A767">
            <v>40578</v>
          </cell>
          <cell r="B767">
            <v>40578</v>
          </cell>
          <cell r="C767" t="str">
            <v>Future</v>
          </cell>
          <cell r="D767" t="e">
            <v>#N/A</v>
          </cell>
          <cell r="E767">
            <v>12.584055118109971</v>
          </cell>
          <cell r="F767">
            <v>98.981692913386482</v>
          </cell>
          <cell r="G767">
            <v>57.839960629921663</v>
          </cell>
          <cell r="H767">
            <v>57.839960629921663</v>
          </cell>
          <cell r="I767" t="e">
            <v>#N/A</v>
          </cell>
          <cell r="J767" t="e">
            <v>#N/A</v>
          </cell>
          <cell r="K767" t="e">
            <v>#N/A</v>
          </cell>
          <cell r="L767" t="e">
            <v>#N/A</v>
          </cell>
          <cell r="M767" t="e">
            <v>#N/A</v>
          </cell>
          <cell r="N767" t="e">
            <v>#N/A</v>
          </cell>
          <cell r="O767" t="e">
            <v>#N/A</v>
          </cell>
          <cell r="P767">
            <v>71.03</v>
          </cell>
          <cell r="Q767" t="str">
            <v/>
          </cell>
          <cell r="R767" t="e">
            <v>#N/A</v>
          </cell>
        </row>
        <row r="768">
          <cell r="A768">
            <v>40581</v>
          </cell>
          <cell r="B768">
            <v>40581</v>
          </cell>
          <cell r="C768" t="str">
            <v>Future</v>
          </cell>
          <cell r="D768" t="e">
            <v>#N/A</v>
          </cell>
          <cell r="E768">
            <v>12.304409448818632</v>
          </cell>
          <cell r="F768">
            <v>99.1154330708668</v>
          </cell>
          <cell r="G768">
            <v>57.776850393701189</v>
          </cell>
          <cell r="H768">
            <v>57.776850393701189</v>
          </cell>
          <cell r="I768" t="e">
            <v>#N/A</v>
          </cell>
          <cell r="J768" t="e">
            <v>#N/A</v>
          </cell>
          <cell r="K768" t="e">
            <v>#N/A</v>
          </cell>
          <cell r="L768" t="e">
            <v>#N/A</v>
          </cell>
          <cell r="M768" t="e">
            <v>#N/A</v>
          </cell>
          <cell r="N768" t="e">
            <v>#N/A</v>
          </cell>
          <cell r="O768" t="e">
            <v>#N/A</v>
          </cell>
          <cell r="P768">
            <v>71.03</v>
          </cell>
          <cell r="Q768" t="str">
            <v/>
          </cell>
          <cell r="R768" t="e">
            <v>#N/A</v>
          </cell>
        </row>
        <row r="769">
          <cell r="A769">
            <v>40582</v>
          </cell>
          <cell r="B769">
            <v>40582</v>
          </cell>
          <cell r="C769" t="str">
            <v>Future</v>
          </cell>
          <cell r="D769" t="e">
            <v>#N/A</v>
          </cell>
          <cell r="E769">
            <v>12.024763779527293</v>
          </cell>
          <cell r="F769">
            <v>99.249173228347118</v>
          </cell>
          <cell r="G769">
            <v>57.713740157480714</v>
          </cell>
          <cell r="H769">
            <v>57.713740157480714</v>
          </cell>
          <cell r="I769" t="e">
            <v>#N/A</v>
          </cell>
          <cell r="J769" t="e">
            <v>#N/A</v>
          </cell>
          <cell r="K769" t="e">
            <v>#N/A</v>
          </cell>
          <cell r="L769" t="e">
            <v>#N/A</v>
          </cell>
          <cell r="M769" t="e">
            <v>#N/A</v>
          </cell>
          <cell r="N769" t="e">
            <v>#N/A</v>
          </cell>
          <cell r="O769" t="e">
            <v>#N/A</v>
          </cell>
          <cell r="P769">
            <v>71.03</v>
          </cell>
          <cell r="Q769" t="str">
            <v/>
          </cell>
          <cell r="R769" t="e">
            <v>#N/A</v>
          </cell>
        </row>
        <row r="770">
          <cell r="A770">
            <v>40583</v>
          </cell>
          <cell r="B770">
            <v>40583</v>
          </cell>
          <cell r="C770" t="str">
            <v>Future</v>
          </cell>
          <cell r="D770" t="e">
            <v>#N/A</v>
          </cell>
          <cell r="E770">
            <v>11.745118110235953</v>
          </cell>
          <cell r="F770">
            <v>99.382913385827436</v>
          </cell>
          <cell r="G770">
            <v>57.65062992126024</v>
          </cell>
          <cell r="H770">
            <v>57.65062992126024</v>
          </cell>
          <cell r="I770" t="e">
            <v>#N/A</v>
          </cell>
          <cell r="J770" t="e">
            <v>#N/A</v>
          </cell>
          <cell r="K770" t="e">
            <v>#N/A</v>
          </cell>
          <cell r="L770" t="e">
            <v>#N/A</v>
          </cell>
          <cell r="M770" t="e">
            <v>#N/A</v>
          </cell>
          <cell r="N770" t="e">
            <v>#N/A</v>
          </cell>
          <cell r="O770" t="e">
            <v>#N/A</v>
          </cell>
          <cell r="P770">
            <v>71.03</v>
          </cell>
          <cell r="Q770" t="str">
            <v/>
          </cell>
          <cell r="R770" t="e">
            <v>#N/A</v>
          </cell>
        </row>
        <row r="771">
          <cell r="A771">
            <v>40584</v>
          </cell>
          <cell r="B771">
            <v>40584</v>
          </cell>
          <cell r="C771" t="str">
            <v>Future</v>
          </cell>
          <cell r="D771" t="e">
            <v>#N/A</v>
          </cell>
          <cell r="E771">
            <v>11.465472440944614</v>
          </cell>
          <cell r="F771">
            <v>99.516653543307754</v>
          </cell>
          <cell r="G771">
            <v>57.587519685039766</v>
          </cell>
          <cell r="H771">
            <v>57.587519685039766</v>
          </cell>
          <cell r="I771" t="e">
            <v>#N/A</v>
          </cell>
          <cell r="J771" t="e">
            <v>#N/A</v>
          </cell>
          <cell r="K771" t="e">
            <v>#N/A</v>
          </cell>
          <cell r="L771" t="e">
            <v>#N/A</v>
          </cell>
          <cell r="M771" t="e">
            <v>#N/A</v>
          </cell>
          <cell r="N771" t="e">
            <v>#N/A</v>
          </cell>
          <cell r="O771" t="e">
            <v>#N/A</v>
          </cell>
          <cell r="P771">
            <v>71.03</v>
          </cell>
          <cell r="Q771" t="str">
            <v/>
          </cell>
          <cell r="R771" t="e">
            <v>#N/A</v>
          </cell>
        </row>
        <row r="772">
          <cell r="A772">
            <v>40585</v>
          </cell>
          <cell r="B772">
            <v>40585</v>
          </cell>
          <cell r="C772" t="str">
            <v>Future</v>
          </cell>
          <cell r="D772" t="e">
            <v>#N/A</v>
          </cell>
          <cell r="E772">
            <v>11.185826771653275</v>
          </cell>
          <cell r="F772">
            <v>99.650393700788072</v>
          </cell>
          <cell r="G772">
            <v>57.524409448819291</v>
          </cell>
          <cell r="H772">
            <v>57.524409448819291</v>
          </cell>
          <cell r="I772" t="e">
            <v>#N/A</v>
          </cell>
          <cell r="J772" t="e">
            <v>#N/A</v>
          </cell>
          <cell r="K772" t="e">
            <v>#N/A</v>
          </cell>
          <cell r="L772" t="e">
            <v>#N/A</v>
          </cell>
          <cell r="M772" t="e">
            <v>#N/A</v>
          </cell>
          <cell r="N772" t="e">
            <v>#N/A</v>
          </cell>
          <cell r="O772" t="e">
            <v>#N/A</v>
          </cell>
          <cell r="P772">
            <v>71.03</v>
          </cell>
          <cell r="Q772" t="str">
            <v/>
          </cell>
          <cell r="R772" t="e">
            <v>#N/A</v>
          </cell>
        </row>
        <row r="773">
          <cell r="A773">
            <v>40588</v>
          </cell>
          <cell r="B773">
            <v>40588</v>
          </cell>
          <cell r="C773" t="str">
            <v>Future</v>
          </cell>
          <cell r="D773" t="e">
            <v>#N/A</v>
          </cell>
          <cell r="E773">
            <v>10.906181102361936</v>
          </cell>
          <cell r="F773">
            <v>99.78413385826839</v>
          </cell>
          <cell r="G773">
            <v>57.461299212598817</v>
          </cell>
          <cell r="H773">
            <v>57.461299212598817</v>
          </cell>
          <cell r="I773" t="e">
            <v>#N/A</v>
          </cell>
          <cell r="J773" t="e">
            <v>#N/A</v>
          </cell>
          <cell r="K773" t="e">
            <v>#N/A</v>
          </cell>
          <cell r="L773" t="e">
            <v>#N/A</v>
          </cell>
          <cell r="M773" t="e">
            <v>#N/A</v>
          </cell>
          <cell r="N773" t="e">
            <v>#N/A</v>
          </cell>
          <cell r="O773" t="e">
            <v>#N/A</v>
          </cell>
          <cell r="P773">
            <v>71.03</v>
          </cell>
          <cell r="Q773" t="str">
            <v/>
          </cell>
          <cell r="R773" t="e">
            <v>#N/A</v>
          </cell>
        </row>
        <row r="774">
          <cell r="A774">
            <v>40589</v>
          </cell>
          <cell r="B774">
            <v>40589</v>
          </cell>
          <cell r="C774" t="str">
            <v>Future</v>
          </cell>
          <cell r="D774" t="e">
            <v>#N/A</v>
          </cell>
          <cell r="E774">
            <v>10.626535433070597</v>
          </cell>
          <cell r="F774">
            <v>99.917874015748708</v>
          </cell>
          <cell r="G774">
            <v>57.398188976378343</v>
          </cell>
          <cell r="H774">
            <v>57.398188976378343</v>
          </cell>
          <cell r="I774" t="e">
            <v>#N/A</v>
          </cell>
          <cell r="J774" t="e">
            <v>#N/A</v>
          </cell>
          <cell r="K774" t="e">
            <v>#N/A</v>
          </cell>
          <cell r="L774" t="e">
            <v>#N/A</v>
          </cell>
          <cell r="M774" t="e">
            <v>#N/A</v>
          </cell>
          <cell r="N774" t="e">
            <v>#N/A</v>
          </cell>
          <cell r="O774" t="e">
            <v>#N/A</v>
          </cell>
          <cell r="P774">
            <v>71.03</v>
          </cell>
          <cell r="Q774" t="str">
            <v/>
          </cell>
          <cell r="R774" t="e">
            <v>#N/A</v>
          </cell>
        </row>
        <row r="775">
          <cell r="A775">
            <v>40590</v>
          </cell>
          <cell r="B775">
            <v>40590</v>
          </cell>
          <cell r="C775" t="str">
            <v>Future</v>
          </cell>
          <cell r="D775" t="e">
            <v>#N/A</v>
          </cell>
          <cell r="E775">
            <v>10.346889763779258</v>
          </cell>
          <cell r="F775">
            <v>100.05161417322903</v>
          </cell>
          <cell r="G775">
            <v>57.335078740157869</v>
          </cell>
          <cell r="H775">
            <v>57.335078740157869</v>
          </cell>
          <cell r="I775" t="e">
            <v>#N/A</v>
          </cell>
          <cell r="J775" t="e">
            <v>#N/A</v>
          </cell>
          <cell r="K775" t="e">
            <v>#N/A</v>
          </cell>
          <cell r="L775" t="e">
            <v>#N/A</v>
          </cell>
          <cell r="M775" t="e">
            <v>#N/A</v>
          </cell>
          <cell r="N775" t="e">
            <v>#N/A</v>
          </cell>
          <cell r="O775" t="e">
            <v>#N/A</v>
          </cell>
          <cell r="P775">
            <v>71.03</v>
          </cell>
          <cell r="Q775" t="str">
            <v/>
          </cell>
          <cell r="R775" t="e">
            <v>#N/A</v>
          </cell>
        </row>
        <row r="776">
          <cell r="A776">
            <v>40591</v>
          </cell>
          <cell r="B776">
            <v>40591</v>
          </cell>
          <cell r="C776" t="str">
            <v>Future</v>
          </cell>
          <cell r="D776" t="e">
            <v>#N/A</v>
          </cell>
          <cell r="E776">
            <v>10.067244094487918</v>
          </cell>
          <cell r="F776">
            <v>100.18535433070934</v>
          </cell>
          <cell r="G776">
            <v>57.271968503937394</v>
          </cell>
          <cell r="H776">
            <v>57.271968503937394</v>
          </cell>
          <cell r="I776" t="e">
            <v>#N/A</v>
          </cell>
          <cell r="J776" t="e">
            <v>#N/A</v>
          </cell>
          <cell r="K776" t="e">
            <v>#N/A</v>
          </cell>
          <cell r="L776" t="e">
            <v>#N/A</v>
          </cell>
          <cell r="M776" t="e">
            <v>#N/A</v>
          </cell>
          <cell r="N776" t="e">
            <v>#N/A</v>
          </cell>
          <cell r="O776" t="e">
            <v>#N/A</v>
          </cell>
          <cell r="P776">
            <v>71.03</v>
          </cell>
          <cell r="Q776" t="str">
            <v/>
          </cell>
          <cell r="R776" t="e">
            <v>#N/A</v>
          </cell>
        </row>
        <row r="777">
          <cell r="A777">
            <v>40592</v>
          </cell>
          <cell r="B777">
            <v>40592</v>
          </cell>
          <cell r="C777" t="str">
            <v>Future</v>
          </cell>
          <cell r="D777" t="e">
            <v>#N/A</v>
          </cell>
          <cell r="E777">
            <v>9.7875984251965793</v>
          </cell>
          <cell r="F777">
            <v>100.31909448818966</v>
          </cell>
          <cell r="G777">
            <v>57.20885826771692</v>
          </cell>
          <cell r="H777">
            <v>57.20885826771692</v>
          </cell>
          <cell r="I777" t="e">
            <v>#N/A</v>
          </cell>
          <cell r="J777" t="e">
            <v>#N/A</v>
          </cell>
          <cell r="K777" t="e">
            <v>#N/A</v>
          </cell>
          <cell r="L777" t="e">
            <v>#N/A</v>
          </cell>
          <cell r="M777" t="e">
            <v>#N/A</v>
          </cell>
          <cell r="N777" t="e">
            <v>#N/A</v>
          </cell>
          <cell r="O777" t="e">
            <v>#N/A</v>
          </cell>
          <cell r="P777">
            <v>71.03</v>
          </cell>
          <cell r="Q777" t="str">
            <v/>
          </cell>
          <cell r="R777" t="e">
            <v>#N/A</v>
          </cell>
        </row>
        <row r="778">
          <cell r="A778">
            <v>40596</v>
          </cell>
          <cell r="B778">
            <v>40596</v>
          </cell>
          <cell r="C778" t="str">
            <v>Future</v>
          </cell>
          <cell r="D778" t="e">
            <v>#N/A</v>
          </cell>
          <cell r="E778">
            <v>9.5079527559052401</v>
          </cell>
          <cell r="F778">
            <v>100.45283464566998</v>
          </cell>
          <cell r="G778">
            <v>57.145748031496446</v>
          </cell>
          <cell r="H778">
            <v>57.145748031496446</v>
          </cell>
          <cell r="I778" t="e">
            <v>#N/A</v>
          </cell>
          <cell r="J778" t="e">
            <v>#N/A</v>
          </cell>
          <cell r="K778" t="e">
            <v>#N/A</v>
          </cell>
          <cell r="L778" t="e">
            <v>#N/A</v>
          </cell>
          <cell r="M778" t="e">
            <v>#N/A</v>
          </cell>
          <cell r="N778" t="e">
            <v>#N/A</v>
          </cell>
          <cell r="O778" t="e">
            <v>#N/A</v>
          </cell>
          <cell r="P778">
            <v>71.03</v>
          </cell>
          <cell r="Q778" t="str">
            <v/>
          </cell>
          <cell r="R778" t="e">
            <v>#N/A</v>
          </cell>
        </row>
        <row r="779">
          <cell r="A779">
            <v>40597</v>
          </cell>
          <cell r="B779">
            <v>40597</v>
          </cell>
          <cell r="C779" t="str">
            <v>Future</v>
          </cell>
          <cell r="D779" t="e">
            <v>#N/A</v>
          </cell>
          <cell r="E779">
            <v>9.228307086613901</v>
          </cell>
          <cell r="F779">
            <v>100.5865748031503</v>
          </cell>
          <cell r="G779">
            <v>57.082637795275971</v>
          </cell>
          <cell r="H779">
            <v>57.082637795275971</v>
          </cell>
          <cell r="I779" t="e">
            <v>#N/A</v>
          </cell>
          <cell r="J779" t="e">
            <v>#N/A</v>
          </cell>
          <cell r="K779" t="e">
            <v>#N/A</v>
          </cell>
          <cell r="L779" t="e">
            <v>#N/A</v>
          </cell>
          <cell r="M779" t="e">
            <v>#N/A</v>
          </cell>
          <cell r="N779" t="e">
            <v>#N/A</v>
          </cell>
          <cell r="O779" t="e">
            <v>#N/A</v>
          </cell>
          <cell r="P779">
            <v>71.03</v>
          </cell>
          <cell r="Q779" t="str">
            <v/>
          </cell>
          <cell r="R779" t="e">
            <v>#N/A</v>
          </cell>
        </row>
        <row r="780">
          <cell r="A780">
            <v>40598</v>
          </cell>
          <cell r="B780">
            <v>40598</v>
          </cell>
          <cell r="C780" t="str">
            <v>Future</v>
          </cell>
          <cell r="D780" t="e">
            <v>#N/A</v>
          </cell>
          <cell r="E780">
            <v>8.9486614173225618</v>
          </cell>
          <cell r="F780">
            <v>100.72031496063062</v>
          </cell>
          <cell r="G780">
            <v>57.019527559055497</v>
          </cell>
          <cell r="H780">
            <v>57.019527559055497</v>
          </cell>
          <cell r="I780" t="e">
            <v>#N/A</v>
          </cell>
          <cell r="J780" t="e">
            <v>#N/A</v>
          </cell>
          <cell r="K780" t="e">
            <v>#N/A</v>
          </cell>
          <cell r="L780" t="e">
            <v>#N/A</v>
          </cell>
          <cell r="M780" t="e">
            <v>#N/A</v>
          </cell>
          <cell r="N780" t="e">
            <v>#N/A</v>
          </cell>
          <cell r="O780" t="e">
            <v>#N/A</v>
          </cell>
          <cell r="P780">
            <v>71.03</v>
          </cell>
          <cell r="Q780" t="str">
            <v/>
          </cell>
          <cell r="R780" t="e">
            <v>#N/A</v>
          </cell>
        </row>
        <row r="781">
          <cell r="A781">
            <v>40599</v>
          </cell>
          <cell r="B781">
            <v>40599</v>
          </cell>
          <cell r="C781" t="str">
            <v>Future</v>
          </cell>
          <cell r="D781" t="e">
            <v>#N/A</v>
          </cell>
          <cell r="E781">
            <v>8.6690157480312227</v>
          </cell>
          <cell r="F781">
            <v>100.85405511811094</v>
          </cell>
          <cell r="G781">
            <v>56.956417322835023</v>
          </cell>
          <cell r="H781">
            <v>56.956417322835023</v>
          </cell>
          <cell r="I781" t="e">
            <v>#N/A</v>
          </cell>
          <cell r="J781" t="e">
            <v>#N/A</v>
          </cell>
          <cell r="K781" t="e">
            <v>#N/A</v>
          </cell>
          <cell r="L781" t="e">
            <v>#N/A</v>
          </cell>
          <cell r="M781" t="e">
            <v>#N/A</v>
          </cell>
          <cell r="N781" t="e">
            <v>#N/A</v>
          </cell>
          <cell r="O781" t="e">
            <v>#N/A</v>
          </cell>
          <cell r="P781">
            <v>71.03</v>
          </cell>
          <cell r="Q781" t="str">
            <v/>
          </cell>
          <cell r="R781" t="e">
            <v>#N/A</v>
          </cell>
        </row>
        <row r="782">
          <cell r="A782">
            <v>40602</v>
          </cell>
          <cell r="B782">
            <v>40602</v>
          </cell>
          <cell r="C782" t="str">
            <v>Future</v>
          </cell>
          <cell r="D782" t="e">
            <v>#N/A</v>
          </cell>
          <cell r="E782">
            <v>8.3893700787398835</v>
          </cell>
          <cell r="F782">
            <v>100.98779527559125</v>
          </cell>
          <cell r="G782">
            <v>56.893307086614548</v>
          </cell>
          <cell r="H782">
            <v>56.893307086614548</v>
          </cell>
          <cell r="I782" t="e">
            <v>#N/A</v>
          </cell>
          <cell r="J782" t="e">
            <v>#N/A</v>
          </cell>
          <cell r="K782" t="e">
            <v>#N/A</v>
          </cell>
          <cell r="L782" t="e">
            <v>#N/A</v>
          </cell>
          <cell r="M782" t="e">
            <v>#N/A</v>
          </cell>
          <cell r="N782" t="e">
            <v>#N/A</v>
          </cell>
          <cell r="O782" t="e">
            <v>#N/A</v>
          </cell>
          <cell r="P782">
            <v>71.03</v>
          </cell>
          <cell r="Q782" t="str">
            <v/>
          </cell>
          <cell r="R782" t="e">
            <v>#N/A</v>
          </cell>
        </row>
        <row r="783">
          <cell r="A783">
            <v>40603</v>
          </cell>
          <cell r="B783">
            <v>40603</v>
          </cell>
          <cell r="C783" t="str">
            <v>Future</v>
          </cell>
          <cell r="D783" t="e">
            <v>#N/A</v>
          </cell>
          <cell r="E783">
            <v>8.1097244094485443</v>
          </cell>
          <cell r="F783">
            <v>101.12153543307157</v>
          </cell>
          <cell r="G783">
            <v>56.830196850394074</v>
          </cell>
          <cell r="H783">
            <v>56.830196850394074</v>
          </cell>
          <cell r="I783" t="e">
            <v>#N/A</v>
          </cell>
          <cell r="J783" t="e">
            <v>#N/A</v>
          </cell>
          <cell r="K783" t="e">
            <v>#N/A</v>
          </cell>
          <cell r="L783" t="e">
            <v>#N/A</v>
          </cell>
          <cell r="M783" t="e">
            <v>#N/A</v>
          </cell>
          <cell r="N783" t="e">
            <v>#N/A</v>
          </cell>
          <cell r="O783" t="e">
            <v>#N/A</v>
          </cell>
          <cell r="P783">
            <v>71.03</v>
          </cell>
          <cell r="Q783" t="str">
            <v/>
          </cell>
          <cell r="R783" t="e">
            <v>#N/A</v>
          </cell>
        </row>
        <row r="784">
          <cell r="A784">
            <v>40604</v>
          </cell>
          <cell r="B784">
            <v>40604</v>
          </cell>
          <cell r="C784" t="str">
            <v>Future</v>
          </cell>
          <cell r="D784" t="e">
            <v>#N/A</v>
          </cell>
          <cell r="E784">
            <v>7.8300787401572061</v>
          </cell>
          <cell r="F784">
            <v>101.25527559055189</v>
          </cell>
          <cell r="G784">
            <v>56.7670866141736</v>
          </cell>
          <cell r="H784">
            <v>56.7670866141736</v>
          </cell>
          <cell r="I784" t="e">
            <v>#N/A</v>
          </cell>
          <cell r="J784" t="e">
            <v>#N/A</v>
          </cell>
          <cell r="K784" t="e">
            <v>#N/A</v>
          </cell>
          <cell r="L784" t="e">
            <v>#N/A</v>
          </cell>
          <cell r="M784" t="e">
            <v>#N/A</v>
          </cell>
          <cell r="N784" t="e">
            <v>#N/A</v>
          </cell>
          <cell r="O784" t="e">
            <v>#N/A</v>
          </cell>
          <cell r="P784">
            <v>71.03</v>
          </cell>
          <cell r="Q784" t="str">
            <v/>
          </cell>
          <cell r="R784" t="e">
            <v>#N/A</v>
          </cell>
        </row>
        <row r="785">
          <cell r="A785">
            <v>40605</v>
          </cell>
          <cell r="B785">
            <v>40605</v>
          </cell>
          <cell r="C785" t="str">
            <v>Future</v>
          </cell>
          <cell r="D785" t="e">
            <v>#N/A</v>
          </cell>
          <cell r="E785">
            <v>7.5504330708658678</v>
          </cell>
          <cell r="F785">
            <v>101.38901574803221</v>
          </cell>
          <cell r="G785">
            <v>56.703976377953126</v>
          </cell>
          <cell r="H785">
            <v>56.703976377953126</v>
          </cell>
          <cell r="I785" t="e">
            <v>#N/A</v>
          </cell>
          <cell r="J785" t="e">
            <v>#N/A</v>
          </cell>
          <cell r="K785" t="e">
            <v>#N/A</v>
          </cell>
          <cell r="L785" t="e">
            <v>#N/A</v>
          </cell>
          <cell r="M785" t="e">
            <v>#N/A</v>
          </cell>
          <cell r="N785" t="e">
            <v>#N/A</v>
          </cell>
          <cell r="O785" t="e">
            <v>#N/A</v>
          </cell>
          <cell r="P785">
            <v>71.03</v>
          </cell>
          <cell r="Q785" t="str">
            <v/>
          </cell>
          <cell r="R785" t="e">
            <v>#N/A</v>
          </cell>
        </row>
        <row r="786">
          <cell r="A786">
            <v>40606</v>
          </cell>
          <cell r="B786">
            <v>40606</v>
          </cell>
          <cell r="C786" t="str">
            <v>Future</v>
          </cell>
          <cell r="D786" t="e">
            <v>#N/A</v>
          </cell>
          <cell r="E786">
            <v>7.2707874015745295</v>
          </cell>
          <cell r="F786">
            <v>101.52275590551253</v>
          </cell>
          <cell r="G786">
            <v>56.640866141732651</v>
          </cell>
          <cell r="H786">
            <v>56.640866141732651</v>
          </cell>
          <cell r="I786" t="e">
            <v>#N/A</v>
          </cell>
          <cell r="J786" t="e">
            <v>#N/A</v>
          </cell>
          <cell r="K786" t="e">
            <v>#N/A</v>
          </cell>
          <cell r="L786" t="e">
            <v>#N/A</v>
          </cell>
          <cell r="M786" t="e">
            <v>#N/A</v>
          </cell>
          <cell r="N786" t="e">
            <v>#N/A</v>
          </cell>
          <cell r="O786" t="e">
            <v>#N/A</v>
          </cell>
          <cell r="P786">
            <v>71.03</v>
          </cell>
          <cell r="Q786" t="str">
            <v/>
          </cell>
          <cell r="R786" t="e">
            <v>#N/A</v>
          </cell>
        </row>
        <row r="787">
          <cell r="A787">
            <v>40609</v>
          </cell>
          <cell r="B787">
            <v>40609</v>
          </cell>
          <cell r="C787" t="str">
            <v>Future</v>
          </cell>
          <cell r="D787" t="e">
            <v>#N/A</v>
          </cell>
          <cell r="E787">
            <v>6.9911417322831912</v>
          </cell>
          <cell r="F787">
            <v>101.65649606299284</v>
          </cell>
          <cell r="G787">
            <v>56.577755905512177</v>
          </cell>
          <cell r="H787">
            <v>56.577755905512177</v>
          </cell>
          <cell r="I787" t="e">
            <v>#N/A</v>
          </cell>
          <cell r="J787" t="e">
            <v>#N/A</v>
          </cell>
          <cell r="K787" t="e">
            <v>#N/A</v>
          </cell>
          <cell r="L787" t="e">
            <v>#N/A</v>
          </cell>
          <cell r="M787" t="e">
            <v>#N/A</v>
          </cell>
          <cell r="N787" t="e">
            <v>#N/A</v>
          </cell>
          <cell r="O787" t="e">
            <v>#N/A</v>
          </cell>
          <cell r="P787">
            <v>71.03</v>
          </cell>
          <cell r="Q787" t="str">
            <v/>
          </cell>
          <cell r="R787" t="e">
            <v>#N/A</v>
          </cell>
        </row>
        <row r="788">
          <cell r="A788">
            <v>40610</v>
          </cell>
          <cell r="B788">
            <v>40610</v>
          </cell>
          <cell r="C788" t="str">
            <v>Future</v>
          </cell>
          <cell r="D788" t="e">
            <v>#N/A</v>
          </cell>
          <cell r="E788">
            <v>6.711496062991853</v>
          </cell>
          <cell r="F788">
            <v>101.79023622047316</v>
          </cell>
          <cell r="G788">
            <v>56.514645669291703</v>
          </cell>
          <cell r="H788">
            <v>56.514645669291703</v>
          </cell>
          <cell r="I788" t="e">
            <v>#N/A</v>
          </cell>
          <cell r="J788" t="e">
            <v>#N/A</v>
          </cell>
          <cell r="K788" t="e">
            <v>#N/A</v>
          </cell>
          <cell r="L788" t="e">
            <v>#N/A</v>
          </cell>
          <cell r="M788" t="e">
            <v>#N/A</v>
          </cell>
          <cell r="N788" t="e">
            <v>#N/A</v>
          </cell>
          <cell r="O788" t="e">
            <v>#N/A</v>
          </cell>
          <cell r="P788">
            <v>71.03</v>
          </cell>
          <cell r="Q788" t="str">
            <v/>
          </cell>
          <cell r="R788" t="e">
            <v>#N/A</v>
          </cell>
        </row>
        <row r="789">
          <cell r="A789">
            <v>40611</v>
          </cell>
          <cell r="B789">
            <v>40611</v>
          </cell>
          <cell r="C789" t="str">
            <v>Future</v>
          </cell>
          <cell r="D789" t="e">
            <v>#N/A</v>
          </cell>
          <cell r="E789">
            <v>6.4318503937005147</v>
          </cell>
          <cell r="F789">
            <v>101.92397637795348</v>
          </cell>
          <cell r="G789">
            <v>56.451535433071228</v>
          </cell>
          <cell r="H789">
            <v>56.451535433071228</v>
          </cell>
          <cell r="I789" t="e">
            <v>#N/A</v>
          </cell>
          <cell r="J789" t="e">
            <v>#N/A</v>
          </cell>
          <cell r="K789" t="e">
            <v>#N/A</v>
          </cell>
          <cell r="L789" t="e">
            <v>#N/A</v>
          </cell>
          <cell r="M789" t="e">
            <v>#N/A</v>
          </cell>
          <cell r="N789" t="e">
            <v>#N/A</v>
          </cell>
          <cell r="O789" t="e">
            <v>#N/A</v>
          </cell>
          <cell r="P789">
            <v>71.03</v>
          </cell>
          <cell r="Q789" t="str">
            <v/>
          </cell>
          <cell r="R789" t="e">
            <v>#N/A</v>
          </cell>
        </row>
        <row r="790">
          <cell r="A790">
            <v>40612</v>
          </cell>
          <cell r="B790">
            <v>40612</v>
          </cell>
          <cell r="C790" t="str">
            <v>Future</v>
          </cell>
          <cell r="D790" t="e">
            <v>#N/A</v>
          </cell>
          <cell r="E790">
            <v>6.1522047244091764</v>
          </cell>
          <cell r="F790">
            <v>102.0577165354338</v>
          </cell>
          <cell r="G790">
            <v>56.388425196850754</v>
          </cell>
          <cell r="H790">
            <v>56.388425196850754</v>
          </cell>
          <cell r="I790" t="e">
            <v>#N/A</v>
          </cell>
          <cell r="J790" t="e">
            <v>#N/A</v>
          </cell>
          <cell r="K790" t="e">
            <v>#N/A</v>
          </cell>
          <cell r="L790" t="e">
            <v>#N/A</v>
          </cell>
          <cell r="M790" t="e">
            <v>#N/A</v>
          </cell>
          <cell r="N790" t="e">
            <v>#N/A</v>
          </cell>
          <cell r="O790" t="e">
            <v>#N/A</v>
          </cell>
          <cell r="P790">
            <v>71.03</v>
          </cell>
          <cell r="Q790" t="str">
            <v/>
          </cell>
          <cell r="R790" t="e">
            <v>#N/A</v>
          </cell>
        </row>
        <row r="791">
          <cell r="A791">
            <v>40613</v>
          </cell>
          <cell r="B791">
            <v>40613</v>
          </cell>
          <cell r="C791" t="str">
            <v>Future</v>
          </cell>
          <cell r="D791" t="e">
            <v>#N/A</v>
          </cell>
          <cell r="E791">
            <v>5.8725590551178382</v>
          </cell>
          <cell r="F791">
            <v>102.19145669291412</v>
          </cell>
          <cell r="G791">
            <v>56.32531496063028</v>
          </cell>
          <cell r="H791">
            <v>56.32531496063028</v>
          </cell>
          <cell r="I791" t="e">
            <v>#N/A</v>
          </cell>
          <cell r="J791" t="e">
            <v>#N/A</v>
          </cell>
          <cell r="K791" t="e">
            <v>#N/A</v>
          </cell>
          <cell r="L791" t="e">
            <v>#N/A</v>
          </cell>
          <cell r="M791" t="e">
            <v>#N/A</v>
          </cell>
          <cell r="N791" t="e">
            <v>#N/A</v>
          </cell>
          <cell r="O791" t="e">
            <v>#N/A</v>
          </cell>
          <cell r="P791">
            <v>71.03</v>
          </cell>
          <cell r="Q791" t="str">
            <v/>
          </cell>
          <cell r="R791" t="e">
            <v>#N/A</v>
          </cell>
        </row>
        <row r="792">
          <cell r="A792">
            <v>40616</v>
          </cell>
          <cell r="B792">
            <v>40616</v>
          </cell>
          <cell r="C792" t="str">
            <v>Future</v>
          </cell>
          <cell r="D792" t="e">
            <v>#N/A</v>
          </cell>
          <cell r="E792">
            <v>5.5929133858264999</v>
          </cell>
          <cell r="F792">
            <v>102.32519685039443</v>
          </cell>
          <cell r="G792">
            <v>56.262204724409806</v>
          </cell>
          <cell r="H792">
            <v>56.262204724409806</v>
          </cell>
          <cell r="I792" t="e">
            <v>#N/A</v>
          </cell>
          <cell r="J792" t="e">
            <v>#N/A</v>
          </cell>
          <cell r="K792" t="e">
            <v>#N/A</v>
          </cell>
          <cell r="L792" t="e">
            <v>#N/A</v>
          </cell>
          <cell r="M792" t="e">
            <v>#N/A</v>
          </cell>
          <cell r="N792" t="e">
            <v>#N/A</v>
          </cell>
          <cell r="O792" t="e">
            <v>#N/A</v>
          </cell>
          <cell r="P792">
            <v>71.03</v>
          </cell>
          <cell r="Q792" t="str">
            <v/>
          </cell>
          <cell r="R792" t="e">
            <v>#N/A</v>
          </cell>
        </row>
        <row r="793">
          <cell r="A793">
            <v>40617</v>
          </cell>
          <cell r="B793">
            <v>40617</v>
          </cell>
          <cell r="C793" t="str">
            <v>Future</v>
          </cell>
          <cell r="D793" t="e">
            <v>#N/A</v>
          </cell>
          <cell r="E793">
            <v>5.3132677165351616</v>
          </cell>
          <cell r="F793">
            <v>102.45893700787475</v>
          </cell>
          <cell r="G793">
            <v>56.199094488189331</v>
          </cell>
          <cell r="H793">
            <v>56.199094488189331</v>
          </cell>
          <cell r="I793" t="e">
            <v>#N/A</v>
          </cell>
          <cell r="J793" t="e">
            <v>#N/A</v>
          </cell>
          <cell r="K793" t="e">
            <v>#N/A</v>
          </cell>
          <cell r="L793" t="e">
            <v>#N/A</v>
          </cell>
          <cell r="M793" t="e">
            <v>#N/A</v>
          </cell>
          <cell r="N793" t="e">
            <v>#N/A</v>
          </cell>
          <cell r="O793" t="e">
            <v>#N/A</v>
          </cell>
          <cell r="P793">
            <v>71.03</v>
          </cell>
          <cell r="Q793" t="str">
            <v/>
          </cell>
          <cell r="R793" t="e">
            <v>#N/A</v>
          </cell>
        </row>
        <row r="794">
          <cell r="A794">
            <v>40618</v>
          </cell>
          <cell r="B794">
            <v>40618</v>
          </cell>
          <cell r="C794" t="str">
            <v>Future</v>
          </cell>
          <cell r="D794" t="e">
            <v>#N/A</v>
          </cell>
          <cell r="E794">
            <v>5.0336220472438233</v>
          </cell>
          <cell r="F794">
            <v>102.59267716535507</v>
          </cell>
          <cell r="G794">
            <v>56.135984251968857</v>
          </cell>
          <cell r="H794">
            <v>56.135984251968857</v>
          </cell>
          <cell r="I794" t="e">
            <v>#N/A</v>
          </cell>
          <cell r="J794" t="e">
            <v>#N/A</v>
          </cell>
          <cell r="K794" t="e">
            <v>#N/A</v>
          </cell>
          <cell r="L794" t="e">
            <v>#N/A</v>
          </cell>
          <cell r="M794" t="e">
            <v>#N/A</v>
          </cell>
          <cell r="N794" t="e">
            <v>#N/A</v>
          </cell>
          <cell r="O794" t="e">
            <v>#N/A</v>
          </cell>
          <cell r="P794">
            <v>71.03</v>
          </cell>
          <cell r="Q794" t="str">
            <v/>
          </cell>
          <cell r="R794" t="e">
            <v>#N/A</v>
          </cell>
        </row>
        <row r="795">
          <cell r="A795">
            <v>40619</v>
          </cell>
          <cell r="B795">
            <v>40619</v>
          </cell>
          <cell r="C795" t="str">
            <v>Future</v>
          </cell>
          <cell r="D795" t="e">
            <v>#N/A</v>
          </cell>
          <cell r="E795">
            <v>4.7539763779524851</v>
          </cell>
          <cell r="F795">
            <v>102.72641732283539</v>
          </cell>
          <cell r="G795">
            <v>56.072874015748383</v>
          </cell>
          <cell r="H795">
            <v>56.072874015748383</v>
          </cell>
          <cell r="I795" t="e">
            <v>#N/A</v>
          </cell>
          <cell r="J795" t="e">
            <v>#N/A</v>
          </cell>
          <cell r="K795" t="e">
            <v>#N/A</v>
          </cell>
          <cell r="L795" t="e">
            <v>#N/A</v>
          </cell>
          <cell r="M795" t="e">
            <v>#N/A</v>
          </cell>
          <cell r="N795" t="e">
            <v>#N/A</v>
          </cell>
          <cell r="O795" t="e">
            <v>#N/A</v>
          </cell>
          <cell r="P795">
            <v>71.03</v>
          </cell>
          <cell r="Q795" t="str">
            <v/>
          </cell>
          <cell r="R795" t="e">
            <v>#N/A</v>
          </cell>
        </row>
        <row r="796">
          <cell r="A796">
            <v>40620</v>
          </cell>
          <cell r="B796">
            <v>40620</v>
          </cell>
          <cell r="C796" t="str">
            <v>Future</v>
          </cell>
          <cell r="D796" t="e">
            <v>#N/A</v>
          </cell>
          <cell r="E796">
            <v>4.4743307086611468</v>
          </cell>
          <cell r="F796">
            <v>102.86015748031571</v>
          </cell>
          <cell r="G796">
            <v>56.009763779527908</v>
          </cell>
          <cell r="H796">
            <v>56.009763779527908</v>
          </cell>
          <cell r="I796" t="e">
            <v>#N/A</v>
          </cell>
          <cell r="J796" t="e">
            <v>#N/A</v>
          </cell>
          <cell r="K796" t="e">
            <v>#N/A</v>
          </cell>
          <cell r="L796" t="e">
            <v>#N/A</v>
          </cell>
          <cell r="M796" t="e">
            <v>#N/A</v>
          </cell>
          <cell r="N796" t="e">
            <v>#N/A</v>
          </cell>
          <cell r="O796" t="e">
            <v>#N/A</v>
          </cell>
          <cell r="P796">
            <v>71.03</v>
          </cell>
          <cell r="Q796" t="str">
            <v/>
          </cell>
          <cell r="R796" t="e">
            <v>#N/A</v>
          </cell>
        </row>
        <row r="797">
          <cell r="A797">
            <v>40623</v>
          </cell>
          <cell r="B797">
            <v>40623</v>
          </cell>
          <cell r="C797" t="str">
            <v>Future</v>
          </cell>
          <cell r="D797" t="e">
            <v>#N/A</v>
          </cell>
          <cell r="E797">
            <v>4.1946850393698085</v>
          </cell>
          <cell r="F797">
            <v>102.99389763779602</v>
          </cell>
          <cell r="G797">
            <v>55.946653543307434</v>
          </cell>
          <cell r="H797">
            <v>55.946653543307434</v>
          </cell>
          <cell r="I797" t="e">
            <v>#N/A</v>
          </cell>
          <cell r="J797" t="e">
            <v>#N/A</v>
          </cell>
          <cell r="K797" t="e">
            <v>#N/A</v>
          </cell>
          <cell r="L797" t="e">
            <v>#N/A</v>
          </cell>
          <cell r="M797" t="e">
            <v>#N/A</v>
          </cell>
          <cell r="N797" t="e">
            <v>#N/A</v>
          </cell>
          <cell r="O797" t="e">
            <v>#N/A</v>
          </cell>
          <cell r="P797">
            <v>71.03</v>
          </cell>
          <cell r="Q797" t="str">
            <v/>
          </cell>
          <cell r="R797" t="e">
            <v>#N/A</v>
          </cell>
        </row>
        <row r="798">
          <cell r="A798">
            <v>40624</v>
          </cell>
          <cell r="B798">
            <v>40624</v>
          </cell>
          <cell r="C798" t="str">
            <v>Future</v>
          </cell>
          <cell r="D798" t="e">
            <v>#N/A</v>
          </cell>
          <cell r="E798">
            <v>3.9150393700784698</v>
          </cell>
          <cell r="F798">
            <v>103.12763779527634</v>
          </cell>
          <cell r="G798">
            <v>55.88354330708696</v>
          </cell>
          <cell r="H798">
            <v>55.88354330708696</v>
          </cell>
          <cell r="I798" t="e">
            <v>#N/A</v>
          </cell>
          <cell r="J798" t="e">
            <v>#N/A</v>
          </cell>
          <cell r="K798" t="e">
            <v>#N/A</v>
          </cell>
          <cell r="L798" t="e">
            <v>#N/A</v>
          </cell>
          <cell r="M798" t="e">
            <v>#N/A</v>
          </cell>
          <cell r="N798" t="e">
            <v>#N/A</v>
          </cell>
          <cell r="O798" t="e">
            <v>#N/A</v>
          </cell>
          <cell r="P798">
            <v>71.03</v>
          </cell>
          <cell r="Q798" t="str">
            <v/>
          </cell>
          <cell r="R798" t="e">
            <v>#N/A</v>
          </cell>
        </row>
        <row r="799">
          <cell r="A799">
            <v>40625</v>
          </cell>
          <cell r="B799">
            <v>40625</v>
          </cell>
          <cell r="C799" t="str">
            <v>Future</v>
          </cell>
          <cell r="D799" t="e">
            <v>#N/A</v>
          </cell>
          <cell r="E799">
            <v>3.6353937007871311</v>
          </cell>
          <cell r="F799">
            <v>103.26137795275666</v>
          </cell>
          <cell r="G799">
            <v>55.820433070866486</v>
          </cell>
          <cell r="H799">
            <v>55.820433070866486</v>
          </cell>
          <cell r="I799" t="e">
            <v>#N/A</v>
          </cell>
          <cell r="J799" t="e">
            <v>#N/A</v>
          </cell>
          <cell r="K799" t="e">
            <v>#N/A</v>
          </cell>
          <cell r="L799" t="e">
            <v>#N/A</v>
          </cell>
          <cell r="M799" t="e">
            <v>#N/A</v>
          </cell>
          <cell r="N799" t="e">
            <v>#N/A</v>
          </cell>
          <cell r="O799" t="e">
            <v>#N/A</v>
          </cell>
          <cell r="P799">
            <v>71.03</v>
          </cell>
          <cell r="Q799" t="str">
            <v/>
          </cell>
          <cell r="R799" t="e">
            <v>#N/A</v>
          </cell>
        </row>
        <row r="800">
          <cell r="A800">
            <v>40626</v>
          </cell>
          <cell r="B800">
            <v>40626</v>
          </cell>
          <cell r="C800" t="str">
            <v>Future</v>
          </cell>
          <cell r="D800" t="e">
            <v>#N/A</v>
          </cell>
          <cell r="E800">
            <v>3.3557480314957924</v>
          </cell>
          <cell r="F800">
            <v>103.39511811023698</v>
          </cell>
          <cell r="G800">
            <v>55.757322834646011</v>
          </cell>
          <cell r="H800">
            <v>55.757322834646011</v>
          </cell>
          <cell r="I800" t="e">
            <v>#N/A</v>
          </cell>
          <cell r="J800" t="e">
            <v>#N/A</v>
          </cell>
          <cell r="K800" t="e">
            <v>#N/A</v>
          </cell>
          <cell r="L800" t="e">
            <v>#N/A</v>
          </cell>
          <cell r="M800" t="e">
            <v>#N/A</v>
          </cell>
          <cell r="N800" t="e">
            <v>#N/A</v>
          </cell>
          <cell r="O800" t="e">
            <v>#N/A</v>
          </cell>
          <cell r="P800">
            <v>71.03</v>
          </cell>
          <cell r="Q800" t="str">
            <v/>
          </cell>
          <cell r="R800" t="e">
            <v>#N/A</v>
          </cell>
        </row>
        <row r="801">
          <cell r="A801">
            <v>40627</v>
          </cell>
          <cell r="B801">
            <v>40627</v>
          </cell>
          <cell r="C801" t="str">
            <v>Future</v>
          </cell>
          <cell r="D801" t="e">
            <v>#N/A</v>
          </cell>
          <cell r="E801">
            <v>3.0761023622044537</v>
          </cell>
          <cell r="F801">
            <v>103.5288582677173</v>
          </cell>
          <cell r="G801">
            <v>55.694212598425537</v>
          </cell>
          <cell r="H801">
            <v>55.694212598425537</v>
          </cell>
          <cell r="I801" t="e">
            <v>#N/A</v>
          </cell>
          <cell r="J801" t="e">
            <v>#N/A</v>
          </cell>
          <cell r="K801" t="e">
            <v>#N/A</v>
          </cell>
          <cell r="L801" t="e">
            <v>#N/A</v>
          </cell>
          <cell r="M801" t="e">
            <v>#N/A</v>
          </cell>
          <cell r="N801" t="e">
            <v>#N/A</v>
          </cell>
          <cell r="O801" t="e">
            <v>#N/A</v>
          </cell>
          <cell r="P801">
            <v>71.03</v>
          </cell>
          <cell r="Q801" t="str">
            <v/>
          </cell>
          <cell r="R801" t="e">
            <v>#N/A</v>
          </cell>
        </row>
        <row r="802">
          <cell r="A802">
            <v>40630</v>
          </cell>
          <cell r="B802">
            <v>40630</v>
          </cell>
          <cell r="C802" t="str">
            <v>Future</v>
          </cell>
          <cell r="D802" t="e">
            <v>#N/A</v>
          </cell>
          <cell r="E802">
            <v>2.7964566929131149</v>
          </cell>
          <cell r="F802">
            <v>103.66259842519761</v>
          </cell>
          <cell r="G802">
            <v>55.631102362205063</v>
          </cell>
          <cell r="H802">
            <v>55.631102362205063</v>
          </cell>
          <cell r="I802" t="e">
            <v>#N/A</v>
          </cell>
          <cell r="J802" t="e">
            <v>#N/A</v>
          </cell>
          <cell r="K802" t="e">
            <v>#N/A</v>
          </cell>
          <cell r="L802" t="e">
            <v>#N/A</v>
          </cell>
          <cell r="M802" t="e">
            <v>#N/A</v>
          </cell>
          <cell r="N802" t="e">
            <v>#N/A</v>
          </cell>
          <cell r="O802" t="e">
            <v>#N/A</v>
          </cell>
          <cell r="P802">
            <v>71.03</v>
          </cell>
          <cell r="Q802" t="str">
            <v/>
          </cell>
          <cell r="R802" t="e">
            <v>#N/A</v>
          </cell>
        </row>
        <row r="803">
          <cell r="A803">
            <v>40631</v>
          </cell>
          <cell r="B803">
            <v>40631</v>
          </cell>
          <cell r="C803" t="str">
            <v>Future</v>
          </cell>
          <cell r="D803" t="e">
            <v>#N/A</v>
          </cell>
          <cell r="E803">
            <v>2.5168110236217762</v>
          </cell>
          <cell r="F803">
            <v>103.79633858267793</v>
          </cell>
          <cell r="G803">
            <v>55.567992125984588</v>
          </cell>
          <cell r="H803">
            <v>55.567992125984588</v>
          </cell>
          <cell r="I803" t="e">
            <v>#N/A</v>
          </cell>
          <cell r="J803" t="e">
            <v>#N/A</v>
          </cell>
          <cell r="K803" t="e">
            <v>#N/A</v>
          </cell>
          <cell r="L803" t="e">
            <v>#N/A</v>
          </cell>
          <cell r="M803" t="e">
            <v>#N/A</v>
          </cell>
          <cell r="N803" t="e">
            <v>#N/A</v>
          </cell>
          <cell r="O803" t="e">
            <v>#N/A</v>
          </cell>
          <cell r="P803">
            <v>71.03</v>
          </cell>
          <cell r="Q803" t="str">
            <v/>
          </cell>
          <cell r="R803" t="e">
            <v>#N/A</v>
          </cell>
        </row>
        <row r="804">
          <cell r="A804">
            <v>40632</v>
          </cell>
          <cell r="B804">
            <v>40632</v>
          </cell>
          <cell r="C804" t="str">
            <v>Future</v>
          </cell>
          <cell r="D804" t="e">
            <v>#N/A</v>
          </cell>
          <cell r="E804">
            <v>2.2371653543304375</v>
          </cell>
          <cell r="F804">
            <v>103.93007874015825</v>
          </cell>
          <cell r="G804">
            <v>55.504881889764114</v>
          </cell>
          <cell r="H804">
            <v>55.504881889764114</v>
          </cell>
          <cell r="I804" t="e">
            <v>#N/A</v>
          </cell>
          <cell r="J804" t="e">
            <v>#N/A</v>
          </cell>
          <cell r="K804" t="e">
            <v>#N/A</v>
          </cell>
          <cell r="L804" t="e">
            <v>#N/A</v>
          </cell>
          <cell r="M804" t="e">
            <v>#N/A</v>
          </cell>
          <cell r="N804" t="e">
            <v>#N/A</v>
          </cell>
          <cell r="O804" t="e">
            <v>#N/A</v>
          </cell>
          <cell r="P804">
            <v>71.03</v>
          </cell>
          <cell r="Q804" t="str">
            <v/>
          </cell>
          <cell r="R804" t="e">
            <v>#N/A</v>
          </cell>
        </row>
        <row r="805">
          <cell r="A805">
            <v>40633</v>
          </cell>
          <cell r="B805">
            <v>40633</v>
          </cell>
          <cell r="C805" t="str">
            <v>Future</v>
          </cell>
          <cell r="D805" t="e">
            <v>#N/A</v>
          </cell>
          <cell r="E805">
            <v>1.9575196850390988</v>
          </cell>
          <cell r="F805">
            <v>104.06381889763857</v>
          </cell>
          <cell r="G805">
            <v>55.44177165354364</v>
          </cell>
          <cell r="H805">
            <v>55.44177165354364</v>
          </cell>
          <cell r="I805" t="e">
            <v>#N/A</v>
          </cell>
          <cell r="J805" t="e">
            <v>#N/A</v>
          </cell>
          <cell r="K805" t="e">
            <v>#N/A</v>
          </cell>
          <cell r="L805" t="e">
            <v>#N/A</v>
          </cell>
          <cell r="M805" t="e">
            <v>#N/A</v>
          </cell>
          <cell r="N805" t="e">
            <v>#N/A</v>
          </cell>
          <cell r="O805" t="e">
            <v>#N/A</v>
          </cell>
          <cell r="P805">
            <v>71.03</v>
          </cell>
          <cell r="Q805" t="str">
            <v/>
          </cell>
          <cell r="R805" t="e">
            <v>#N/A</v>
          </cell>
        </row>
        <row r="806">
          <cell r="A806">
            <v>40634</v>
          </cell>
          <cell r="B806">
            <v>40634</v>
          </cell>
          <cell r="C806" t="str">
            <v>Future</v>
          </cell>
          <cell r="D806" t="e">
            <v>#N/A</v>
          </cell>
          <cell r="E806">
            <v>1.6778740157477601</v>
          </cell>
          <cell r="F806">
            <v>104.19755905511889</v>
          </cell>
          <cell r="G806">
            <v>55.378661417323165</v>
          </cell>
          <cell r="H806">
            <v>55.378661417323165</v>
          </cell>
          <cell r="I806" t="e">
            <v>#N/A</v>
          </cell>
          <cell r="J806" t="e">
            <v>#N/A</v>
          </cell>
          <cell r="K806" t="e">
            <v>#N/A</v>
          </cell>
          <cell r="L806" t="e">
            <v>#N/A</v>
          </cell>
          <cell r="M806" t="e">
            <v>#N/A</v>
          </cell>
          <cell r="N806" t="e">
            <v>#N/A</v>
          </cell>
          <cell r="O806" t="e">
            <v>#N/A</v>
          </cell>
          <cell r="P806">
            <v>71.03</v>
          </cell>
          <cell r="Q806" t="str">
            <v/>
          </cell>
          <cell r="R806" t="e">
            <v>#N/A</v>
          </cell>
        </row>
        <row r="807">
          <cell r="A807">
            <v>40637</v>
          </cell>
          <cell r="B807">
            <v>40637</v>
          </cell>
          <cell r="C807" t="str">
            <v>Future</v>
          </cell>
          <cell r="D807" t="e">
            <v>#N/A</v>
          </cell>
          <cell r="E807">
            <v>1.3982283464564214</v>
          </cell>
          <cell r="F807">
            <v>104.33129921259921</v>
          </cell>
          <cell r="G807">
            <v>55.315551181102691</v>
          </cell>
          <cell r="H807">
            <v>55.315551181102691</v>
          </cell>
          <cell r="I807" t="e">
            <v>#N/A</v>
          </cell>
          <cell r="J807" t="e">
            <v>#N/A</v>
          </cell>
          <cell r="K807" t="e">
            <v>#N/A</v>
          </cell>
          <cell r="L807" t="e">
            <v>#N/A</v>
          </cell>
          <cell r="M807" t="e">
            <v>#N/A</v>
          </cell>
          <cell r="N807" t="e">
            <v>#N/A</v>
          </cell>
          <cell r="O807" t="e">
            <v>#N/A</v>
          </cell>
          <cell r="P807">
            <v>71.03</v>
          </cell>
          <cell r="Q807" t="str">
            <v/>
          </cell>
          <cell r="R807" t="e">
            <v>#N/A</v>
          </cell>
        </row>
        <row r="808">
          <cell r="A808">
            <v>40638</v>
          </cell>
          <cell r="B808">
            <v>40638</v>
          </cell>
          <cell r="C808" t="str">
            <v>Future</v>
          </cell>
          <cell r="D808" t="e">
            <v>#N/A</v>
          </cell>
          <cell r="E808">
            <v>1.1185826771650826</v>
          </cell>
          <cell r="F808">
            <v>104.46503937007952</v>
          </cell>
          <cell r="G808">
            <v>55.252440944882217</v>
          </cell>
          <cell r="H808">
            <v>55.252440944882217</v>
          </cell>
          <cell r="I808" t="e">
            <v>#N/A</v>
          </cell>
          <cell r="J808" t="e">
            <v>#N/A</v>
          </cell>
          <cell r="K808" t="e">
            <v>#N/A</v>
          </cell>
          <cell r="L808" t="e">
            <v>#N/A</v>
          </cell>
          <cell r="M808" t="e">
            <v>#N/A</v>
          </cell>
          <cell r="N808" t="e">
            <v>#N/A</v>
          </cell>
          <cell r="O808" t="e">
            <v>#N/A</v>
          </cell>
          <cell r="P808">
            <v>71.03</v>
          </cell>
          <cell r="Q808" t="str">
            <v/>
          </cell>
          <cell r="R808" t="e">
            <v>#N/A</v>
          </cell>
        </row>
        <row r="809">
          <cell r="A809">
            <v>40639</v>
          </cell>
          <cell r="B809">
            <v>40639</v>
          </cell>
          <cell r="C809" t="str">
            <v>Future</v>
          </cell>
          <cell r="D809" t="e">
            <v>#N/A</v>
          </cell>
          <cell r="E809">
            <v>0.83893700787374403</v>
          </cell>
          <cell r="F809">
            <v>104.59877952755984</v>
          </cell>
          <cell r="G809">
            <v>55.189330708661743</v>
          </cell>
          <cell r="H809">
            <v>55.189330708661743</v>
          </cell>
          <cell r="I809" t="e">
            <v>#N/A</v>
          </cell>
          <cell r="J809" t="e">
            <v>#N/A</v>
          </cell>
          <cell r="K809" t="e">
            <v>#N/A</v>
          </cell>
          <cell r="L809" t="e">
            <v>#N/A</v>
          </cell>
          <cell r="M809" t="e">
            <v>#N/A</v>
          </cell>
          <cell r="N809" t="e">
            <v>#N/A</v>
          </cell>
          <cell r="O809" t="e">
            <v>#N/A</v>
          </cell>
          <cell r="P809">
            <v>71.03</v>
          </cell>
          <cell r="Q809" t="str">
            <v/>
          </cell>
          <cell r="R809" t="e">
            <v>#N/A</v>
          </cell>
        </row>
        <row r="810">
          <cell r="A810">
            <v>40640</v>
          </cell>
          <cell r="B810">
            <v>40640</v>
          </cell>
          <cell r="C810" t="str">
            <v>Future</v>
          </cell>
          <cell r="D810" t="e">
            <v>#N/A</v>
          </cell>
          <cell r="E810">
            <v>0.55929133858240543</v>
          </cell>
          <cell r="F810">
            <v>104.73251968504016</v>
          </cell>
          <cell r="G810">
            <v>55.126220472441268</v>
          </cell>
          <cell r="H810">
            <v>55.126220472441268</v>
          </cell>
          <cell r="I810" t="e">
            <v>#N/A</v>
          </cell>
          <cell r="J810" t="e">
            <v>#N/A</v>
          </cell>
          <cell r="K810" t="e">
            <v>#N/A</v>
          </cell>
          <cell r="L810" t="e">
            <v>#N/A</v>
          </cell>
          <cell r="M810" t="e">
            <v>#N/A</v>
          </cell>
          <cell r="N810" t="e">
            <v>#N/A</v>
          </cell>
          <cell r="O810" t="e">
            <v>#N/A</v>
          </cell>
          <cell r="P810">
            <v>71.03</v>
          </cell>
          <cell r="Q810" t="str">
            <v/>
          </cell>
          <cell r="R810" t="e">
            <v>#N/A</v>
          </cell>
        </row>
        <row r="811">
          <cell r="A811">
            <v>40641</v>
          </cell>
          <cell r="B811">
            <v>40641</v>
          </cell>
          <cell r="C811" t="str">
            <v>Future</v>
          </cell>
          <cell r="D811" t="e">
            <v>#N/A</v>
          </cell>
          <cell r="E811">
            <v>0.27964566929106682</v>
          </cell>
          <cell r="F811">
            <v>104.86625984252048</v>
          </cell>
          <cell r="G811">
            <v>55.063110236220794</v>
          </cell>
          <cell r="H811">
            <v>55.063110236220794</v>
          </cell>
          <cell r="I811" t="e">
            <v>#N/A</v>
          </cell>
          <cell r="J811" t="e">
            <v>#N/A</v>
          </cell>
          <cell r="K811">
            <v>105</v>
          </cell>
          <cell r="L811">
            <v>55</v>
          </cell>
          <cell r="M811" t="e">
            <v>#N/A</v>
          </cell>
          <cell r="N811">
            <v>90</v>
          </cell>
          <cell r="O811" t="e">
            <v>#N/A</v>
          </cell>
          <cell r="P811">
            <v>71.03</v>
          </cell>
          <cell r="Q811" t="str">
            <v/>
          </cell>
          <cell r="R811">
            <v>90</v>
          </cell>
        </row>
        <row r="812">
          <cell r="A812" t="str">
            <v/>
          </cell>
          <cell r="B812" t="str">
            <v/>
          </cell>
          <cell r="C812" t="str">
            <v>Future</v>
          </cell>
          <cell r="D812" t="e">
            <v>#N/A</v>
          </cell>
          <cell r="E812">
            <v>-2.7178259642823832E-13</v>
          </cell>
          <cell r="F812">
            <v>105.0000000000008</v>
          </cell>
          <cell r="G812">
            <v>55.00000000000032</v>
          </cell>
          <cell r="H812">
            <v>55.00000000000032</v>
          </cell>
          <cell r="I812" t="e">
            <v>#N/A</v>
          </cell>
          <cell r="J812" t="e">
            <v>#N/A</v>
          </cell>
          <cell r="K812">
            <v>105</v>
          </cell>
          <cell r="L812">
            <v>55</v>
          </cell>
          <cell r="M812" t="e">
            <v>#N/A</v>
          </cell>
          <cell r="N812">
            <v>90</v>
          </cell>
          <cell r="O812" t="e">
            <v>#N/A</v>
          </cell>
          <cell r="P812" t="str">
            <v/>
          </cell>
          <cell r="Q812" t="str">
            <v/>
          </cell>
          <cell r="R812">
            <v>90</v>
          </cell>
        </row>
        <row r="813">
          <cell r="A813" t="str">
            <v/>
          </cell>
          <cell r="B813" t="str">
            <v/>
          </cell>
          <cell r="C813" t="str">
            <v>Future</v>
          </cell>
          <cell r="D813" t="e">
            <v>#N/A</v>
          </cell>
          <cell r="E813">
            <v>-0.27964566929161039</v>
          </cell>
          <cell r="F813">
            <v>105.13374015748111</v>
          </cell>
          <cell r="G813">
            <v>54.936889763779845</v>
          </cell>
          <cell r="H813">
            <v>54.936889763779845</v>
          </cell>
          <cell r="I813" t="e">
            <v>#N/A</v>
          </cell>
          <cell r="J813" t="e">
            <v>#N/A</v>
          </cell>
          <cell r="K813">
            <v>105</v>
          </cell>
          <cell r="L813">
            <v>55</v>
          </cell>
          <cell r="M813" t="e">
            <v>#N/A</v>
          </cell>
          <cell r="N813">
            <v>90</v>
          </cell>
          <cell r="O813" t="e">
            <v>#N/A</v>
          </cell>
          <cell r="P813" t="str">
            <v/>
          </cell>
          <cell r="Q813" t="str">
            <v/>
          </cell>
          <cell r="R813">
            <v>90</v>
          </cell>
        </row>
        <row r="814">
          <cell r="A814" t="str">
            <v/>
          </cell>
          <cell r="B814" t="str">
            <v/>
          </cell>
          <cell r="C814" t="str">
            <v>Future</v>
          </cell>
          <cell r="D814" t="e">
            <v>#N/A</v>
          </cell>
          <cell r="E814">
            <v>-0.55929133858294899</v>
          </cell>
          <cell r="F814">
            <v>105.26748031496143</v>
          </cell>
          <cell r="G814">
            <v>54.873779527559371</v>
          </cell>
          <cell r="H814">
            <v>54.873779527559371</v>
          </cell>
          <cell r="I814" t="e">
            <v>#N/A</v>
          </cell>
          <cell r="J814" t="e">
            <v>#N/A</v>
          </cell>
          <cell r="K814">
            <v>105</v>
          </cell>
          <cell r="L814">
            <v>55</v>
          </cell>
          <cell r="M814" t="e">
            <v>#N/A</v>
          </cell>
          <cell r="N814">
            <v>90</v>
          </cell>
          <cell r="O814" t="e">
            <v>#N/A</v>
          </cell>
          <cell r="P814" t="str">
            <v/>
          </cell>
          <cell r="Q814" t="str">
            <v/>
          </cell>
          <cell r="R814">
            <v>90</v>
          </cell>
        </row>
        <row r="815">
          <cell r="A815" t="str">
            <v/>
          </cell>
          <cell r="B815" t="str">
            <v/>
          </cell>
          <cell r="C815" t="str">
            <v>Future</v>
          </cell>
          <cell r="D815" t="e">
            <v>#N/A</v>
          </cell>
          <cell r="E815">
            <v>-0.8389370078742876</v>
          </cell>
          <cell r="F815">
            <v>105.40122047244175</v>
          </cell>
          <cell r="G815">
            <v>54.810669291338897</v>
          </cell>
          <cell r="H815">
            <v>54.810669291338897</v>
          </cell>
          <cell r="I815" t="e">
            <v>#N/A</v>
          </cell>
          <cell r="J815" t="e">
            <v>#N/A</v>
          </cell>
          <cell r="K815">
            <v>105</v>
          </cell>
          <cell r="L815">
            <v>55</v>
          </cell>
          <cell r="M815" t="e">
            <v>#N/A</v>
          </cell>
          <cell r="N815">
            <v>90</v>
          </cell>
          <cell r="O815" t="e">
            <v>#N/A</v>
          </cell>
          <cell r="P815" t="str">
            <v/>
          </cell>
          <cell r="Q815" t="str">
            <v/>
          </cell>
          <cell r="R815">
            <v>90</v>
          </cell>
        </row>
        <row r="816">
          <cell r="A816" t="str">
            <v/>
          </cell>
          <cell r="B816" t="str">
            <v/>
          </cell>
          <cell r="C816" t="str">
            <v>Future</v>
          </cell>
          <cell r="D816" t="e">
            <v>#N/A</v>
          </cell>
          <cell r="E816">
            <v>-1.1185826771656262</v>
          </cell>
          <cell r="F816">
            <v>105.53496062992207</v>
          </cell>
          <cell r="G816">
            <v>54.747559055118423</v>
          </cell>
          <cell r="H816">
            <v>54.747559055118423</v>
          </cell>
          <cell r="I816" t="e">
            <v>#N/A</v>
          </cell>
          <cell r="J816" t="e">
            <v>#N/A</v>
          </cell>
          <cell r="K816">
            <v>105</v>
          </cell>
          <cell r="L816">
            <v>55</v>
          </cell>
          <cell r="M816" t="e">
            <v>#N/A</v>
          </cell>
          <cell r="N816">
            <v>90</v>
          </cell>
          <cell r="O816" t="e">
            <v>#N/A</v>
          </cell>
          <cell r="P816" t="str">
            <v/>
          </cell>
          <cell r="Q816" t="str">
            <v/>
          </cell>
          <cell r="R816">
            <v>90</v>
          </cell>
        </row>
        <row r="817">
          <cell r="A817" t="str">
            <v/>
          </cell>
          <cell r="B817" t="str">
            <v/>
          </cell>
          <cell r="C817" t="str">
            <v>Future</v>
          </cell>
          <cell r="D817" t="e">
            <v>#N/A</v>
          </cell>
          <cell r="E817">
            <v>-1.3982283464569649</v>
          </cell>
          <cell r="F817">
            <v>105.66870078740239</v>
          </cell>
          <cell r="G817">
            <v>54.684448818897948</v>
          </cell>
          <cell r="H817">
            <v>54.684448818897948</v>
          </cell>
          <cell r="I817" t="e">
            <v>#N/A</v>
          </cell>
          <cell r="J817" t="e">
            <v>#N/A</v>
          </cell>
          <cell r="K817">
            <v>105</v>
          </cell>
          <cell r="L817">
            <v>55</v>
          </cell>
          <cell r="M817" t="e">
            <v>#N/A</v>
          </cell>
          <cell r="N817">
            <v>90</v>
          </cell>
          <cell r="O817" t="e">
            <v>#N/A</v>
          </cell>
          <cell r="P817" t="str">
            <v/>
          </cell>
          <cell r="Q817" t="str">
            <v/>
          </cell>
          <cell r="R817">
            <v>90</v>
          </cell>
        </row>
        <row r="818">
          <cell r="A818" t="str">
            <v/>
          </cell>
          <cell r="B818" t="str">
            <v/>
          </cell>
          <cell r="C818" t="str">
            <v>Future</v>
          </cell>
          <cell r="D818" t="e">
            <v>#N/A</v>
          </cell>
          <cell r="E818">
            <v>-1.6778740157483036</v>
          </cell>
          <cell r="F818">
            <v>105.8024409448827</v>
          </cell>
          <cell r="G818">
            <v>54.621338582677474</v>
          </cell>
          <cell r="H818">
            <v>54.621338582677474</v>
          </cell>
          <cell r="I818" t="e">
            <v>#N/A</v>
          </cell>
          <cell r="J818" t="e">
            <v>#N/A</v>
          </cell>
          <cell r="K818">
            <v>105</v>
          </cell>
          <cell r="L818">
            <v>55</v>
          </cell>
          <cell r="M818" t="e">
            <v>#N/A</v>
          </cell>
          <cell r="N818">
            <v>90</v>
          </cell>
          <cell r="O818" t="e">
            <v>#N/A</v>
          </cell>
          <cell r="P818" t="str">
            <v/>
          </cell>
          <cell r="Q818" t="str">
            <v/>
          </cell>
          <cell r="R818">
            <v>90</v>
          </cell>
        </row>
        <row r="819">
          <cell r="A819" t="str">
            <v/>
          </cell>
          <cell r="B819" t="str">
            <v/>
          </cell>
          <cell r="C819" t="str">
            <v>Future</v>
          </cell>
          <cell r="D819" t="e">
            <v>#N/A</v>
          </cell>
          <cell r="E819">
            <v>-1.9575196850396424</v>
          </cell>
          <cell r="F819">
            <v>105.93618110236302</v>
          </cell>
          <cell r="G819">
            <v>54.558228346457</v>
          </cell>
          <cell r="H819">
            <v>54.558228346457</v>
          </cell>
          <cell r="I819" t="e">
            <v>#N/A</v>
          </cell>
          <cell r="J819" t="e">
            <v>#N/A</v>
          </cell>
          <cell r="K819">
            <v>105</v>
          </cell>
          <cell r="L819">
            <v>55</v>
          </cell>
          <cell r="M819" t="e">
            <v>#N/A</v>
          </cell>
          <cell r="N819">
            <v>90</v>
          </cell>
          <cell r="O819" t="e">
            <v>#N/A</v>
          </cell>
          <cell r="P819" t="str">
            <v/>
          </cell>
          <cell r="Q819" t="str">
            <v/>
          </cell>
          <cell r="R819">
            <v>90</v>
          </cell>
        </row>
        <row r="820">
          <cell r="A820" t="str">
            <v/>
          </cell>
          <cell r="B820" t="str">
            <v/>
          </cell>
          <cell r="C820" t="str">
            <v>Future</v>
          </cell>
          <cell r="D820" t="e">
            <v>#N/A</v>
          </cell>
          <cell r="E820">
            <v>-2.2371653543309811</v>
          </cell>
          <cell r="F820">
            <v>106.06992125984334</v>
          </cell>
          <cell r="G820">
            <v>54.495118110236525</v>
          </cell>
          <cell r="H820">
            <v>54.495118110236525</v>
          </cell>
          <cell r="I820" t="e">
            <v>#N/A</v>
          </cell>
          <cell r="J820" t="e">
            <v>#N/A</v>
          </cell>
          <cell r="K820">
            <v>105</v>
          </cell>
          <cell r="L820">
            <v>55</v>
          </cell>
          <cell r="M820" t="e">
            <v>#N/A</v>
          </cell>
          <cell r="N820">
            <v>90</v>
          </cell>
          <cell r="O820" t="e">
            <v>#N/A</v>
          </cell>
          <cell r="P820" t="str">
            <v/>
          </cell>
          <cell r="Q820" t="str">
            <v/>
          </cell>
          <cell r="R820">
            <v>90</v>
          </cell>
        </row>
        <row r="821">
          <cell r="A821" t="str">
            <v/>
          </cell>
          <cell r="B821" t="str">
            <v/>
          </cell>
          <cell r="C821" t="str">
            <v>Future</v>
          </cell>
          <cell r="D821" t="e">
            <v>#N/A</v>
          </cell>
          <cell r="E821">
            <v>-2.5168110236223198</v>
          </cell>
          <cell r="F821">
            <v>106.20366141732366</v>
          </cell>
          <cell r="G821">
            <v>54.432007874016051</v>
          </cell>
          <cell r="H821">
            <v>54.432007874016051</v>
          </cell>
          <cell r="I821" t="e">
            <v>#N/A</v>
          </cell>
          <cell r="J821" t="e">
            <v>#N/A</v>
          </cell>
          <cell r="K821">
            <v>105</v>
          </cell>
          <cell r="L821">
            <v>55</v>
          </cell>
          <cell r="M821" t="e">
            <v>#N/A</v>
          </cell>
          <cell r="N821">
            <v>90</v>
          </cell>
          <cell r="O821" t="e">
            <v>#N/A</v>
          </cell>
          <cell r="P821" t="str">
            <v/>
          </cell>
          <cell r="Q821" t="str">
            <v/>
          </cell>
          <cell r="R821">
            <v>90</v>
          </cell>
        </row>
        <row r="822">
          <cell r="A822" t="str">
            <v/>
          </cell>
          <cell r="B822" t="str">
            <v/>
          </cell>
          <cell r="C822" t="str">
            <v>Future</v>
          </cell>
          <cell r="D822" t="e">
            <v>#N/A</v>
          </cell>
          <cell r="E822">
            <v>-2.7964566929136585</v>
          </cell>
          <cell r="F822">
            <v>106.33740157480398</v>
          </cell>
          <cell r="G822">
            <v>54.368897637795577</v>
          </cell>
          <cell r="H822">
            <v>54.368897637795577</v>
          </cell>
          <cell r="I822" t="e">
            <v>#N/A</v>
          </cell>
          <cell r="J822" t="e">
            <v>#N/A</v>
          </cell>
          <cell r="K822">
            <v>105</v>
          </cell>
          <cell r="L822">
            <v>55</v>
          </cell>
          <cell r="M822" t="e">
            <v>#N/A</v>
          </cell>
          <cell r="N822">
            <v>90</v>
          </cell>
          <cell r="O822" t="e">
            <v>#N/A</v>
          </cell>
          <cell r="P822" t="str">
            <v/>
          </cell>
          <cell r="Q822" t="str">
            <v/>
          </cell>
          <cell r="R822">
            <v>90</v>
          </cell>
        </row>
        <row r="823">
          <cell r="A823" t="str">
            <v/>
          </cell>
          <cell r="B823" t="str">
            <v/>
          </cell>
          <cell r="C823" t="str">
            <v>Future</v>
          </cell>
          <cell r="D823" t="e">
            <v>#N/A</v>
          </cell>
          <cell r="E823">
            <v>-3.0761023622049972</v>
          </cell>
          <cell r="F823">
            <v>106.47114173228429</v>
          </cell>
          <cell r="G823">
            <v>54.305787401575103</v>
          </cell>
          <cell r="H823">
            <v>54.305787401575103</v>
          </cell>
          <cell r="I823" t="e">
            <v>#N/A</v>
          </cell>
          <cell r="J823" t="e">
            <v>#N/A</v>
          </cell>
          <cell r="K823">
            <v>105</v>
          </cell>
          <cell r="L823">
            <v>55</v>
          </cell>
          <cell r="M823" t="e">
            <v>#N/A</v>
          </cell>
          <cell r="N823">
            <v>90</v>
          </cell>
          <cell r="O823" t="e">
            <v>#N/A</v>
          </cell>
          <cell r="P823" t="str">
            <v/>
          </cell>
          <cell r="Q823" t="str">
            <v/>
          </cell>
          <cell r="R823">
            <v>90</v>
          </cell>
        </row>
        <row r="824">
          <cell r="A824" t="str">
            <v/>
          </cell>
          <cell r="B824" t="str">
            <v/>
          </cell>
          <cell r="C824" t="str">
            <v>Future</v>
          </cell>
          <cell r="D824" t="e">
            <v>#N/A</v>
          </cell>
          <cell r="E824">
            <v>-3.3557480314963359</v>
          </cell>
          <cell r="F824">
            <v>106.60488188976461</v>
          </cell>
          <cell r="G824">
            <v>54.242677165354628</v>
          </cell>
          <cell r="H824">
            <v>54.242677165354628</v>
          </cell>
          <cell r="I824" t="e">
            <v>#N/A</v>
          </cell>
          <cell r="J824" t="e">
            <v>#N/A</v>
          </cell>
          <cell r="K824">
            <v>105</v>
          </cell>
          <cell r="L824">
            <v>55</v>
          </cell>
          <cell r="M824" t="e">
            <v>#N/A</v>
          </cell>
          <cell r="N824">
            <v>90</v>
          </cell>
          <cell r="O824" t="e">
            <v>#N/A</v>
          </cell>
          <cell r="P824" t="str">
            <v/>
          </cell>
          <cell r="Q824" t="str">
            <v/>
          </cell>
          <cell r="R824">
            <v>90</v>
          </cell>
        </row>
        <row r="825">
          <cell r="A825" t="str">
            <v/>
          </cell>
          <cell r="B825" t="str">
            <v/>
          </cell>
          <cell r="C825" t="str">
            <v>Future</v>
          </cell>
          <cell r="D825" t="e">
            <v>#N/A</v>
          </cell>
          <cell r="E825">
            <v>-3.6353937007876747</v>
          </cell>
          <cell r="F825">
            <v>106.73862204724493</v>
          </cell>
          <cell r="G825">
            <v>54.179566929134154</v>
          </cell>
          <cell r="H825">
            <v>54.179566929134154</v>
          </cell>
          <cell r="I825" t="e">
            <v>#N/A</v>
          </cell>
          <cell r="J825" t="e">
            <v>#N/A</v>
          </cell>
          <cell r="K825">
            <v>105</v>
          </cell>
          <cell r="L825">
            <v>55</v>
          </cell>
          <cell r="M825" t="e">
            <v>#N/A</v>
          </cell>
          <cell r="N825">
            <v>90</v>
          </cell>
          <cell r="O825" t="e">
            <v>#N/A</v>
          </cell>
          <cell r="P825" t="str">
            <v/>
          </cell>
          <cell r="Q825" t="str">
            <v/>
          </cell>
          <cell r="R825">
            <v>90</v>
          </cell>
        </row>
        <row r="826">
          <cell r="A826" t="str">
            <v/>
          </cell>
          <cell r="B826" t="str">
            <v/>
          </cell>
          <cell r="C826" t="str">
            <v>Future</v>
          </cell>
          <cell r="D826" t="e">
            <v>#N/A</v>
          </cell>
          <cell r="E826">
            <v>-3.9150393700790134</v>
          </cell>
          <cell r="F826">
            <v>106.87236220472525</v>
          </cell>
          <cell r="G826">
            <v>54.11645669291368</v>
          </cell>
          <cell r="H826">
            <v>54.11645669291368</v>
          </cell>
          <cell r="I826" t="e">
            <v>#N/A</v>
          </cell>
          <cell r="J826" t="e">
            <v>#N/A</v>
          </cell>
          <cell r="K826">
            <v>105</v>
          </cell>
          <cell r="L826">
            <v>55</v>
          </cell>
          <cell r="M826" t="e">
            <v>#N/A</v>
          </cell>
          <cell r="N826">
            <v>90</v>
          </cell>
          <cell r="O826" t="e">
            <v>#N/A</v>
          </cell>
          <cell r="P826" t="str">
            <v/>
          </cell>
          <cell r="Q826" t="str">
            <v/>
          </cell>
          <cell r="R826">
            <v>90</v>
          </cell>
        </row>
        <row r="827">
          <cell r="A827" t="str">
            <v/>
          </cell>
          <cell r="B827" t="str">
            <v/>
          </cell>
          <cell r="C827" t="str">
            <v>Future</v>
          </cell>
          <cell r="D827" t="e">
            <v>#N/A</v>
          </cell>
          <cell r="E827">
            <v>-4.1946850393703521</v>
          </cell>
          <cell r="F827">
            <v>107.00610236220557</v>
          </cell>
          <cell r="G827">
            <v>54.053346456693205</v>
          </cell>
          <cell r="H827">
            <v>54.053346456693205</v>
          </cell>
          <cell r="I827" t="e">
            <v>#N/A</v>
          </cell>
          <cell r="J827" t="e">
            <v>#N/A</v>
          </cell>
          <cell r="K827">
            <v>105</v>
          </cell>
          <cell r="L827">
            <v>55</v>
          </cell>
          <cell r="M827" t="e">
            <v>#N/A</v>
          </cell>
          <cell r="N827">
            <v>90</v>
          </cell>
          <cell r="O827" t="e">
            <v>#N/A</v>
          </cell>
          <cell r="P827" t="str">
            <v/>
          </cell>
          <cell r="Q827" t="str">
            <v/>
          </cell>
          <cell r="R827">
            <v>90</v>
          </cell>
        </row>
        <row r="828">
          <cell r="A828" t="str">
            <v/>
          </cell>
          <cell r="B828" t="str">
            <v/>
          </cell>
          <cell r="C828" t="str">
            <v>Future</v>
          </cell>
          <cell r="D828" t="e">
            <v>#N/A</v>
          </cell>
          <cell r="E828">
            <v>-4.4743307086616904</v>
          </cell>
          <cell r="F828">
            <v>107.13984251968589</v>
          </cell>
          <cell r="G828">
            <v>53.990236220472731</v>
          </cell>
          <cell r="H828">
            <v>53.990236220472731</v>
          </cell>
          <cell r="I828" t="e">
            <v>#N/A</v>
          </cell>
          <cell r="J828" t="e">
            <v>#N/A</v>
          </cell>
          <cell r="K828">
            <v>105</v>
          </cell>
          <cell r="L828">
            <v>55</v>
          </cell>
          <cell r="M828" t="e">
            <v>#N/A</v>
          </cell>
          <cell r="N828">
            <v>90</v>
          </cell>
          <cell r="O828" t="e">
            <v>#N/A</v>
          </cell>
          <cell r="P828" t="str">
            <v/>
          </cell>
          <cell r="Q828" t="str">
            <v/>
          </cell>
          <cell r="R828">
            <v>90</v>
          </cell>
        </row>
        <row r="829">
          <cell r="A829" t="str">
            <v/>
          </cell>
          <cell r="B829" t="str">
            <v/>
          </cell>
          <cell r="C829" t="str">
            <v>Future</v>
          </cell>
          <cell r="D829" t="e">
            <v>#N/A</v>
          </cell>
          <cell r="E829">
            <v>-4.7539763779530286</v>
          </cell>
          <cell r="F829">
            <v>107.2735826771662</v>
          </cell>
          <cell r="G829">
            <v>53.927125984252257</v>
          </cell>
          <cell r="H829">
            <v>53.927125984252257</v>
          </cell>
          <cell r="I829" t="e">
            <v>#N/A</v>
          </cell>
          <cell r="J829" t="e">
            <v>#N/A</v>
          </cell>
          <cell r="K829">
            <v>105</v>
          </cell>
          <cell r="L829">
            <v>55</v>
          </cell>
          <cell r="M829" t="e">
            <v>#N/A</v>
          </cell>
          <cell r="N829">
            <v>90</v>
          </cell>
          <cell r="O829" t="e">
            <v>#N/A</v>
          </cell>
          <cell r="P829" t="str">
            <v/>
          </cell>
          <cell r="Q829" t="str">
            <v/>
          </cell>
          <cell r="R829">
            <v>90</v>
          </cell>
        </row>
        <row r="830">
          <cell r="A830" t="str">
            <v/>
          </cell>
          <cell r="B830" t="str">
            <v/>
          </cell>
          <cell r="C830" t="str">
            <v>Future</v>
          </cell>
          <cell r="D830" t="e">
            <v>#N/A</v>
          </cell>
          <cell r="E830">
            <v>-5.0336220472443669</v>
          </cell>
          <cell r="F830">
            <v>107.40732283464652</v>
          </cell>
          <cell r="G830">
            <v>53.864015748031782</v>
          </cell>
          <cell r="H830">
            <v>53.864015748031782</v>
          </cell>
          <cell r="I830" t="e">
            <v>#N/A</v>
          </cell>
          <cell r="J830" t="e">
            <v>#N/A</v>
          </cell>
          <cell r="K830">
            <v>105</v>
          </cell>
          <cell r="L830">
            <v>55</v>
          </cell>
          <cell r="M830" t="e">
            <v>#N/A</v>
          </cell>
          <cell r="N830">
            <v>90</v>
          </cell>
          <cell r="O830" t="e">
            <v>#N/A</v>
          </cell>
          <cell r="P830" t="str">
            <v/>
          </cell>
          <cell r="Q830" t="str">
            <v/>
          </cell>
          <cell r="R830">
            <v>90</v>
          </cell>
        </row>
        <row r="831">
          <cell r="A831" t="str">
            <v/>
          </cell>
          <cell r="B831" t="str">
            <v/>
          </cell>
          <cell r="C831" t="str">
            <v>Future</v>
          </cell>
          <cell r="D831" t="e">
            <v>#N/A</v>
          </cell>
          <cell r="E831">
            <v>-5.3132677165357052</v>
          </cell>
          <cell r="F831">
            <v>107.54106299212684</v>
          </cell>
          <cell r="G831">
            <v>53.800905511811308</v>
          </cell>
          <cell r="H831">
            <v>53.800905511811308</v>
          </cell>
          <cell r="I831" t="e">
            <v>#N/A</v>
          </cell>
          <cell r="J831" t="e">
            <v>#N/A</v>
          </cell>
          <cell r="K831">
            <v>105</v>
          </cell>
          <cell r="L831">
            <v>55</v>
          </cell>
          <cell r="M831" t="e">
            <v>#N/A</v>
          </cell>
          <cell r="N831">
            <v>90</v>
          </cell>
          <cell r="O831" t="e">
            <v>#N/A</v>
          </cell>
          <cell r="P831" t="str">
            <v/>
          </cell>
          <cell r="Q831" t="str">
            <v/>
          </cell>
          <cell r="R831">
            <v>90</v>
          </cell>
        </row>
        <row r="832">
          <cell r="A832" t="str">
            <v/>
          </cell>
          <cell r="B832" t="str">
            <v/>
          </cell>
          <cell r="C832" t="str">
            <v>Future</v>
          </cell>
          <cell r="D832" t="e">
            <v>#N/A</v>
          </cell>
          <cell r="E832">
            <v>-5.5929133858270434</v>
          </cell>
          <cell r="F832">
            <v>107.67480314960716</v>
          </cell>
          <cell r="G832">
            <v>53.737795275590834</v>
          </cell>
          <cell r="H832">
            <v>53.737795275590834</v>
          </cell>
          <cell r="I832" t="e">
            <v>#N/A</v>
          </cell>
          <cell r="J832" t="e">
            <v>#N/A</v>
          </cell>
          <cell r="K832">
            <v>105</v>
          </cell>
          <cell r="L832">
            <v>55</v>
          </cell>
          <cell r="M832" t="e">
            <v>#N/A</v>
          </cell>
          <cell r="N832">
            <v>90</v>
          </cell>
          <cell r="O832" t="e">
            <v>#N/A</v>
          </cell>
          <cell r="P832" t="str">
            <v/>
          </cell>
          <cell r="Q832" t="str">
            <v/>
          </cell>
          <cell r="R832">
            <v>90</v>
          </cell>
        </row>
        <row r="833">
          <cell r="A833" t="str">
            <v/>
          </cell>
          <cell r="B833" t="str">
            <v/>
          </cell>
          <cell r="C833" t="str">
            <v>Future</v>
          </cell>
          <cell r="D833" t="e">
            <v>#N/A</v>
          </cell>
          <cell r="E833">
            <v>-5.8725590551183817</v>
          </cell>
          <cell r="F833">
            <v>107.80854330708748</v>
          </cell>
          <cell r="G833">
            <v>53.67468503937036</v>
          </cell>
          <cell r="H833">
            <v>53.67468503937036</v>
          </cell>
          <cell r="I833" t="e">
            <v>#N/A</v>
          </cell>
          <cell r="J833" t="e">
            <v>#N/A</v>
          </cell>
          <cell r="K833">
            <v>105</v>
          </cell>
          <cell r="L833">
            <v>55</v>
          </cell>
          <cell r="M833" t="e">
            <v>#N/A</v>
          </cell>
          <cell r="N833">
            <v>90</v>
          </cell>
          <cell r="O833" t="e">
            <v>#N/A</v>
          </cell>
          <cell r="P833" t="str">
            <v/>
          </cell>
          <cell r="Q833" t="str">
            <v/>
          </cell>
          <cell r="R833">
            <v>90</v>
          </cell>
        </row>
        <row r="834">
          <cell r="A834" t="str">
            <v/>
          </cell>
          <cell r="B834" t="str">
            <v/>
          </cell>
          <cell r="C834" t="str">
            <v>Future</v>
          </cell>
          <cell r="D834" t="e">
            <v>#N/A</v>
          </cell>
          <cell r="E834">
            <v>-6.15220472440972</v>
          </cell>
          <cell r="F834">
            <v>107.94228346456779</v>
          </cell>
          <cell r="G834">
            <v>53.611574803149885</v>
          </cell>
          <cell r="H834">
            <v>53.611574803149885</v>
          </cell>
          <cell r="I834" t="e">
            <v>#N/A</v>
          </cell>
          <cell r="J834" t="e">
            <v>#N/A</v>
          </cell>
          <cell r="K834">
            <v>105</v>
          </cell>
          <cell r="L834">
            <v>55</v>
          </cell>
          <cell r="M834" t="e">
            <v>#N/A</v>
          </cell>
          <cell r="N834">
            <v>90</v>
          </cell>
          <cell r="O834" t="e">
            <v>#N/A</v>
          </cell>
          <cell r="P834" t="str">
            <v/>
          </cell>
          <cell r="Q834" t="str">
            <v/>
          </cell>
          <cell r="R834">
            <v>90</v>
          </cell>
        </row>
        <row r="835">
          <cell r="A835" t="str">
            <v/>
          </cell>
          <cell r="B835" t="str">
            <v/>
          </cell>
          <cell r="C835" t="str">
            <v>Future</v>
          </cell>
          <cell r="D835" t="e">
            <v>#N/A</v>
          </cell>
          <cell r="E835">
            <v>-6.4318503937010583</v>
          </cell>
          <cell r="F835">
            <v>108.07602362204811</v>
          </cell>
          <cell r="G835">
            <v>53.548464566929411</v>
          </cell>
          <cell r="H835">
            <v>53.548464566929411</v>
          </cell>
          <cell r="I835" t="e">
            <v>#N/A</v>
          </cell>
          <cell r="J835" t="e">
            <v>#N/A</v>
          </cell>
          <cell r="K835">
            <v>105</v>
          </cell>
          <cell r="L835">
            <v>55</v>
          </cell>
          <cell r="M835" t="e">
            <v>#N/A</v>
          </cell>
          <cell r="N835">
            <v>90</v>
          </cell>
          <cell r="O835" t="e">
            <v>#N/A</v>
          </cell>
          <cell r="P835" t="str">
            <v/>
          </cell>
          <cell r="Q835" t="str">
            <v/>
          </cell>
          <cell r="R835">
            <v>90</v>
          </cell>
        </row>
        <row r="836">
          <cell r="A836" t="str">
            <v/>
          </cell>
          <cell r="B836" t="str">
            <v/>
          </cell>
          <cell r="C836" t="str">
            <v>Future</v>
          </cell>
          <cell r="D836" t="e">
            <v>#N/A</v>
          </cell>
          <cell r="E836">
            <v>-6.7114960629923965</v>
          </cell>
          <cell r="F836">
            <v>108.20976377952843</v>
          </cell>
          <cell r="G836">
            <v>53.485354330708937</v>
          </cell>
          <cell r="H836">
            <v>53.485354330708937</v>
          </cell>
          <cell r="I836" t="e">
            <v>#N/A</v>
          </cell>
          <cell r="J836" t="e">
            <v>#N/A</v>
          </cell>
          <cell r="K836">
            <v>105</v>
          </cell>
          <cell r="L836">
            <v>55</v>
          </cell>
          <cell r="M836" t="e">
            <v>#N/A</v>
          </cell>
          <cell r="N836">
            <v>90</v>
          </cell>
          <cell r="O836" t="e">
            <v>#N/A</v>
          </cell>
          <cell r="P836" t="str">
            <v/>
          </cell>
          <cell r="Q836" t="str">
            <v/>
          </cell>
          <cell r="R836">
            <v>90</v>
          </cell>
        </row>
        <row r="837">
          <cell r="A837" t="str">
            <v/>
          </cell>
          <cell r="B837" t="str">
            <v/>
          </cell>
          <cell r="C837" t="str">
            <v>Future</v>
          </cell>
          <cell r="D837" t="e">
            <v>#N/A</v>
          </cell>
          <cell r="E837">
            <v>-6.9911417322837348</v>
          </cell>
          <cell r="F837">
            <v>108.34350393700875</v>
          </cell>
          <cell r="G837">
            <v>53.422244094488462</v>
          </cell>
          <cell r="H837">
            <v>53.422244094488462</v>
          </cell>
          <cell r="I837" t="e">
            <v>#N/A</v>
          </cell>
          <cell r="J837" t="e">
            <v>#N/A</v>
          </cell>
          <cell r="K837">
            <v>105</v>
          </cell>
          <cell r="L837">
            <v>55</v>
          </cell>
          <cell r="M837" t="e">
            <v>#N/A</v>
          </cell>
          <cell r="N837">
            <v>90</v>
          </cell>
          <cell r="O837" t="e">
            <v>#N/A</v>
          </cell>
          <cell r="P837" t="str">
            <v/>
          </cell>
          <cell r="Q837" t="str">
            <v/>
          </cell>
          <cell r="R837">
            <v>90</v>
          </cell>
        </row>
        <row r="838">
          <cell r="A838" t="str">
            <v/>
          </cell>
          <cell r="B838" t="str">
            <v/>
          </cell>
          <cell r="C838" t="str">
            <v>Future</v>
          </cell>
          <cell r="D838" t="e">
            <v>#N/A</v>
          </cell>
          <cell r="E838">
            <v>-7.2707874015750731</v>
          </cell>
          <cell r="F838">
            <v>108.47724409448907</v>
          </cell>
          <cell r="G838">
            <v>53.359133858267988</v>
          </cell>
          <cell r="H838">
            <v>53.359133858267988</v>
          </cell>
          <cell r="I838" t="e">
            <v>#N/A</v>
          </cell>
          <cell r="J838" t="e">
            <v>#N/A</v>
          </cell>
          <cell r="K838">
            <v>105</v>
          </cell>
          <cell r="L838">
            <v>55</v>
          </cell>
          <cell r="M838" t="e">
            <v>#N/A</v>
          </cell>
          <cell r="N838">
            <v>90</v>
          </cell>
          <cell r="O838" t="e">
            <v>#N/A</v>
          </cell>
          <cell r="P838" t="str">
            <v/>
          </cell>
          <cell r="Q838" t="str">
            <v/>
          </cell>
          <cell r="R838">
            <v>90</v>
          </cell>
        </row>
        <row r="839">
          <cell r="A839" t="str">
            <v/>
          </cell>
          <cell r="B839" t="str">
            <v/>
          </cell>
          <cell r="C839" t="str">
            <v>Future</v>
          </cell>
          <cell r="D839" t="e">
            <v>#N/A</v>
          </cell>
          <cell r="E839">
            <v>-7.5504330708664114</v>
          </cell>
          <cell r="F839">
            <v>108.61098425196938</v>
          </cell>
          <cell r="G839">
            <v>53.296023622047514</v>
          </cell>
          <cell r="H839">
            <v>53.296023622047514</v>
          </cell>
          <cell r="I839" t="e">
            <v>#N/A</v>
          </cell>
          <cell r="J839" t="e">
            <v>#N/A</v>
          </cell>
          <cell r="K839">
            <v>105</v>
          </cell>
          <cell r="L839">
            <v>55</v>
          </cell>
          <cell r="M839" t="e">
            <v>#N/A</v>
          </cell>
          <cell r="N839">
            <v>90</v>
          </cell>
          <cell r="O839" t="e">
            <v>#N/A</v>
          </cell>
          <cell r="P839" t="str">
            <v/>
          </cell>
          <cell r="Q839" t="str">
            <v/>
          </cell>
          <cell r="R839">
            <v>90</v>
          </cell>
        </row>
        <row r="840">
          <cell r="A840" t="str">
            <v/>
          </cell>
          <cell r="B840" t="str">
            <v/>
          </cell>
          <cell r="C840" t="str">
            <v>Future</v>
          </cell>
          <cell r="D840" t="e">
            <v>#N/A</v>
          </cell>
          <cell r="E840">
            <v>-7.8300787401577496</v>
          </cell>
          <cell r="F840">
            <v>108.7447244094497</v>
          </cell>
          <cell r="G840">
            <v>53.23291338582704</v>
          </cell>
          <cell r="H840">
            <v>53.23291338582704</v>
          </cell>
          <cell r="I840" t="e">
            <v>#N/A</v>
          </cell>
          <cell r="J840" t="e">
            <v>#N/A</v>
          </cell>
          <cell r="K840">
            <v>105</v>
          </cell>
          <cell r="L840">
            <v>55</v>
          </cell>
          <cell r="M840" t="e">
            <v>#N/A</v>
          </cell>
          <cell r="N840">
            <v>90</v>
          </cell>
          <cell r="O840" t="e">
            <v>#N/A</v>
          </cell>
          <cell r="P840" t="str">
            <v/>
          </cell>
          <cell r="Q840" t="str">
            <v/>
          </cell>
          <cell r="R840">
            <v>90</v>
          </cell>
        </row>
        <row r="841">
          <cell r="A841" t="str">
            <v/>
          </cell>
          <cell r="B841" t="str">
            <v/>
          </cell>
          <cell r="C841" t="str">
            <v>Future</v>
          </cell>
          <cell r="D841" t="e">
            <v>#N/A</v>
          </cell>
          <cell r="E841">
            <v>-8.1097244094490879</v>
          </cell>
          <cell r="F841">
            <v>108.87846456693002</v>
          </cell>
          <cell r="G841">
            <v>53.169803149606565</v>
          </cell>
          <cell r="H841">
            <v>53.169803149606565</v>
          </cell>
          <cell r="I841" t="e">
            <v>#N/A</v>
          </cell>
          <cell r="J841" t="e">
            <v>#N/A</v>
          </cell>
          <cell r="K841">
            <v>105</v>
          </cell>
          <cell r="L841">
            <v>55</v>
          </cell>
          <cell r="M841" t="e">
            <v>#N/A</v>
          </cell>
          <cell r="N841">
            <v>90</v>
          </cell>
          <cell r="O841" t="e">
            <v>#N/A</v>
          </cell>
          <cell r="P841" t="str">
            <v/>
          </cell>
          <cell r="Q841" t="str">
            <v/>
          </cell>
          <cell r="R841">
            <v>90</v>
          </cell>
        </row>
        <row r="842">
          <cell r="A842" t="str">
            <v/>
          </cell>
          <cell r="B842" t="str">
            <v/>
          </cell>
          <cell r="C842" t="str">
            <v>Future</v>
          </cell>
          <cell r="D842" t="e">
            <v>#N/A</v>
          </cell>
          <cell r="E842">
            <v>-8.3893700787404271</v>
          </cell>
          <cell r="F842">
            <v>109.01220472441034</v>
          </cell>
          <cell r="G842">
            <v>53.106692913386091</v>
          </cell>
          <cell r="H842">
            <v>53.106692913386091</v>
          </cell>
          <cell r="I842" t="e">
            <v>#N/A</v>
          </cell>
          <cell r="J842" t="e">
            <v>#N/A</v>
          </cell>
          <cell r="K842">
            <v>105</v>
          </cell>
          <cell r="L842">
            <v>55</v>
          </cell>
          <cell r="M842" t="e">
            <v>#N/A</v>
          </cell>
          <cell r="N842">
            <v>90</v>
          </cell>
          <cell r="O842" t="e">
            <v>#N/A</v>
          </cell>
          <cell r="P842" t="str">
            <v/>
          </cell>
          <cell r="Q842" t="str">
            <v/>
          </cell>
          <cell r="R842">
            <v>90</v>
          </cell>
        </row>
        <row r="843">
          <cell r="A843" t="str">
            <v/>
          </cell>
          <cell r="B843" t="str">
            <v/>
          </cell>
          <cell r="C843" t="str">
            <v>Future</v>
          </cell>
          <cell r="D843" t="e">
            <v>#N/A</v>
          </cell>
          <cell r="E843">
            <v>-8.6690157480317662</v>
          </cell>
          <cell r="F843">
            <v>109.14594488189066</v>
          </cell>
          <cell r="G843">
            <v>53.043582677165617</v>
          </cell>
          <cell r="H843">
            <v>53.043582677165617</v>
          </cell>
          <cell r="I843" t="e">
            <v>#N/A</v>
          </cell>
          <cell r="J843" t="e">
            <v>#N/A</v>
          </cell>
          <cell r="K843">
            <v>105</v>
          </cell>
          <cell r="L843">
            <v>55</v>
          </cell>
          <cell r="M843" t="e">
            <v>#N/A</v>
          </cell>
          <cell r="N843">
            <v>90</v>
          </cell>
          <cell r="O843" t="e">
            <v>#N/A</v>
          </cell>
          <cell r="P843" t="str">
            <v/>
          </cell>
          <cell r="Q843" t="str">
            <v/>
          </cell>
          <cell r="R843">
            <v>90</v>
          </cell>
        </row>
        <row r="844">
          <cell r="A844" t="str">
            <v/>
          </cell>
          <cell r="B844" t="str">
            <v/>
          </cell>
          <cell r="C844" t="str">
            <v>Future</v>
          </cell>
          <cell r="D844" t="e">
            <v>#N/A</v>
          </cell>
          <cell r="E844">
            <v>-8.9486614173231054</v>
          </cell>
          <cell r="F844">
            <v>109.27968503937097</v>
          </cell>
          <cell r="G844">
            <v>52.980472440945142</v>
          </cell>
          <cell r="H844">
            <v>52.980472440945142</v>
          </cell>
          <cell r="I844" t="e">
            <v>#N/A</v>
          </cell>
          <cell r="J844" t="e">
            <v>#N/A</v>
          </cell>
          <cell r="K844">
            <v>105</v>
          </cell>
          <cell r="L844">
            <v>55</v>
          </cell>
          <cell r="M844" t="e">
            <v>#N/A</v>
          </cell>
          <cell r="N844">
            <v>90</v>
          </cell>
          <cell r="O844" t="e">
            <v>#N/A</v>
          </cell>
          <cell r="P844" t="str">
            <v/>
          </cell>
          <cell r="Q844" t="str">
            <v/>
          </cell>
          <cell r="R844">
            <v>90</v>
          </cell>
        </row>
        <row r="845">
          <cell r="A845" t="str">
            <v/>
          </cell>
          <cell r="B845" t="str">
            <v/>
          </cell>
          <cell r="C845" t="str">
            <v>Future</v>
          </cell>
          <cell r="D845" t="e">
            <v>#N/A</v>
          </cell>
          <cell r="E845">
            <v>-9.2283070866144445</v>
          </cell>
          <cell r="F845">
            <v>109.41342519685129</v>
          </cell>
          <cell r="G845">
            <v>52.917362204724668</v>
          </cell>
          <cell r="H845">
            <v>52.917362204724668</v>
          </cell>
          <cell r="I845" t="e">
            <v>#N/A</v>
          </cell>
          <cell r="J845" t="e">
            <v>#N/A</v>
          </cell>
          <cell r="K845">
            <v>105</v>
          </cell>
          <cell r="L845">
            <v>55</v>
          </cell>
          <cell r="M845" t="e">
            <v>#N/A</v>
          </cell>
          <cell r="N845">
            <v>90</v>
          </cell>
          <cell r="O845" t="e">
            <v>#N/A</v>
          </cell>
          <cell r="P845" t="str">
            <v/>
          </cell>
          <cell r="Q845" t="str">
            <v/>
          </cell>
          <cell r="R845">
            <v>90</v>
          </cell>
        </row>
        <row r="846">
          <cell r="A846" t="str">
            <v/>
          </cell>
          <cell r="B846" t="str">
            <v/>
          </cell>
          <cell r="C846" t="str">
            <v>Future</v>
          </cell>
          <cell r="D846" t="e">
            <v>#N/A</v>
          </cell>
          <cell r="E846">
            <v>-9.5079527559057837</v>
          </cell>
          <cell r="F846">
            <v>109.54716535433161</v>
          </cell>
          <cell r="G846">
            <v>52.854251968504194</v>
          </cell>
          <cell r="H846">
            <v>52.854251968504194</v>
          </cell>
          <cell r="I846" t="e">
            <v>#N/A</v>
          </cell>
          <cell r="J846" t="e">
            <v>#N/A</v>
          </cell>
          <cell r="K846">
            <v>105</v>
          </cell>
          <cell r="L846">
            <v>55</v>
          </cell>
          <cell r="M846" t="e">
            <v>#N/A</v>
          </cell>
          <cell r="N846">
            <v>90</v>
          </cell>
          <cell r="O846" t="e">
            <v>#N/A</v>
          </cell>
          <cell r="P846" t="str">
            <v/>
          </cell>
          <cell r="Q846" t="str">
            <v/>
          </cell>
          <cell r="R846">
            <v>90</v>
          </cell>
        </row>
        <row r="847">
          <cell r="A847" t="str">
            <v/>
          </cell>
          <cell r="B847" t="str">
            <v/>
          </cell>
          <cell r="C847" t="str">
            <v>Future</v>
          </cell>
          <cell r="D847" t="e">
            <v>#N/A</v>
          </cell>
          <cell r="E847">
            <v>-9.7875984251971229</v>
          </cell>
          <cell r="F847">
            <v>109.68090551181193</v>
          </cell>
          <cell r="G847">
            <v>52.79114173228372</v>
          </cell>
          <cell r="H847">
            <v>52.79114173228372</v>
          </cell>
          <cell r="I847" t="e">
            <v>#N/A</v>
          </cell>
          <cell r="J847" t="e">
            <v>#N/A</v>
          </cell>
          <cell r="K847">
            <v>105</v>
          </cell>
          <cell r="L847">
            <v>55</v>
          </cell>
          <cell r="M847" t="e">
            <v>#N/A</v>
          </cell>
          <cell r="N847">
            <v>90</v>
          </cell>
          <cell r="O847" t="e">
            <v>#N/A</v>
          </cell>
          <cell r="P847" t="str">
            <v/>
          </cell>
          <cell r="Q847" t="str">
            <v/>
          </cell>
          <cell r="R847">
            <v>90</v>
          </cell>
        </row>
        <row r="848">
          <cell r="A848" t="str">
            <v/>
          </cell>
          <cell r="B848" t="str">
            <v/>
          </cell>
          <cell r="C848" t="str">
            <v>Future</v>
          </cell>
          <cell r="D848" t="e">
            <v>#N/A</v>
          </cell>
          <cell r="E848">
            <v>-10.067244094488462</v>
          </cell>
          <cell r="F848">
            <v>109.81464566929225</v>
          </cell>
          <cell r="G848">
            <v>52.728031496063245</v>
          </cell>
          <cell r="H848">
            <v>52.728031496063245</v>
          </cell>
          <cell r="I848" t="e">
            <v>#N/A</v>
          </cell>
          <cell r="J848" t="e">
            <v>#N/A</v>
          </cell>
          <cell r="K848">
            <v>105</v>
          </cell>
          <cell r="L848">
            <v>55</v>
          </cell>
          <cell r="M848" t="e">
            <v>#N/A</v>
          </cell>
          <cell r="N848">
            <v>90</v>
          </cell>
          <cell r="O848" t="e">
            <v>#N/A</v>
          </cell>
          <cell r="P848" t="str">
            <v/>
          </cell>
          <cell r="Q848" t="str">
            <v/>
          </cell>
          <cell r="R848">
            <v>90</v>
          </cell>
        </row>
        <row r="849">
          <cell r="A849" t="str">
            <v/>
          </cell>
          <cell r="B849" t="str">
            <v/>
          </cell>
          <cell r="C849" t="str">
            <v>Future</v>
          </cell>
          <cell r="D849" t="e">
            <v>#N/A</v>
          </cell>
          <cell r="E849">
            <v>-10.346889763779801</v>
          </cell>
          <cell r="F849">
            <v>109.94838582677257</v>
          </cell>
          <cell r="G849">
            <v>52.664921259842771</v>
          </cell>
          <cell r="H849">
            <v>52.664921259842771</v>
          </cell>
          <cell r="I849" t="e">
            <v>#N/A</v>
          </cell>
          <cell r="J849" t="e">
            <v>#N/A</v>
          </cell>
          <cell r="K849">
            <v>105</v>
          </cell>
          <cell r="L849">
            <v>55</v>
          </cell>
          <cell r="M849" t="e">
            <v>#N/A</v>
          </cell>
          <cell r="N849">
            <v>90</v>
          </cell>
          <cell r="O849" t="e">
            <v>#N/A</v>
          </cell>
          <cell r="P849" t="str">
            <v/>
          </cell>
          <cell r="Q849" t="str">
            <v/>
          </cell>
          <cell r="R849">
            <v>90</v>
          </cell>
        </row>
        <row r="850">
          <cell r="A850" t="str">
            <v/>
          </cell>
          <cell r="B850" t="str">
            <v/>
          </cell>
          <cell r="C850" t="str">
            <v>Future</v>
          </cell>
          <cell r="D850" t="e">
            <v>#N/A</v>
          </cell>
          <cell r="E850">
            <v>-10.62653543307114</v>
          </cell>
          <cell r="F850">
            <v>110.08212598425288</v>
          </cell>
          <cell r="G850">
            <v>52.601811023622297</v>
          </cell>
          <cell r="H850">
            <v>52.601811023622297</v>
          </cell>
          <cell r="I850" t="e">
            <v>#N/A</v>
          </cell>
          <cell r="J850" t="e">
            <v>#N/A</v>
          </cell>
          <cell r="K850">
            <v>105</v>
          </cell>
          <cell r="L850">
            <v>55</v>
          </cell>
          <cell r="M850" t="e">
            <v>#N/A</v>
          </cell>
          <cell r="N850">
            <v>90</v>
          </cell>
          <cell r="O850" t="e">
            <v>#N/A</v>
          </cell>
          <cell r="P850" t="str">
            <v/>
          </cell>
          <cell r="Q850" t="str">
            <v/>
          </cell>
          <cell r="R850">
            <v>90</v>
          </cell>
        </row>
        <row r="851">
          <cell r="A851" t="str">
            <v/>
          </cell>
          <cell r="B851" t="str">
            <v/>
          </cell>
          <cell r="C851" t="str">
            <v>Future</v>
          </cell>
          <cell r="D851" t="e">
            <v>#N/A</v>
          </cell>
          <cell r="E851">
            <v>-10.90618110236248</v>
          </cell>
          <cell r="F851">
            <v>110.2158661417332</v>
          </cell>
          <cell r="G851">
            <v>52.538700787401822</v>
          </cell>
          <cell r="H851">
            <v>52.538700787401822</v>
          </cell>
          <cell r="I851" t="e">
            <v>#N/A</v>
          </cell>
          <cell r="J851" t="e">
            <v>#N/A</v>
          </cell>
          <cell r="K851">
            <v>105</v>
          </cell>
          <cell r="L851">
            <v>55</v>
          </cell>
          <cell r="M851" t="e">
            <v>#N/A</v>
          </cell>
          <cell r="N851">
            <v>90</v>
          </cell>
          <cell r="O851" t="e">
            <v>#N/A</v>
          </cell>
          <cell r="P851" t="str">
            <v/>
          </cell>
          <cell r="Q851" t="str">
            <v/>
          </cell>
          <cell r="R851">
            <v>90</v>
          </cell>
        </row>
        <row r="852">
          <cell r="A852" t="str">
            <v/>
          </cell>
          <cell r="B852" t="str">
            <v/>
          </cell>
          <cell r="C852" t="str">
            <v>Future</v>
          </cell>
          <cell r="D852" t="e">
            <v>#N/A</v>
          </cell>
          <cell r="E852">
            <v>-11.185826771653819</v>
          </cell>
          <cell r="F852">
            <v>110.34960629921352</v>
          </cell>
          <cell r="G852">
            <v>52.475590551181348</v>
          </cell>
          <cell r="H852">
            <v>52.475590551181348</v>
          </cell>
          <cell r="I852" t="e">
            <v>#N/A</v>
          </cell>
          <cell r="J852" t="e">
            <v>#N/A</v>
          </cell>
          <cell r="K852">
            <v>105</v>
          </cell>
          <cell r="L852">
            <v>55</v>
          </cell>
          <cell r="M852" t="e">
            <v>#N/A</v>
          </cell>
          <cell r="N852">
            <v>90</v>
          </cell>
          <cell r="O852" t="e">
            <v>#N/A</v>
          </cell>
          <cell r="P852" t="str">
            <v/>
          </cell>
          <cell r="Q852" t="str">
            <v/>
          </cell>
          <cell r="R852">
            <v>90</v>
          </cell>
        </row>
        <row r="853">
          <cell r="A853" t="str">
            <v/>
          </cell>
          <cell r="B853" t="str">
            <v/>
          </cell>
          <cell r="C853" t="str">
            <v>Future</v>
          </cell>
          <cell r="D853" t="e">
            <v>#N/A</v>
          </cell>
          <cell r="E853">
            <v>-11.465472440945158</v>
          </cell>
          <cell r="F853">
            <v>110.48334645669384</v>
          </cell>
          <cell r="G853">
            <v>52.412480314960874</v>
          </cell>
          <cell r="H853">
            <v>52.412480314960874</v>
          </cell>
          <cell r="I853" t="e">
            <v>#N/A</v>
          </cell>
          <cell r="J853" t="e">
            <v>#N/A</v>
          </cell>
          <cell r="K853">
            <v>105</v>
          </cell>
          <cell r="L853">
            <v>55</v>
          </cell>
          <cell r="M853" t="e">
            <v>#N/A</v>
          </cell>
          <cell r="N853">
            <v>90</v>
          </cell>
          <cell r="O853" t="e">
            <v>#N/A</v>
          </cell>
          <cell r="P853" t="str">
            <v/>
          </cell>
          <cell r="Q853" t="str">
            <v/>
          </cell>
          <cell r="R853">
            <v>90</v>
          </cell>
        </row>
        <row r="854">
          <cell r="A854" t="str">
            <v/>
          </cell>
          <cell r="B854" t="str">
            <v/>
          </cell>
          <cell r="C854" t="str">
            <v>Future</v>
          </cell>
          <cell r="D854" t="e">
            <v>#N/A</v>
          </cell>
          <cell r="E854">
            <v>-11.745118110236497</v>
          </cell>
          <cell r="F854">
            <v>110.61708661417416</v>
          </cell>
          <cell r="G854">
            <v>52.349370078740399</v>
          </cell>
          <cell r="H854">
            <v>52.349370078740399</v>
          </cell>
          <cell r="I854" t="e">
            <v>#N/A</v>
          </cell>
          <cell r="J854" t="e">
            <v>#N/A</v>
          </cell>
          <cell r="K854">
            <v>105</v>
          </cell>
          <cell r="L854">
            <v>55</v>
          </cell>
          <cell r="M854" t="e">
            <v>#N/A</v>
          </cell>
          <cell r="N854">
            <v>90</v>
          </cell>
          <cell r="O854" t="e">
            <v>#N/A</v>
          </cell>
          <cell r="P854" t="str">
            <v/>
          </cell>
          <cell r="Q854" t="str">
            <v/>
          </cell>
          <cell r="R854">
            <v>90</v>
          </cell>
        </row>
        <row r="855">
          <cell r="A855" t="str">
            <v/>
          </cell>
          <cell r="B855" t="str">
            <v/>
          </cell>
          <cell r="C855" t="str">
            <v>Future</v>
          </cell>
          <cell r="D855" t="e">
            <v>#N/A</v>
          </cell>
          <cell r="E855">
            <v>-12.024763779527836</v>
          </cell>
          <cell r="F855">
            <v>110.75082677165447</v>
          </cell>
          <cell r="G855">
            <v>52.286259842519925</v>
          </cell>
          <cell r="H855">
            <v>52.286259842519925</v>
          </cell>
          <cell r="I855" t="e">
            <v>#N/A</v>
          </cell>
          <cell r="J855" t="e">
            <v>#N/A</v>
          </cell>
          <cell r="K855">
            <v>105</v>
          </cell>
          <cell r="L855">
            <v>55</v>
          </cell>
          <cell r="M855" t="e">
            <v>#N/A</v>
          </cell>
          <cell r="N855">
            <v>90</v>
          </cell>
          <cell r="O855" t="e">
            <v>#N/A</v>
          </cell>
          <cell r="P855" t="str">
            <v/>
          </cell>
          <cell r="Q855" t="str">
            <v/>
          </cell>
          <cell r="R855">
            <v>90</v>
          </cell>
        </row>
        <row r="856">
          <cell r="A856" t="str">
            <v/>
          </cell>
          <cell r="B856" t="str">
            <v/>
          </cell>
          <cell r="C856" t="str">
            <v>Future</v>
          </cell>
          <cell r="D856" t="e">
            <v>#N/A</v>
          </cell>
          <cell r="E856">
            <v>-12.304409448819175</v>
          </cell>
          <cell r="F856">
            <v>110.88456692913479</v>
          </cell>
          <cell r="G856">
            <v>52.223149606299451</v>
          </cell>
          <cell r="H856">
            <v>52.223149606299451</v>
          </cell>
          <cell r="I856" t="e">
            <v>#N/A</v>
          </cell>
          <cell r="J856" t="e">
            <v>#N/A</v>
          </cell>
          <cell r="K856">
            <v>105</v>
          </cell>
          <cell r="L856">
            <v>55</v>
          </cell>
          <cell r="M856" t="e">
            <v>#N/A</v>
          </cell>
          <cell r="N856">
            <v>90</v>
          </cell>
          <cell r="O856" t="e">
            <v>#N/A</v>
          </cell>
          <cell r="P856" t="str">
            <v/>
          </cell>
          <cell r="Q856" t="str">
            <v/>
          </cell>
          <cell r="R856">
            <v>90</v>
          </cell>
        </row>
        <row r="857">
          <cell r="A857" t="str">
            <v/>
          </cell>
          <cell r="B857" t="str">
            <v/>
          </cell>
          <cell r="C857" t="str">
            <v>Future</v>
          </cell>
          <cell r="D857" t="e">
            <v>#N/A</v>
          </cell>
          <cell r="E857">
            <v>-12.584055118110514</v>
          </cell>
          <cell r="F857">
            <v>111.01830708661511</v>
          </cell>
          <cell r="G857">
            <v>52.160039370078977</v>
          </cell>
          <cell r="H857">
            <v>52.160039370078977</v>
          </cell>
          <cell r="I857" t="e">
            <v>#N/A</v>
          </cell>
          <cell r="J857" t="e">
            <v>#N/A</v>
          </cell>
          <cell r="K857">
            <v>105</v>
          </cell>
          <cell r="L857">
            <v>55</v>
          </cell>
          <cell r="M857" t="e">
            <v>#N/A</v>
          </cell>
          <cell r="N857">
            <v>90</v>
          </cell>
          <cell r="O857" t="e">
            <v>#N/A</v>
          </cell>
          <cell r="P857" t="str">
            <v/>
          </cell>
          <cell r="Q857" t="str">
            <v/>
          </cell>
          <cell r="R857">
            <v>90</v>
          </cell>
        </row>
        <row r="858">
          <cell r="A858" t="str">
            <v/>
          </cell>
          <cell r="B858" t="str">
            <v/>
          </cell>
          <cell r="C858" t="str">
            <v>Future</v>
          </cell>
          <cell r="D858" t="e">
            <v>#N/A</v>
          </cell>
          <cell r="E858">
            <v>-12.863700787401854</v>
          </cell>
          <cell r="F858">
            <v>111.15204724409543</v>
          </cell>
          <cell r="G858">
            <v>52.096929133858502</v>
          </cell>
          <cell r="H858">
            <v>52.096929133858502</v>
          </cell>
          <cell r="I858" t="e">
            <v>#N/A</v>
          </cell>
          <cell r="J858" t="e">
            <v>#N/A</v>
          </cell>
          <cell r="K858">
            <v>105</v>
          </cell>
          <cell r="L858">
            <v>55</v>
          </cell>
          <cell r="M858" t="e">
            <v>#N/A</v>
          </cell>
          <cell r="N858">
            <v>90</v>
          </cell>
          <cell r="O858" t="e">
            <v>#N/A</v>
          </cell>
          <cell r="P858" t="str">
            <v/>
          </cell>
          <cell r="Q858" t="str">
            <v/>
          </cell>
          <cell r="R858">
            <v>90</v>
          </cell>
        </row>
        <row r="859">
          <cell r="A859" t="str">
            <v/>
          </cell>
          <cell r="B859" t="str">
            <v/>
          </cell>
          <cell r="C859" t="str">
            <v>Future</v>
          </cell>
          <cell r="D859" t="e">
            <v>#N/A</v>
          </cell>
          <cell r="E859">
            <v>-13.143346456693193</v>
          </cell>
          <cell r="F859">
            <v>111.28578740157575</v>
          </cell>
          <cell r="G859">
            <v>52.033818897638028</v>
          </cell>
          <cell r="H859">
            <v>52.033818897638028</v>
          </cell>
          <cell r="I859" t="e">
            <v>#N/A</v>
          </cell>
          <cell r="J859" t="e">
            <v>#N/A</v>
          </cell>
          <cell r="K859">
            <v>105</v>
          </cell>
          <cell r="L859">
            <v>55</v>
          </cell>
          <cell r="M859" t="e">
            <v>#N/A</v>
          </cell>
          <cell r="N859">
            <v>90</v>
          </cell>
          <cell r="O859" t="e">
            <v>#N/A</v>
          </cell>
          <cell r="P859" t="str">
            <v/>
          </cell>
          <cell r="Q859" t="str">
            <v/>
          </cell>
          <cell r="R859">
            <v>90</v>
          </cell>
        </row>
        <row r="860">
          <cell r="A860" t="str">
            <v/>
          </cell>
          <cell r="B860" t="str">
            <v/>
          </cell>
          <cell r="C860" t="str">
            <v>Future</v>
          </cell>
          <cell r="D860" t="e">
            <v>#N/A</v>
          </cell>
          <cell r="E860">
            <v>-13.422992125984532</v>
          </cell>
          <cell r="F860">
            <v>111.41952755905606</v>
          </cell>
          <cell r="G860">
            <v>51.970708661417554</v>
          </cell>
          <cell r="H860">
            <v>51.970708661417554</v>
          </cell>
          <cell r="I860" t="e">
            <v>#N/A</v>
          </cell>
          <cell r="J860" t="e">
            <v>#N/A</v>
          </cell>
          <cell r="K860">
            <v>105</v>
          </cell>
          <cell r="L860">
            <v>55</v>
          </cell>
          <cell r="M860" t="e">
            <v>#N/A</v>
          </cell>
          <cell r="N860">
            <v>90</v>
          </cell>
          <cell r="O860" t="e">
            <v>#N/A</v>
          </cell>
          <cell r="P860" t="str">
            <v/>
          </cell>
          <cell r="Q860" t="str">
            <v/>
          </cell>
          <cell r="R860">
            <v>90</v>
          </cell>
        </row>
        <row r="861">
          <cell r="A861" t="str">
            <v/>
          </cell>
          <cell r="B861" t="str">
            <v/>
          </cell>
          <cell r="C861" t="str">
            <v>Future</v>
          </cell>
          <cell r="D861" t="e">
            <v>#N/A</v>
          </cell>
          <cell r="E861">
            <v>-13.702637795275871</v>
          </cell>
          <cell r="F861">
            <v>111.55326771653638</v>
          </cell>
          <cell r="G861">
            <v>51.907598425197079</v>
          </cell>
          <cell r="H861">
            <v>51.907598425197079</v>
          </cell>
          <cell r="I861" t="e">
            <v>#N/A</v>
          </cell>
          <cell r="J861" t="e">
            <v>#N/A</v>
          </cell>
          <cell r="K861">
            <v>105</v>
          </cell>
          <cell r="L861">
            <v>55</v>
          </cell>
          <cell r="M861" t="e">
            <v>#N/A</v>
          </cell>
          <cell r="N861">
            <v>90</v>
          </cell>
          <cell r="O861" t="e">
            <v>#N/A</v>
          </cell>
          <cell r="P861" t="str">
            <v/>
          </cell>
          <cell r="Q861" t="str">
            <v/>
          </cell>
          <cell r="R861">
            <v>90</v>
          </cell>
        </row>
        <row r="862">
          <cell r="A862" t="str">
            <v/>
          </cell>
          <cell r="B862" t="str">
            <v/>
          </cell>
          <cell r="C862" t="str">
            <v>Future</v>
          </cell>
          <cell r="D862" t="e">
            <v>#N/A</v>
          </cell>
          <cell r="E862">
            <v>-13.98228346456721</v>
          </cell>
          <cell r="F862">
            <v>111.6870078740167</v>
          </cell>
          <cell r="G862">
            <v>51.844488188976605</v>
          </cell>
          <cell r="H862">
            <v>51.844488188976605</v>
          </cell>
          <cell r="I862" t="e">
            <v>#N/A</v>
          </cell>
          <cell r="J862" t="e">
            <v>#N/A</v>
          </cell>
          <cell r="K862">
            <v>105</v>
          </cell>
          <cell r="L862">
            <v>55</v>
          </cell>
          <cell r="M862" t="e">
            <v>#N/A</v>
          </cell>
          <cell r="N862">
            <v>90</v>
          </cell>
          <cell r="O862" t="e">
            <v>#N/A</v>
          </cell>
          <cell r="P862" t="str">
            <v/>
          </cell>
          <cell r="Q862" t="str">
            <v/>
          </cell>
          <cell r="R862">
            <v>90</v>
          </cell>
        </row>
        <row r="863">
          <cell r="A863" t="str">
            <v/>
          </cell>
          <cell r="B863" t="str">
            <v/>
          </cell>
          <cell r="C863" t="str">
            <v>Future</v>
          </cell>
          <cell r="D863" t="e">
            <v>#N/A</v>
          </cell>
          <cell r="E863">
            <v>-14.261929133858549</v>
          </cell>
          <cell r="F863">
            <v>111.82074803149702</v>
          </cell>
          <cell r="G863">
            <v>51.781377952756131</v>
          </cell>
          <cell r="H863">
            <v>51.781377952756131</v>
          </cell>
          <cell r="I863" t="e">
            <v>#N/A</v>
          </cell>
          <cell r="J863" t="e">
            <v>#N/A</v>
          </cell>
          <cell r="K863">
            <v>105</v>
          </cell>
          <cell r="L863">
            <v>55</v>
          </cell>
          <cell r="M863" t="e">
            <v>#N/A</v>
          </cell>
          <cell r="N863">
            <v>90</v>
          </cell>
          <cell r="O863" t="e">
            <v>#N/A</v>
          </cell>
          <cell r="P863" t="str">
            <v/>
          </cell>
          <cell r="Q863" t="str">
            <v/>
          </cell>
          <cell r="R863">
            <v>90</v>
          </cell>
        </row>
        <row r="864">
          <cell r="A864" t="str">
            <v/>
          </cell>
          <cell r="B864" t="str">
            <v/>
          </cell>
          <cell r="C864" t="str">
            <v>Future</v>
          </cell>
          <cell r="D864" t="e">
            <v>#N/A</v>
          </cell>
          <cell r="E864">
            <v>-14.541574803149889</v>
          </cell>
          <cell r="F864">
            <v>111.95448818897734</v>
          </cell>
          <cell r="G864">
            <v>51.718267716535657</v>
          </cell>
          <cell r="H864">
            <v>51.718267716535657</v>
          </cell>
          <cell r="I864" t="e">
            <v>#N/A</v>
          </cell>
          <cell r="J864" t="e">
            <v>#N/A</v>
          </cell>
          <cell r="K864">
            <v>105</v>
          </cell>
          <cell r="L864">
            <v>55</v>
          </cell>
          <cell r="M864" t="e">
            <v>#N/A</v>
          </cell>
          <cell r="N864">
            <v>90</v>
          </cell>
          <cell r="O864" t="e">
            <v>#N/A</v>
          </cell>
          <cell r="P864" t="str">
            <v/>
          </cell>
          <cell r="Q864" t="str">
            <v/>
          </cell>
          <cell r="R864">
            <v>90</v>
          </cell>
        </row>
        <row r="865">
          <cell r="A865" t="str">
            <v/>
          </cell>
          <cell r="B865" t="str">
            <v/>
          </cell>
          <cell r="C865" t="str">
            <v>Future</v>
          </cell>
          <cell r="D865" t="e">
            <v>#N/A</v>
          </cell>
          <cell r="E865">
            <v>-14.821220472441228</v>
          </cell>
          <cell r="F865">
            <v>112.08822834645765</v>
          </cell>
          <cell r="G865">
            <v>51.655157480315182</v>
          </cell>
          <cell r="H865">
            <v>51.655157480315182</v>
          </cell>
          <cell r="I865" t="e">
            <v>#N/A</v>
          </cell>
          <cell r="J865" t="e">
            <v>#N/A</v>
          </cell>
          <cell r="K865">
            <v>105</v>
          </cell>
          <cell r="L865">
            <v>55</v>
          </cell>
          <cell r="M865" t="e">
            <v>#N/A</v>
          </cell>
          <cell r="N865">
            <v>90</v>
          </cell>
          <cell r="O865" t="e">
            <v>#N/A</v>
          </cell>
          <cell r="P865" t="str">
            <v/>
          </cell>
          <cell r="Q865" t="str">
            <v/>
          </cell>
          <cell r="R865">
            <v>90</v>
          </cell>
        </row>
        <row r="866">
          <cell r="A866" t="str">
            <v/>
          </cell>
          <cell r="B866" t="str">
            <v/>
          </cell>
          <cell r="C866" t="str">
            <v>Future</v>
          </cell>
          <cell r="D866" t="e">
            <v>#N/A</v>
          </cell>
          <cell r="E866">
            <v>-15.100866141732567</v>
          </cell>
          <cell r="F866">
            <v>112.22196850393797</v>
          </cell>
          <cell r="G866">
            <v>51.592047244094708</v>
          </cell>
          <cell r="H866">
            <v>51.592047244094708</v>
          </cell>
          <cell r="I866" t="e">
            <v>#N/A</v>
          </cell>
          <cell r="J866" t="e">
            <v>#N/A</v>
          </cell>
          <cell r="K866">
            <v>105</v>
          </cell>
          <cell r="L866">
            <v>55</v>
          </cell>
          <cell r="M866" t="e">
            <v>#N/A</v>
          </cell>
          <cell r="N866">
            <v>90</v>
          </cell>
          <cell r="O866" t="e">
            <v>#N/A</v>
          </cell>
          <cell r="P866" t="str">
            <v/>
          </cell>
          <cell r="Q866" t="str">
            <v/>
          </cell>
          <cell r="R866">
            <v>90</v>
          </cell>
        </row>
        <row r="867">
          <cell r="A867" t="str">
            <v/>
          </cell>
          <cell r="B867" t="str">
            <v/>
          </cell>
          <cell r="C867" t="str">
            <v>Future</v>
          </cell>
          <cell r="D867" t="e">
            <v>#N/A</v>
          </cell>
          <cell r="E867">
            <v>-15.380511811023906</v>
          </cell>
          <cell r="F867">
            <v>112.35570866141829</v>
          </cell>
          <cell r="G867">
            <v>51.528937007874234</v>
          </cell>
          <cell r="H867">
            <v>51.528937007874234</v>
          </cell>
          <cell r="I867" t="e">
            <v>#N/A</v>
          </cell>
          <cell r="J867" t="e">
            <v>#N/A</v>
          </cell>
          <cell r="K867">
            <v>105</v>
          </cell>
          <cell r="L867">
            <v>55</v>
          </cell>
          <cell r="M867" t="e">
            <v>#N/A</v>
          </cell>
          <cell r="N867">
            <v>90</v>
          </cell>
          <cell r="O867" t="e">
            <v>#N/A</v>
          </cell>
          <cell r="P867" t="str">
            <v/>
          </cell>
          <cell r="Q867" t="str">
            <v/>
          </cell>
          <cell r="R867">
            <v>90</v>
          </cell>
        </row>
        <row r="868">
          <cell r="A868" t="str">
            <v/>
          </cell>
          <cell r="B868" t="str">
            <v/>
          </cell>
          <cell r="C868" t="str">
            <v>Future</v>
          </cell>
          <cell r="D868" t="e">
            <v>#N/A</v>
          </cell>
          <cell r="E868">
            <v>-15.660157480315245</v>
          </cell>
          <cell r="F868">
            <v>112.48944881889861</v>
          </cell>
          <cell r="G868">
            <v>51.465826771653759</v>
          </cell>
          <cell r="H868">
            <v>51.465826771653759</v>
          </cell>
          <cell r="I868" t="e">
            <v>#N/A</v>
          </cell>
          <cell r="J868" t="e">
            <v>#N/A</v>
          </cell>
          <cell r="K868">
            <v>105</v>
          </cell>
          <cell r="L868">
            <v>55</v>
          </cell>
          <cell r="M868" t="e">
            <v>#N/A</v>
          </cell>
          <cell r="N868">
            <v>90</v>
          </cell>
          <cell r="O868" t="e">
            <v>#N/A</v>
          </cell>
          <cell r="P868" t="str">
            <v/>
          </cell>
          <cell r="Q868" t="str">
            <v/>
          </cell>
          <cell r="R868">
            <v>90</v>
          </cell>
        </row>
        <row r="869">
          <cell r="A869" t="str">
            <v/>
          </cell>
          <cell r="B869" t="str">
            <v/>
          </cell>
          <cell r="C869" t="str">
            <v>Future</v>
          </cell>
          <cell r="D869" t="e">
            <v>#N/A</v>
          </cell>
          <cell r="E869">
            <v>-15.939803149606584</v>
          </cell>
          <cell r="F869">
            <v>112.62318897637893</v>
          </cell>
          <cell r="G869">
            <v>51.402716535433285</v>
          </cell>
          <cell r="H869">
            <v>51.402716535433285</v>
          </cell>
          <cell r="I869" t="e">
            <v>#N/A</v>
          </cell>
          <cell r="J869" t="e">
            <v>#N/A</v>
          </cell>
          <cell r="K869">
            <v>105</v>
          </cell>
          <cell r="L869">
            <v>55</v>
          </cell>
          <cell r="M869" t="e">
            <v>#N/A</v>
          </cell>
          <cell r="N869">
            <v>90</v>
          </cell>
          <cell r="O869" t="e">
            <v>#N/A</v>
          </cell>
          <cell r="P869" t="str">
            <v/>
          </cell>
          <cell r="Q869" t="str">
            <v/>
          </cell>
          <cell r="R869">
            <v>90</v>
          </cell>
        </row>
        <row r="870">
          <cell r="A870" t="str">
            <v/>
          </cell>
          <cell r="B870" t="str">
            <v/>
          </cell>
          <cell r="C870" t="str">
            <v>Future</v>
          </cell>
          <cell r="D870" t="e">
            <v>#N/A</v>
          </cell>
          <cell r="E870">
            <v>-16.219448818897924</v>
          </cell>
          <cell r="F870">
            <v>112.75692913385924</v>
          </cell>
          <cell r="G870">
            <v>51.339606299212811</v>
          </cell>
          <cell r="H870">
            <v>51.339606299212811</v>
          </cell>
          <cell r="I870" t="e">
            <v>#N/A</v>
          </cell>
          <cell r="J870" t="e">
            <v>#N/A</v>
          </cell>
          <cell r="K870">
            <v>105</v>
          </cell>
          <cell r="L870">
            <v>55</v>
          </cell>
          <cell r="M870" t="e">
            <v>#N/A</v>
          </cell>
          <cell r="N870">
            <v>90</v>
          </cell>
          <cell r="O870" t="e">
            <v>#N/A</v>
          </cell>
          <cell r="P870" t="str">
            <v/>
          </cell>
          <cell r="Q870" t="str">
            <v/>
          </cell>
          <cell r="R870">
            <v>90</v>
          </cell>
        </row>
        <row r="871">
          <cell r="A871" t="str">
            <v/>
          </cell>
          <cell r="B871" t="str">
            <v/>
          </cell>
          <cell r="C871" t="str">
            <v>Future</v>
          </cell>
          <cell r="D871" t="e">
            <v>#N/A</v>
          </cell>
          <cell r="E871">
            <v>-16.499094488189261</v>
          </cell>
          <cell r="F871">
            <v>112.89066929133956</v>
          </cell>
          <cell r="G871">
            <v>51.276496062992337</v>
          </cell>
          <cell r="H871">
            <v>51.276496062992337</v>
          </cell>
          <cell r="I871" t="e">
            <v>#N/A</v>
          </cell>
          <cell r="J871" t="e">
            <v>#N/A</v>
          </cell>
          <cell r="K871">
            <v>105</v>
          </cell>
          <cell r="L871">
            <v>55</v>
          </cell>
          <cell r="M871" t="e">
            <v>#N/A</v>
          </cell>
          <cell r="N871">
            <v>90</v>
          </cell>
          <cell r="O871" t="e">
            <v>#N/A</v>
          </cell>
          <cell r="P871" t="str">
            <v/>
          </cell>
          <cell r="Q871" t="str">
            <v/>
          </cell>
          <cell r="R871">
            <v>90</v>
          </cell>
        </row>
        <row r="872">
          <cell r="A872" t="str">
            <v/>
          </cell>
          <cell r="B872" t="str">
            <v/>
          </cell>
          <cell r="C872" t="str">
            <v>Future</v>
          </cell>
          <cell r="D872" t="e">
            <v>#N/A</v>
          </cell>
          <cell r="E872">
            <v>-16.778740157480598</v>
          </cell>
          <cell r="F872">
            <v>113.02440944881988</v>
          </cell>
          <cell r="G872">
            <v>51.213385826771862</v>
          </cell>
          <cell r="H872">
            <v>51.213385826771862</v>
          </cell>
          <cell r="I872" t="e">
            <v>#N/A</v>
          </cell>
          <cell r="J872" t="e">
            <v>#N/A</v>
          </cell>
          <cell r="K872">
            <v>105</v>
          </cell>
          <cell r="L872">
            <v>55</v>
          </cell>
          <cell r="M872" t="e">
            <v>#N/A</v>
          </cell>
          <cell r="N872">
            <v>90</v>
          </cell>
          <cell r="O872" t="e">
            <v>#N/A</v>
          </cell>
          <cell r="P872" t="str">
            <v/>
          </cell>
          <cell r="Q872" t="str">
            <v/>
          </cell>
          <cell r="R872">
            <v>90</v>
          </cell>
        </row>
        <row r="873">
          <cell r="A873" t="str">
            <v/>
          </cell>
          <cell r="B873" t="str">
            <v/>
          </cell>
          <cell r="C873" t="str">
            <v>Future</v>
          </cell>
          <cell r="D873" t="e">
            <v>#N/A</v>
          </cell>
          <cell r="E873">
            <v>-17.058385826771936</v>
          </cell>
          <cell r="F873">
            <v>113.1581496063002</v>
          </cell>
          <cell r="G873">
            <v>51.150275590551388</v>
          </cell>
          <cell r="H873">
            <v>51.150275590551388</v>
          </cell>
          <cell r="I873" t="e">
            <v>#N/A</v>
          </cell>
          <cell r="J873" t="e">
            <v>#N/A</v>
          </cell>
          <cell r="K873">
            <v>105</v>
          </cell>
          <cell r="L873">
            <v>55</v>
          </cell>
          <cell r="M873" t="e">
            <v>#N/A</v>
          </cell>
          <cell r="N873">
            <v>90</v>
          </cell>
          <cell r="O873" t="e">
            <v>#N/A</v>
          </cell>
          <cell r="P873" t="str">
            <v/>
          </cell>
          <cell r="Q873" t="str">
            <v/>
          </cell>
          <cell r="R873">
            <v>90</v>
          </cell>
        </row>
        <row r="874">
          <cell r="A874" t="str">
            <v/>
          </cell>
          <cell r="B874" t="str">
            <v/>
          </cell>
          <cell r="C874" t="str">
            <v>Future</v>
          </cell>
          <cell r="D874" t="e">
            <v>#N/A</v>
          </cell>
          <cell r="E874">
            <v>-17.338031496063273</v>
          </cell>
          <cell r="F874">
            <v>113.29188976378052</v>
          </cell>
          <cell r="G874">
            <v>51.087165354330914</v>
          </cell>
          <cell r="H874">
            <v>51.087165354330914</v>
          </cell>
          <cell r="I874" t="e">
            <v>#N/A</v>
          </cell>
          <cell r="J874" t="e">
            <v>#N/A</v>
          </cell>
          <cell r="K874">
            <v>105</v>
          </cell>
          <cell r="L874">
            <v>55</v>
          </cell>
          <cell r="M874" t="e">
            <v>#N/A</v>
          </cell>
          <cell r="N874">
            <v>90</v>
          </cell>
          <cell r="O874" t="e">
            <v>#N/A</v>
          </cell>
          <cell r="P874" t="str">
            <v/>
          </cell>
          <cell r="Q874" t="str">
            <v/>
          </cell>
          <cell r="R874">
            <v>90</v>
          </cell>
        </row>
        <row r="875">
          <cell r="A875" t="str">
            <v/>
          </cell>
          <cell r="B875" t="str">
            <v/>
          </cell>
          <cell r="C875" t="str">
            <v>Future</v>
          </cell>
          <cell r="D875" t="e">
            <v>#N/A</v>
          </cell>
          <cell r="E875">
            <v>-17.61767716535461</v>
          </cell>
          <cell r="F875">
            <v>113.42562992126084</v>
          </cell>
          <cell r="G875">
            <v>51.024055118110439</v>
          </cell>
          <cell r="H875">
            <v>51.024055118110439</v>
          </cell>
          <cell r="I875" t="e">
            <v>#N/A</v>
          </cell>
          <cell r="J875" t="e">
            <v>#N/A</v>
          </cell>
          <cell r="K875">
            <v>105</v>
          </cell>
          <cell r="L875">
            <v>55</v>
          </cell>
          <cell r="M875" t="e">
            <v>#N/A</v>
          </cell>
          <cell r="N875">
            <v>90</v>
          </cell>
          <cell r="O875" t="e">
            <v>#N/A</v>
          </cell>
          <cell r="P875" t="str">
            <v/>
          </cell>
          <cell r="Q875" t="str">
            <v/>
          </cell>
          <cell r="R875">
            <v>90</v>
          </cell>
        </row>
        <row r="876">
          <cell r="A876" t="str">
            <v/>
          </cell>
          <cell r="B876" t="str">
            <v/>
          </cell>
          <cell r="C876" t="str">
            <v>Future</v>
          </cell>
          <cell r="D876" t="e">
            <v>#N/A</v>
          </cell>
          <cell r="E876">
            <v>-17.897322834645948</v>
          </cell>
          <cell r="F876">
            <v>113.55937007874115</v>
          </cell>
          <cell r="G876">
            <v>50.960944881889965</v>
          </cell>
          <cell r="H876">
            <v>50.960944881889965</v>
          </cell>
          <cell r="I876" t="e">
            <v>#N/A</v>
          </cell>
          <cell r="J876" t="e">
            <v>#N/A</v>
          </cell>
          <cell r="K876">
            <v>105</v>
          </cell>
          <cell r="L876">
            <v>55</v>
          </cell>
          <cell r="M876" t="e">
            <v>#N/A</v>
          </cell>
          <cell r="N876">
            <v>90</v>
          </cell>
          <cell r="O876" t="e">
            <v>#N/A</v>
          </cell>
          <cell r="P876" t="str">
            <v/>
          </cell>
          <cell r="Q876" t="str">
            <v/>
          </cell>
          <cell r="R876">
            <v>90</v>
          </cell>
        </row>
        <row r="877">
          <cell r="A877" t="str">
            <v/>
          </cell>
          <cell r="B877" t="str">
            <v/>
          </cell>
          <cell r="C877" t="str">
            <v>Future</v>
          </cell>
          <cell r="D877" t="e">
            <v>#N/A</v>
          </cell>
          <cell r="E877">
            <v>-18.176968503937285</v>
          </cell>
          <cell r="F877">
            <v>113.69311023622147</v>
          </cell>
          <cell r="G877">
            <v>50.897834645669491</v>
          </cell>
          <cell r="H877">
            <v>50.897834645669491</v>
          </cell>
          <cell r="I877" t="e">
            <v>#N/A</v>
          </cell>
          <cell r="J877" t="e">
            <v>#N/A</v>
          </cell>
          <cell r="K877">
            <v>105</v>
          </cell>
          <cell r="L877">
            <v>55</v>
          </cell>
          <cell r="M877" t="e">
            <v>#N/A</v>
          </cell>
          <cell r="N877">
            <v>90</v>
          </cell>
          <cell r="O877" t="e">
            <v>#N/A</v>
          </cell>
          <cell r="P877" t="str">
            <v/>
          </cell>
          <cell r="Q877" t="str">
            <v/>
          </cell>
          <cell r="R877">
            <v>90</v>
          </cell>
        </row>
        <row r="878">
          <cell r="A878" t="str">
            <v/>
          </cell>
          <cell r="B878" t="str">
            <v/>
          </cell>
          <cell r="C878" t="str">
            <v>Future</v>
          </cell>
          <cell r="D878" t="e">
            <v>#N/A</v>
          </cell>
          <cell r="E878">
            <v>-18.456614173228623</v>
          </cell>
          <cell r="F878">
            <v>113.82685039370179</v>
          </cell>
          <cell r="G878">
            <v>50.834724409449016</v>
          </cell>
          <cell r="H878">
            <v>50.834724409449016</v>
          </cell>
          <cell r="I878" t="e">
            <v>#N/A</v>
          </cell>
          <cell r="J878" t="e">
            <v>#N/A</v>
          </cell>
          <cell r="K878">
            <v>105</v>
          </cell>
          <cell r="L878">
            <v>55</v>
          </cell>
          <cell r="M878" t="e">
            <v>#N/A</v>
          </cell>
          <cell r="N878">
            <v>90</v>
          </cell>
          <cell r="O878" t="e">
            <v>#N/A</v>
          </cell>
          <cell r="P878" t="str">
            <v/>
          </cell>
          <cell r="Q878" t="str">
            <v/>
          </cell>
          <cell r="R878">
            <v>90</v>
          </cell>
        </row>
        <row r="879">
          <cell r="A879" t="str">
            <v/>
          </cell>
          <cell r="B879" t="str">
            <v/>
          </cell>
          <cell r="C879" t="str">
            <v>Future</v>
          </cell>
          <cell r="D879" t="e">
            <v>#N/A</v>
          </cell>
          <cell r="E879">
            <v>-18.73625984251996</v>
          </cell>
          <cell r="F879">
            <v>113.96059055118211</v>
          </cell>
          <cell r="G879">
            <v>50.771614173228542</v>
          </cell>
          <cell r="H879">
            <v>50.771614173228542</v>
          </cell>
          <cell r="I879" t="e">
            <v>#N/A</v>
          </cell>
          <cell r="J879" t="e">
            <v>#N/A</v>
          </cell>
          <cell r="K879">
            <v>105</v>
          </cell>
          <cell r="L879">
            <v>55</v>
          </cell>
          <cell r="M879" t="e">
            <v>#N/A</v>
          </cell>
          <cell r="N879">
            <v>90</v>
          </cell>
          <cell r="O879" t="e">
            <v>#N/A</v>
          </cell>
          <cell r="P879" t="str">
            <v/>
          </cell>
          <cell r="Q879" t="str">
            <v/>
          </cell>
          <cell r="R879">
            <v>90</v>
          </cell>
        </row>
        <row r="880">
          <cell r="A880" t="str">
            <v/>
          </cell>
          <cell r="B880" t="str">
            <v/>
          </cell>
          <cell r="C880" t="str">
            <v>Future</v>
          </cell>
          <cell r="D880" t="e">
            <v>#N/A</v>
          </cell>
          <cell r="E880">
            <v>-19.015905511811297</v>
          </cell>
          <cell r="F880">
            <v>114.09433070866243</v>
          </cell>
          <cell r="G880">
            <v>50.708503937008068</v>
          </cell>
          <cell r="H880">
            <v>50.708503937008068</v>
          </cell>
          <cell r="I880" t="e">
            <v>#N/A</v>
          </cell>
          <cell r="J880" t="e">
            <v>#N/A</v>
          </cell>
          <cell r="K880">
            <v>105</v>
          </cell>
          <cell r="L880">
            <v>55</v>
          </cell>
          <cell r="M880" t="e">
            <v>#N/A</v>
          </cell>
          <cell r="N880">
            <v>90</v>
          </cell>
          <cell r="O880" t="e">
            <v>#N/A</v>
          </cell>
          <cell r="P880" t="str">
            <v/>
          </cell>
          <cell r="Q880" t="str">
            <v/>
          </cell>
          <cell r="R880">
            <v>90</v>
          </cell>
        </row>
        <row r="881">
          <cell r="A881" t="str">
            <v/>
          </cell>
          <cell r="B881" t="str">
            <v/>
          </cell>
          <cell r="C881" t="str">
            <v>Future</v>
          </cell>
          <cell r="D881" t="e">
            <v>#N/A</v>
          </cell>
          <cell r="E881">
            <v>-19.295551181102635</v>
          </cell>
          <cell r="F881">
            <v>114.22807086614274</v>
          </cell>
          <cell r="G881">
            <v>50.645393700787594</v>
          </cell>
          <cell r="H881">
            <v>50.645393700787594</v>
          </cell>
          <cell r="I881" t="e">
            <v>#N/A</v>
          </cell>
          <cell r="J881" t="e">
            <v>#N/A</v>
          </cell>
          <cell r="K881">
            <v>105</v>
          </cell>
          <cell r="L881">
            <v>55</v>
          </cell>
          <cell r="M881" t="e">
            <v>#N/A</v>
          </cell>
          <cell r="N881">
            <v>90</v>
          </cell>
          <cell r="O881" t="e">
            <v>#N/A</v>
          </cell>
          <cell r="P881" t="str">
            <v/>
          </cell>
          <cell r="Q881" t="str">
            <v/>
          </cell>
          <cell r="R881">
            <v>90</v>
          </cell>
        </row>
        <row r="882">
          <cell r="A882" t="str">
            <v/>
          </cell>
          <cell r="B882" t="str">
            <v/>
          </cell>
          <cell r="C882" t="str">
            <v>Future</v>
          </cell>
          <cell r="D882" t="e">
            <v>#N/A</v>
          </cell>
          <cell r="E882">
            <v>-19.575196850393972</v>
          </cell>
          <cell r="F882">
            <v>114.36181102362306</v>
          </cell>
          <cell r="G882">
            <v>50.582283464567119</v>
          </cell>
          <cell r="H882">
            <v>50.582283464567119</v>
          </cell>
          <cell r="I882" t="e">
            <v>#N/A</v>
          </cell>
          <cell r="J882" t="e">
            <v>#N/A</v>
          </cell>
          <cell r="K882">
            <v>105</v>
          </cell>
          <cell r="L882">
            <v>55</v>
          </cell>
          <cell r="M882" t="e">
            <v>#N/A</v>
          </cell>
          <cell r="N882">
            <v>90</v>
          </cell>
          <cell r="O882" t="e">
            <v>#N/A</v>
          </cell>
          <cell r="P882" t="str">
            <v/>
          </cell>
          <cell r="Q882" t="str">
            <v/>
          </cell>
          <cell r="R882">
            <v>90</v>
          </cell>
        </row>
        <row r="883">
          <cell r="A883" t="str">
            <v/>
          </cell>
          <cell r="B883" t="str">
            <v/>
          </cell>
          <cell r="C883" t="str">
            <v>Future</v>
          </cell>
          <cell r="D883" t="e">
            <v>#N/A</v>
          </cell>
          <cell r="E883">
            <v>-19.85484251968531</v>
          </cell>
          <cell r="F883">
            <v>114.49555118110338</v>
          </cell>
          <cell r="G883">
            <v>50.519173228346645</v>
          </cell>
          <cell r="H883">
            <v>50.519173228346645</v>
          </cell>
          <cell r="I883" t="e">
            <v>#N/A</v>
          </cell>
          <cell r="J883" t="e">
            <v>#N/A</v>
          </cell>
          <cell r="K883">
            <v>105</v>
          </cell>
          <cell r="L883">
            <v>55</v>
          </cell>
          <cell r="M883" t="e">
            <v>#N/A</v>
          </cell>
          <cell r="N883">
            <v>90</v>
          </cell>
          <cell r="O883" t="e">
            <v>#N/A</v>
          </cell>
          <cell r="P883" t="str">
            <v/>
          </cell>
          <cell r="Q883" t="str">
            <v/>
          </cell>
          <cell r="R883">
            <v>90</v>
          </cell>
        </row>
        <row r="884">
          <cell r="A884" t="str">
            <v/>
          </cell>
          <cell r="B884" t="str">
            <v/>
          </cell>
          <cell r="C884" t="str">
            <v>Future</v>
          </cell>
          <cell r="D884" t="e">
            <v>#N/A</v>
          </cell>
          <cell r="E884">
            <v>-20.134488188976647</v>
          </cell>
          <cell r="F884">
            <v>114.6292913385837</v>
          </cell>
          <cell r="G884">
            <v>50.456062992126171</v>
          </cell>
          <cell r="H884">
            <v>50.456062992126171</v>
          </cell>
          <cell r="I884" t="e">
            <v>#N/A</v>
          </cell>
          <cell r="J884" t="e">
            <v>#N/A</v>
          </cell>
          <cell r="K884">
            <v>105</v>
          </cell>
          <cell r="L884">
            <v>55</v>
          </cell>
          <cell r="M884" t="e">
            <v>#N/A</v>
          </cell>
          <cell r="N884">
            <v>90</v>
          </cell>
          <cell r="O884" t="e">
            <v>#N/A</v>
          </cell>
          <cell r="P884" t="str">
            <v/>
          </cell>
          <cell r="Q884" t="str">
            <v/>
          </cell>
          <cell r="R884">
            <v>90</v>
          </cell>
        </row>
        <row r="885">
          <cell r="A885" t="str">
            <v/>
          </cell>
          <cell r="B885" t="str">
            <v/>
          </cell>
          <cell r="C885" t="str">
            <v>Future</v>
          </cell>
          <cell r="D885" t="e">
            <v>#N/A</v>
          </cell>
          <cell r="E885">
            <v>-20.414133858267984</v>
          </cell>
          <cell r="F885">
            <v>114.76303149606402</v>
          </cell>
          <cell r="G885">
            <v>50.392952755905696</v>
          </cell>
          <cell r="H885">
            <v>50.392952755905696</v>
          </cell>
          <cell r="I885" t="e">
            <v>#N/A</v>
          </cell>
          <cell r="J885" t="e">
            <v>#N/A</v>
          </cell>
          <cell r="K885">
            <v>105</v>
          </cell>
          <cell r="L885">
            <v>55</v>
          </cell>
          <cell r="M885" t="e">
            <v>#N/A</v>
          </cell>
          <cell r="N885">
            <v>90</v>
          </cell>
          <cell r="O885" t="e">
            <v>#N/A</v>
          </cell>
          <cell r="P885" t="str">
            <v/>
          </cell>
          <cell r="Q885" t="str">
            <v/>
          </cell>
          <cell r="R885">
            <v>90</v>
          </cell>
        </row>
        <row r="886">
          <cell r="A886" t="str">
            <v/>
          </cell>
          <cell r="B886" t="str">
            <v/>
          </cell>
          <cell r="C886" t="str">
            <v>Future</v>
          </cell>
          <cell r="D886" t="e">
            <v>#N/A</v>
          </cell>
          <cell r="E886">
            <v>-20.693779527559322</v>
          </cell>
          <cell r="F886">
            <v>114.89677165354433</v>
          </cell>
          <cell r="G886">
            <v>50.329842519685222</v>
          </cell>
          <cell r="H886">
            <v>50.329842519685222</v>
          </cell>
          <cell r="I886" t="e">
            <v>#N/A</v>
          </cell>
          <cell r="J886" t="e">
            <v>#N/A</v>
          </cell>
          <cell r="K886">
            <v>105</v>
          </cell>
          <cell r="L886">
            <v>55</v>
          </cell>
          <cell r="M886" t="e">
            <v>#N/A</v>
          </cell>
          <cell r="N886">
            <v>90</v>
          </cell>
          <cell r="O886" t="e">
            <v>#N/A</v>
          </cell>
          <cell r="P886" t="str">
            <v/>
          </cell>
          <cell r="Q886" t="str">
            <v/>
          </cell>
          <cell r="R886">
            <v>90</v>
          </cell>
        </row>
        <row r="887">
          <cell r="A887" t="str">
            <v/>
          </cell>
          <cell r="B887" t="str">
            <v/>
          </cell>
          <cell r="C887" t="str">
            <v>Future</v>
          </cell>
          <cell r="D887" t="e">
            <v>#N/A</v>
          </cell>
          <cell r="E887">
            <v>-20.973425196850659</v>
          </cell>
          <cell r="F887">
            <v>115.03051181102465</v>
          </cell>
          <cell r="G887">
            <v>50.266732283464748</v>
          </cell>
          <cell r="H887">
            <v>50.266732283464748</v>
          </cell>
          <cell r="I887" t="e">
            <v>#N/A</v>
          </cell>
          <cell r="J887" t="e">
            <v>#N/A</v>
          </cell>
          <cell r="K887">
            <v>105</v>
          </cell>
          <cell r="L887">
            <v>55</v>
          </cell>
          <cell r="M887" t="e">
            <v>#N/A</v>
          </cell>
          <cell r="N887">
            <v>90</v>
          </cell>
          <cell r="O887" t="e">
            <v>#N/A</v>
          </cell>
          <cell r="P887" t="str">
            <v/>
          </cell>
          <cell r="Q887" t="str">
            <v/>
          </cell>
          <cell r="R887">
            <v>90</v>
          </cell>
        </row>
        <row r="888">
          <cell r="A888" t="str">
            <v/>
          </cell>
          <cell r="B888" t="str">
            <v/>
          </cell>
          <cell r="C888" t="str">
            <v>Future</v>
          </cell>
          <cell r="D888" t="e">
            <v>#N/A</v>
          </cell>
          <cell r="E888">
            <v>-21.253070866141996</v>
          </cell>
          <cell r="F888">
            <v>115.16425196850497</v>
          </cell>
          <cell r="G888">
            <v>50.203622047244274</v>
          </cell>
          <cell r="H888">
            <v>50.203622047244274</v>
          </cell>
          <cell r="I888" t="e">
            <v>#N/A</v>
          </cell>
          <cell r="J888" t="e">
            <v>#N/A</v>
          </cell>
          <cell r="K888">
            <v>105</v>
          </cell>
          <cell r="L888">
            <v>55</v>
          </cell>
          <cell r="M888" t="e">
            <v>#N/A</v>
          </cell>
          <cell r="N888">
            <v>90</v>
          </cell>
          <cell r="O888" t="e">
            <v>#N/A</v>
          </cell>
          <cell r="P888" t="str">
            <v/>
          </cell>
          <cell r="Q888" t="str">
            <v/>
          </cell>
          <cell r="R888">
            <v>90</v>
          </cell>
        </row>
        <row r="889">
          <cell r="A889" t="str">
            <v/>
          </cell>
          <cell r="B889" t="str">
            <v/>
          </cell>
          <cell r="C889" t="str">
            <v>Future</v>
          </cell>
          <cell r="D889" t="e">
            <v>#N/A</v>
          </cell>
          <cell r="E889">
            <v>-21.532716535433334</v>
          </cell>
          <cell r="F889">
            <v>115.29799212598529</v>
          </cell>
          <cell r="G889">
            <v>50.140511811023799</v>
          </cell>
          <cell r="H889">
            <v>50.140511811023799</v>
          </cell>
          <cell r="I889" t="e">
            <v>#N/A</v>
          </cell>
          <cell r="J889" t="e">
            <v>#N/A</v>
          </cell>
          <cell r="K889">
            <v>105</v>
          </cell>
          <cell r="L889">
            <v>55</v>
          </cell>
          <cell r="M889" t="e">
            <v>#N/A</v>
          </cell>
          <cell r="N889">
            <v>90</v>
          </cell>
          <cell r="O889" t="e">
            <v>#N/A</v>
          </cell>
          <cell r="P889" t="str">
            <v/>
          </cell>
          <cell r="Q889" t="str">
            <v/>
          </cell>
          <cell r="R889">
            <v>90</v>
          </cell>
        </row>
        <row r="890">
          <cell r="A890" t="str">
            <v/>
          </cell>
          <cell r="B890" t="str">
            <v/>
          </cell>
          <cell r="C890" t="str">
            <v>Future</v>
          </cell>
          <cell r="D890" t="e">
            <v>#N/A</v>
          </cell>
          <cell r="E890">
            <v>-21.812362204724671</v>
          </cell>
          <cell r="F890">
            <v>115.43173228346561</v>
          </cell>
          <cell r="G890">
            <v>50.077401574803325</v>
          </cell>
          <cell r="H890">
            <v>50.077401574803325</v>
          </cell>
          <cell r="I890" t="e">
            <v>#N/A</v>
          </cell>
          <cell r="J890" t="e">
            <v>#N/A</v>
          </cell>
          <cell r="K890">
            <v>105</v>
          </cell>
          <cell r="L890">
            <v>55</v>
          </cell>
          <cell r="M890" t="e">
            <v>#N/A</v>
          </cell>
          <cell r="N890">
            <v>90</v>
          </cell>
          <cell r="O890" t="e">
            <v>#N/A</v>
          </cell>
          <cell r="P890" t="str">
            <v/>
          </cell>
          <cell r="Q890" t="str">
            <v/>
          </cell>
          <cell r="R890">
            <v>90</v>
          </cell>
        </row>
        <row r="891">
          <cell r="A891" t="str">
            <v/>
          </cell>
          <cell r="B891" t="str">
            <v/>
          </cell>
          <cell r="C891" t="str">
            <v>Future</v>
          </cell>
          <cell r="D891" t="e">
            <v>#N/A</v>
          </cell>
          <cell r="E891">
            <v>-22.092007874016009</v>
          </cell>
          <cell r="F891">
            <v>115.56547244094592</v>
          </cell>
          <cell r="G891">
            <v>50.014291338582851</v>
          </cell>
          <cell r="H891">
            <v>50.014291338582851</v>
          </cell>
          <cell r="I891" t="e">
            <v>#N/A</v>
          </cell>
          <cell r="J891" t="e">
            <v>#N/A</v>
          </cell>
          <cell r="K891">
            <v>105</v>
          </cell>
          <cell r="L891">
            <v>55</v>
          </cell>
          <cell r="M891" t="e">
            <v>#N/A</v>
          </cell>
          <cell r="N891">
            <v>90</v>
          </cell>
          <cell r="O891" t="e">
            <v>#N/A</v>
          </cell>
          <cell r="P891" t="str">
            <v/>
          </cell>
          <cell r="Q891" t="str">
            <v/>
          </cell>
          <cell r="R891">
            <v>90</v>
          </cell>
        </row>
        <row r="892">
          <cell r="A892" t="str">
            <v/>
          </cell>
          <cell r="B892" t="str">
            <v/>
          </cell>
          <cell r="C892" t="str">
            <v>Future</v>
          </cell>
          <cell r="D892" t="e">
            <v>#N/A</v>
          </cell>
          <cell r="E892">
            <v>-22.371653543307346</v>
          </cell>
          <cell r="F892">
            <v>115.69921259842624</v>
          </cell>
          <cell r="G892">
            <v>49.951181102362376</v>
          </cell>
          <cell r="H892">
            <v>49.951181102362376</v>
          </cell>
          <cell r="I892" t="e">
            <v>#N/A</v>
          </cell>
          <cell r="J892" t="e">
            <v>#N/A</v>
          </cell>
          <cell r="K892">
            <v>105</v>
          </cell>
          <cell r="L892">
            <v>55</v>
          </cell>
          <cell r="M892" t="e">
            <v>#N/A</v>
          </cell>
          <cell r="N892">
            <v>90</v>
          </cell>
          <cell r="O892" t="e">
            <v>#N/A</v>
          </cell>
          <cell r="P892" t="str">
            <v/>
          </cell>
          <cell r="Q892" t="str">
            <v/>
          </cell>
          <cell r="R892">
            <v>90</v>
          </cell>
        </row>
        <row r="893">
          <cell r="A893" t="str">
            <v/>
          </cell>
          <cell r="B893" t="str">
            <v/>
          </cell>
          <cell r="C893" t="str">
            <v>Future</v>
          </cell>
          <cell r="D893" t="e">
            <v>#N/A</v>
          </cell>
          <cell r="E893">
            <v>-22.651299212598683</v>
          </cell>
          <cell r="F893">
            <v>115.83295275590656</v>
          </cell>
          <cell r="G893">
            <v>49.888070866141902</v>
          </cell>
          <cell r="H893">
            <v>49.888070866141902</v>
          </cell>
          <cell r="I893" t="e">
            <v>#N/A</v>
          </cell>
          <cell r="J893" t="e">
            <v>#N/A</v>
          </cell>
          <cell r="K893">
            <v>105</v>
          </cell>
          <cell r="L893">
            <v>55</v>
          </cell>
          <cell r="M893" t="e">
            <v>#N/A</v>
          </cell>
          <cell r="N893">
            <v>90</v>
          </cell>
          <cell r="O893" t="e">
            <v>#N/A</v>
          </cell>
          <cell r="P893" t="str">
            <v/>
          </cell>
          <cell r="Q893" t="str">
            <v/>
          </cell>
          <cell r="R893">
            <v>90</v>
          </cell>
        </row>
        <row r="894">
          <cell r="A894" t="str">
            <v/>
          </cell>
          <cell r="B894" t="str">
            <v/>
          </cell>
          <cell r="C894" t="str">
            <v>Future</v>
          </cell>
          <cell r="D894" t="e">
            <v>#N/A</v>
          </cell>
          <cell r="E894">
            <v>-22.930944881890021</v>
          </cell>
          <cell r="F894">
            <v>115.96669291338688</v>
          </cell>
          <cell r="G894">
            <v>49.824960629921428</v>
          </cell>
          <cell r="H894">
            <v>49.824960629921428</v>
          </cell>
          <cell r="I894" t="e">
            <v>#N/A</v>
          </cell>
          <cell r="J894" t="e">
            <v>#N/A</v>
          </cell>
          <cell r="K894">
            <v>105</v>
          </cell>
          <cell r="L894">
            <v>55</v>
          </cell>
          <cell r="M894" t="e">
            <v>#N/A</v>
          </cell>
          <cell r="N894">
            <v>90</v>
          </cell>
          <cell r="O894" t="e">
            <v>#N/A</v>
          </cell>
          <cell r="P894" t="str">
            <v/>
          </cell>
          <cell r="Q894" t="str">
            <v/>
          </cell>
          <cell r="R894">
            <v>90</v>
          </cell>
        </row>
        <row r="895">
          <cell r="A895" t="str">
            <v/>
          </cell>
          <cell r="B895" t="str">
            <v/>
          </cell>
          <cell r="C895" t="str">
            <v>Future</v>
          </cell>
          <cell r="D895" t="e">
            <v>#N/A</v>
          </cell>
          <cell r="E895">
            <v>-23.210590551181358</v>
          </cell>
          <cell r="F895">
            <v>116.1004330708672</v>
          </cell>
          <cell r="G895">
            <v>49.761850393700954</v>
          </cell>
          <cell r="H895">
            <v>49.761850393700954</v>
          </cell>
          <cell r="I895" t="e">
            <v>#N/A</v>
          </cell>
          <cell r="J895" t="e">
            <v>#N/A</v>
          </cell>
          <cell r="K895">
            <v>105</v>
          </cell>
          <cell r="L895">
            <v>55</v>
          </cell>
          <cell r="M895" t="e">
            <v>#N/A</v>
          </cell>
          <cell r="N895">
            <v>90</v>
          </cell>
          <cell r="O895" t="e">
            <v>#N/A</v>
          </cell>
          <cell r="P895" t="str">
            <v/>
          </cell>
          <cell r="Q895" t="str">
            <v/>
          </cell>
          <cell r="R895">
            <v>90</v>
          </cell>
        </row>
        <row r="896">
          <cell r="A896" t="str">
            <v/>
          </cell>
          <cell r="B896" t="str">
            <v/>
          </cell>
          <cell r="C896" t="str">
            <v>Future</v>
          </cell>
          <cell r="D896" t="e">
            <v>#N/A</v>
          </cell>
          <cell r="E896">
            <v>-23.490236220472696</v>
          </cell>
          <cell r="F896">
            <v>116.23417322834752</v>
          </cell>
          <cell r="G896">
            <v>49.698740157480479</v>
          </cell>
          <cell r="H896">
            <v>49.698740157480479</v>
          </cell>
          <cell r="I896" t="e">
            <v>#N/A</v>
          </cell>
          <cell r="J896" t="e">
            <v>#N/A</v>
          </cell>
          <cell r="K896">
            <v>105</v>
          </cell>
          <cell r="L896">
            <v>55</v>
          </cell>
          <cell r="M896" t="e">
            <v>#N/A</v>
          </cell>
          <cell r="N896">
            <v>90</v>
          </cell>
          <cell r="O896" t="e">
            <v>#N/A</v>
          </cell>
          <cell r="P896" t="str">
            <v/>
          </cell>
          <cell r="Q896" t="str">
            <v/>
          </cell>
          <cell r="R896">
            <v>90</v>
          </cell>
        </row>
        <row r="897">
          <cell r="A897" t="str">
            <v/>
          </cell>
          <cell r="B897" t="str">
            <v/>
          </cell>
          <cell r="C897" t="str">
            <v>Future</v>
          </cell>
          <cell r="D897" t="e">
            <v>#N/A</v>
          </cell>
          <cell r="E897">
            <v>-23.769881889764033</v>
          </cell>
          <cell r="F897">
            <v>116.36791338582783</v>
          </cell>
          <cell r="G897">
            <v>49.635629921260005</v>
          </cell>
          <cell r="H897">
            <v>49.635629921260005</v>
          </cell>
          <cell r="I897" t="e">
            <v>#N/A</v>
          </cell>
          <cell r="J897" t="e">
            <v>#N/A</v>
          </cell>
          <cell r="K897">
            <v>105</v>
          </cell>
          <cell r="L897">
            <v>55</v>
          </cell>
          <cell r="M897" t="e">
            <v>#N/A</v>
          </cell>
          <cell r="N897">
            <v>90</v>
          </cell>
          <cell r="O897" t="e">
            <v>#N/A</v>
          </cell>
          <cell r="P897" t="str">
            <v/>
          </cell>
          <cell r="Q897" t="str">
            <v/>
          </cell>
          <cell r="R897">
            <v>90</v>
          </cell>
        </row>
        <row r="898">
          <cell r="A898" t="str">
            <v/>
          </cell>
          <cell r="B898" t="str">
            <v/>
          </cell>
          <cell r="C898" t="str">
            <v>Future</v>
          </cell>
          <cell r="D898" t="e">
            <v>#N/A</v>
          </cell>
          <cell r="E898">
            <v>-24.04952755905537</v>
          </cell>
          <cell r="F898">
            <v>116.50165354330815</v>
          </cell>
          <cell r="G898">
            <v>49.572519685039531</v>
          </cell>
          <cell r="H898">
            <v>49.572519685039531</v>
          </cell>
          <cell r="I898" t="e">
            <v>#N/A</v>
          </cell>
          <cell r="J898" t="e">
            <v>#N/A</v>
          </cell>
          <cell r="K898">
            <v>105</v>
          </cell>
          <cell r="L898">
            <v>55</v>
          </cell>
          <cell r="M898" t="e">
            <v>#N/A</v>
          </cell>
          <cell r="N898">
            <v>90</v>
          </cell>
          <cell r="O898" t="e">
            <v>#N/A</v>
          </cell>
          <cell r="P898" t="str">
            <v/>
          </cell>
          <cell r="Q898" t="str">
            <v/>
          </cell>
          <cell r="R898">
            <v>90</v>
          </cell>
        </row>
        <row r="899">
          <cell r="A899" t="str">
            <v/>
          </cell>
          <cell r="B899" t="str">
            <v/>
          </cell>
          <cell r="C899" t="str">
            <v>Future</v>
          </cell>
          <cell r="D899" t="e">
            <v>#N/A</v>
          </cell>
          <cell r="E899">
            <v>-24.329173228346708</v>
          </cell>
          <cell r="F899">
            <v>116.63539370078847</v>
          </cell>
          <cell r="G899">
            <v>49.509409448819056</v>
          </cell>
          <cell r="H899">
            <v>49.509409448819056</v>
          </cell>
          <cell r="I899" t="e">
            <v>#N/A</v>
          </cell>
          <cell r="J899" t="e">
            <v>#N/A</v>
          </cell>
          <cell r="K899">
            <v>105</v>
          </cell>
          <cell r="L899">
            <v>55</v>
          </cell>
          <cell r="M899" t="e">
            <v>#N/A</v>
          </cell>
          <cell r="N899">
            <v>90</v>
          </cell>
          <cell r="O899" t="e">
            <v>#N/A</v>
          </cell>
          <cell r="P899" t="str">
            <v/>
          </cell>
          <cell r="Q899" t="str">
            <v/>
          </cell>
          <cell r="R899">
            <v>90</v>
          </cell>
        </row>
        <row r="900">
          <cell r="A900" t="str">
            <v/>
          </cell>
          <cell r="B900" t="str">
            <v/>
          </cell>
          <cell r="C900" t="str">
            <v>Future</v>
          </cell>
          <cell r="D900" t="e">
            <v>#N/A</v>
          </cell>
          <cell r="E900">
            <v>-24.608818897638045</v>
          </cell>
          <cell r="F900">
            <v>116.76913385826879</v>
          </cell>
          <cell r="G900">
            <v>49.446299212598582</v>
          </cell>
          <cell r="H900">
            <v>49.446299212598582</v>
          </cell>
          <cell r="I900" t="e">
            <v>#N/A</v>
          </cell>
          <cell r="J900" t="e">
            <v>#N/A</v>
          </cell>
          <cell r="K900">
            <v>105</v>
          </cell>
          <cell r="L900">
            <v>55</v>
          </cell>
          <cell r="M900" t="e">
            <v>#N/A</v>
          </cell>
          <cell r="N900">
            <v>90</v>
          </cell>
          <cell r="O900" t="e">
            <v>#N/A</v>
          </cell>
          <cell r="P900" t="str">
            <v/>
          </cell>
          <cell r="Q900" t="str">
            <v/>
          </cell>
          <cell r="R900">
            <v>90</v>
          </cell>
        </row>
        <row r="901">
          <cell r="A901" t="str">
            <v/>
          </cell>
          <cell r="B901" t="str">
            <v/>
          </cell>
          <cell r="C901" t="str">
            <v>Future</v>
          </cell>
          <cell r="D901" t="e">
            <v>#N/A</v>
          </cell>
          <cell r="E901">
            <v>-24.888464566929382</v>
          </cell>
          <cell r="F901">
            <v>116.90287401574911</v>
          </cell>
          <cell r="G901">
            <v>49.383188976378108</v>
          </cell>
          <cell r="H901">
            <v>49.383188976378108</v>
          </cell>
          <cell r="I901" t="e">
            <v>#N/A</v>
          </cell>
          <cell r="J901" t="e">
            <v>#N/A</v>
          </cell>
          <cell r="K901">
            <v>105</v>
          </cell>
          <cell r="L901">
            <v>55</v>
          </cell>
          <cell r="M901" t="e">
            <v>#N/A</v>
          </cell>
          <cell r="N901">
            <v>90</v>
          </cell>
          <cell r="O901" t="e">
            <v>#N/A</v>
          </cell>
          <cell r="P901" t="str">
            <v/>
          </cell>
          <cell r="Q901" t="str">
            <v/>
          </cell>
          <cell r="R901">
            <v>90</v>
          </cell>
        </row>
        <row r="902">
          <cell r="A902" t="str">
            <v/>
          </cell>
          <cell r="B902" t="str">
            <v/>
          </cell>
          <cell r="C902" t="str">
            <v>Future</v>
          </cell>
          <cell r="D902" t="e">
            <v>#N/A</v>
          </cell>
          <cell r="E902">
            <v>-25.16811023622072</v>
          </cell>
          <cell r="F902">
            <v>117.03661417322942</v>
          </cell>
          <cell r="G902">
            <v>49.320078740157633</v>
          </cell>
          <cell r="H902">
            <v>49.320078740157633</v>
          </cell>
          <cell r="I902" t="e">
            <v>#N/A</v>
          </cell>
          <cell r="J902" t="e">
            <v>#N/A</v>
          </cell>
          <cell r="K902">
            <v>105</v>
          </cell>
          <cell r="L902">
            <v>55</v>
          </cell>
          <cell r="M902" t="e">
            <v>#N/A</v>
          </cell>
          <cell r="N902">
            <v>90</v>
          </cell>
          <cell r="O902" t="e">
            <v>#N/A</v>
          </cell>
          <cell r="P902" t="str">
            <v/>
          </cell>
          <cell r="Q902" t="str">
            <v/>
          </cell>
          <cell r="R902">
            <v>90</v>
          </cell>
        </row>
        <row r="903">
          <cell r="A903" t="str">
            <v/>
          </cell>
          <cell r="B903" t="str">
            <v/>
          </cell>
          <cell r="C903" t="str">
            <v>Future</v>
          </cell>
          <cell r="D903" t="e">
            <v>#N/A</v>
          </cell>
          <cell r="E903">
            <v>-25.447755905512057</v>
          </cell>
          <cell r="F903">
            <v>117.17035433070974</v>
          </cell>
          <cell r="G903">
            <v>49.256968503937159</v>
          </cell>
          <cell r="H903">
            <v>49.256968503937159</v>
          </cell>
          <cell r="I903" t="e">
            <v>#N/A</v>
          </cell>
          <cell r="J903" t="e">
            <v>#N/A</v>
          </cell>
          <cell r="K903">
            <v>105</v>
          </cell>
          <cell r="L903">
            <v>55</v>
          </cell>
          <cell r="M903" t="e">
            <v>#N/A</v>
          </cell>
          <cell r="N903">
            <v>90</v>
          </cell>
          <cell r="O903" t="e">
            <v>#N/A</v>
          </cell>
          <cell r="P903" t="str">
            <v/>
          </cell>
          <cell r="Q903" t="str">
            <v/>
          </cell>
          <cell r="R903">
            <v>90</v>
          </cell>
        </row>
        <row r="904">
          <cell r="A904" t="str">
            <v/>
          </cell>
          <cell r="B904" t="str">
            <v/>
          </cell>
          <cell r="C904" t="str">
            <v>Future</v>
          </cell>
          <cell r="D904" t="e">
            <v>#N/A</v>
          </cell>
          <cell r="E904">
            <v>-25.727401574803395</v>
          </cell>
          <cell r="F904">
            <v>117.30409448819006</v>
          </cell>
          <cell r="G904">
            <v>49.193858267716685</v>
          </cell>
          <cell r="H904">
            <v>49.193858267716685</v>
          </cell>
          <cell r="I904" t="e">
            <v>#N/A</v>
          </cell>
          <cell r="J904" t="e">
            <v>#N/A</v>
          </cell>
          <cell r="K904">
            <v>105</v>
          </cell>
          <cell r="L904">
            <v>55</v>
          </cell>
          <cell r="M904" t="e">
            <v>#N/A</v>
          </cell>
          <cell r="N904">
            <v>90</v>
          </cell>
          <cell r="O904" t="e">
            <v>#N/A</v>
          </cell>
          <cell r="P904" t="str">
            <v/>
          </cell>
          <cell r="Q904" t="str">
            <v/>
          </cell>
          <cell r="R904">
            <v>90</v>
          </cell>
        </row>
        <row r="905">
          <cell r="A905" t="str">
            <v/>
          </cell>
          <cell r="B905" t="str">
            <v/>
          </cell>
          <cell r="C905" t="str">
            <v>Future</v>
          </cell>
          <cell r="D905" t="e">
            <v>#N/A</v>
          </cell>
          <cell r="E905">
            <v>-26.007047244094732</v>
          </cell>
          <cell r="F905">
            <v>117.43783464567038</v>
          </cell>
          <cell r="G905">
            <v>49.130748031496211</v>
          </cell>
          <cell r="H905">
            <v>49.130748031496211</v>
          </cell>
          <cell r="I905" t="e">
            <v>#N/A</v>
          </cell>
          <cell r="J905" t="e">
            <v>#N/A</v>
          </cell>
          <cell r="K905">
            <v>105</v>
          </cell>
          <cell r="L905">
            <v>55</v>
          </cell>
          <cell r="M905" t="e">
            <v>#N/A</v>
          </cell>
          <cell r="N905">
            <v>90</v>
          </cell>
          <cell r="O905" t="e">
            <v>#N/A</v>
          </cell>
          <cell r="P905" t="str">
            <v/>
          </cell>
          <cell r="Q905" t="str">
            <v/>
          </cell>
          <cell r="R905">
            <v>90</v>
          </cell>
        </row>
        <row r="906">
          <cell r="A906" t="str">
            <v/>
          </cell>
          <cell r="B906" t="str">
            <v/>
          </cell>
          <cell r="C906" t="str">
            <v>Future</v>
          </cell>
          <cell r="D906" t="e">
            <v>#N/A</v>
          </cell>
          <cell r="E906">
            <v>-26.286692913386069</v>
          </cell>
          <cell r="F906">
            <v>117.5715748031507</v>
          </cell>
          <cell r="G906">
            <v>49.067637795275736</v>
          </cell>
          <cell r="H906">
            <v>49.067637795275736</v>
          </cell>
          <cell r="I906" t="e">
            <v>#N/A</v>
          </cell>
          <cell r="J906" t="e">
            <v>#N/A</v>
          </cell>
          <cell r="K906">
            <v>105</v>
          </cell>
          <cell r="L906">
            <v>55</v>
          </cell>
          <cell r="M906" t="e">
            <v>#N/A</v>
          </cell>
          <cell r="N906">
            <v>90</v>
          </cell>
          <cell r="O906" t="e">
            <v>#N/A</v>
          </cell>
          <cell r="P906" t="str">
            <v/>
          </cell>
          <cell r="Q906" t="str">
            <v/>
          </cell>
          <cell r="R906">
            <v>90</v>
          </cell>
        </row>
        <row r="907">
          <cell r="A907" t="str">
            <v/>
          </cell>
          <cell r="B907" t="str">
            <v/>
          </cell>
          <cell r="C907" t="str">
            <v>Future</v>
          </cell>
          <cell r="D907" t="e">
            <v>#N/A</v>
          </cell>
          <cell r="E907">
            <v>-26.566338582677407</v>
          </cell>
          <cell r="F907">
            <v>117.70531496063101</v>
          </cell>
          <cell r="G907">
            <v>49.004527559055262</v>
          </cell>
          <cell r="H907">
            <v>49.004527559055262</v>
          </cell>
          <cell r="I907" t="e">
            <v>#N/A</v>
          </cell>
          <cell r="J907" t="e">
            <v>#N/A</v>
          </cell>
          <cell r="K907">
            <v>105</v>
          </cell>
          <cell r="L907">
            <v>55</v>
          </cell>
          <cell r="M907" t="e">
            <v>#N/A</v>
          </cell>
          <cell r="N907">
            <v>90</v>
          </cell>
          <cell r="O907" t="e">
            <v>#N/A</v>
          </cell>
          <cell r="P907" t="str">
            <v/>
          </cell>
          <cell r="Q907" t="str">
            <v/>
          </cell>
          <cell r="R907">
            <v>90</v>
          </cell>
        </row>
        <row r="908">
          <cell r="A908" t="str">
            <v/>
          </cell>
          <cell r="B908" t="str">
            <v/>
          </cell>
          <cell r="C908" t="str">
            <v>Future</v>
          </cell>
          <cell r="D908" t="e">
            <v>#N/A</v>
          </cell>
          <cell r="E908">
            <v>-26.845984251968744</v>
          </cell>
          <cell r="F908">
            <v>117.83905511811133</v>
          </cell>
          <cell r="G908">
            <v>48.941417322834788</v>
          </cell>
          <cell r="H908">
            <v>48.941417322834788</v>
          </cell>
          <cell r="I908" t="e">
            <v>#N/A</v>
          </cell>
          <cell r="J908" t="e">
            <v>#N/A</v>
          </cell>
          <cell r="K908">
            <v>105</v>
          </cell>
          <cell r="L908">
            <v>55</v>
          </cell>
          <cell r="M908" t="e">
            <v>#N/A</v>
          </cell>
          <cell r="N908">
            <v>90</v>
          </cell>
          <cell r="O908" t="e">
            <v>#N/A</v>
          </cell>
          <cell r="P908" t="str">
            <v/>
          </cell>
          <cell r="Q908" t="str">
            <v/>
          </cell>
          <cell r="R908">
            <v>90</v>
          </cell>
        </row>
        <row r="909">
          <cell r="A909" t="str">
            <v/>
          </cell>
          <cell r="B909" t="str">
            <v/>
          </cell>
          <cell r="C909" t="str">
            <v>Future</v>
          </cell>
          <cell r="D909" t="e">
            <v>#N/A</v>
          </cell>
          <cell r="E909">
            <v>-27.125629921260082</v>
          </cell>
          <cell r="F909">
            <v>117.97279527559165</v>
          </cell>
          <cell r="G909">
            <v>48.878307086614313</v>
          </cell>
          <cell r="H909">
            <v>48.878307086614313</v>
          </cell>
          <cell r="I909" t="e">
            <v>#N/A</v>
          </cell>
          <cell r="J909" t="e">
            <v>#N/A</v>
          </cell>
          <cell r="K909">
            <v>105</v>
          </cell>
          <cell r="L909">
            <v>55</v>
          </cell>
          <cell r="M909" t="e">
            <v>#N/A</v>
          </cell>
          <cell r="N909">
            <v>90</v>
          </cell>
          <cell r="O909" t="e">
            <v>#N/A</v>
          </cell>
          <cell r="P909" t="str">
            <v/>
          </cell>
          <cell r="Q909" t="str">
            <v/>
          </cell>
          <cell r="R909">
            <v>90</v>
          </cell>
        </row>
        <row r="910">
          <cell r="A910" t="str">
            <v/>
          </cell>
          <cell r="B910" t="str">
            <v/>
          </cell>
          <cell r="C910" t="str">
            <v>Future</v>
          </cell>
          <cell r="D910" t="e">
            <v>#N/A</v>
          </cell>
          <cell r="E910">
            <v>-27.405275590551419</v>
          </cell>
          <cell r="F910">
            <v>118.10653543307197</v>
          </cell>
          <cell r="G910">
            <v>48.815196850393839</v>
          </cell>
          <cell r="H910">
            <v>48.815196850393839</v>
          </cell>
          <cell r="I910" t="e">
            <v>#N/A</v>
          </cell>
          <cell r="J910" t="e">
            <v>#N/A</v>
          </cell>
          <cell r="K910">
            <v>105</v>
          </cell>
          <cell r="L910">
            <v>55</v>
          </cell>
          <cell r="M910" t="e">
            <v>#N/A</v>
          </cell>
          <cell r="N910">
            <v>90</v>
          </cell>
          <cell r="O910" t="e">
            <v>#N/A</v>
          </cell>
          <cell r="P910" t="str">
            <v/>
          </cell>
          <cell r="Q910" t="str">
            <v/>
          </cell>
          <cell r="R910">
            <v>90</v>
          </cell>
        </row>
        <row r="911">
          <cell r="A911" t="str">
            <v/>
          </cell>
          <cell r="B911" t="str">
            <v/>
          </cell>
          <cell r="C911" t="str">
            <v>Future</v>
          </cell>
          <cell r="D911" t="e">
            <v>#N/A</v>
          </cell>
          <cell r="E911">
            <v>-27.684921259842756</v>
          </cell>
          <cell r="F911">
            <v>118.24027559055229</v>
          </cell>
          <cell r="G911">
            <v>48.752086614173365</v>
          </cell>
          <cell r="H911">
            <v>48.752086614173365</v>
          </cell>
          <cell r="I911" t="e">
            <v>#N/A</v>
          </cell>
          <cell r="J911" t="e">
            <v>#N/A</v>
          </cell>
          <cell r="K911">
            <v>105</v>
          </cell>
          <cell r="L911">
            <v>55</v>
          </cell>
          <cell r="M911" t="e">
            <v>#N/A</v>
          </cell>
          <cell r="N911">
            <v>90</v>
          </cell>
          <cell r="O911" t="e">
            <v>#N/A</v>
          </cell>
          <cell r="P911" t="str">
            <v/>
          </cell>
          <cell r="Q911" t="str">
            <v/>
          </cell>
          <cell r="R911">
            <v>90</v>
          </cell>
        </row>
        <row r="912">
          <cell r="A912" t="str">
            <v/>
          </cell>
          <cell r="B912" t="str">
            <v/>
          </cell>
          <cell r="C912" t="str">
            <v>Future</v>
          </cell>
          <cell r="D912" t="e">
            <v>#N/A</v>
          </cell>
          <cell r="E912">
            <v>-27.964566929134094</v>
          </cell>
          <cell r="F912">
            <v>118.3740157480326</v>
          </cell>
          <cell r="G912">
            <v>48.688976377952891</v>
          </cell>
          <cell r="H912">
            <v>48.688976377952891</v>
          </cell>
          <cell r="I912" t="e">
            <v>#N/A</v>
          </cell>
          <cell r="J912" t="e">
            <v>#N/A</v>
          </cell>
          <cell r="K912">
            <v>105</v>
          </cell>
          <cell r="L912">
            <v>55</v>
          </cell>
          <cell r="M912" t="e">
            <v>#N/A</v>
          </cell>
          <cell r="N912">
            <v>90</v>
          </cell>
          <cell r="O912" t="e">
            <v>#N/A</v>
          </cell>
          <cell r="P912" t="str">
            <v/>
          </cell>
          <cell r="Q912" t="str">
            <v/>
          </cell>
          <cell r="R912">
            <v>90</v>
          </cell>
        </row>
        <row r="913">
          <cell r="A913" t="str">
            <v/>
          </cell>
          <cell r="B913" t="str">
            <v/>
          </cell>
          <cell r="C913" t="str">
            <v>Future</v>
          </cell>
          <cell r="D913" t="e">
            <v>#N/A</v>
          </cell>
          <cell r="E913">
            <v>-28.244212598425431</v>
          </cell>
          <cell r="F913">
            <v>118.50775590551292</v>
          </cell>
          <cell r="G913">
            <v>48.625866141732416</v>
          </cell>
          <cell r="H913">
            <v>48.625866141732416</v>
          </cell>
          <cell r="I913" t="e">
            <v>#N/A</v>
          </cell>
          <cell r="J913" t="e">
            <v>#N/A</v>
          </cell>
          <cell r="K913">
            <v>105</v>
          </cell>
          <cell r="L913">
            <v>55</v>
          </cell>
          <cell r="M913" t="e">
            <v>#N/A</v>
          </cell>
          <cell r="N913">
            <v>90</v>
          </cell>
          <cell r="O913" t="e">
            <v>#N/A</v>
          </cell>
          <cell r="P913" t="str">
            <v/>
          </cell>
          <cell r="Q913" t="str">
            <v/>
          </cell>
          <cell r="R913">
            <v>90</v>
          </cell>
        </row>
        <row r="914">
          <cell r="A914" t="str">
            <v/>
          </cell>
          <cell r="B914" t="str">
            <v/>
          </cell>
          <cell r="C914" t="str">
            <v>Future</v>
          </cell>
          <cell r="D914" t="e">
            <v>#N/A</v>
          </cell>
          <cell r="E914">
            <v>-28.523858267716768</v>
          </cell>
          <cell r="F914">
            <v>118.64149606299324</v>
          </cell>
          <cell r="G914">
            <v>48.562755905511942</v>
          </cell>
          <cell r="H914">
            <v>48.562755905511942</v>
          </cell>
          <cell r="I914" t="e">
            <v>#N/A</v>
          </cell>
          <cell r="J914" t="e">
            <v>#N/A</v>
          </cell>
          <cell r="K914">
            <v>105</v>
          </cell>
          <cell r="L914">
            <v>55</v>
          </cell>
          <cell r="M914" t="e">
            <v>#N/A</v>
          </cell>
          <cell r="N914">
            <v>90</v>
          </cell>
          <cell r="O914" t="e">
            <v>#N/A</v>
          </cell>
          <cell r="P914" t="str">
            <v/>
          </cell>
          <cell r="Q914" t="str">
            <v/>
          </cell>
          <cell r="R914">
            <v>90</v>
          </cell>
        </row>
        <row r="915">
          <cell r="A915" t="str">
            <v/>
          </cell>
          <cell r="B915" t="str">
            <v/>
          </cell>
          <cell r="C915" t="str">
            <v>Future</v>
          </cell>
          <cell r="D915" t="e">
            <v>#N/A</v>
          </cell>
          <cell r="E915">
            <v>-28.803503937008106</v>
          </cell>
          <cell r="F915">
            <v>118.77523622047356</v>
          </cell>
          <cell r="G915">
            <v>48.499645669291468</v>
          </cell>
          <cell r="H915">
            <v>48.499645669291468</v>
          </cell>
          <cell r="I915" t="e">
            <v>#N/A</v>
          </cell>
          <cell r="J915" t="e">
            <v>#N/A</v>
          </cell>
          <cell r="K915">
            <v>105</v>
          </cell>
          <cell r="L915">
            <v>55</v>
          </cell>
          <cell r="M915" t="e">
            <v>#N/A</v>
          </cell>
          <cell r="N915">
            <v>90</v>
          </cell>
          <cell r="O915" t="e">
            <v>#N/A</v>
          </cell>
          <cell r="P915" t="str">
            <v/>
          </cell>
          <cell r="Q915" t="str">
            <v/>
          </cell>
          <cell r="R915">
            <v>90</v>
          </cell>
        </row>
        <row r="916">
          <cell r="A916" t="str">
            <v/>
          </cell>
          <cell r="B916" t="str">
            <v/>
          </cell>
          <cell r="C916" t="str">
            <v>Future</v>
          </cell>
          <cell r="D916" t="e">
            <v>#N/A</v>
          </cell>
          <cell r="E916">
            <v>-29.083149606299443</v>
          </cell>
          <cell r="F916">
            <v>118.90897637795388</v>
          </cell>
          <cell r="G916">
            <v>48.436535433070993</v>
          </cell>
          <cell r="H916">
            <v>48.436535433070993</v>
          </cell>
          <cell r="I916" t="e">
            <v>#N/A</v>
          </cell>
          <cell r="J916" t="e">
            <v>#N/A</v>
          </cell>
          <cell r="K916">
            <v>105</v>
          </cell>
          <cell r="L916">
            <v>55</v>
          </cell>
          <cell r="M916" t="e">
            <v>#N/A</v>
          </cell>
          <cell r="N916">
            <v>90</v>
          </cell>
          <cell r="O916" t="e">
            <v>#N/A</v>
          </cell>
          <cell r="P916" t="str">
            <v/>
          </cell>
          <cell r="Q916" t="str">
            <v/>
          </cell>
          <cell r="R916">
            <v>90</v>
          </cell>
        </row>
        <row r="917">
          <cell r="A917" t="str">
            <v/>
          </cell>
          <cell r="B917" t="str">
            <v/>
          </cell>
          <cell r="C917" t="str">
            <v>Future</v>
          </cell>
          <cell r="D917" t="e">
            <v>#N/A</v>
          </cell>
          <cell r="E917">
            <v>-29.362795275590781</v>
          </cell>
          <cell r="F917">
            <v>119.0427165354342</v>
          </cell>
          <cell r="G917">
            <v>48.373425196850519</v>
          </cell>
          <cell r="H917">
            <v>48.373425196850519</v>
          </cell>
          <cell r="I917" t="e">
            <v>#N/A</v>
          </cell>
          <cell r="J917" t="e">
            <v>#N/A</v>
          </cell>
          <cell r="K917">
            <v>105</v>
          </cell>
          <cell r="L917">
            <v>55</v>
          </cell>
          <cell r="M917" t="e">
            <v>#N/A</v>
          </cell>
          <cell r="N917">
            <v>90</v>
          </cell>
          <cell r="O917" t="e">
            <v>#N/A</v>
          </cell>
          <cell r="P917" t="str">
            <v/>
          </cell>
          <cell r="Q917" t="str">
            <v/>
          </cell>
          <cell r="R917">
            <v>90</v>
          </cell>
        </row>
        <row r="918">
          <cell r="A918" t="str">
            <v/>
          </cell>
          <cell r="B918" t="str">
            <v/>
          </cell>
          <cell r="C918" t="str">
            <v>Future</v>
          </cell>
          <cell r="D918" t="e">
            <v>#N/A</v>
          </cell>
          <cell r="E918">
            <v>-29.642440944882118</v>
          </cell>
          <cell r="F918">
            <v>119.17645669291451</v>
          </cell>
          <cell r="G918">
            <v>48.310314960630045</v>
          </cell>
          <cell r="H918">
            <v>48.310314960630045</v>
          </cell>
          <cell r="I918" t="e">
            <v>#N/A</v>
          </cell>
          <cell r="J918" t="e">
            <v>#N/A</v>
          </cell>
          <cell r="K918">
            <v>105</v>
          </cell>
          <cell r="L918">
            <v>55</v>
          </cell>
          <cell r="M918" t="e">
            <v>#N/A</v>
          </cell>
          <cell r="N918">
            <v>90</v>
          </cell>
          <cell r="O918" t="e">
            <v>#N/A</v>
          </cell>
          <cell r="P918" t="str">
            <v/>
          </cell>
          <cell r="Q918" t="str">
            <v/>
          </cell>
          <cell r="R918">
            <v>90</v>
          </cell>
        </row>
        <row r="919">
          <cell r="A919" t="str">
            <v/>
          </cell>
          <cell r="B919" t="str">
            <v/>
          </cell>
          <cell r="C919" t="str">
            <v>Future</v>
          </cell>
          <cell r="D919" t="e">
            <v>#N/A</v>
          </cell>
          <cell r="E919">
            <v>-29.922086614173455</v>
          </cell>
          <cell r="F919">
            <v>119.31019685039483</v>
          </cell>
          <cell r="G919">
            <v>48.247204724409571</v>
          </cell>
          <cell r="H919">
            <v>48.247204724409571</v>
          </cell>
          <cell r="I919" t="e">
            <v>#N/A</v>
          </cell>
          <cell r="J919" t="e">
            <v>#N/A</v>
          </cell>
          <cell r="K919">
            <v>105</v>
          </cell>
          <cell r="L919">
            <v>55</v>
          </cell>
          <cell r="M919" t="e">
            <v>#N/A</v>
          </cell>
          <cell r="N919">
            <v>90</v>
          </cell>
          <cell r="O919" t="e">
            <v>#N/A</v>
          </cell>
          <cell r="P919" t="str">
            <v/>
          </cell>
          <cell r="Q919" t="str">
            <v/>
          </cell>
          <cell r="R919">
            <v>90</v>
          </cell>
        </row>
        <row r="920">
          <cell r="A920" t="str">
            <v/>
          </cell>
          <cell r="B920" t="str">
            <v/>
          </cell>
          <cell r="C920" t="str">
            <v>Future</v>
          </cell>
          <cell r="D920" t="e">
            <v>#N/A</v>
          </cell>
          <cell r="E920">
            <v>-30.201732283464793</v>
          </cell>
          <cell r="F920">
            <v>119.44393700787515</v>
          </cell>
          <cell r="G920">
            <v>48.184094488189096</v>
          </cell>
          <cell r="H920">
            <v>48.184094488189096</v>
          </cell>
          <cell r="I920" t="e">
            <v>#N/A</v>
          </cell>
          <cell r="J920" t="e">
            <v>#N/A</v>
          </cell>
          <cell r="K920">
            <v>105</v>
          </cell>
          <cell r="L920">
            <v>55</v>
          </cell>
          <cell r="M920" t="e">
            <v>#N/A</v>
          </cell>
          <cell r="N920">
            <v>90</v>
          </cell>
          <cell r="O920" t="e">
            <v>#N/A</v>
          </cell>
          <cell r="P920" t="str">
            <v/>
          </cell>
          <cell r="Q920" t="str">
            <v/>
          </cell>
          <cell r="R920">
            <v>90</v>
          </cell>
        </row>
        <row r="921">
          <cell r="A921" t="str">
            <v/>
          </cell>
          <cell r="B921" t="str">
            <v/>
          </cell>
          <cell r="C921" t="str">
            <v>Future</v>
          </cell>
          <cell r="D921" t="e">
            <v>#N/A</v>
          </cell>
          <cell r="E921">
            <v>-30.48137795275613</v>
          </cell>
          <cell r="F921">
            <v>119.57767716535547</v>
          </cell>
          <cell r="G921">
            <v>48.120984251968622</v>
          </cell>
          <cell r="H921">
            <v>48.120984251968622</v>
          </cell>
          <cell r="I921" t="e">
            <v>#N/A</v>
          </cell>
          <cell r="J921" t="e">
            <v>#N/A</v>
          </cell>
          <cell r="K921">
            <v>105</v>
          </cell>
          <cell r="L921">
            <v>55</v>
          </cell>
          <cell r="M921" t="e">
            <v>#N/A</v>
          </cell>
          <cell r="N921">
            <v>90</v>
          </cell>
          <cell r="O921" t="e">
            <v>#N/A</v>
          </cell>
          <cell r="P921" t="str">
            <v/>
          </cell>
          <cell r="Q921" t="str">
            <v/>
          </cell>
          <cell r="R921">
            <v>90</v>
          </cell>
        </row>
        <row r="922">
          <cell r="A922" t="str">
            <v/>
          </cell>
          <cell r="B922" t="str">
            <v/>
          </cell>
          <cell r="C922" t="str">
            <v>Future</v>
          </cell>
          <cell r="D922" t="e">
            <v>#N/A</v>
          </cell>
          <cell r="E922">
            <v>-30.761023622047468</v>
          </cell>
          <cell r="F922">
            <v>119.71141732283579</v>
          </cell>
          <cell r="G922">
            <v>48.057874015748148</v>
          </cell>
          <cell r="H922">
            <v>48.057874015748148</v>
          </cell>
          <cell r="I922" t="e">
            <v>#N/A</v>
          </cell>
          <cell r="J922" t="e">
            <v>#N/A</v>
          </cell>
          <cell r="K922">
            <v>105</v>
          </cell>
          <cell r="L922">
            <v>55</v>
          </cell>
          <cell r="M922" t="e">
            <v>#N/A</v>
          </cell>
          <cell r="N922">
            <v>90</v>
          </cell>
          <cell r="O922" t="e">
            <v>#N/A</v>
          </cell>
          <cell r="P922" t="str">
            <v/>
          </cell>
          <cell r="Q922" t="str">
            <v/>
          </cell>
          <cell r="R922">
            <v>90</v>
          </cell>
        </row>
        <row r="923">
          <cell r="A923" t="str">
            <v/>
          </cell>
          <cell r="B923" t="str">
            <v/>
          </cell>
          <cell r="C923" t="str">
            <v>Future</v>
          </cell>
          <cell r="D923" t="e">
            <v>#N/A</v>
          </cell>
          <cell r="E923">
            <v>-31.040669291338805</v>
          </cell>
          <cell r="F923">
            <v>119.8451574803161</v>
          </cell>
          <cell r="G923">
            <v>47.994763779527673</v>
          </cell>
          <cell r="H923">
            <v>47.994763779527673</v>
          </cell>
          <cell r="I923" t="e">
            <v>#N/A</v>
          </cell>
          <cell r="J923" t="e">
            <v>#N/A</v>
          </cell>
          <cell r="K923">
            <v>105</v>
          </cell>
          <cell r="L923">
            <v>55</v>
          </cell>
          <cell r="M923" t="e">
            <v>#N/A</v>
          </cell>
          <cell r="N923">
            <v>90</v>
          </cell>
          <cell r="O923" t="e">
            <v>#N/A</v>
          </cell>
          <cell r="P923" t="str">
            <v/>
          </cell>
          <cell r="Q923" t="str">
            <v/>
          </cell>
          <cell r="R923">
            <v>90</v>
          </cell>
        </row>
        <row r="924">
          <cell r="A924" t="str">
            <v/>
          </cell>
          <cell r="B924" t="str">
            <v/>
          </cell>
          <cell r="C924" t="str">
            <v>Future</v>
          </cell>
          <cell r="D924" t="e">
            <v>#N/A</v>
          </cell>
          <cell r="E924">
            <v>-31.320314960630142</v>
          </cell>
          <cell r="F924">
            <v>119.97889763779642</v>
          </cell>
          <cell r="G924">
            <v>47.931653543307199</v>
          </cell>
          <cell r="H924">
            <v>47.931653543307199</v>
          </cell>
          <cell r="I924" t="e">
            <v>#N/A</v>
          </cell>
          <cell r="J924" t="e">
            <v>#N/A</v>
          </cell>
          <cell r="K924">
            <v>105</v>
          </cell>
          <cell r="L924">
            <v>55</v>
          </cell>
          <cell r="M924" t="e">
            <v>#N/A</v>
          </cell>
          <cell r="N924">
            <v>90</v>
          </cell>
          <cell r="O924" t="e">
            <v>#N/A</v>
          </cell>
          <cell r="P924" t="str">
            <v/>
          </cell>
          <cell r="Q924" t="str">
            <v/>
          </cell>
          <cell r="R924">
            <v>90</v>
          </cell>
        </row>
        <row r="925">
          <cell r="A925" t="str">
            <v/>
          </cell>
          <cell r="B925" t="str">
            <v/>
          </cell>
          <cell r="C925" t="str">
            <v>Future</v>
          </cell>
          <cell r="D925" t="e">
            <v>#N/A</v>
          </cell>
          <cell r="E925">
            <v>-31.59996062992148</v>
          </cell>
          <cell r="F925">
            <v>120.11263779527674</v>
          </cell>
          <cell r="G925">
            <v>47.868543307086725</v>
          </cell>
          <cell r="H925">
            <v>47.868543307086725</v>
          </cell>
          <cell r="I925" t="e">
            <v>#N/A</v>
          </cell>
          <cell r="J925" t="e">
            <v>#N/A</v>
          </cell>
          <cell r="K925">
            <v>105</v>
          </cell>
          <cell r="L925">
            <v>55</v>
          </cell>
          <cell r="M925" t="e">
            <v>#N/A</v>
          </cell>
          <cell r="N925">
            <v>90</v>
          </cell>
          <cell r="O925" t="e">
            <v>#N/A</v>
          </cell>
          <cell r="P925" t="str">
            <v/>
          </cell>
          <cell r="Q925" t="str">
            <v/>
          </cell>
          <cell r="R925">
            <v>90</v>
          </cell>
        </row>
        <row r="926">
          <cell r="A926" t="str">
            <v/>
          </cell>
          <cell r="B926" t="str">
            <v/>
          </cell>
          <cell r="C926" t="str">
            <v>Future</v>
          </cell>
          <cell r="D926" t="e">
            <v>#N/A</v>
          </cell>
          <cell r="E926">
            <v>-31.879606299212817</v>
          </cell>
          <cell r="F926">
            <v>120.24637795275706</v>
          </cell>
          <cell r="G926">
            <v>47.80543307086625</v>
          </cell>
          <cell r="H926">
            <v>47.80543307086625</v>
          </cell>
          <cell r="I926" t="e">
            <v>#N/A</v>
          </cell>
          <cell r="J926" t="e">
            <v>#N/A</v>
          </cell>
          <cell r="K926">
            <v>105</v>
          </cell>
          <cell r="L926">
            <v>55</v>
          </cell>
          <cell r="M926" t="e">
            <v>#N/A</v>
          </cell>
          <cell r="N926">
            <v>90</v>
          </cell>
          <cell r="O926" t="e">
            <v>#N/A</v>
          </cell>
          <cell r="P926" t="str">
            <v/>
          </cell>
          <cell r="Q926" t="str">
            <v/>
          </cell>
          <cell r="R926">
            <v>90</v>
          </cell>
        </row>
        <row r="927">
          <cell r="A927" t="str">
            <v/>
          </cell>
          <cell r="B927" t="str">
            <v/>
          </cell>
          <cell r="C927" t="str">
            <v>Future</v>
          </cell>
          <cell r="D927" t="e">
            <v>#N/A</v>
          </cell>
          <cell r="E927">
            <v>-32.159251968504158</v>
          </cell>
          <cell r="F927">
            <v>120.38011811023738</v>
          </cell>
          <cell r="G927">
            <v>47.742322834645776</v>
          </cell>
          <cell r="H927">
            <v>47.742322834645776</v>
          </cell>
          <cell r="I927" t="e">
            <v>#N/A</v>
          </cell>
          <cell r="J927" t="e">
            <v>#N/A</v>
          </cell>
          <cell r="K927">
            <v>105</v>
          </cell>
          <cell r="L927">
            <v>55</v>
          </cell>
          <cell r="M927" t="e">
            <v>#N/A</v>
          </cell>
          <cell r="N927">
            <v>90</v>
          </cell>
          <cell r="O927" t="e">
            <v>#N/A</v>
          </cell>
          <cell r="P927" t="str">
            <v/>
          </cell>
          <cell r="Q927" t="str">
            <v/>
          </cell>
          <cell r="R927">
            <v>90</v>
          </cell>
        </row>
        <row r="928">
          <cell r="A928" t="str">
            <v/>
          </cell>
          <cell r="B928" t="str">
            <v/>
          </cell>
          <cell r="C928" t="str">
            <v>Future</v>
          </cell>
          <cell r="D928" t="e">
            <v>#N/A</v>
          </cell>
          <cell r="E928">
            <v>-32.438897637795499</v>
          </cell>
          <cell r="F928">
            <v>120.51385826771769</v>
          </cell>
          <cell r="G928">
            <v>47.679212598425302</v>
          </cell>
          <cell r="H928">
            <v>47.679212598425302</v>
          </cell>
          <cell r="I928" t="e">
            <v>#N/A</v>
          </cell>
          <cell r="J928" t="e">
            <v>#N/A</v>
          </cell>
          <cell r="K928">
            <v>105</v>
          </cell>
          <cell r="L928">
            <v>55</v>
          </cell>
          <cell r="M928" t="e">
            <v>#N/A</v>
          </cell>
          <cell r="N928">
            <v>90</v>
          </cell>
          <cell r="O928" t="e">
            <v>#N/A</v>
          </cell>
          <cell r="P928" t="str">
            <v/>
          </cell>
          <cell r="Q928" t="str">
            <v/>
          </cell>
          <cell r="R928">
            <v>90</v>
          </cell>
        </row>
        <row r="929">
          <cell r="A929" t="str">
            <v/>
          </cell>
          <cell r="B929" t="str">
            <v/>
          </cell>
          <cell r="C929" t="str">
            <v>Future</v>
          </cell>
          <cell r="D929" t="e">
            <v>#N/A</v>
          </cell>
          <cell r="E929">
            <v>-32.71854330708684</v>
          </cell>
          <cell r="F929">
            <v>120.64759842519801</v>
          </cell>
          <cell r="G929">
            <v>47.616102362204828</v>
          </cell>
          <cell r="H929">
            <v>47.616102362204828</v>
          </cell>
          <cell r="I929" t="e">
            <v>#N/A</v>
          </cell>
          <cell r="J929" t="e">
            <v>#N/A</v>
          </cell>
          <cell r="K929">
            <v>105</v>
          </cell>
          <cell r="L929">
            <v>55</v>
          </cell>
          <cell r="M929" t="e">
            <v>#N/A</v>
          </cell>
          <cell r="N929">
            <v>90</v>
          </cell>
          <cell r="O929" t="e">
            <v>#N/A</v>
          </cell>
          <cell r="P929" t="str">
            <v/>
          </cell>
          <cell r="Q929" t="str">
            <v/>
          </cell>
          <cell r="R929">
            <v>90</v>
          </cell>
        </row>
        <row r="930">
          <cell r="A930" t="str">
            <v/>
          </cell>
          <cell r="B930" t="str">
            <v/>
          </cell>
          <cell r="C930" t="str">
            <v>Future</v>
          </cell>
          <cell r="D930" t="e">
            <v>#N/A</v>
          </cell>
          <cell r="E930">
            <v>-32.998188976378181</v>
          </cell>
          <cell r="F930">
            <v>120.78133858267833</v>
          </cell>
          <cell r="G930">
            <v>47.552992125984353</v>
          </cell>
          <cell r="H930">
            <v>47.552992125984353</v>
          </cell>
          <cell r="I930" t="e">
            <v>#N/A</v>
          </cell>
          <cell r="J930" t="e">
            <v>#N/A</v>
          </cell>
          <cell r="K930">
            <v>105</v>
          </cell>
          <cell r="L930">
            <v>55</v>
          </cell>
          <cell r="M930" t="e">
            <v>#N/A</v>
          </cell>
          <cell r="N930">
            <v>90</v>
          </cell>
          <cell r="O930" t="e">
            <v>#N/A</v>
          </cell>
          <cell r="P930" t="str">
            <v/>
          </cell>
          <cell r="Q930" t="str">
            <v/>
          </cell>
          <cell r="R930">
            <v>90</v>
          </cell>
        </row>
        <row r="931">
          <cell r="A931" t="str">
            <v/>
          </cell>
          <cell r="B931" t="str">
            <v/>
          </cell>
          <cell r="C931" t="str">
            <v>Future</v>
          </cell>
          <cell r="D931" t="e">
            <v>#N/A</v>
          </cell>
          <cell r="E931">
            <v>-33.277834645669522</v>
          </cell>
          <cell r="F931">
            <v>120.91507874015865</v>
          </cell>
          <cell r="G931">
            <v>47.489881889763879</v>
          </cell>
          <cell r="H931">
            <v>47.489881889763879</v>
          </cell>
          <cell r="I931" t="e">
            <v>#N/A</v>
          </cell>
          <cell r="J931" t="e">
            <v>#N/A</v>
          </cell>
          <cell r="K931">
            <v>105</v>
          </cell>
          <cell r="L931">
            <v>55</v>
          </cell>
          <cell r="M931" t="e">
            <v>#N/A</v>
          </cell>
          <cell r="N931">
            <v>90</v>
          </cell>
          <cell r="O931" t="e">
            <v>#N/A</v>
          </cell>
          <cell r="P931" t="str">
            <v/>
          </cell>
          <cell r="Q931" t="str">
            <v/>
          </cell>
          <cell r="R931">
            <v>90</v>
          </cell>
        </row>
        <row r="932">
          <cell r="A932" t="str">
            <v/>
          </cell>
          <cell r="B932" t="str">
            <v/>
          </cell>
          <cell r="C932" t="str">
            <v>Future</v>
          </cell>
          <cell r="D932" t="e">
            <v>#N/A</v>
          </cell>
          <cell r="E932">
            <v>-33.557480314960863</v>
          </cell>
          <cell r="F932">
            <v>121.04881889763897</v>
          </cell>
          <cell r="G932">
            <v>47.426771653543405</v>
          </cell>
          <cell r="H932">
            <v>47.426771653543405</v>
          </cell>
          <cell r="I932" t="e">
            <v>#N/A</v>
          </cell>
          <cell r="J932" t="e">
            <v>#N/A</v>
          </cell>
          <cell r="K932">
            <v>105</v>
          </cell>
          <cell r="L932">
            <v>55</v>
          </cell>
          <cell r="M932" t="e">
            <v>#N/A</v>
          </cell>
          <cell r="N932">
            <v>90</v>
          </cell>
          <cell r="O932" t="e">
            <v>#N/A</v>
          </cell>
          <cell r="P932" t="str">
            <v/>
          </cell>
          <cell r="Q932" t="str">
            <v/>
          </cell>
          <cell r="R932">
            <v>90</v>
          </cell>
        </row>
        <row r="933">
          <cell r="A933" t="str">
            <v/>
          </cell>
          <cell r="B933" t="str">
            <v/>
          </cell>
          <cell r="C933" t="str">
            <v>Future</v>
          </cell>
          <cell r="D933" t="e">
            <v>#N/A</v>
          </cell>
          <cell r="E933">
            <v>-33.837125984252204</v>
          </cell>
          <cell r="F933">
            <v>121.18255905511928</v>
          </cell>
          <cell r="G933">
            <v>47.36366141732293</v>
          </cell>
          <cell r="H933">
            <v>47.36366141732293</v>
          </cell>
          <cell r="I933" t="e">
            <v>#N/A</v>
          </cell>
          <cell r="J933" t="e">
            <v>#N/A</v>
          </cell>
          <cell r="K933">
            <v>105</v>
          </cell>
          <cell r="L933">
            <v>55</v>
          </cell>
          <cell r="M933" t="e">
            <v>#N/A</v>
          </cell>
          <cell r="N933">
            <v>90</v>
          </cell>
          <cell r="O933" t="e">
            <v>#N/A</v>
          </cell>
          <cell r="P933" t="str">
            <v/>
          </cell>
          <cell r="Q933" t="str">
            <v/>
          </cell>
          <cell r="R933">
            <v>90</v>
          </cell>
        </row>
        <row r="934">
          <cell r="A934" t="str">
            <v/>
          </cell>
          <cell r="B934" t="str">
            <v/>
          </cell>
          <cell r="C934" t="str">
            <v>Future</v>
          </cell>
          <cell r="D934" t="e">
            <v>#N/A</v>
          </cell>
          <cell r="E934">
            <v>-34.116771653543545</v>
          </cell>
          <cell r="F934">
            <v>121.3162992125996</v>
          </cell>
          <cell r="G934">
            <v>47.300551181102456</v>
          </cell>
          <cell r="H934">
            <v>47.300551181102456</v>
          </cell>
          <cell r="I934" t="e">
            <v>#N/A</v>
          </cell>
          <cell r="J934" t="e">
            <v>#N/A</v>
          </cell>
          <cell r="K934">
            <v>105</v>
          </cell>
          <cell r="L934">
            <v>55</v>
          </cell>
          <cell r="M934" t="e">
            <v>#N/A</v>
          </cell>
          <cell r="N934">
            <v>90</v>
          </cell>
          <cell r="O934" t="e">
            <v>#N/A</v>
          </cell>
          <cell r="P934" t="str">
            <v/>
          </cell>
          <cell r="Q934" t="str">
            <v/>
          </cell>
          <cell r="R934">
            <v>90</v>
          </cell>
        </row>
        <row r="935">
          <cell r="A935" t="str">
            <v/>
          </cell>
          <cell r="B935" t="str">
            <v/>
          </cell>
          <cell r="C935" t="str">
            <v>Future</v>
          </cell>
          <cell r="D935" t="e">
            <v>#N/A</v>
          </cell>
          <cell r="E935">
            <v>-34.396417322834886</v>
          </cell>
          <cell r="F935">
            <v>121.45003937007992</v>
          </cell>
          <cell r="G935">
            <v>47.237440944881982</v>
          </cell>
          <cell r="H935">
            <v>47.237440944881982</v>
          </cell>
          <cell r="I935" t="e">
            <v>#N/A</v>
          </cell>
          <cell r="J935" t="e">
            <v>#N/A</v>
          </cell>
          <cell r="K935">
            <v>105</v>
          </cell>
          <cell r="L935">
            <v>55</v>
          </cell>
          <cell r="M935" t="e">
            <v>#N/A</v>
          </cell>
          <cell r="N935">
            <v>90</v>
          </cell>
          <cell r="O935" t="e">
            <v>#N/A</v>
          </cell>
          <cell r="P935" t="str">
            <v/>
          </cell>
          <cell r="Q935" t="str">
            <v/>
          </cell>
          <cell r="R935">
            <v>90</v>
          </cell>
        </row>
        <row r="936">
          <cell r="A936" t="str">
            <v/>
          </cell>
          <cell r="B936" t="str">
            <v/>
          </cell>
          <cell r="C936" t="str">
            <v>Future</v>
          </cell>
          <cell r="D936" t="e">
            <v>#N/A</v>
          </cell>
          <cell r="E936">
            <v>-34.676062992126226</v>
          </cell>
          <cell r="F936">
            <v>121.58377952756024</v>
          </cell>
          <cell r="G936">
            <v>47.174330708661508</v>
          </cell>
          <cell r="H936">
            <v>47.174330708661508</v>
          </cell>
          <cell r="I936" t="e">
            <v>#N/A</v>
          </cell>
          <cell r="J936" t="e">
            <v>#N/A</v>
          </cell>
          <cell r="K936">
            <v>105</v>
          </cell>
          <cell r="L936">
            <v>55</v>
          </cell>
          <cell r="M936" t="e">
            <v>#N/A</v>
          </cell>
          <cell r="N936">
            <v>90</v>
          </cell>
          <cell r="O936" t="e">
            <v>#N/A</v>
          </cell>
          <cell r="P936" t="str">
            <v/>
          </cell>
          <cell r="Q936" t="str">
            <v/>
          </cell>
          <cell r="R936">
            <v>90</v>
          </cell>
        </row>
        <row r="937">
          <cell r="A937" t="str">
            <v/>
          </cell>
          <cell r="B937" t="str">
            <v/>
          </cell>
          <cell r="C937" t="str">
            <v>Future</v>
          </cell>
          <cell r="D937" t="e">
            <v>#N/A</v>
          </cell>
          <cell r="E937">
            <v>-34.955708661417567</v>
          </cell>
          <cell r="F937">
            <v>121.71751968504056</v>
          </cell>
          <cell r="G937">
            <v>47.111220472441033</v>
          </cell>
          <cell r="H937">
            <v>47.111220472441033</v>
          </cell>
          <cell r="I937" t="e">
            <v>#N/A</v>
          </cell>
          <cell r="J937" t="e">
            <v>#N/A</v>
          </cell>
          <cell r="K937">
            <v>105</v>
          </cell>
          <cell r="L937">
            <v>55</v>
          </cell>
          <cell r="M937" t="e">
            <v>#N/A</v>
          </cell>
          <cell r="N937">
            <v>90</v>
          </cell>
          <cell r="O937" t="e">
            <v>#N/A</v>
          </cell>
          <cell r="P937" t="str">
            <v/>
          </cell>
          <cell r="Q937" t="str">
            <v/>
          </cell>
          <cell r="R937">
            <v>90</v>
          </cell>
        </row>
        <row r="938">
          <cell r="A938" t="str">
            <v/>
          </cell>
          <cell r="B938" t="str">
            <v/>
          </cell>
          <cell r="C938" t="str">
            <v>Future</v>
          </cell>
          <cell r="D938" t="e">
            <v>#N/A</v>
          </cell>
          <cell r="E938">
            <v>-35.235354330708908</v>
          </cell>
          <cell r="F938">
            <v>121.85125984252088</v>
          </cell>
          <cell r="G938">
            <v>47.048110236220559</v>
          </cell>
          <cell r="H938">
            <v>47.048110236220559</v>
          </cell>
          <cell r="I938" t="e">
            <v>#N/A</v>
          </cell>
          <cell r="J938" t="e">
            <v>#N/A</v>
          </cell>
          <cell r="K938">
            <v>105</v>
          </cell>
          <cell r="L938">
            <v>55</v>
          </cell>
          <cell r="M938" t="e">
            <v>#N/A</v>
          </cell>
          <cell r="N938">
            <v>90</v>
          </cell>
          <cell r="O938" t="e">
            <v>#N/A</v>
          </cell>
          <cell r="P938" t="str">
            <v/>
          </cell>
          <cell r="Q938" t="str">
            <v/>
          </cell>
          <cell r="R938">
            <v>90</v>
          </cell>
        </row>
        <row r="939">
          <cell r="A939" t="str">
            <v/>
          </cell>
          <cell r="B939" t="str">
            <v/>
          </cell>
          <cell r="C939" t="str">
            <v>Future</v>
          </cell>
          <cell r="D939" t="e">
            <v>#N/A</v>
          </cell>
          <cell r="E939">
            <v>-35.515000000000249</v>
          </cell>
          <cell r="F939">
            <v>121.98500000000119</v>
          </cell>
          <cell r="G939">
            <v>46.985000000000085</v>
          </cell>
          <cell r="H939">
            <v>46.985000000000085</v>
          </cell>
          <cell r="I939" t="e">
            <v>#N/A</v>
          </cell>
          <cell r="J939" t="e">
            <v>#N/A</v>
          </cell>
          <cell r="K939">
            <v>105</v>
          </cell>
          <cell r="L939">
            <v>55</v>
          </cell>
          <cell r="M939" t="e">
            <v>#N/A</v>
          </cell>
          <cell r="N939">
            <v>90</v>
          </cell>
          <cell r="O939" t="e">
            <v>#N/A</v>
          </cell>
          <cell r="P939" t="str">
            <v/>
          </cell>
          <cell r="Q939" t="str">
            <v/>
          </cell>
          <cell r="R939">
            <v>90</v>
          </cell>
        </row>
        <row r="940">
          <cell r="A940" t="str">
            <v/>
          </cell>
          <cell r="B940" t="str">
            <v/>
          </cell>
          <cell r="C940" t="str">
            <v>Future</v>
          </cell>
          <cell r="D940" t="e">
            <v>#N/A</v>
          </cell>
          <cell r="E940">
            <v>-35.79464566929159</v>
          </cell>
          <cell r="F940">
            <v>122.11874015748151</v>
          </cell>
          <cell r="G940">
            <v>46.92188976377961</v>
          </cell>
          <cell r="H940">
            <v>46.92188976377961</v>
          </cell>
          <cell r="I940" t="e">
            <v>#N/A</v>
          </cell>
          <cell r="J940" t="e">
            <v>#N/A</v>
          </cell>
          <cell r="K940">
            <v>105</v>
          </cell>
          <cell r="L940">
            <v>55</v>
          </cell>
          <cell r="M940" t="e">
            <v>#N/A</v>
          </cell>
          <cell r="N940">
            <v>90</v>
          </cell>
          <cell r="O940" t="e">
            <v>#N/A</v>
          </cell>
          <cell r="P940" t="str">
            <v/>
          </cell>
          <cell r="Q940" t="str">
            <v/>
          </cell>
          <cell r="R940">
            <v>90</v>
          </cell>
        </row>
        <row r="941">
          <cell r="A941" t="str">
            <v/>
          </cell>
          <cell r="B941" t="str">
            <v/>
          </cell>
          <cell r="C941" t="str">
            <v>Future</v>
          </cell>
          <cell r="D941" t="e">
            <v>#N/A</v>
          </cell>
          <cell r="E941">
            <v>-36.074291338582931</v>
          </cell>
          <cell r="F941">
            <v>122.25248031496183</v>
          </cell>
          <cell r="G941">
            <v>46.858779527559136</v>
          </cell>
          <cell r="H941">
            <v>46.858779527559136</v>
          </cell>
          <cell r="I941" t="e">
            <v>#N/A</v>
          </cell>
          <cell r="J941" t="e">
            <v>#N/A</v>
          </cell>
          <cell r="K941">
            <v>105</v>
          </cell>
          <cell r="L941">
            <v>55</v>
          </cell>
          <cell r="M941" t="e">
            <v>#N/A</v>
          </cell>
          <cell r="N941">
            <v>90</v>
          </cell>
          <cell r="O941" t="e">
            <v>#N/A</v>
          </cell>
          <cell r="P941" t="str">
            <v/>
          </cell>
          <cell r="Q941" t="str">
            <v/>
          </cell>
          <cell r="R941">
            <v>90</v>
          </cell>
        </row>
        <row r="942">
          <cell r="A942" t="str">
            <v/>
          </cell>
          <cell r="B942" t="str">
            <v/>
          </cell>
          <cell r="C942" t="str">
            <v>Future</v>
          </cell>
          <cell r="D942" t="e">
            <v>#N/A</v>
          </cell>
          <cell r="E942">
            <v>-36.353937007874272</v>
          </cell>
          <cell r="F942">
            <v>122.38622047244215</v>
          </cell>
          <cell r="G942">
            <v>46.795669291338662</v>
          </cell>
          <cell r="H942">
            <v>46.795669291338662</v>
          </cell>
          <cell r="I942" t="e">
            <v>#N/A</v>
          </cell>
          <cell r="J942" t="e">
            <v>#N/A</v>
          </cell>
          <cell r="K942">
            <v>105</v>
          </cell>
          <cell r="L942">
            <v>55</v>
          </cell>
          <cell r="M942" t="e">
            <v>#N/A</v>
          </cell>
          <cell r="N942">
            <v>90</v>
          </cell>
          <cell r="O942" t="e">
            <v>#N/A</v>
          </cell>
          <cell r="P942" t="str">
            <v/>
          </cell>
          <cell r="Q942" t="str">
            <v/>
          </cell>
          <cell r="R942">
            <v>90</v>
          </cell>
        </row>
        <row r="943">
          <cell r="A943" t="str">
            <v/>
          </cell>
          <cell r="B943" t="str">
            <v/>
          </cell>
          <cell r="C943" t="str">
            <v>Future</v>
          </cell>
          <cell r="D943" t="e">
            <v>#N/A</v>
          </cell>
          <cell r="E943">
            <v>-36.633582677165613</v>
          </cell>
          <cell r="F943">
            <v>122.51996062992247</v>
          </cell>
          <cell r="G943">
            <v>46.732559055118188</v>
          </cell>
          <cell r="H943">
            <v>46.732559055118188</v>
          </cell>
          <cell r="I943" t="e">
            <v>#N/A</v>
          </cell>
          <cell r="J943" t="e">
            <v>#N/A</v>
          </cell>
          <cell r="K943">
            <v>105</v>
          </cell>
          <cell r="L943">
            <v>55</v>
          </cell>
          <cell r="M943" t="e">
            <v>#N/A</v>
          </cell>
          <cell r="N943">
            <v>90</v>
          </cell>
          <cell r="O943" t="e">
            <v>#N/A</v>
          </cell>
          <cell r="P943" t="str">
            <v/>
          </cell>
          <cell r="Q943" t="str">
            <v/>
          </cell>
          <cell r="R943">
            <v>90</v>
          </cell>
        </row>
        <row r="944">
          <cell r="A944" t="str">
            <v/>
          </cell>
          <cell r="B944" t="str">
            <v/>
          </cell>
          <cell r="C944" t="str">
            <v>Future</v>
          </cell>
          <cell r="D944" t="e">
            <v>#N/A</v>
          </cell>
          <cell r="E944">
            <v>-36.913228346456954</v>
          </cell>
          <cell r="F944">
            <v>122.65370078740278</v>
          </cell>
          <cell r="G944">
            <v>46.669448818897713</v>
          </cell>
          <cell r="H944">
            <v>46.669448818897713</v>
          </cell>
          <cell r="I944" t="e">
            <v>#N/A</v>
          </cell>
          <cell r="J944" t="e">
            <v>#N/A</v>
          </cell>
          <cell r="K944">
            <v>105</v>
          </cell>
          <cell r="L944">
            <v>55</v>
          </cell>
          <cell r="M944" t="e">
            <v>#N/A</v>
          </cell>
          <cell r="N944">
            <v>90</v>
          </cell>
          <cell r="O944" t="e">
            <v>#N/A</v>
          </cell>
          <cell r="P944" t="str">
            <v/>
          </cell>
          <cell r="Q944" t="str">
            <v/>
          </cell>
          <cell r="R944">
            <v>90</v>
          </cell>
        </row>
        <row r="945">
          <cell r="A945" t="str">
            <v/>
          </cell>
          <cell r="B945" t="str">
            <v/>
          </cell>
          <cell r="C945" t="str">
            <v>Future</v>
          </cell>
          <cell r="D945" t="e">
            <v>#N/A</v>
          </cell>
          <cell r="E945">
            <v>-37.192874015748295</v>
          </cell>
          <cell r="F945">
            <v>122.7874409448831</v>
          </cell>
          <cell r="G945">
            <v>46.606338582677239</v>
          </cell>
          <cell r="H945">
            <v>46.606338582677239</v>
          </cell>
          <cell r="I945" t="e">
            <v>#N/A</v>
          </cell>
          <cell r="J945" t="e">
            <v>#N/A</v>
          </cell>
          <cell r="K945">
            <v>105</v>
          </cell>
          <cell r="L945">
            <v>55</v>
          </cell>
          <cell r="M945" t="e">
            <v>#N/A</v>
          </cell>
          <cell r="N945">
            <v>90</v>
          </cell>
          <cell r="O945" t="e">
            <v>#N/A</v>
          </cell>
          <cell r="P945" t="str">
            <v/>
          </cell>
          <cell r="Q945" t="str">
            <v/>
          </cell>
          <cell r="R945">
            <v>90</v>
          </cell>
        </row>
        <row r="946">
          <cell r="A946" t="str">
            <v/>
          </cell>
          <cell r="B946" t="str">
            <v/>
          </cell>
          <cell r="C946" t="str">
            <v>Future</v>
          </cell>
          <cell r="D946" t="e">
            <v>#N/A</v>
          </cell>
          <cell r="E946">
            <v>-37.472519685039636</v>
          </cell>
          <cell r="F946">
            <v>122.92118110236342</v>
          </cell>
          <cell r="G946">
            <v>46.543228346456765</v>
          </cell>
          <cell r="H946">
            <v>46.543228346456765</v>
          </cell>
          <cell r="I946" t="e">
            <v>#N/A</v>
          </cell>
          <cell r="J946" t="e">
            <v>#N/A</v>
          </cell>
          <cell r="K946">
            <v>105</v>
          </cell>
          <cell r="L946">
            <v>55</v>
          </cell>
          <cell r="M946" t="e">
            <v>#N/A</v>
          </cell>
          <cell r="N946">
            <v>90</v>
          </cell>
          <cell r="O946" t="e">
            <v>#N/A</v>
          </cell>
          <cell r="P946" t="str">
            <v/>
          </cell>
          <cell r="Q946" t="str">
            <v/>
          </cell>
          <cell r="R946">
            <v>90</v>
          </cell>
        </row>
        <row r="947">
          <cell r="A947" t="str">
            <v/>
          </cell>
          <cell r="B947" t="str">
            <v/>
          </cell>
          <cell r="C947" t="str">
            <v>Future</v>
          </cell>
          <cell r="D947" t="e">
            <v>#N/A</v>
          </cell>
          <cell r="E947">
            <v>-37.752165354330977</v>
          </cell>
          <cell r="F947">
            <v>123.05492125984374</v>
          </cell>
          <cell r="G947">
            <v>46.48011811023629</v>
          </cell>
          <cell r="H947">
            <v>46.48011811023629</v>
          </cell>
          <cell r="I947" t="e">
            <v>#N/A</v>
          </cell>
          <cell r="J947" t="e">
            <v>#N/A</v>
          </cell>
          <cell r="K947">
            <v>105</v>
          </cell>
          <cell r="L947">
            <v>55</v>
          </cell>
          <cell r="M947" t="e">
            <v>#N/A</v>
          </cell>
          <cell r="N947">
            <v>90</v>
          </cell>
          <cell r="O947" t="e">
            <v>#N/A</v>
          </cell>
          <cell r="P947" t="str">
            <v/>
          </cell>
          <cell r="Q947" t="str">
            <v/>
          </cell>
          <cell r="R947">
            <v>90</v>
          </cell>
        </row>
        <row r="948">
          <cell r="A948" t="str">
            <v/>
          </cell>
          <cell r="B948" t="str">
            <v/>
          </cell>
          <cell r="C948" t="str">
            <v>Future</v>
          </cell>
          <cell r="D948" t="e">
            <v>#N/A</v>
          </cell>
          <cell r="E948">
            <v>-38.031811023622318</v>
          </cell>
          <cell r="F948">
            <v>123.18866141732406</v>
          </cell>
          <cell r="G948">
            <v>46.417007874015816</v>
          </cell>
          <cell r="H948">
            <v>46.417007874015816</v>
          </cell>
          <cell r="I948" t="e">
            <v>#N/A</v>
          </cell>
          <cell r="J948" t="e">
            <v>#N/A</v>
          </cell>
          <cell r="K948">
            <v>105</v>
          </cell>
          <cell r="L948">
            <v>55</v>
          </cell>
          <cell r="M948" t="e">
            <v>#N/A</v>
          </cell>
          <cell r="N948">
            <v>90</v>
          </cell>
          <cell r="O948" t="e">
            <v>#N/A</v>
          </cell>
          <cell r="P948" t="str">
            <v/>
          </cell>
          <cell r="Q948" t="str">
            <v/>
          </cell>
          <cell r="R948">
            <v>90</v>
          </cell>
        </row>
        <row r="949">
          <cell r="A949" t="str">
            <v/>
          </cell>
          <cell r="B949" t="str">
            <v/>
          </cell>
          <cell r="C949" t="str">
            <v>Future</v>
          </cell>
          <cell r="D949" t="e">
            <v>#N/A</v>
          </cell>
          <cell r="E949">
            <v>-38.311456692913659</v>
          </cell>
          <cell r="F949">
            <v>123.32240157480437</v>
          </cell>
          <cell r="G949">
            <v>46.353897637795342</v>
          </cell>
          <cell r="H949">
            <v>46.353897637795342</v>
          </cell>
          <cell r="I949" t="e">
            <v>#N/A</v>
          </cell>
          <cell r="J949" t="e">
            <v>#N/A</v>
          </cell>
          <cell r="K949">
            <v>105</v>
          </cell>
          <cell r="L949">
            <v>55</v>
          </cell>
          <cell r="M949" t="e">
            <v>#N/A</v>
          </cell>
          <cell r="N949">
            <v>90</v>
          </cell>
          <cell r="O949" t="e">
            <v>#N/A</v>
          </cell>
          <cell r="P949" t="str">
            <v/>
          </cell>
          <cell r="Q949" t="str">
            <v/>
          </cell>
          <cell r="R949">
            <v>90</v>
          </cell>
        </row>
        <row r="950">
          <cell r="A950" t="str">
            <v/>
          </cell>
          <cell r="B950" t="str">
            <v/>
          </cell>
          <cell r="C950" t="str">
            <v>Future</v>
          </cell>
          <cell r="D950" t="e">
            <v>#N/A</v>
          </cell>
          <cell r="E950">
            <v>-38.591102362205</v>
          </cell>
          <cell r="F950">
            <v>123.45614173228469</v>
          </cell>
          <cell r="G950">
            <v>46.290787401574867</v>
          </cell>
          <cell r="H950">
            <v>46.290787401574867</v>
          </cell>
          <cell r="I950" t="e">
            <v>#N/A</v>
          </cell>
          <cell r="J950" t="e">
            <v>#N/A</v>
          </cell>
          <cell r="K950">
            <v>105</v>
          </cell>
          <cell r="L950">
            <v>55</v>
          </cell>
          <cell r="M950" t="e">
            <v>#N/A</v>
          </cell>
          <cell r="N950">
            <v>90</v>
          </cell>
          <cell r="O950" t="e">
            <v>#N/A</v>
          </cell>
          <cell r="P950" t="str">
            <v/>
          </cell>
          <cell r="Q950" t="str">
            <v/>
          </cell>
          <cell r="R950">
            <v>90</v>
          </cell>
        </row>
        <row r="951">
          <cell r="A951" t="str">
            <v/>
          </cell>
          <cell r="B951" t="str">
            <v/>
          </cell>
          <cell r="C951" t="str">
            <v>Future</v>
          </cell>
          <cell r="D951" t="e">
            <v>#N/A</v>
          </cell>
          <cell r="E951">
            <v>-38.870748031496341</v>
          </cell>
          <cell r="F951">
            <v>123.58988188976501</v>
          </cell>
          <cell r="G951">
            <v>46.227677165354393</v>
          </cell>
          <cell r="H951">
            <v>46.227677165354393</v>
          </cell>
          <cell r="I951" t="e">
            <v>#N/A</v>
          </cell>
          <cell r="J951" t="e">
            <v>#N/A</v>
          </cell>
          <cell r="K951">
            <v>105</v>
          </cell>
          <cell r="L951">
            <v>55</v>
          </cell>
          <cell r="M951" t="e">
            <v>#N/A</v>
          </cell>
          <cell r="N951">
            <v>90</v>
          </cell>
          <cell r="O951" t="e">
            <v>#N/A</v>
          </cell>
          <cell r="P951" t="str">
            <v/>
          </cell>
          <cell r="Q951" t="str">
            <v/>
          </cell>
          <cell r="R951">
            <v>90</v>
          </cell>
        </row>
        <row r="952">
          <cell r="A952" t="str">
            <v/>
          </cell>
          <cell r="B952" t="str">
            <v/>
          </cell>
          <cell r="C952" t="str">
            <v>Future</v>
          </cell>
          <cell r="D952" t="e">
            <v>#N/A</v>
          </cell>
          <cell r="E952">
            <v>-39.150393700787681</v>
          </cell>
          <cell r="F952">
            <v>123.72362204724533</v>
          </cell>
          <cell r="G952">
            <v>46.164566929133919</v>
          </cell>
          <cell r="H952">
            <v>46.164566929133919</v>
          </cell>
          <cell r="I952" t="e">
            <v>#N/A</v>
          </cell>
          <cell r="J952" t="e">
            <v>#N/A</v>
          </cell>
          <cell r="K952">
            <v>105</v>
          </cell>
          <cell r="L952">
            <v>55</v>
          </cell>
          <cell r="M952" t="e">
            <v>#N/A</v>
          </cell>
          <cell r="N952">
            <v>90</v>
          </cell>
          <cell r="O952" t="e">
            <v>#N/A</v>
          </cell>
          <cell r="P952" t="str">
            <v/>
          </cell>
          <cell r="Q952" t="str">
            <v/>
          </cell>
          <cell r="R952">
            <v>90</v>
          </cell>
        </row>
        <row r="953">
          <cell r="A953" t="str">
            <v/>
          </cell>
          <cell r="B953" t="str">
            <v/>
          </cell>
          <cell r="C953" t="str">
            <v>Future</v>
          </cell>
          <cell r="D953" t="e">
            <v>#N/A</v>
          </cell>
          <cell r="E953">
            <v>-39.430039370079022</v>
          </cell>
          <cell r="F953">
            <v>123.85736220472565</v>
          </cell>
          <cell r="G953">
            <v>46.101456692913445</v>
          </cell>
          <cell r="H953">
            <v>46.101456692913445</v>
          </cell>
          <cell r="I953" t="e">
            <v>#N/A</v>
          </cell>
          <cell r="J953" t="e">
            <v>#N/A</v>
          </cell>
          <cell r="K953">
            <v>105</v>
          </cell>
          <cell r="L953">
            <v>55</v>
          </cell>
          <cell r="M953" t="e">
            <v>#N/A</v>
          </cell>
          <cell r="N953">
            <v>90</v>
          </cell>
          <cell r="O953" t="e">
            <v>#N/A</v>
          </cell>
          <cell r="P953" t="str">
            <v/>
          </cell>
          <cell r="Q953" t="str">
            <v/>
          </cell>
          <cell r="R953">
            <v>90</v>
          </cell>
        </row>
        <row r="954">
          <cell r="A954" t="str">
            <v/>
          </cell>
          <cell r="B954" t="str">
            <v/>
          </cell>
          <cell r="C954" t="str">
            <v>Future</v>
          </cell>
          <cell r="D954" t="e">
            <v>#N/A</v>
          </cell>
          <cell r="E954">
            <v>-39.709685039370363</v>
          </cell>
          <cell r="F954">
            <v>123.99110236220596</v>
          </cell>
          <cell r="G954">
            <v>46.03834645669297</v>
          </cell>
          <cell r="H954">
            <v>46.03834645669297</v>
          </cell>
          <cell r="I954" t="e">
            <v>#N/A</v>
          </cell>
          <cell r="J954" t="e">
            <v>#N/A</v>
          </cell>
          <cell r="K954">
            <v>105</v>
          </cell>
          <cell r="L954">
            <v>55</v>
          </cell>
          <cell r="M954" t="e">
            <v>#N/A</v>
          </cell>
          <cell r="N954">
            <v>90</v>
          </cell>
          <cell r="O954" t="e">
            <v>#N/A</v>
          </cell>
          <cell r="P954" t="str">
            <v/>
          </cell>
          <cell r="Q954" t="str">
            <v/>
          </cell>
          <cell r="R954">
            <v>90</v>
          </cell>
        </row>
        <row r="955">
          <cell r="A955" t="str">
            <v/>
          </cell>
          <cell r="B955" t="str">
            <v/>
          </cell>
          <cell r="C955" t="str">
            <v>Future</v>
          </cell>
          <cell r="D955" t="e">
            <v>#N/A</v>
          </cell>
          <cell r="E955">
            <v>-39.989330708661704</v>
          </cell>
          <cell r="F955">
            <v>124.12484251968628</v>
          </cell>
          <cell r="G955">
            <v>45.975236220472496</v>
          </cell>
          <cell r="H955">
            <v>45.975236220472496</v>
          </cell>
          <cell r="I955" t="e">
            <v>#N/A</v>
          </cell>
          <cell r="J955" t="e">
            <v>#N/A</v>
          </cell>
          <cell r="K955">
            <v>105</v>
          </cell>
          <cell r="L955">
            <v>55</v>
          </cell>
          <cell r="M955" t="e">
            <v>#N/A</v>
          </cell>
          <cell r="N955">
            <v>90</v>
          </cell>
          <cell r="O955" t="e">
            <v>#N/A</v>
          </cell>
          <cell r="P955" t="str">
            <v/>
          </cell>
          <cell r="Q955" t="str">
            <v/>
          </cell>
          <cell r="R955">
            <v>90</v>
          </cell>
        </row>
        <row r="956">
          <cell r="A956" t="str">
            <v/>
          </cell>
          <cell r="B956" t="str">
            <v/>
          </cell>
          <cell r="C956" t="str">
            <v>Future</v>
          </cell>
          <cell r="D956" t="e">
            <v>#N/A</v>
          </cell>
          <cell r="E956">
            <v>-40.268976377953045</v>
          </cell>
          <cell r="F956">
            <v>124.2585826771666</v>
          </cell>
          <cell r="G956">
            <v>45.912125984252022</v>
          </cell>
          <cell r="H956">
            <v>45.912125984252022</v>
          </cell>
          <cell r="I956" t="e">
            <v>#N/A</v>
          </cell>
          <cell r="J956" t="e">
            <v>#N/A</v>
          </cell>
          <cell r="K956">
            <v>105</v>
          </cell>
          <cell r="L956">
            <v>55</v>
          </cell>
          <cell r="M956" t="e">
            <v>#N/A</v>
          </cell>
          <cell r="N956">
            <v>90</v>
          </cell>
          <cell r="O956" t="e">
            <v>#N/A</v>
          </cell>
          <cell r="P956" t="str">
            <v/>
          </cell>
          <cell r="Q956" t="str">
            <v/>
          </cell>
          <cell r="R956">
            <v>90</v>
          </cell>
        </row>
        <row r="957">
          <cell r="A957" t="str">
            <v/>
          </cell>
          <cell r="B957" t="str">
            <v/>
          </cell>
          <cell r="C957" t="str">
            <v>Future</v>
          </cell>
          <cell r="D957" t="e">
            <v>#N/A</v>
          </cell>
          <cell r="E957">
            <v>-40.548622047244386</v>
          </cell>
          <cell r="F957">
            <v>124.39232283464692</v>
          </cell>
          <cell r="G957">
            <v>45.849015748031547</v>
          </cell>
          <cell r="H957">
            <v>45.849015748031547</v>
          </cell>
          <cell r="I957" t="e">
            <v>#N/A</v>
          </cell>
          <cell r="J957" t="e">
            <v>#N/A</v>
          </cell>
          <cell r="K957">
            <v>105</v>
          </cell>
          <cell r="L957">
            <v>55</v>
          </cell>
          <cell r="M957" t="e">
            <v>#N/A</v>
          </cell>
          <cell r="N957">
            <v>90</v>
          </cell>
          <cell r="O957" t="e">
            <v>#N/A</v>
          </cell>
          <cell r="P957" t="str">
            <v/>
          </cell>
          <cell r="Q957" t="str">
            <v/>
          </cell>
          <cell r="R957">
            <v>90</v>
          </cell>
        </row>
        <row r="958">
          <cell r="A958" t="str">
            <v/>
          </cell>
          <cell r="B958" t="str">
            <v/>
          </cell>
          <cell r="C958" t="str">
            <v>Future</v>
          </cell>
          <cell r="D958" t="e">
            <v>#N/A</v>
          </cell>
          <cell r="E958">
            <v>-40.828267716535727</v>
          </cell>
          <cell r="F958">
            <v>124.52606299212724</v>
          </cell>
          <cell r="G958">
            <v>45.785905511811073</v>
          </cell>
          <cell r="H958">
            <v>45.785905511811073</v>
          </cell>
          <cell r="I958" t="e">
            <v>#N/A</v>
          </cell>
          <cell r="J958" t="e">
            <v>#N/A</v>
          </cell>
          <cell r="K958">
            <v>105</v>
          </cell>
          <cell r="L958">
            <v>55</v>
          </cell>
          <cell r="M958" t="e">
            <v>#N/A</v>
          </cell>
          <cell r="N958">
            <v>90</v>
          </cell>
          <cell r="O958" t="e">
            <v>#N/A</v>
          </cell>
          <cell r="P958" t="str">
            <v/>
          </cell>
          <cell r="Q958" t="str">
            <v/>
          </cell>
          <cell r="R958">
            <v>90</v>
          </cell>
        </row>
        <row r="959">
          <cell r="A959" t="str">
            <v/>
          </cell>
          <cell r="B959" t="str">
            <v/>
          </cell>
          <cell r="C959" t="str">
            <v>Future</v>
          </cell>
          <cell r="D959" t="e">
            <v>#N/A</v>
          </cell>
          <cell r="E959">
            <v>-41.107913385827068</v>
          </cell>
          <cell r="F959">
            <v>124.65980314960755</v>
          </cell>
          <cell r="G959">
            <v>45.722795275590599</v>
          </cell>
          <cell r="H959">
            <v>45.722795275590599</v>
          </cell>
          <cell r="I959" t="e">
            <v>#N/A</v>
          </cell>
          <cell r="J959" t="e">
            <v>#N/A</v>
          </cell>
          <cell r="K959">
            <v>105</v>
          </cell>
          <cell r="L959">
            <v>55</v>
          </cell>
          <cell r="M959" t="e">
            <v>#N/A</v>
          </cell>
          <cell r="N959">
            <v>90</v>
          </cell>
          <cell r="O959" t="e">
            <v>#N/A</v>
          </cell>
          <cell r="P959" t="str">
            <v/>
          </cell>
          <cell r="Q959" t="str">
            <v/>
          </cell>
          <cell r="R959">
            <v>90</v>
          </cell>
        </row>
        <row r="960">
          <cell r="A960" t="str">
            <v/>
          </cell>
          <cell r="B960" t="str">
            <v/>
          </cell>
          <cell r="C960" t="str">
            <v>Future</v>
          </cell>
          <cell r="D960" t="e">
            <v>#N/A</v>
          </cell>
          <cell r="E960">
            <v>-41.387559055118409</v>
          </cell>
          <cell r="F960">
            <v>124.79354330708787</v>
          </cell>
          <cell r="G960">
            <v>45.659685039370125</v>
          </cell>
          <cell r="H960">
            <v>45.659685039370125</v>
          </cell>
          <cell r="I960" t="e">
            <v>#N/A</v>
          </cell>
          <cell r="J960" t="e">
            <v>#N/A</v>
          </cell>
          <cell r="K960">
            <v>105</v>
          </cell>
          <cell r="L960">
            <v>55</v>
          </cell>
          <cell r="M960" t="e">
            <v>#N/A</v>
          </cell>
          <cell r="N960">
            <v>90</v>
          </cell>
          <cell r="O960" t="e">
            <v>#N/A</v>
          </cell>
          <cell r="P960" t="str">
            <v/>
          </cell>
          <cell r="Q960" t="str">
            <v/>
          </cell>
          <cell r="R960">
            <v>90</v>
          </cell>
        </row>
        <row r="961">
          <cell r="A961" t="str">
            <v/>
          </cell>
          <cell r="B961" t="str">
            <v/>
          </cell>
          <cell r="C961" t="str">
            <v>Future</v>
          </cell>
          <cell r="D961" t="e">
            <v>#N/A</v>
          </cell>
          <cell r="E961">
            <v>-41.66720472440975</v>
          </cell>
          <cell r="F961">
            <v>124.92728346456819</v>
          </cell>
          <cell r="G961">
            <v>45.59657480314965</v>
          </cell>
          <cell r="H961">
            <v>45.59657480314965</v>
          </cell>
          <cell r="I961" t="e">
            <v>#N/A</v>
          </cell>
          <cell r="J961" t="e">
            <v>#N/A</v>
          </cell>
          <cell r="K961">
            <v>105</v>
          </cell>
          <cell r="L961">
            <v>55</v>
          </cell>
          <cell r="M961" t="e">
            <v>#N/A</v>
          </cell>
          <cell r="N961">
            <v>90</v>
          </cell>
          <cell r="O961" t="e">
            <v>#N/A</v>
          </cell>
          <cell r="P961" t="str">
            <v/>
          </cell>
          <cell r="Q961" t="str">
            <v/>
          </cell>
          <cell r="R961">
            <v>90</v>
          </cell>
        </row>
        <row r="962">
          <cell r="A962" t="str">
            <v/>
          </cell>
          <cell r="B962" t="str">
            <v/>
          </cell>
          <cell r="C962" t="str">
            <v>Future</v>
          </cell>
          <cell r="D962" t="e">
            <v>#N/A</v>
          </cell>
          <cell r="E962">
            <v>-41.946850393701091</v>
          </cell>
          <cell r="F962">
            <v>125.06102362204851</v>
          </cell>
          <cell r="G962">
            <v>45.533464566929176</v>
          </cell>
          <cell r="H962">
            <v>45.533464566929176</v>
          </cell>
          <cell r="I962" t="e">
            <v>#N/A</v>
          </cell>
          <cell r="J962" t="e">
            <v>#N/A</v>
          </cell>
          <cell r="K962">
            <v>105</v>
          </cell>
          <cell r="L962">
            <v>55</v>
          </cell>
          <cell r="M962" t="e">
            <v>#N/A</v>
          </cell>
          <cell r="N962">
            <v>90</v>
          </cell>
          <cell r="O962" t="e">
            <v>#N/A</v>
          </cell>
          <cell r="P962" t="str">
            <v/>
          </cell>
          <cell r="Q962" t="str">
            <v/>
          </cell>
          <cell r="R962">
            <v>90</v>
          </cell>
        </row>
        <row r="963">
          <cell r="A963" t="str">
            <v/>
          </cell>
          <cell r="B963" t="str">
            <v/>
          </cell>
          <cell r="C963" t="str">
            <v>Future</v>
          </cell>
          <cell r="D963" t="e">
            <v>#N/A</v>
          </cell>
          <cell r="E963">
            <v>-42.226496062992432</v>
          </cell>
          <cell r="F963">
            <v>125.19476377952883</v>
          </cell>
          <cell r="G963">
            <v>45.470354330708702</v>
          </cell>
          <cell r="H963">
            <v>45.470354330708702</v>
          </cell>
          <cell r="I963" t="e">
            <v>#N/A</v>
          </cell>
          <cell r="J963" t="e">
            <v>#N/A</v>
          </cell>
          <cell r="K963">
            <v>105</v>
          </cell>
          <cell r="L963">
            <v>55</v>
          </cell>
          <cell r="M963" t="e">
            <v>#N/A</v>
          </cell>
          <cell r="N963">
            <v>90</v>
          </cell>
          <cell r="O963" t="e">
            <v>#N/A</v>
          </cell>
          <cell r="P963" t="str">
            <v/>
          </cell>
          <cell r="Q963" t="str">
            <v/>
          </cell>
          <cell r="R963">
            <v>90</v>
          </cell>
        </row>
        <row r="964">
          <cell r="A964" t="str">
            <v/>
          </cell>
          <cell r="B964" t="str">
            <v/>
          </cell>
          <cell r="C964" t="str">
            <v>Future</v>
          </cell>
          <cell r="D964" t="e">
            <v>#N/A</v>
          </cell>
          <cell r="E964">
            <v>-42.506141732283773</v>
          </cell>
          <cell r="F964">
            <v>125.32850393700915</v>
          </cell>
          <cell r="G964">
            <v>45.407244094488227</v>
          </cell>
          <cell r="H964">
            <v>45.407244094488227</v>
          </cell>
          <cell r="I964" t="e">
            <v>#N/A</v>
          </cell>
          <cell r="J964" t="e">
            <v>#N/A</v>
          </cell>
          <cell r="K964">
            <v>105</v>
          </cell>
          <cell r="L964">
            <v>55</v>
          </cell>
          <cell r="M964" t="e">
            <v>#N/A</v>
          </cell>
          <cell r="N964">
            <v>90</v>
          </cell>
          <cell r="O964" t="e">
            <v>#N/A</v>
          </cell>
          <cell r="P964" t="str">
            <v/>
          </cell>
          <cell r="Q964" t="str">
            <v/>
          </cell>
          <cell r="R964">
            <v>90</v>
          </cell>
        </row>
        <row r="965">
          <cell r="A965" t="str">
            <v/>
          </cell>
          <cell r="B965" t="str">
            <v/>
          </cell>
          <cell r="C965" t="str">
            <v>Future</v>
          </cell>
          <cell r="D965" t="e">
            <v>#N/A</v>
          </cell>
          <cell r="E965">
            <v>-42.785787401575114</v>
          </cell>
          <cell r="F965">
            <v>125.46224409448946</v>
          </cell>
          <cell r="G965">
            <v>45.344133858267753</v>
          </cell>
          <cell r="H965">
            <v>45.344133858267753</v>
          </cell>
          <cell r="I965" t="e">
            <v>#N/A</v>
          </cell>
          <cell r="J965" t="e">
            <v>#N/A</v>
          </cell>
          <cell r="K965">
            <v>105</v>
          </cell>
          <cell r="L965">
            <v>55</v>
          </cell>
          <cell r="M965" t="e">
            <v>#N/A</v>
          </cell>
          <cell r="N965">
            <v>90</v>
          </cell>
          <cell r="O965" t="e">
            <v>#N/A</v>
          </cell>
          <cell r="P965" t="str">
            <v/>
          </cell>
          <cell r="Q965" t="str">
            <v/>
          </cell>
          <cell r="R965">
            <v>90</v>
          </cell>
        </row>
        <row r="966">
          <cell r="A966" t="str">
            <v/>
          </cell>
          <cell r="B966" t="str">
            <v/>
          </cell>
          <cell r="C966" t="str">
            <v>Future</v>
          </cell>
          <cell r="D966" t="e">
            <v>#N/A</v>
          </cell>
          <cell r="E966">
            <v>-43.065433070866455</v>
          </cell>
          <cell r="F966">
            <v>125.59598425196978</v>
          </cell>
          <cell r="G966">
            <v>45.281023622047279</v>
          </cell>
          <cell r="H966">
            <v>45.281023622047279</v>
          </cell>
          <cell r="I966" t="e">
            <v>#N/A</v>
          </cell>
          <cell r="J966" t="e">
            <v>#N/A</v>
          </cell>
          <cell r="K966">
            <v>105</v>
          </cell>
          <cell r="L966">
            <v>55</v>
          </cell>
          <cell r="M966" t="e">
            <v>#N/A</v>
          </cell>
          <cell r="N966">
            <v>90</v>
          </cell>
          <cell r="O966" t="e">
            <v>#N/A</v>
          </cell>
          <cell r="P966" t="str">
            <v/>
          </cell>
          <cell r="Q966" t="str">
            <v/>
          </cell>
          <cell r="R966">
            <v>90</v>
          </cell>
        </row>
        <row r="967">
          <cell r="A967" t="str">
            <v/>
          </cell>
          <cell r="B967" t="str">
            <v/>
          </cell>
          <cell r="C967" t="str">
            <v>Future</v>
          </cell>
          <cell r="D967" t="e">
            <v>#N/A</v>
          </cell>
          <cell r="E967">
            <v>-43.345078740157795</v>
          </cell>
          <cell r="F967">
            <v>125.7297244094501</v>
          </cell>
          <cell r="G967">
            <v>45.217913385826805</v>
          </cell>
          <cell r="H967">
            <v>45.217913385826805</v>
          </cell>
          <cell r="I967" t="e">
            <v>#N/A</v>
          </cell>
          <cell r="J967" t="e">
            <v>#N/A</v>
          </cell>
          <cell r="K967">
            <v>105</v>
          </cell>
          <cell r="L967">
            <v>55</v>
          </cell>
          <cell r="M967" t="e">
            <v>#N/A</v>
          </cell>
          <cell r="N967">
            <v>90</v>
          </cell>
          <cell r="O967" t="e">
            <v>#N/A</v>
          </cell>
          <cell r="P967" t="str">
            <v/>
          </cell>
          <cell r="Q967" t="str">
            <v/>
          </cell>
          <cell r="R967">
            <v>90</v>
          </cell>
        </row>
        <row r="968">
          <cell r="A968" t="str">
            <v/>
          </cell>
          <cell r="B968" t="str">
            <v/>
          </cell>
          <cell r="C968" t="str">
            <v>Future</v>
          </cell>
          <cell r="D968" t="e">
            <v>#N/A</v>
          </cell>
          <cell r="E968">
            <v>-43.624724409449136</v>
          </cell>
          <cell r="F968">
            <v>125.86346456693042</v>
          </cell>
          <cell r="G968">
            <v>45.15480314960633</v>
          </cell>
          <cell r="H968">
            <v>45.15480314960633</v>
          </cell>
          <cell r="I968" t="e">
            <v>#N/A</v>
          </cell>
          <cell r="J968" t="e">
            <v>#N/A</v>
          </cell>
          <cell r="K968">
            <v>105</v>
          </cell>
          <cell r="L968">
            <v>55</v>
          </cell>
          <cell r="M968" t="e">
            <v>#N/A</v>
          </cell>
          <cell r="N968">
            <v>90</v>
          </cell>
          <cell r="O968" t="e">
            <v>#N/A</v>
          </cell>
          <cell r="P968" t="str">
            <v/>
          </cell>
          <cell r="Q968" t="str">
            <v/>
          </cell>
          <cell r="R968">
            <v>90</v>
          </cell>
        </row>
        <row r="969">
          <cell r="A969" t="str">
            <v/>
          </cell>
          <cell r="B969" t="str">
            <v/>
          </cell>
          <cell r="C969" t="str">
            <v>Future</v>
          </cell>
          <cell r="D969" t="e">
            <v>#N/A</v>
          </cell>
          <cell r="E969">
            <v>-43.904370078740477</v>
          </cell>
          <cell r="F969">
            <v>125.99720472441074</v>
          </cell>
          <cell r="G969">
            <v>45.091692913385856</v>
          </cell>
          <cell r="H969">
            <v>45.091692913385856</v>
          </cell>
          <cell r="I969" t="e">
            <v>#N/A</v>
          </cell>
          <cell r="J969" t="e">
            <v>#N/A</v>
          </cell>
          <cell r="K969">
            <v>105</v>
          </cell>
          <cell r="L969">
            <v>55</v>
          </cell>
          <cell r="M969" t="e">
            <v>#N/A</v>
          </cell>
          <cell r="N969">
            <v>90</v>
          </cell>
          <cell r="O969" t="e">
            <v>#N/A</v>
          </cell>
          <cell r="P969" t="str">
            <v/>
          </cell>
          <cell r="Q969" t="str">
            <v/>
          </cell>
          <cell r="R969">
            <v>90</v>
          </cell>
        </row>
        <row r="970">
          <cell r="A970" t="str">
            <v/>
          </cell>
          <cell r="B970" t="str">
            <v/>
          </cell>
          <cell r="C970" t="str">
            <v>Future</v>
          </cell>
          <cell r="D970" t="e">
            <v>#N/A</v>
          </cell>
          <cell r="E970">
            <v>-44.184015748031818</v>
          </cell>
          <cell r="F970">
            <v>126.13094488189105</v>
          </cell>
          <cell r="G970">
            <v>45.028582677165382</v>
          </cell>
          <cell r="H970">
            <v>45.028582677165382</v>
          </cell>
          <cell r="I970" t="e">
            <v>#N/A</v>
          </cell>
          <cell r="J970" t="e">
            <v>#N/A</v>
          </cell>
          <cell r="K970">
            <v>105</v>
          </cell>
          <cell r="L970">
            <v>55</v>
          </cell>
          <cell r="M970" t="e">
            <v>#N/A</v>
          </cell>
          <cell r="N970">
            <v>90</v>
          </cell>
          <cell r="O970" t="e">
            <v>#N/A</v>
          </cell>
          <cell r="P970" t="str">
            <v/>
          </cell>
          <cell r="Q970" t="str">
            <v/>
          </cell>
          <cell r="R970">
            <v>90</v>
          </cell>
        </row>
        <row r="971">
          <cell r="A971" t="str">
            <v/>
          </cell>
          <cell r="B971" t="str">
            <v/>
          </cell>
          <cell r="C971" t="str">
            <v>Future</v>
          </cell>
          <cell r="D971" t="e">
            <v>#N/A</v>
          </cell>
          <cell r="E971">
            <v>-44.463661417323159</v>
          </cell>
          <cell r="F971">
            <v>126.26468503937137</v>
          </cell>
          <cell r="G971">
            <v>44.965472440944907</v>
          </cell>
          <cell r="H971">
            <v>44.965472440944907</v>
          </cell>
          <cell r="I971" t="e">
            <v>#N/A</v>
          </cell>
          <cell r="J971" t="e">
            <v>#N/A</v>
          </cell>
          <cell r="K971">
            <v>105</v>
          </cell>
          <cell r="L971">
            <v>55</v>
          </cell>
          <cell r="M971" t="e">
            <v>#N/A</v>
          </cell>
          <cell r="N971">
            <v>90</v>
          </cell>
          <cell r="O971" t="e">
            <v>#N/A</v>
          </cell>
          <cell r="P971" t="str">
            <v/>
          </cell>
          <cell r="Q971" t="str">
            <v/>
          </cell>
          <cell r="R971">
            <v>90</v>
          </cell>
        </row>
        <row r="972">
          <cell r="A972" t="str">
            <v/>
          </cell>
          <cell r="B972" t="str">
            <v/>
          </cell>
          <cell r="C972" t="str">
            <v>Future</v>
          </cell>
          <cell r="D972" t="e">
            <v>#N/A</v>
          </cell>
          <cell r="E972">
            <v>-44.7433070866145</v>
          </cell>
          <cell r="F972">
            <v>126.39842519685169</v>
          </cell>
          <cell r="G972">
            <v>44.902362204724433</v>
          </cell>
          <cell r="H972">
            <v>44.902362204724433</v>
          </cell>
          <cell r="I972" t="e">
            <v>#N/A</v>
          </cell>
          <cell r="J972" t="e">
            <v>#N/A</v>
          </cell>
          <cell r="K972">
            <v>105</v>
          </cell>
          <cell r="L972">
            <v>55</v>
          </cell>
          <cell r="M972" t="e">
            <v>#N/A</v>
          </cell>
          <cell r="N972">
            <v>90</v>
          </cell>
          <cell r="O972" t="e">
            <v>#N/A</v>
          </cell>
          <cell r="P972" t="str">
            <v/>
          </cell>
          <cell r="Q972" t="str">
            <v/>
          </cell>
          <cell r="R972">
            <v>90</v>
          </cell>
        </row>
        <row r="973">
          <cell r="A973" t="str">
            <v/>
          </cell>
          <cell r="B973" t="str">
            <v/>
          </cell>
          <cell r="C973" t="str">
            <v>Future</v>
          </cell>
          <cell r="D973" t="e">
            <v>#N/A</v>
          </cell>
          <cell r="E973">
            <v>-45.022952755905841</v>
          </cell>
          <cell r="F973">
            <v>126.53216535433201</v>
          </cell>
          <cell r="G973">
            <v>44.839251968503959</v>
          </cell>
          <cell r="H973">
            <v>44.839251968503959</v>
          </cell>
          <cell r="I973" t="e">
            <v>#N/A</v>
          </cell>
          <cell r="J973" t="e">
            <v>#N/A</v>
          </cell>
          <cell r="K973">
            <v>105</v>
          </cell>
          <cell r="L973">
            <v>55</v>
          </cell>
          <cell r="M973" t="e">
            <v>#N/A</v>
          </cell>
          <cell r="N973">
            <v>90</v>
          </cell>
          <cell r="O973" t="e">
            <v>#N/A</v>
          </cell>
          <cell r="P973" t="str">
            <v/>
          </cell>
          <cell r="Q973" t="str">
            <v/>
          </cell>
          <cell r="R973">
            <v>90</v>
          </cell>
        </row>
        <row r="974">
          <cell r="A974" t="str">
            <v/>
          </cell>
          <cell r="B974" t="str">
            <v/>
          </cell>
          <cell r="C974" t="str">
            <v>Future</v>
          </cell>
          <cell r="D974" t="e">
            <v>#N/A</v>
          </cell>
          <cell r="E974">
            <v>-45.302598425197182</v>
          </cell>
          <cell r="F974">
            <v>126.66590551181233</v>
          </cell>
          <cell r="G974">
            <v>44.776141732283484</v>
          </cell>
          <cell r="H974">
            <v>44.776141732283484</v>
          </cell>
          <cell r="I974" t="e">
            <v>#N/A</v>
          </cell>
          <cell r="J974" t="e">
            <v>#N/A</v>
          </cell>
          <cell r="K974">
            <v>105</v>
          </cell>
          <cell r="L974">
            <v>55</v>
          </cell>
          <cell r="M974" t="e">
            <v>#N/A</v>
          </cell>
          <cell r="N974">
            <v>90</v>
          </cell>
          <cell r="O974" t="e">
            <v>#N/A</v>
          </cell>
          <cell r="P974" t="str">
            <v/>
          </cell>
          <cell r="Q974" t="str">
            <v/>
          </cell>
          <cell r="R974">
            <v>90</v>
          </cell>
        </row>
        <row r="975">
          <cell r="A975" t="str">
            <v/>
          </cell>
          <cell r="B975" t="str">
            <v/>
          </cell>
          <cell r="C975" t="str">
            <v>Future</v>
          </cell>
          <cell r="D975" t="e">
            <v>#N/A</v>
          </cell>
          <cell r="E975">
            <v>-45.582244094488523</v>
          </cell>
          <cell r="F975">
            <v>126.79964566929264</v>
          </cell>
          <cell r="G975">
            <v>44.71303149606301</v>
          </cell>
          <cell r="H975">
            <v>44.71303149606301</v>
          </cell>
          <cell r="I975" t="e">
            <v>#N/A</v>
          </cell>
          <cell r="J975" t="e">
            <v>#N/A</v>
          </cell>
          <cell r="K975">
            <v>105</v>
          </cell>
          <cell r="L975">
            <v>55</v>
          </cell>
          <cell r="M975" t="e">
            <v>#N/A</v>
          </cell>
          <cell r="N975">
            <v>90</v>
          </cell>
          <cell r="O975" t="e">
            <v>#N/A</v>
          </cell>
          <cell r="P975" t="str">
            <v/>
          </cell>
          <cell r="Q975" t="str">
            <v/>
          </cell>
          <cell r="R975">
            <v>90</v>
          </cell>
        </row>
        <row r="976">
          <cell r="A976" t="str">
            <v/>
          </cell>
          <cell r="B976" t="str">
            <v/>
          </cell>
          <cell r="C976" t="str">
            <v>Future</v>
          </cell>
          <cell r="D976" t="e">
            <v>#N/A</v>
          </cell>
          <cell r="E976">
            <v>-45.861889763779864</v>
          </cell>
          <cell r="F976">
            <v>126.93338582677296</v>
          </cell>
          <cell r="G976">
            <v>44.649921259842536</v>
          </cell>
          <cell r="H976">
            <v>44.649921259842536</v>
          </cell>
          <cell r="I976" t="e">
            <v>#N/A</v>
          </cell>
          <cell r="J976" t="e">
            <v>#N/A</v>
          </cell>
          <cell r="K976">
            <v>105</v>
          </cell>
          <cell r="L976">
            <v>55</v>
          </cell>
          <cell r="M976" t="e">
            <v>#N/A</v>
          </cell>
          <cell r="N976">
            <v>90</v>
          </cell>
          <cell r="O976" t="e">
            <v>#N/A</v>
          </cell>
          <cell r="P976" t="str">
            <v/>
          </cell>
          <cell r="Q976" t="str">
            <v/>
          </cell>
          <cell r="R976">
            <v>90</v>
          </cell>
        </row>
        <row r="977">
          <cell r="A977" t="str">
            <v/>
          </cell>
          <cell r="B977" t="str">
            <v/>
          </cell>
          <cell r="C977" t="str">
            <v>Future</v>
          </cell>
          <cell r="D977" t="e">
            <v>#N/A</v>
          </cell>
          <cell r="E977">
            <v>-46.141535433071205</v>
          </cell>
          <cell r="F977">
            <v>127.06712598425328</v>
          </cell>
          <cell r="G977">
            <v>44.586811023622062</v>
          </cell>
          <cell r="H977">
            <v>44.586811023622062</v>
          </cell>
          <cell r="I977" t="e">
            <v>#N/A</v>
          </cell>
          <cell r="J977" t="e">
            <v>#N/A</v>
          </cell>
          <cell r="K977">
            <v>105</v>
          </cell>
          <cell r="L977">
            <v>55</v>
          </cell>
          <cell r="M977" t="e">
            <v>#N/A</v>
          </cell>
          <cell r="N977">
            <v>90</v>
          </cell>
          <cell r="O977" t="e">
            <v>#N/A</v>
          </cell>
          <cell r="P977" t="str">
            <v/>
          </cell>
          <cell r="Q977" t="str">
            <v/>
          </cell>
          <cell r="R977">
            <v>90</v>
          </cell>
        </row>
        <row r="978">
          <cell r="A978" t="str">
            <v/>
          </cell>
          <cell r="B978" t="str">
            <v/>
          </cell>
          <cell r="C978" t="str">
            <v>Future</v>
          </cell>
          <cell r="D978" t="e">
            <v>#N/A</v>
          </cell>
          <cell r="E978">
            <v>-46.421181102362546</v>
          </cell>
          <cell r="F978">
            <v>127.2008661417336</v>
          </cell>
          <cell r="G978">
            <v>44.523700787401587</v>
          </cell>
          <cell r="H978">
            <v>44.523700787401587</v>
          </cell>
          <cell r="I978" t="e">
            <v>#N/A</v>
          </cell>
          <cell r="J978" t="e">
            <v>#N/A</v>
          </cell>
          <cell r="K978">
            <v>105</v>
          </cell>
          <cell r="L978">
            <v>55</v>
          </cell>
          <cell r="M978" t="e">
            <v>#N/A</v>
          </cell>
          <cell r="N978">
            <v>90</v>
          </cell>
          <cell r="O978" t="e">
            <v>#N/A</v>
          </cell>
          <cell r="P978" t="str">
            <v/>
          </cell>
          <cell r="Q978" t="str">
            <v/>
          </cell>
          <cell r="R978">
            <v>90</v>
          </cell>
        </row>
        <row r="979">
          <cell r="A979" t="str">
            <v/>
          </cell>
          <cell r="B979" t="str">
            <v/>
          </cell>
          <cell r="C979" t="str">
            <v>Future</v>
          </cell>
          <cell r="D979" t="e">
            <v>#N/A</v>
          </cell>
          <cell r="E979">
            <v>-46.700826771653887</v>
          </cell>
          <cell r="F979">
            <v>127.33460629921392</v>
          </cell>
          <cell r="G979">
            <v>44.460590551181113</v>
          </cell>
          <cell r="H979">
            <v>44.460590551181113</v>
          </cell>
          <cell r="I979" t="e">
            <v>#N/A</v>
          </cell>
          <cell r="J979" t="e">
            <v>#N/A</v>
          </cell>
          <cell r="K979">
            <v>105</v>
          </cell>
          <cell r="L979">
            <v>55</v>
          </cell>
          <cell r="M979" t="e">
            <v>#N/A</v>
          </cell>
          <cell r="N979">
            <v>90</v>
          </cell>
          <cell r="O979" t="e">
            <v>#N/A</v>
          </cell>
          <cell r="P979" t="str">
            <v/>
          </cell>
          <cell r="Q979" t="str">
            <v/>
          </cell>
          <cell r="R979">
            <v>90</v>
          </cell>
        </row>
        <row r="980">
          <cell r="A980" t="str">
            <v/>
          </cell>
          <cell r="B980" t="str">
            <v/>
          </cell>
          <cell r="C980" t="str">
            <v>Future</v>
          </cell>
          <cell r="D980" t="e">
            <v>#N/A</v>
          </cell>
          <cell r="E980">
            <v>-46.980472440945228</v>
          </cell>
          <cell r="F980">
            <v>127.46834645669423</v>
          </cell>
          <cell r="G980">
            <v>44.397480314960639</v>
          </cell>
          <cell r="H980">
            <v>44.397480314960639</v>
          </cell>
          <cell r="I980" t="e">
            <v>#N/A</v>
          </cell>
          <cell r="J980" t="e">
            <v>#N/A</v>
          </cell>
          <cell r="K980">
            <v>105</v>
          </cell>
          <cell r="L980">
            <v>55</v>
          </cell>
          <cell r="M980" t="e">
            <v>#N/A</v>
          </cell>
          <cell r="N980">
            <v>90</v>
          </cell>
          <cell r="O980" t="e">
            <v>#N/A</v>
          </cell>
          <cell r="P980" t="str">
            <v/>
          </cell>
          <cell r="Q980" t="str">
            <v/>
          </cell>
          <cell r="R980">
            <v>90</v>
          </cell>
        </row>
        <row r="981">
          <cell r="A981" t="str">
            <v/>
          </cell>
          <cell r="B981" t="str">
            <v/>
          </cell>
          <cell r="C981" t="str">
            <v>Future</v>
          </cell>
          <cell r="D981" t="e">
            <v>#N/A</v>
          </cell>
          <cell r="E981">
            <v>-47.260118110236569</v>
          </cell>
          <cell r="F981">
            <v>127.60208661417455</v>
          </cell>
          <cell r="G981">
            <v>44.334370078740164</v>
          </cell>
          <cell r="H981">
            <v>44.334370078740164</v>
          </cell>
          <cell r="I981" t="e">
            <v>#N/A</v>
          </cell>
          <cell r="J981" t="e">
            <v>#N/A</v>
          </cell>
          <cell r="K981">
            <v>105</v>
          </cell>
          <cell r="L981">
            <v>55</v>
          </cell>
          <cell r="M981" t="e">
            <v>#N/A</v>
          </cell>
          <cell r="N981">
            <v>90</v>
          </cell>
          <cell r="O981" t="e">
            <v>#N/A</v>
          </cell>
          <cell r="P981" t="str">
            <v/>
          </cell>
          <cell r="Q981" t="str">
            <v/>
          </cell>
          <cell r="R981">
            <v>90</v>
          </cell>
        </row>
        <row r="982">
          <cell r="A982" t="str">
            <v/>
          </cell>
          <cell r="B982" t="str">
            <v/>
          </cell>
          <cell r="C982" t="str">
            <v>Future</v>
          </cell>
          <cell r="D982" t="e">
            <v>#N/A</v>
          </cell>
          <cell r="E982">
            <v>-47.53976377952791</v>
          </cell>
          <cell r="F982">
            <v>127.73582677165487</v>
          </cell>
          <cell r="G982">
            <v>44.27125984251969</v>
          </cell>
          <cell r="H982">
            <v>44.27125984251969</v>
          </cell>
          <cell r="I982" t="e">
            <v>#N/A</v>
          </cell>
          <cell r="J982" t="e">
            <v>#N/A</v>
          </cell>
          <cell r="K982">
            <v>105</v>
          </cell>
          <cell r="L982">
            <v>55</v>
          </cell>
          <cell r="M982" t="e">
            <v>#N/A</v>
          </cell>
          <cell r="N982">
            <v>90</v>
          </cell>
          <cell r="O982" t="e">
            <v>#N/A</v>
          </cell>
          <cell r="P982" t="str">
            <v/>
          </cell>
          <cell r="Q982" t="str">
            <v/>
          </cell>
          <cell r="R982">
            <v>90</v>
          </cell>
        </row>
        <row r="983">
          <cell r="A983" t="str">
            <v/>
          </cell>
          <cell r="B983" t="str">
            <v/>
          </cell>
          <cell r="C983" t="str">
            <v>Future</v>
          </cell>
          <cell r="D983" t="e">
            <v>#N/A</v>
          </cell>
          <cell r="E983">
            <v>-47.81940944881925</v>
          </cell>
          <cell r="F983">
            <v>127.86956692913519</v>
          </cell>
          <cell r="G983">
            <v>44.208149606299216</v>
          </cell>
          <cell r="H983">
            <v>44.208149606299216</v>
          </cell>
          <cell r="I983" t="e">
            <v>#N/A</v>
          </cell>
          <cell r="J983" t="e">
            <v>#N/A</v>
          </cell>
          <cell r="K983">
            <v>105</v>
          </cell>
          <cell r="L983">
            <v>55</v>
          </cell>
          <cell r="M983" t="e">
            <v>#N/A</v>
          </cell>
          <cell r="N983">
            <v>90</v>
          </cell>
          <cell r="O983" t="e">
            <v>#N/A</v>
          </cell>
          <cell r="P983" t="str">
            <v/>
          </cell>
          <cell r="Q983" t="str">
            <v/>
          </cell>
          <cell r="R983">
            <v>90</v>
          </cell>
        </row>
        <row r="984">
          <cell r="A984" t="str">
            <v/>
          </cell>
          <cell r="B984" t="str">
            <v/>
          </cell>
          <cell r="C984" t="str">
            <v>Future</v>
          </cell>
          <cell r="D984" t="e">
            <v>#N/A</v>
          </cell>
          <cell r="E984">
            <v>-48.099055118110591</v>
          </cell>
          <cell r="F984">
            <v>128.00330708661551</v>
          </cell>
          <cell r="G984">
            <v>44.145039370078742</v>
          </cell>
          <cell r="H984">
            <v>44.145039370078742</v>
          </cell>
          <cell r="I984" t="e">
            <v>#N/A</v>
          </cell>
          <cell r="J984" t="e">
            <v>#N/A</v>
          </cell>
          <cell r="K984">
            <v>105</v>
          </cell>
          <cell r="L984">
            <v>55</v>
          </cell>
          <cell r="M984" t="e">
            <v>#N/A</v>
          </cell>
          <cell r="N984">
            <v>90</v>
          </cell>
          <cell r="O984" t="e">
            <v>#N/A</v>
          </cell>
          <cell r="P984" t="str">
            <v/>
          </cell>
          <cell r="Q984" t="str">
            <v/>
          </cell>
          <cell r="R984">
            <v>90</v>
          </cell>
        </row>
        <row r="985">
          <cell r="A985" t="str">
            <v/>
          </cell>
          <cell r="B985" t="str">
            <v/>
          </cell>
          <cell r="C985" t="str">
            <v>Future</v>
          </cell>
          <cell r="D985" t="e">
            <v>#N/A</v>
          </cell>
          <cell r="E985">
            <v>-48.378700787401932</v>
          </cell>
          <cell r="F985">
            <v>128.13704724409581</v>
          </cell>
          <cell r="G985">
            <v>44.081929133858267</v>
          </cell>
          <cell r="H985">
            <v>44.081929133858267</v>
          </cell>
          <cell r="I985" t="e">
            <v>#N/A</v>
          </cell>
          <cell r="J985" t="e">
            <v>#N/A</v>
          </cell>
          <cell r="K985">
            <v>105</v>
          </cell>
          <cell r="L985">
            <v>55</v>
          </cell>
          <cell r="M985" t="e">
            <v>#N/A</v>
          </cell>
          <cell r="N985">
            <v>90</v>
          </cell>
          <cell r="O985" t="e">
            <v>#N/A</v>
          </cell>
          <cell r="P985" t="str">
            <v/>
          </cell>
          <cell r="Q985" t="str">
            <v/>
          </cell>
          <cell r="R985">
            <v>90</v>
          </cell>
        </row>
        <row r="986">
          <cell r="A986" t="str">
            <v/>
          </cell>
          <cell r="B986" t="str">
            <v/>
          </cell>
          <cell r="C986" t="str">
            <v>Future</v>
          </cell>
          <cell r="D986" t="e">
            <v>#N/A</v>
          </cell>
          <cell r="E986">
            <v>-48.658346456693273</v>
          </cell>
          <cell r="F986">
            <v>128.27078740157611</v>
          </cell>
          <cell r="G986">
            <v>44.018818897637793</v>
          </cell>
          <cell r="H986">
            <v>44.018818897637793</v>
          </cell>
          <cell r="I986" t="e">
            <v>#N/A</v>
          </cell>
          <cell r="J986" t="e">
            <v>#N/A</v>
          </cell>
          <cell r="K986">
            <v>105</v>
          </cell>
          <cell r="L986">
            <v>55</v>
          </cell>
          <cell r="M986" t="e">
            <v>#N/A</v>
          </cell>
          <cell r="N986">
            <v>90</v>
          </cell>
          <cell r="O986" t="e">
            <v>#N/A</v>
          </cell>
          <cell r="P986" t="str">
            <v/>
          </cell>
          <cell r="Q986" t="str">
            <v/>
          </cell>
          <cell r="R986">
            <v>90</v>
          </cell>
        </row>
        <row r="987">
          <cell r="A987" t="str">
            <v/>
          </cell>
          <cell r="B987" t="str">
            <v/>
          </cell>
          <cell r="C987" t="str">
            <v>Future</v>
          </cell>
          <cell r="D987" t="e">
            <v>#N/A</v>
          </cell>
          <cell r="E987">
            <v>-48.937992125984614</v>
          </cell>
          <cell r="F987">
            <v>128.40452755905642</v>
          </cell>
          <cell r="G987">
            <v>43.955708661417319</v>
          </cell>
          <cell r="H987">
            <v>43.955708661417319</v>
          </cell>
          <cell r="I987" t="e">
            <v>#N/A</v>
          </cell>
          <cell r="J987" t="e">
            <v>#N/A</v>
          </cell>
          <cell r="K987">
            <v>105</v>
          </cell>
          <cell r="L987">
            <v>55</v>
          </cell>
          <cell r="M987" t="e">
            <v>#N/A</v>
          </cell>
          <cell r="N987">
            <v>90</v>
          </cell>
          <cell r="O987" t="e">
            <v>#N/A</v>
          </cell>
          <cell r="P987" t="str">
            <v/>
          </cell>
          <cell r="Q987" t="str">
            <v/>
          </cell>
          <cell r="R987">
            <v>90</v>
          </cell>
        </row>
        <row r="988">
          <cell r="A988" t="str">
            <v/>
          </cell>
          <cell r="B988" t="str">
            <v/>
          </cell>
          <cell r="C988" t="str">
            <v>Future</v>
          </cell>
          <cell r="D988" t="e">
            <v>#N/A</v>
          </cell>
          <cell r="E988">
            <v>-49.217637795275955</v>
          </cell>
          <cell r="F988">
            <v>128.53826771653672</v>
          </cell>
          <cell r="G988">
            <v>43.892598425196844</v>
          </cell>
          <cell r="H988">
            <v>43.892598425196844</v>
          </cell>
          <cell r="I988" t="e">
            <v>#N/A</v>
          </cell>
          <cell r="J988" t="e">
            <v>#N/A</v>
          </cell>
          <cell r="K988">
            <v>105</v>
          </cell>
          <cell r="L988">
            <v>55</v>
          </cell>
          <cell r="M988" t="e">
            <v>#N/A</v>
          </cell>
          <cell r="N988">
            <v>90</v>
          </cell>
          <cell r="O988" t="e">
            <v>#N/A</v>
          </cell>
          <cell r="P988" t="str">
            <v/>
          </cell>
          <cell r="Q988" t="str">
            <v/>
          </cell>
          <cell r="R988">
            <v>90</v>
          </cell>
        </row>
        <row r="989">
          <cell r="A989" t="str">
            <v/>
          </cell>
          <cell r="B989" t="str">
            <v/>
          </cell>
          <cell r="C989" t="str">
            <v>Future</v>
          </cell>
          <cell r="D989" t="e">
            <v>#N/A</v>
          </cell>
          <cell r="E989">
            <v>-49.497283464567296</v>
          </cell>
          <cell r="F989">
            <v>128.67200787401703</v>
          </cell>
          <cell r="G989">
            <v>43.82948818897637</v>
          </cell>
          <cell r="H989">
            <v>43.82948818897637</v>
          </cell>
          <cell r="I989" t="e">
            <v>#N/A</v>
          </cell>
          <cell r="J989" t="e">
            <v>#N/A</v>
          </cell>
          <cell r="K989">
            <v>105</v>
          </cell>
          <cell r="L989">
            <v>55</v>
          </cell>
          <cell r="M989" t="e">
            <v>#N/A</v>
          </cell>
          <cell r="N989">
            <v>90</v>
          </cell>
          <cell r="O989" t="e">
            <v>#N/A</v>
          </cell>
          <cell r="P989" t="str">
            <v/>
          </cell>
          <cell r="Q989" t="str">
            <v/>
          </cell>
          <cell r="R989">
            <v>90</v>
          </cell>
        </row>
        <row r="990">
          <cell r="A990" t="str">
            <v/>
          </cell>
          <cell r="B990" t="str">
            <v/>
          </cell>
          <cell r="C990" t="str">
            <v>Future</v>
          </cell>
          <cell r="D990" t="e">
            <v>#N/A</v>
          </cell>
          <cell r="E990">
            <v>-49.776929133858637</v>
          </cell>
          <cell r="F990">
            <v>128.80574803149733</v>
          </cell>
          <cell r="G990">
            <v>43.766377952755896</v>
          </cell>
          <cell r="H990">
            <v>43.766377952755896</v>
          </cell>
          <cell r="I990" t="e">
            <v>#N/A</v>
          </cell>
          <cell r="J990" t="e">
            <v>#N/A</v>
          </cell>
          <cell r="K990">
            <v>105</v>
          </cell>
          <cell r="L990">
            <v>55</v>
          </cell>
          <cell r="M990" t="e">
            <v>#N/A</v>
          </cell>
          <cell r="N990">
            <v>90</v>
          </cell>
          <cell r="O990" t="e">
            <v>#N/A</v>
          </cell>
          <cell r="P990" t="str">
            <v/>
          </cell>
          <cell r="Q990" t="str">
            <v/>
          </cell>
          <cell r="R990">
            <v>90</v>
          </cell>
        </row>
        <row r="991">
          <cell r="A991" t="str">
            <v/>
          </cell>
          <cell r="B991" t="str">
            <v/>
          </cell>
          <cell r="C991" t="str">
            <v>Future</v>
          </cell>
          <cell r="D991" t="e">
            <v>#N/A</v>
          </cell>
          <cell r="E991">
            <v>-50.056574803149978</v>
          </cell>
          <cell r="F991">
            <v>128.93948818897763</v>
          </cell>
          <cell r="G991">
            <v>43.703267716535422</v>
          </cell>
          <cell r="H991">
            <v>43.703267716535422</v>
          </cell>
          <cell r="I991" t="e">
            <v>#N/A</v>
          </cell>
          <cell r="J991" t="e">
            <v>#N/A</v>
          </cell>
          <cell r="K991">
            <v>105</v>
          </cell>
          <cell r="L991">
            <v>55</v>
          </cell>
          <cell r="M991" t="e">
            <v>#N/A</v>
          </cell>
          <cell r="N991">
            <v>90</v>
          </cell>
          <cell r="O991" t="e">
            <v>#N/A</v>
          </cell>
          <cell r="P991" t="str">
            <v/>
          </cell>
          <cell r="Q991" t="str">
            <v/>
          </cell>
          <cell r="R991">
            <v>90</v>
          </cell>
        </row>
        <row r="992">
          <cell r="A992" t="str">
            <v/>
          </cell>
          <cell r="B992" t="str">
            <v/>
          </cell>
          <cell r="C992" t="str">
            <v>Future</v>
          </cell>
          <cell r="D992" t="e">
            <v>#N/A</v>
          </cell>
          <cell r="E992">
            <v>-50.336220472441319</v>
          </cell>
          <cell r="F992">
            <v>129.07322834645794</v>
          </cell>
          <cell r="G992">
            <v>43.640157480314947</v>
          </cell>
          <cell r="H992">
            <v>43.640157480314947</v>
          </cell>
          <cell r="I992" t="e">
            <v>#N/A</v>
          </cell>
          <cell r="J992" t="e">
            <v>#N/A</v>
          </cell>
          <cell r="K992">
            <v>105</v>
          </cell>
          <cell r="L992">
            <v>55</v>
          </cell>
          <cell r="M992" t="e">
            <v>#N/A</v>
          </cell>
          <cell r="N992">
            <v>90</v>
          </cell>
          <cell r="O992" t="e">
            <v>#N/A</v>
          </cell>
          <cell r="P992" t="str">
            <v/>
          </cell>
          <cell r="Q992" t="str">
            <v/>
          </cell>
          <cell r="R992">
            <v>90</v>
          </cell>
        </row>
        <row r="993">
          <cell r="A993" t="str">
            <v/>
          </cell>
          <cell r="B993" t="str">
            <v/>
          </cell>
          <cell r="C993" t="str">
            <v>Future</v>
          </cell>
          <cell r="D993" t="e">
            <v>#N/A</v>
          </cell>
          <cell r="E993">
            <v>-50.61586614173266</v>
          </cell>
          <cell r="F993">
            <v>129.20696850393824</v>
          </cell>
          <cell r="G993">
            <v>43.577047244094473</v>
          </cell>
          <cell r="H993">
            <v>43.577047244094473</v>
          </cell>
          <cell r="I993" t="e">
            <v>#N/A</v>
          </cell>
          <cell r="J993" t="e">
            <v>#N/A</v>
          </cell>
          <cell r="K993">
            <v>105</v>
          </cell>
          <cell r="L993">
            <v>55</v>
          </cell>
          <cell r="M993" t="e">
            <v>#N/A</v>
          </cell>
          <cell r="N993">
            <v>90</v>
          </cell>
          <cell r="O993" t="e">
            <v>#N/A</v>
          </cell>
          <cell r="P993" t="str">
            <v/>
          </cell>
          <cell r="Q993" t="str">
            <v/>
          </cell>
          <cell r="R993">
            <v>90</v>
          </cell>
        </row>
        <row r="994">
          <cell r="A994" t="str">
            <v/>
          </cell>
          <cell r="B994" t="str">
            <v/>
          </cell>
          <cell r="C994" t="str">
            <v>Future</v>
          </cell>
          <cell r="D994" t="e">
            <v>#N/A</v>
          </cell>
          <cell r="E994">
            <v>-50.895511811024001</v>
          </cell>
          <cell r="F994">
            <v>129.34070866141855</v>
          </cell>
          <cell r="G994">
            <v>43.513937007873999</v>
          </cell>
          <cell r="H994">
            <v>43.513937007873999</v>
          </cell>
          <cell r="I994" t="e">
            <v>#N/A</v>
          </cell>
          <cell r="J994" t="e">
            <v>#N/A</v>
          </cell>
          <cell r="K994">
            <v>105</v>
          </cell>
          <cell r="L994">
            <v>55</v>
          </cell>
          <cell r="M994" t="e">
            <v>#N/A</v>
          </cell>
          <cell r="N994">
            <v>90</v>
          </cell>
          <cell r="O994" t="e">
            <v>#N/A</v>
          </cell>
          <cell r="P994" t="str">
            <v/>
          </cell>
          <cell r="Q994" t="str">
            <v/>
          </cell>
          <cell r="R994">
            <v>90</v>
          </cell>
        </row>
        <row r="995">
          <cell r="A995" t="str">
            <v/>
          </cell>
          <cell r="B995" t="str">
            <v/>
          </cell>
          <cell r="C995" t="str">
            <v>Future</v>
          </cell>
          <cell r="D995" t="e">
            <v>#N/A</v>
          </cell>
          <cell r="E995">
            <v>-51.175157480315342</v>
          </cell>
          <cell r="F995">
            <v>129.47444881889885</v>
          </cell>
          <cell r="G995">
            <v>43.450826771653524</v>
          </cell>
          <cell r="H995">
            <v>43.450826771653524</v>
          </cell>
          <cell r="I995" t="e">
            <v>#N/A</v>
          </cell>
          <cell r="J995" t="e">
            <v>#N/A</v>
          </cell>
          <cell r="K995">
            <v>105</v>
          </cell>
          <cell r="L995">
            <v>55</v>
          </cell>
          <cell r="M995" t="e">
            <v>#N/A</v>
          </cell>
          <cell r="N995">
            <v>90</v>
          </cell>
          <cell r="O995" t="e">
            <v>#N/A</v>
          </cell>
          <cell r="P995" t="str">
            <v/>
          </cell>
          <cell r="Q995" t="str">
            <v/>
          </cell>
          <cell r="R995">
            <v>90</v>
          </cell>
        </row>
        <row r="996">
          <cell r="A996" t="str">
            <v/>
          </cell>
          <cell r="B996" t="str">
            <v/>
          </cell>
          <cell r="C996" t="str">
            <v>Future</v>
          </cell>
          <cell r="D996" t="e">
            <v>#N/A</v>
          </cell>
          <cell r="E996">
            <v>-51.454803149606683</v>
          </cell>
          <cell r="F996">
            <v>129.60818897637915</v>
          </cell>
          <cell r="G996">
            <v>43.38771653543305</v>
          </cell>
          <cell r="H996">
            <v>43.38771653543305</v>
          </cell>
          <cell r="I996" t="e">
            <v>#N/A</v>
          </cell>
          <cell r="J996" t="e">
            <v>#N/A</v>
          </cell>
          <cell r="K996">
            <v>105</v>
          </cell>
          <cell r="L996">
            <v>55</v>
          </cell>
          <cell r="M996" t="e">
            <v>#N/A</v>
          </cell>
          <cell r="N996">
            <v>90</v>
          </cell>
          <cell r="O996" t="e">
            <v>#N/A</v>
          </cell>
          <cell r="P996" t="str">
            <v/>
          </cell>
          <cell r="Q996" t="str">
            <v/>
          </cell>
          <cell r="R996">
            <v>90</v>
          </cell>
        </row>
        <row r="997">
          <cell r="A997" t="str">
            <v/>
          </cell>
          <cell r="B997" t="str">
            <v/>
          </cell>
          <cell r="C997" t="str">
            <v>Future</v>
          </cell>
          <cell r="D997" t="e">
            <v>#N/A</v>
          </cell>
          <cell r="E997">
            <v>-51.734448818898024</v>
          </cell>
          <cell r="F997">
            <v>129.74192913385946</v>
          </cell>
          <cell r="G997">
            <v>43.324606299212576</v>
          </cell>
          <cell r="H997">
            <v>43.324606299212576</v>
          </cell>
          <cell r="I997" t="e">
            <v>#N/A</v>
          </cell>
          <cell r="J997" t="e">
            <v>#N/A</v>
          </cell>
          <cell r="K997">
            <v>105</v>
          </cell>
          <cell r="L997">
            <v>55</v>
          </cell>
          <cell r="M997" t="e">
            <v>#N/A</v>
          </cell>
          <cell r="N997">
            <v>90</v>
          </cell>
          <cell r="O997" t="e">
            <v>#N/A</v>
          </cell>
          <cell r="P997" t="str">
            <v/>
          </cell>
          <cell r="Q997" t="str">
            <v/>
          </cell>
          <cell r="R997">
            <v>90</v>
          </cell>
        </row>
        <row r="998">
          <cell r="A998" t="str">
            <v/>
          </cell>
          <cell r="B998" t="str">
            <v/>
          </cell>
          <cell r="C998" t="str">
            <v>Future</v>
          </cell>
          <cell r="D998" t="e">
            <v>#N/A</v>
          </cell>
          <cell r="E998">
            <v>-52.014094488189365</v>
          </cell>
          <cell r="F998">
            <v>129.87566929133976</v>
          </cell>
          <cell r="G998">
            <v>43.261496062992101</v>
          </cell>
          <cell r="H998">
            <v>43.261496062992101</v>
          </cell>
          <cell r="I998" t="e">
            <v>#N/A</v>
          </cell>
          <cell r="J998" t="e">
            <v>#N/A</v>
          </cell>
          <cell r="K998">
            <v>105</v>
          </cell>
          <cell r="L998">
            <v>55</v>
          </cell>
          <cell r="M998" t="e">
            <v>#N/A</v>
          </cell>
          <cell r="N998">
            <v>90</v>
          </cell>
          <cell r="O998" t="e">
            <v>#N/A</v>
          </cell>
          <cell r="P998" t="str">
            <v/>
          </cell>
          <cell r="Q998" t="str">
            <v/>
          </cell>
          <cell r="R998">
            <v>90</v>
          </cell>
        </row>
        <row r="999">
          <cell r="A999" t="str">
            <v/>
          </cell>
          <cell r="B999" t="str">
            <v/>
          </cell>
          <cell r="C999" t="str">
            <v>Future</v>
          </cell>
          <cell r="D999" t="e">
            <v>#N/A</v>
          </cell>
          <cell r="E999">
            <v>-52.293740157480705</v>
          </cell>
          <cell r="F999">
            <v>130.00940944882007</v>
          </cell>
          <cell r="G999">
            <v>43.198385826771627</v>
          </cell>
          <cell r="H999">
            <v>43.198385826771627</v>
          </cell>
          <cell r="I999" t="e">
            <v>#N/A</v>
          </cell>
          <cell r="J999" t="e">
            <v>#N/A</v>
          </cell>
          <cell r="K999">
            <v>105</v>
          </cell>
          <cell r="L999">
            <v>55</v>
          </cell>
          <cell r="M999" t="e">
            <v>#N/A</v>
          </cell>
          <cell r="N999">
            <v>90</v>
          </cell>
          <cell r="O999" t="e">
            <v>#N/A</v>
          </cell>
          <cell r="P999" t="str">
            <v/>
          </cell>
          <cell r="Q999" t="str">
            <v/>
          </cell>
          <cell r="R999">
            <v>90</v>
          </cell>
        </row>
        <row r="1000">
          <cell r="A1000" t="str">
            <v/>
          </cell>
          <cell r="B1000" t="str">
            <v/>
          </cell>
          <cell r="C1000" t="str">
            <v>Future</v>
          </cell>
          <cell r="D1000" t="e">
            <v>#N/A</v>
          </cell>
          <cell r="E1000">
            <v>-52.573385826772046</v>
          </cell>
          <cell r="F1000">
            <v>130.14314960630037</v>
          </cell>
          <cell r="G1000">
            <v>43.135275590551153</v>
          </cell>
          <cell r="H1000">
            <v>43.135275590551153</v>
          </cell>
          <cell r="I1000" t="e">
            <v>#N/A</v>
          </cell>
          <cell r="J1000" t="e">
            <v>#N/A</v>
          </cell>
          <cell r="K1000">
            <v>105</v>
          </cell>
          <cell r="L1000">
            <v>55</v>
          </cell>
          <cell r="M1000" t="e">
            <v>#N/A</v>
          </cell>
          <cell r="N1000">
            <v>90</v>
          </cell>
          <cell r="O1000" t="e">
            <v>#N/A</v>
          </cell>
          <cell r="P1000" t="str">
            <v/>
          </cell>
          <cell r="Q1000" t="str">
            <v/>
          </cell>
          <cell r="R1000">
            <v>90</v>
          </cell>
        </row>
        <row r="1001">
          <cell r="A1001" t="str">
            <v/>
          </cell>
          <cell r="B1001" t="str">
            <v/>
          </cell>
          <cell r="C1001" t="str">
            <v>Future</v>
          </cell>
          <cell r="D1001" t="e">
            <v>#N/A</v>
          </cell>
          <cell r="E1001">
            <v>-52.853031496063387</v>
          </cell>
          <cell r="F1001">
            <v>130.27688976378067</v>
          </cell>
          <cell r="G1001">
            <v>43.072165354330679</v>
          </cell>
          <cell r="H1001">
            <v>43.072165354330679</v>
          </cell>
          <cell r="I1001" t="e">
            <v>#N/A</v>
          </cell>
          <cell r="J1001" t="e">
            <v>#N/A</v>
          </cell>
          <cell r="K1001">
            <v>105</v>
          </cell>
          <cell r="L1001">
            <v>55</v>
          </cell>
          <cell r="M1001" t="e">
            <v>#N/A</v>
          </cell>
          <cell r="N1001">
            <v>90</v>
          </cell>
          <cell r="O1001" t="e">
            <v>#N/A</v>
          </cell>
          <cell r="P1001" t="str">
            <v/>
          </cell>
          <cell r="Q1001" t="str">
            <v/>
          </cell>
          <cell r="R1001">
            <v>90</v>
          </cell>
        </row>
        <row r="1002">
          <cell r="A1002" t="str">
            <v/>
          </cell>
          <cell r="B1002" t="str">
            <v/>
          </cell>
          <cell r="C1002" t="str">
            <v>Future</v>
          </cell>
          <cell r="D1002" t="e">
            <v>#N/A</v>
          </cell>
          <cell r="E1002">
            <v>-53.132677165354728</v>
          </cell>
          <cell r="F1002">
            <v>130.41062992126098</v>
          </cell>
          <cell r="G1002">
            <v>43.009055118110204</v>
          </cell>
          <cell r="H1002">
            <v>43.009055118110204</v>
          </cell>
          <cell r="I1002" t="e">
            <v>#N/A</v>
          </cell>
          <cell r="J1002" t="e">
            <v>#N/A</v>
          </cell>
          <cell r="K1002">
            <v>105</v>
          </cell>
          <cell r="L1002">
            <v>55</v>
          </cell>
          <cell r="M1002" t="e">
            <v>#N/A</v>
          </cell>
          <cell r="N1002">
            <v>90</v>
          </cell>
          <cell r="O1002" t="e">
            <v>#N/A</v>
          </cell>
          <cell r="P1002" t="str">
            <v/>
          </cell>
          <cell r="Q1002" t="str">
            <v/>
          </cell>
          <cell r="R1002">
            <v>90</v>
          </cell>
        </row>
        <row r="1003">
          <cell r="A1003" t="str">
            <v/>
          </cell>
          <cell r="B1003" t="str">
            <v/>
          </cell>
          <cell r="C1003" t="str">
            <v>Future</v>
          </cell>
          <cell r="D1003" t="e">
            <v>#N/A</v>
          </cell>
          <cell r="E1003">
            <v>-53.412322834646069</v>
          </cell>
          <cell r="F1003">
            <v>130.54437007874128</v>
          </cell>
          <cell r="G1003">
            <v>42.94594488188973</v>
          </cell>
          <cell r="H1003">
            <v>42.94594488188973</v>
          </cell>
          <cell r="I1003" t="e">
            <v>#N/A</v>
          </cell>
          <cell r="J1003" t="e">
            <v>#N/A</v>
          </cell>
          <cell r="K1003">
            <v>105</v>
          </cell>
          <cell r="L1003">
            <v>55</v>
          </cell>
          <cell r="M1003" t="e">
            <v>#N/A</v>
          </cell>
          <cell r="N1003">
            <v>90</v>
          </cell>
          <cell r="O1003" t="e">
            <v>#N/A</v>
          </cell>
          <cell r="P1003" t="str">
            <v/>
          </cell>
          <cell r="Q1003" t="str">
            <v/>
          </cell>
          <cell r="R1003">
            <v>90</v>
          </cell>
        </row>
        <row r="1004">
          <cell r="A1004" t="str">
            <v/>
          </cell>
          <cell r="B1004" t="str">
            <v/>
          </cell>
          <cell r="C1004" t="str">
            <v>Future</v>
          </cell>
          <cell r="D1004" t="e">
            <v>#N/A</v>
          </cell>
          <cell r="E1004">
            <v>-53.69196850393741</v>
          </cell>
          <cell r="F1004">
            <v>130.67811023622158</v>
          </cell>
          <cell r="G1004">
            <v>42.882834645669256</v>
          </cell>
          <cell r="H1004">
            <v>42.882834645669256</v>
          </cell>
          <cell r="I1004" t="e">
            <v>#N/A</v>
          </cell>
          <cell r="J1004" t="e">
            <v>#N/A</v>
          </cell>
          <cell r="K1004">
            <v>105</v>
          </cell>
          <cell r="L1004">
            <v>55</v>
          </cell>
          <cell r="M1004" t="e">
            <v>#N/A</v>
          </cell>
          <cell r="N1004">
            <v>90</v>
          </cell>
          <cell r="O1004" t="e">
            <v>#N/A</v>
          </cell>
          <cell r="P1004" t="str">
            <v/>
          </cell>
          <cell r="Q1004" t="str">
            <v/>
          </cell>
          <cell r="R1004">
            <v>90</v>
          </cell>
        </row>
        <row r="1005">
          <cell r="A1005" t="str">
            <v/>
          </cell>
          <cell r="B1005" t="str">
            <v/>
          </cell>
          <cell r="C1005" t="str">
            <v>Future</v>
          </cell>
          <cell r="D1005" t="e">
            <v>#N/A</v>
          </cell>
          <cell r="E1005">
            <v>-53.971614173228751</v>
          </cell>
          <cell r="F1005">
            <v>130.81185039370189</v>
          </cell>
          <cell r="G1005">
            <v>42.819724409448781</v>
          </cell>
          <cell r="H1005">
            <v>42.819724409448781</v>
          </cell>
          <cell r="I1005" t="e">
            <v>#N/A</v>
          </cell>
          <cell r="J1005" t="e">
            <v>#N/A</v>
          </cell>
          <cell r="K1005">
            <v>105</v>
          </cell>
          <cell r="L1005">
            <v>55</v>
          </cell>
          <cell r="M1005" t="e">
            <v>#N/A</v>
          </cell>
          <cell r="N1005">
            <v>90</v>
          </cell>
          <cell r="O1005" t="e">
            <v>#N/A</v>
          </cell>
          <cell r="P1005" t="str">
            <v/>
          </cell>
          <cell r="Q1005" t="str">
            <v/>
          </cell>
          <cell r="R1005">
            <v>90</v>
          </cell>
        </row>
        <row r="1006">
          <cell r="A1006" t="str">
            <v/>
          </cell>
          <cell r="B1006" t="str">
            <v/>
          </cell>
          <cell r="C1006" t="str">
            <v>Future</v>
          </cell>
          <cell r="D1006" t="e">
            <v>#N/A</v>
          </cell>
          <cell r="E1006">
            <v>-54.251259842520092</v>
          </cell>
          <cell r="F1006">
            <v>130.94559055118219</v>
          </cell>
          <cell r="G1006">
            <v>42.756614173228307</v>
          </cell>
          <cell r="H1006">
            <v>42.756614173228307</v>
          </cell>
          <cell r="I1006" t="e">
            <v>#N/A</v>
          </cell>
          <cell r="J1006" t="e">
            <v>#N/A</v>
          </cell>
          <cell r="K1006">
            <v>105</v>
          </cell>
          <cell r="L1006">
            <v>55</v>
          </cell>
          <cell r="M1006" t="e">
            <v>#N/A</v>
          </cell>
          <cell r="N1006">
            <v>90</v>
          </cell>
          <cell r="O1006" t="e">
            <v>#N/A</v>
          </cell>
          <cell r="P1006" t="str">
            <v/>
          </cell>
          <cell r="Q1006" t="str">
            <v/>
          </cell>
          <cell r="R1006">
            <v>90</v>
          </cell>
        </row>
        <row r="1007">
          <cell r="A1007" t="str">
            <v/>
          </cell>
          <cell r="B1007" t="str">
            <v/>
          </cell>
          <cell r="C1007" t="str">
            <v>Future</v>
          </cell>
          <cell r="D1007" t="e">
            <v>#N/A</v>
          </cell>
          <cell r="E1007">
            <v>-54.530905511811433</v>
          </cell>
          <cell r="F1007">
            <v>131.0793307086625</v>
          </cell>
          <cell r="G1007">
            <v>42.693503937007833</v>
          </cell>
          <cell r="H1007">
            <v>42.693503937007833</v>
          </cell>
          <cell r="I1007" t="e">
            <v>#N/A</v>
          </cell>
          <cell r="J1007" t="e">
            <v>#N/A</v>
          </cell>
          <cell r="K1007">
            <v>105</v>
          </cell>
          <cell r="L1007">
            <v>55</v>
          </cell>
          <cell r="M1007" t="e">
            <v>#N/A</v>
          </cell>
          <cell r="N1007">
            <v>90</v>
          </cell>
          <cell r="O1007" t="e">
            <v>#N/A</v>
          </cell>
          <cell r="P1007" t="str">
            <v/>
          </cell>
          <cell r="Q1007" t="str">
            <v/>
          </cell>
          <cell r="R1007">
            <v>90</v>
          </cell>
        </row>
        <row r="1008">
          <cell r="A1008" t="str">
            <v/>
          </cell>
          <cell r="B1008" t="str">
            <v/>
          </cell>
          <cell r="C1008" t="str">
            <v>Future</v>
          </cell>
          <cell r="D1008" t="e">
            <v>#N/A</v>
          </cell>
          <cell r="E1008">
            <v>-54.810551181102774</v>
          </cell>
          <cell r="F1008">
            <v>131.2130708661428</v>
          </cell>
          <cell r="G1008">
            <v>42.630393700787359</v>
          </cell>
          <cell r="H1008">
            <v>42.630393700787359</v>
          </cell>
          <cell r="I1008" t="e">
            <v>#N/A</v>
          </cell>
          <cell r="J1008" t="e">
            <v>#N/A</v>
          </cell>
          <cell r="K1008">
            <v>105</v>
          </cell>
          <cell r="L1008">
            <v>55</v>
          </cell>
          <cell r="M1008" t="e">
            <v>#N/A</v>
          </cell>
          <cell r="N1008">
            <v>90</v>
          </cell>
          <cell r="O1008" t="e">
            <v>#N/A</v>
          </cell>
          <cell r="P1008" t="str">
            <v/>
          </cell>
          <cell r="Q1008" t="str">
            <v/>
          </cell>
          <cell r="R1008">
            <v>90</v>
          </cell>
        </row>
        <row r="1009">
          <cell r="A1009" t="str">
            <v/>
          </cell>
          <cell r="B1009" t="str">
            <v/>
          </cell>
          <cell r="C1009" t="str">
            <v>Future</v>
          </cell>
          <cell r="D1009" t="e">
            <v>#N/A</v>
          </cell>
          <cell r="E1009">
            <v>-55.090196850394115</v>
          </cell>
          <cell r="F1009">
            <v>131.3468110236231</v>
          </cell>
          <cell r="G1009">
            <v>42.567283464566884</v>
          </cell>
          <cell r="H1009">
            <v>42.567283464566884</v>
          </cell>
          <cell r="I1009" t="e">
            <v>#N/A</v>
          </cell>
          <cell r="J1009" t="e">
            <v>#N/A</v>
          </cell>
          <cell r="K1009">
            <v>105</v>
          </cell>
          <cell r="L1009">
            <v>55</v>
          </cell>
          <cell r="M1009" t="e">
            <v>#N/A</v>
          </cell>
          <cell r="N1009">
            <v>90</v>
          </cell>
          <cell r="O1009" t="e">
            <v>#N/A</v>
          </cell>
          <cell r="P1009" t="str">
            <v/>
          </cell>
          <cell r="Q1009" t="str">
            <v/>
          </cell>
          <cell r="R1009">
            <v>90</v>
          </cell>
        </row>
        <row r="1010">
          <cell r="A1010" t="str">
            <v/>
          </cell>
          <cell r="B1010" t="str">
            <v/>
          </cell>
          <cell r="C1010" t="str">
            <v>Future</v>
          </cell>
          <cell r="D1010" t="e">
            <v>#N/A</v>
          </cell>
          <cell r="E1010">
            <v>-55.369842519685456</v>
          </cell>
          <cell r="F1010">
            <v>131.48055118110341</v>
          </cell>
          <cell r="G1010">
            <v>42.50417322834641</v>
          </cell>
          <cell r="H1010">
            <v>42.50417322834641</v>
          </cell>
          <cell r="I1010" t="e">
            <v>#N/A</v>
          </cell>
          <cell r="J1010" t="e">
            <v>#N/A</v>
          </cell>
          <cell r="K1010">
            <v>105</v>
          </cell>
          <cell r="L1010">
            <v>55</v>
          </cell>
          <cell r="M1010" t="e">
            <v>#N/A</v>
          </cell>
          <cell r="N1010">
            <v>90</v>
          </cell>
          <cell r="O1010" t="e">
            <v>#N/A</v>
          </cell>
          <cell r="P1010" t="str">
            <v/>
          </cell>
          <cell r="Q1010" t="str">
            <v/>
          </cell>
          <cell r="R1010">
            <v>90</v>
          </cell>
        </row>
        <row r="1011">
          <cell r="A1011" t="str">
            <v/>
          </cell>
          <cell r="B1011" t="str">
            <v/>
          </cell>
          <cell r="C1011" t="str">
            <v>Future</v>
          </cell>
          <cell r="D1011" t="e">
            <v>#N/A</v>
          </cell>
          <cell r="E1011">
            <v>-55.649488188976797</v>
          </cell>
          <cell r="F1011">
            <v>131.61429133858371</v>
          </cell>
          <cell r="G1011">
            <v>42.441062992125936</v>
          </cell>
          <cell r="H1011">
            <v>42.441062992125936</v>
          </cell>
          <cell r="I1011" t="e">
            <v>#N/A</v>
          </cell>
          <cell r="J1011" t="e">
            <v>#N/A</v>
          </cell>
          <cell r="K1011">
            <v>105</v>
          </cell>
          <cell r="L1011">
            <v>55</v>
          </cell>
          <cell r="M1011" t="e">
            <v>#N/A</v>
          </cell>
          <cell r="N1011">
            <v>90</v>
          </cell>
          <cell r="O1011" t="e">
            <v>#N/A</v>
          </cell>
          <cell r="P1011" t="str">
            <v/>
          </cell>
          <cell r="Q1011" t="str">
            <v/>
          </cell>
          <cell r="R1011">
            <v>90</v>
          </cell>
        </row>
        <row r="1012">
          <cell r="A1012" t="str">
            <v/>
          </cell>
          <cell r="B1012" t="str">
            <v/>
          </cell>
          <cell r="C1012" t="str">
            <v>Future</v>
          </cell>
          <cell r="D1012" t="e">
            <v>#N/A</v>
          </cell>
          <cell r="E1012">
            <v>-55.929133858268138</v>
          </cell>
          <cell r="F1012">
            <v>131.74803149606402</v>
          </cell>
          <cell r="G1012">
            <v>42.377952755905461</v>
          </cell>
          <cell r="H1012">
            <v>42.377952755905461</v>
          </cell>
          <cell r="I1012" t="e">
            <v>#N/A</v>
          </cell>
          <cell r="J1012" t="e">
            <v>#N/A</v>
          </cell>
          <cell r="K1012">
            <v>105</v>
          </cell>
          <cell r="L1012">
            <v>55</v>
          </cell>
          <cell r="M1012" t="e">
            <v>#N/A</v>
          </cell>
          <cell r="N1012">
            <v>90</v>
          </cell>
          <cell r="O1012" t="e">
            <v>#N/A</v>
          </cell>
          <cell r="P1012" t="str">
            <v/>
          </cell>
          <cell r="Q1012" t="str">
            <v/>
          </cell>
          <cell r="R1012">
            <v>90</v>
          </cell>
        </row>
        <row r="1013">
          <cell r="A1013" t="str">
            <v/>
          </cell>
          <cell r="B1013" t="str">
            <v/>
          </cell>
          <cell r="C1013" t="str">
            <v>Future</v>
          </cell>
          <cell r="D1013" t="e">
            <v>#N/A</v>
          </cell>
          <cell r="E1013">
            <v>-56.208779527559479</v>
          </cell>
          <cell r="F1013">
            <v>131.88177165354432</v>
          </cell>
          <cell r="G1013">
            <v>42.314842519684987</v>
          </cell>
          <cell r="H1013">
            <v>42.314842519684987</v>
          </cell>
          <cell r="I1013" t="e">
            <v>#N/A</v>
          </cell>
          <cell r="J1013" t="e">
            <v>#N/A</v>
          </cell>
          <cell r="K1013">
            <v>105</v>
          </cell>
          <cell r="L1013">
            <v>55</v>
          </cell>
          <cell r="M1013" t="e">
            <v>#N/A</v>
          </cell>
          <cell r="N1013">
            <v>90</v>
          </cell>
          <cell r="O1013" t="e">
            <v>#N/A</v>
          </cell>
          <cell r="P1013" t="str">
            <v/>
          </cell>
          <cell r="Q1013" t="str">
            <v/>
          </cell>
          <cell r="R1013">
            <v>90</v>
          </cell>
        </row>
        <row r="1014">
          <cell r="A1014" t="str">
            <v/>
          </cell>
          <cell r="B1014" t="str">
            <v/>
          </cell>
          <cell r="C1014" t="str">
            <v>Future</v>
          </cell>
          <cell r="D1014" t="e">
            <v>#N/A</v>
          </cell>
          <cell r="E1014">
            <v>-56.48842519685082</v>
          </cell>
          <cell r="F1014">
            <v>132.01551181102462</v>
          </cell>
          <cell r="G1014">
            <v>42.251732283464513</v>
          </cell>
          <cell r="H1014">
            <v>42.251732283464513</v>
          </cell>
          <cell r="I1014" t="e">
            <v>#N/A</v>
          </cell>
          <cell r="J1014" t="e">
            <v>#N/A</v>
          </cell>
          <cell r="K1014">
            <v>105</v>
          </cell>
          <cell r="L1014">
            <v>55</v>
          </cell>
          <cell r="M1014" t="e">
            <v>#N/A</v>
          </cell>
          <cell r="N1014">
            <v>90</v>
          </cell>
          <cell r="O1014" t="e">
            <v>#N/A</v>
          </cell>
          <cell r="P1014" t="str">
            <v/>
          </cell>
          <cell r="Q1014" t="str">
            <v/>
          </cell>
          <cell r="R1014">
            <v>90</v>
          </cell>
        </row>
        <row r="1015">
          <cell r="A1015" t="str">
            <v/>
          </cell>
          <cell r="B1015" t="str">
            <v/>
          </cell>
          <cell r="C1015" t="str">
            <v>Future</v>
          </cell>
          <cell r="D1015" t="e">
            <v>#N/A</v>
          </cell>
          <cell r="E1015">
            <v>-56.76807086614216</v>
          </cell>
          <cell r="F1015">
            <v>132.14925196850493</v>
          </cell>
          <cell r="G1015">
            <v>42.188622047244039</v>
          </cell>
          <cell r="H1015">
            <v>42.188622047244039</v>
          </cell>
          <cell r="I1015" t="e">
            <v>#N/A</v>
          </cell>
          <cell r="J1015" t="e">
            <v>#N/A</v>
          </cell>
          <cell r="K1015">
            <v>105</v>
          </cell>
          <cell r="L1015">
            <v>55</v>
          </cell>
          <cell r="M1015" t="e">
            <v>#N/A</v>
          </cell>
          <cell r="N1015">
            <v>90</v>
          </cell>
          <cell r="O1015" t="e">
            <v>#N/A</v>
          </cell>
          <cell r="P1015" t="str">
            <v/>
          </cell>
          <cell r="Q1015" t="str">
            <v/>
          </cell>
          <cell r="R1015">
            <v>90</v>
          </cell>
        </row>
        <row r="1016">
          <cell r="A1016" t="str">
            <v/>
          </cell>
          <cell r="B1016" t="str">
            <v/>
          </cell>
          <cell r="C1016" t="str">
            <v>Future</v>
          </cell>
          <cell r="D1016" t="e">
            <v>#N/A</v>
          </cell>
          <cell r="E1016">
            <v>-57.047716535433501</v>
          </cell>
          <cell r="F1016">
            <v>132.28299212598523</v>
          </cell>
          <cell r="G1016">
            <v>42.125511811023564</v>
          </cell>
          <cell r="H1016">
            <v>42.125511811023564</v>
          </cell>
          <cell r="I1016" t="e">
            <v>#N/A</v>
          </cell>
          <cell r="J1016" t="e">
            <v>#N/A</v>
          </cell>
          <cell r="K1016">
            <v>105</v>
          </cell>
          <cell r="L1016">
            <v>55</v>
          </cell>
          <cell r="M1016" t="e">
            <v>#N/A</v>
          </cell>
          <cell r="N1016">
            <v>90</v>
          </cell>
          <cell r="O1016" t="e">
            <v>#N/A</v>
          </cell>
          <cell r="P1016" t="str">
            <v/>
          </cell>
          <cell r="Q1016" t="str">
            <v/>
          </cell>
          <cell r="R1016">
            <v>90</v>
          </cell>
        </row>
        <row r="1017">
          <cell r="A1017" t="str">
            <v/>
          </cell>
          <cell r="B1017" t="str">
            <v/>
          </cell>
          <cell r="C1017" t="str">
            <v>Future</v>
          </cell>
          <cell r="D1017" t="e">
            <v>#N/A</v>
          </cell>
          <cell r="E1017">
            <v>-57.327362204724842</v>
          </cell>
          <cell r="F1017">
            <v>132.41673228346554</v>
          </cell>
          <cell r="G1017">
            <v>42.06240157480309</v>
          </cell>
          <cell r="H1017">
            <v>42.06240157480309</v>
          </cell>
          <cell r="I1017" t="e">
            <v>#N/A</v>
          </cell>
          <cell r="J1017" t="e">
            <v>#N/A</v>
          </cell>
          <cell r="K1017">
            <v>105</v>
          </cell>
          <cell r="L1017">
            <v>55</v>
          </cell>
          <cell r="M1017" t="e">
            <v>#N/A</v>
          </cell>
          <cell r="N1017">
            <v>90</v>
          </cell>
          <cell r="O1017" t="e">
            <v>#N/A</v>
          </cell>
          <cell r="P1017" t="str">
            <v/>
          </cell>
          <cell r="Q1017" t="str">
            <v/>
          </cell>
          <cell r="R1017">
            <v>90</v>
          </cell>
        </row>
        <row r="1018">
          <cell r="A1018" t="str">
            <v/>
          </cell>
          <cell r="B1018" t="str">
            <v/>
          </cell>
          <cell r="C1018" t="str">
            <v>Future</v>
          </cell>
          <cell r="D1018" t="e">
            <v>#N/A</v>
          </cell>
          <cell r="E1018">
            <v>-57.607007874016183</v>
          </cell>
          <cell r="F1018">
            <v>132.55047244094584</v>
          </cell>
          <cell r="G1018">
            <v>41.999291338582616</v>
          </cell>
          <cell r="H1018">
            <v>41.999291338582616</v>
          </cell>
          <cell r="I1018" t="e">
            <v>#N/A</v>
          </cell>
          <cell r="J1018" t="e">
            <v>#N/A</v>
          </cell>
          <cell r="K1018">
            <v>105</v>
          </cell>
          <cell r="L1018">
            <v>55</v>
          </cell>
          <cell r="M1018" t="e">
            <v>#N/A</v>
          </cell>
          <cell r="N1018">
            <v>90</v>
          </cell>
          <cell r="O1018" t="e">
            <v>#N/A</v>
          </cell>
          <cell r="P1018" t="str">
            <v/>
          </cell>
          <cell r="Q1018" t="str">
            <v/>
          </cell>
          <cell r="R1018">
            <v>90</v>
          </cell>
        </row>
        <row r="1019">
          <cell r="A1019" t="str">
            <v/>
          </cell>
          <cell r="B1019" t="str">
            <v/>
          </cell>
          <cell r="C1019" t="str">
            <v>Future</v>
          </cell>
          <cell r="D1019" t="e">
            <v>#N/A</v>
          </cell>
          <cell r="E1019">
            <v>-57.886653543307524</v>
          </cell>
          <cell r="F1019">
            <v>132.68421259842614</v>
          </cell>
          <cell r="G1019">
            <v>41.936181102362141</v>
          </cell>
          <cell r="H1019">
            <v>41.936181102362141</v>
          </cell>
          <cell r="I1019" t="e">
            <v>#N/A</v>
          </cell>
          <cell r="J1019" t="e">
            <v>#N/A</v>
          </cell>
          <cell r="K1019">
            <v>105</v>
          </cell>
          <cell r="L1019">
            <v>55</v>
          </cell>
          <cell r="M1019" t="e">
            <v>#N/A</v>
          </cell>
          <cell r="N1019">
            <v>90</v>
          </cell>
          <cell r="O1019" t="e">
            <v>#N/A</v>
          </cell>
          <cell r="P1019" t="str">
            <v/>
          </cell>
          <cell r="Q1019" t="str">
            <v/>
          </cell>
          <cell r="R1019">
            <v>90</v>
          </cell>
        </row>
        <row r="1020">
          <cell r="A1020" t="str">
            <v/>
          </cell>
          <cell r="B1020" t="str">
            <v/>
          </cell>
          <cell r="C1020" t="str">
            <v>Future</v>
          </cell>
          <cell r="D1020" t="e">
            <v>#N/A</v>
          </cell>
          <cell r="E1020">
            <v>-58.166299212598865</v>
          </cell>
          <cell r="F1020">
            <v>132.81795275590645</v>
          </cell>
          <cell r="G1020">
            <v>41.873070866141667</v>
          </cell>
          <cell r="H1020">
            <v>41.873070866141667</v>
          </cell>
          <cell r="I1020" t="e">
            <v>#N/A</v>
          </cell>
          <cell r="J1020" t="e">
            <v>#N/A</v>
          </cell>
          <cell r="K1020">
            <v>105</v>
          </cell>
          <cell r="L1020">
            <v>55</v>
          </cell>
          <cell r="M1020" t="e">
            <v>#N/A</v>
          </cell>
          <cell r="N1020">
            <v>90</v>
          </cell>
          <cell r="O1020" t="e">
            <v>#N/A</v>
          </cell>
          <cell r="P1020" t="str">
            <v/>
          </cell>
          <cell r="Q1020" t="str">
            <v/>
          </cell>
          <cell r="R1020">
            <v>90</v>
          </cell>
        </row>
        <row r="1021">
          <cell r="A1021" t="str">
            <v/>
          </cell>
          <cell r="B1021" t="str">
            <v/>
          </cell>
          <cell r="C1021" t="str">
            <v>Future</v>
          </cell>
          <cell r="D1021" t="e">
            <v>#N/A</v>
          </cell>
          <cell r="E1021">
            <v>-58.445944881890206</v>
          </cell>
          <cell r="F1021">
            <v>132.95169291338675</v>
          </cell>
          <cell r="G1021">
            <v>41.809960629921193</v>
          </cell>
          <cell r="H1021">
            <v>41.809960629921193</v>
          </cell>
          <cell r="I1021" t="e">
            <v>#N/A</v>
          </cell>
          <cell r="J1021" t="e">
            <v>#N/A</v>
          </cell>
          <cell r="K1021">
            <v>105</v>
          </cell>
          <cell r="L1021">
            <v>55</v>
          </cell>
          <cell r="M1021" t="e">
            <v>#N/A</v>
          </cell>
          <cell r="N1021">
            <v>90</v>
          </cell>
          <cell r="O1021" t="e">
            <v>#N/A</v>
          </cell>
          <cell r="P1021" t="str">
            <v/>
          </cell>
          <cell r="Q1021" t="str">
            <v/>
          </cell>
          <cell r="R1021">
            <v>90</v>
          </cell>
        </row>
        <row r="1022">
          <cell r="A1022" t="str">
            <v/>
          </cell>
          <cell r="B1022" t="str">
            <v/>
          </cell>
          <cell r="C1022" t="str">
            <v>Future</v>
          </cell>
          <cell r="D1022" t="e">
            <v>#N/A</v>
          </cell>
          <cell r="E1022">
            <v>-58.725590551181547</v>
          </cell>
          <cell r="F1022">
            <v>133.08543307086705</v>
          </cell>
          <cell r="G1022">
            <v>41.746850393700718</v>
          </cell>
          <cell r="H1022">
            <v>41.746850393700718</v>
          </cell>
          <cell r="I1022" t="e">
            <v>#N/A</v>
          </cell>
          <cell r="J1022" t="e">
            <v>#N/A</v>
          </cell>
          <cell r="K1022">
            <v>105</v>
          </cell>
          <cell r="L1022">
            <v>55</v>
          </cell>
          <cell r="M1022" t="e">
            <v>#N/A</v>
          </cell>
          <cell r="N1022">
            <v>90</v>
          </cell>
          <cell r="O1022" t="e">
            <v>#N/A</v>
          </cell>
          <cell r="P1022" t="str">
            <v/>
          </cell>
          <cell r="Q1022" t="str">
            <v/>
          </cell>
          <cell r="R1022">
            <v>90</v>
          </cell>
        </row>
        <row r="1023">
          <cell r="A1023" t="str">
            <v/>
          </cell>
          <cell r="B1023" t="str">
            <v/>
          </cell>
          <cell r="C1023" t="str">
            <v>Future</v>
          </cell>
          <cell r="D1023" t="e">
            <v>#N/A</v>
          </cell>
          <cell r="E1023">
            <v>-59.005236220472888</v>
          </cell>
          <cell r="F1023">
            <v>133.21917322834736</v>
          </cell>
          <cell r="G1023">
            <v>41.683740157480244</v>
          </cell>
          <cell r="H1023">
            <v>41.683740157480244</v>
          </cell>
          <cell r="I1023" t="e">
            <v>#N/A</v>
          </cell>
          <cell r="J1023" t="e">
            <v>#N/A</v>
          </cell>
          <cell r="K1023">
            <v>105</v>
          </cell>
          <cell r="L1023">
            <v>55</v>
          </cell>
          <cell r="M1023" t="e">
            <v>#N/A</v>
          </cell>
          <cell r="N1023">
            <v>90</v>
          </cell>
          <cell r="O1023" t="e">
            <v>#N/A</v>
          </cell>
          <cell r="P1023" t="str">
            <v/>
          </cell>
          <cell r="Q1023" t="str">
            <v/>
          </cell>
          <cell r="R1023">
            <v>90</v>
          </cell>
        </row>
        <row r="1024">
          <cell r="A1024" t="str">
            <v/>
          </cell>
          <cell r="B1024" t="str">
            <v/>
          </cell>
          <cell r="C1024" t="str">
            <v>Future</v>
          </cell>
          <cell r="D1024" t="e">
            <v>#N/A</v>
          </cell>
          <cell r="E1024">
            <v>-59.284881889764229</v>
          </cell>
          <cell r="F1024">
            <v>133.35291338582766</v>
          </cell>
          <cell r="G1024">
            <v>41.62062992125977</v>
          </cell>
          <cell r="H1024">
            <v>41.62062992125977</v>
          </cell>
          <cell r="I1024" t="e">
            <v>#N/A</v>
          </cell>
          <cell r="J1024" t="e">
            <v>#N/A</v>
          </cell>
          <cell r="K1024">
            <v>105</v>
          </cell>
          <cell r="L1024">
            <v>55</v>
          </cell>
          <cell r="M1024" t="e">
            <v>#N/A</v>
          </cell>
          <cell r="N1024">
            <v>90</v>
          </cell>
          <cell r="O1024" t="e">
            <v>#N/A</v>
          </cell>
          <cell r="P1024" t="str">
            <v/>
          </cell>
          <cell r="Q1024" t="str">
            <v/>
          </cell>
          <cell r="R1024">
            <v>90</v>
          </cell>
        </row>
        <row r="1025">
          <cell r="A1025" t="str">
            <v/>
          </cell>
          <cell r="B1025" t="str">
            <v/>
          </cell>
          <cell r="C1025" t="str">
            <v>Future</v>
          </cell>
          <cell r="D1025" t="e">
            <v>#N/A</v>
          </cell>
          <cell r="E1025">
            <v>-59.56452755905557</v>
          </cell>
          <cell r="F1025">
            <v>133.48665354330797</v>
          </cell>
          <cell r="G1025">
            <v>41.557519685039296</v>
          </cell>
          <cell r="H1025">
            <v>41.557519685039296</v>
          </cell>
          <cell r="I1025" t="e">
            <v>#N/A</v>
          </cell>
          <cell r="J1025" t="e">
            <v>#N/A</v>
          </cell>
          <cell r="K1025">
            <v>105</v>
          </cell>
          <cell r="L1025">
            <v>55</v>
          </cell>
          <cell r="M1025" t="e">
            <v>#N/A</v>
          </cell>
          <cell r="N1025">
            <v>90</v>
          </cell>
          <cell r="O1025" t="e">
            <v>#N/A</v>
          </cell>
          <cell r="P1025" t="str">
            <v/>
          </cell>
          <cell r="Q1025" t="str">
            <v/>
          </cell>
          <cell r="R1025">
            <v>90</v>
          </cell>
        </row>
        <row r="1026">
          <cell r="A1026" t="str">
            <v/>
          </cell>
          <cell r="B1026" t="str">
            <v/>
          </cell>
          <cell r="C1026" t="str">
            <v>Future</v>
          </cell>
          <cell r="D1026" t="e">
            <v>#N/A</v>
          </cell>
          <cell r="E1026">
            <v>-59.844173228346911</v>
          </cell>
          <cell r="F1026">
            <v>133.62039370078827</v>
          </cell>
          <cell r="G1026">
            <v>41.494409448818821</v>
          </cell>
          <cell r="H1026">
            <v>41.494409448818821</v>
          </cell>
          <cell r="I1026" t="e">
            <v>#N/A</v>
          </cell>
          <cell r="J1026" t="e">
            <v>#N/A</v>
          </cell>
          <cell r="K1026">
            <v>105</v>
          </cell>
          <cell r="L1026">
            <v>55</v>
          </cell>
          <cell r="M1026" t="e">
            <v>#N/A</v>
          </cell>
          <cell r="N1026">
            <v>90</v>
          </cell>
          <cell r="O1026" t="e">
            <v>#N/A</v>
          </cell>
          <cell r="P1026" t="str">
            <v/>
          </cell>
          <cell r="Q1026" t="str">
            <v/>
          </cell>
          <cell r="R1026">
            <v>90</v>
          </cell>
        </row>
        <row r="1027">
          <cell r="A1027" t="str">
            <v/>
          </cell>
          <cell r="B1027" t="str">
            <v/>
          </cell>
          <cell r="C1027" t="str">
            <v>Future</v>
          </cell>
          <cell r="D1027" t="e">
            <v>#N/A</v>
          </cell>
          <cell r="E1027">
            <v>-60.123818897638252</v>
          </cell>
          <cell r="F1027">
            <v>133.75413385826857</v>
          </cell>
          <cell r="G1027">
            <v>41.431299212598347</v>
          </cell>
          <cell r="H1027">
            <v>41.431299212598347</v>
          </cell>
          <cell r="I1027" t="e">
            <v>#N/A</v>
          </cell>
          <cell r="J1027" t="e">
            <v>#N/A</v>
          </cell>
          <cell r="K1027">
            <v>105</v>
          </cell>
          <cell r="L1027">
            <v>55</v>
          </cell>
          <cell r="M1027" t="e">
            <v>#N/A</v>
          </cell>
          <cell r="N1027">
            <v>90</v>
          </cell>
          <cell r="O1027" t="e">
            <v>#N/A</v>
          </cell>
          <cell r="P1027" t="str">
            <v/>
          </cell>
          <cell r="Q1027" t="str">
            <v/>
          </cell>
          <cell r="R1027">
            <v>90</v>
          </cell>
        </row>
        <row r="1028">
          <cell r="A1028" t="str">
            <v/>
          </cell>
          <cell r="B1028" t="str">
            <v/>
          </cell>
          <cell r="C1028" t="str">
            <v>Future</v>
          </cell>
          <cell r="D1028" t="e">
            <v>#N/A</v>
          </cell>
          <cell r="E1028">
            <v>-60.403464566929593</v>
          </cell>
          <cell r="F1028">
            <v>133.88787401574888</v>
          </cell>
          <cell r="G1028">
            <v>41.368188976377873</v>
          </cell>
          <cell r="H1028">
            <v>41.368188976377873</v>
          </cell>
          <cell r="I1028" t="e">
            <v>#N/A</v>
          </cell>
          <cell r="J1028" t="e">
            <v>#N/A</v>
          </cell>
          <cell r="K1028">
            <v>105</v>
          </cell>
          <cell r="L1028">
            <v>55</v>
          </cell>
          <cell r="M1028" t="e">
            <v>#N/A</v>
          </cell>
          <cell r="N1028">
            <v>90</v>
          </cell>
          <cell r="O1028" t="e">
            <v>#N/A</v>
          </cell>
          <cell r="P1028" t="str">
            <v/>
          </cell>
          <cell r="Q1028" t="str">
            <v/>
          </cell>
          <cell r="R1028">
            <v>90</v>
          </cell>
        </row>
        <row r="1029">
          <cell r="A1029" t="str">
            <v/>
          </cell>
          <cell r="B1029" t="str">
            <v/>
          </cell>
          <cell r="C1029" t="str">
            <v>Future</v>
          </cell>
          <cell r="D1029" t="e">
            <v>#N/A</v>
          </cell>
          <cell r="E1029">
            <v>-60.683110236220934</v>
          </cell>
          <cell r="F1029">
            <v>134.02161417322918</v>
          </cell>
          <cell r="G1029">
            <v>41.305078740157398</v>
          </cell>
          <cell r="H1029">
            <v>41.305078740157398</v>
          </cell>
          <cell r="I1029" t="e">
            <v>#N/A</v>
          </cell>
          <cell r="J1029" t="e">
            <v>#N/A</v>
          </cell>
          <cell r="K1029">
            <v>105</v>
          </cell>
          <cell r="L1029">
            <v>55</v>
          </cell>
          <cell r="M1029" t="e">
            <v>#N/A</v>
          </cell>
          <cell r="N1029">
            <v>90</v>
          </cell>
          <cell r="O1029" t="e">
            <v>#N/A</v>
          </cell>
          <cell r="P1029" t="str">
            <v/>
          </cell>
          <cell r="Q1029" t="str">
            <v/>
          </cell>
          <cell r="R1029">
            <v>90</v>
          </cell>
        </row>
        <row r="1030">
          <cell r="A1030" t="str">
            <v/>
          </cell>
          <cell r="B1030" t="str">
            <v/>
          </cell>
          <cell r="C1030" t="str">
            <v>Future</v>
          </cell>
          <cell r="D1030" t="e">
            <v>#N/A</v>
          </cell>
          <cell r="E1030">
            <v>-60.962755905512275</v>
          </cell>
          <cell r="F1030">
            <v>134.15535433070949</v>
          </cell>
          <cell r="G1030">
            <v>41.241968503936924</v>
          </cell>
          <cell r="H1030">
            <v>41.241968503936924</v>
          </cell>
          <cell r="I1030" t="e">
            <v>#N/A</v>
          </cell>
          <cell r="J1030" t="e">
            <v>#N/A</v>
          </cell>
          <cell r="K1030">
            <v>105</v>
          </cell>
          <cell r="L1030">
            <v>55</v>
          </cell>
          <cell r="M1030" t="e">
            <v>#N/A</v>
          </cell>
          <cell r="N1030">
            <v>90</v>
          </cell>
          <cell r="O1030" t="e">
            <v>#N/A</v>
          </cell>
          <cell r="P1030" t="str">
            <v/>
          </cell>
          <cell r="Q1030" t="str">
            <v/>
          </cell>
          <cell r="R1030">
            <v>90</v>
          </cell>
        </row>
        <row r="1031">
          <cell r="A1031" t="str">
            <v/>
          </cell>
          <cell r="B1031" t="str">
            <v/>
          </cell>
          <cell r="C1031" t="str">
            <v>Future</v>
          </cell>
          <cell r="D1031" t="e">
            <v>#N/A</v>
          </cell>
          <cell r="E1031">
            <v>-61.242401574803615</v>
          </cell>
          <cell r="F1031">
            <v>134.28909448818979</v>
          </cell>
          <cell r="G1031">
            <v>41.17885826771645</v>
          </cell>
          <cell r="H1031">
            <v>41.17885826771645</v>
          </cell>
          <cell r="I1031" t="e">
            <v>#N/A</v>
          </cell>
          <cell r="J1031" t="e">
            <v>#N/A</v>
          </cell>
          <cell r="K1031">
            <v>105</v>
          </cell>
          <cell r="L1031">
            <v>55</v>
          </cell>
          <cell r="M1031" t="e">
            <v>#N/A</v>
          </cell>
          <cell r="N1031">
            <v>90</v>
          </cell>
          <cell r="O1031" t="e">
            <v>#N/A</v>
          </cell>
          <cell r="P1031" t="str">
            <v/>
          </cell>
          <cell r="Q1031" t="str">
            <v/>
          </cell>
          <cell r="R1031">
            <v>90</v>
          </cell>
        </row>
        <row r="1032">
          <cell r="A1032" t="str">
            <v/>
          </cell>
          <cell r="B1032" t="str">
            <v/>
          </cell>
          <cell r="C1032" t="str">
            <v>Future</v>
          </cell>
          <cell r="D1032" t="e">
            <v>#N/A</v>
          </cell>
          <cell r="E1032">
            <v>-61.522047244094956</v>
          </cell>
          <cell r="F1032">
            <v>134.42283464567009</v>
          </cell>
          <cell r="G1032">
            <v>41.115748031495976</v>
          </cell>
          <cell r="H1032">
            <v>41.115748031495976</v>
          </cell>
          <cell r="I1032" t="e">
            <v>#N/A</v>
          </cell>
          <cell r="J1032" t="e">
            <v>#N/A</v>
          </cell>
          <cell r="K1032">
            <v>105</v>
          </cell>
          <cell r="L1032">
            <v>55</v>
          </cell>
          <cell r="M1032" t="e">
            <v>#N/A</v>
          </cell>
          <cell r="N1032">
            <v>90</v>
          </cell>
          <cell r="O1032" t="e">
            <v>#N/A</v>
          </cell>
          <cell r="P1032" t="str">
            <v/>
          </cell>
          <cell r="Q1032" t="str">
            <v/>
          </cell>
          <cell r="R1032">
            <v>90</v>
          </cell>
        </row>
        <row r="1033">
          <cell r="A1033" t="str">
            <v/>
          </cell>
          <cell r="B1033" t="str">
            <v/>
          </cell>
          <cell r="C1033" t="str">
            <v>Future</v>
          </cell>
          <cell r="D1033" t="e">
            <v>#N/A</v>
          </cell>
          <cell r="E1033">
            <v>-61.801692913386297</v>
          </cell>
          <cell r="F1033">
            <v>134.5565748031504</v>
          </cell>
          <cell r="G1033">
            <v>41.052637795275501</v>
          </cell>
          <cell r="H1033">
            <v>41.052637795275501</v>
          </cell>
          <cell r="I1033" t="e">
            <v>#N/A</v>
          </cell>
          <cell r="J1033" t="e">
            <v>#N/A</v>
          </cell>
          <cell r="K1033">
            <v>105</v>
          </cell>
          <cell r="L1033">
            <v>55</v>
          </cell>
          <cell r="M1033" t="e">
            <v>#N/A</v>
          </cell>
          <cell r="N1033">
            <v>90</v>
          </cell>
          <cell r="O1033" t="e">
            <v>#N/A</v>
          </cell>
          <cell r="P1033" t="str">
            <v/>
          </cell>
          <cell r="Q1033" t="str">
            <v/>
          </cell>
          <cell r="R1033">
            <v>90</v>
          </cell>
        </row>
        <row r="1034">
          <cell r="A1034" t="str">
            <v/>
          </cell>
          <cell r="B1034" t="str">
            <v/>
          </cell>
          <cell r="C1034" t="str">
            <v>Future</v>
          </cell>
          <cell r="D1034" t="e">
            <v>#N/A</v>
          </cell>
          <cell r="E1034">
            <v>-62.081338582677638</v>
          </cell>
          <cell r="F1034">
            <v>134.6903149606307</v>
          </cell>
          <cell r="G1034">
            <v>40.989527559055027</v>
          </cell>
          <cell r="H1034">
            <v>40.989527559055027</v>
          </cell>
          <cell r="I1034" t="e">
            <v>#N/A</v>
          </cell>
          <cell r="J1034" t="e">
            <v>#N/A</v>
          </cell>
          <cell r="K1034">
            <v>105</v>
          </cell>
          <cell r="L1034">
            <v>55</v>
          </cell>
          <cell r="M1034" t="e">
            <v>#N/A</v>
          </cell>
          <cell r="N1034">
            <v>90</v>
          </cell>
          <cell r="O1034" t="e">
            <v>#N/A</v>
          </cell>
          <cell r="P1034" t="str">
            <v/>
          </cell>
          <cell r="Q1034" t="str">
            <v/>
          </cell>
          <cell r="R1034">
            <v>90</v>
          </cell>
        </row>
        <row r="1035">
          <cell r="A1035" t="str">
            <v/>
          </cell>
          <cell r="B1035" t="str">
            <v/>
          </cell>
          <cell r="C1035" t="str">
            <v>Future</v>
          </cell>
          <cell r="D1035" t="e">
            <v>#N/A</v>
          </cell>
          <cell r="E1035">
            <v>-62.360984251968979</v>
          </cell>
          <cell r="F1035">
            <v>134.824055118111</v>
          </cell>
          <cell r="G1035">
            <v>40.926417322834553</v>
          </cell>
          <cell r="H1035">
            <v>40.926417322834553</v>
          </cell>
          <cell r="I1035" t="e">
            <v>#N/A</v>
          </cell>
          <cell r="J1035" t="e">
            <v>#N/A</v>
          </cell>
          <cell r="K1035">
            <v>105</v>
          </cell>
          <cell r="L1035">
            <v>55</v>
          </cell>
          <cell r="M1035" t="e">
            <v>#N/A</v>
          </cell>
          <cell r="N1035">
            <v>90</v>
          </cell>
          <cell r="O1035" t="e">
            <v>#N/A</v>
          </cell>
          <cell r="P1035" t="str">
            <v/>
          </cell>
          <cell r="Q1035" t="str">
            <v/>
          </cell>
          <cell r="R1035">
            <v>90</v>
          </cell>
        </row>
        <row r="1036">
          <cell r="A1036" t="str">
            <v/>
          </cell>
          <cell r="B1036" t="str">
            <v/>
          </cell>
          <cell r="C1036" t="str">
            <v>Future</v>
          </cell>
          <cell r="D1036" t="e">
            <v>#N/A</v>
          </cell>
          <cell r="E1036">
            <v>-62.64062992126032</v>
          </cell>
          <cell r="F1036">
            <v>134.95779527559131</v>
          </cell>
          <cell r="G1036">
            <v>40.863307086614078</v>
          </cell>
          <cell r="H1036">
            <v>40.863307086614078</v>
          </cell>
          <cell r="I1036" t="e">
            <v>#N/A</v>
          </cell>
          <cell r="J1036" t="e">
            <v>#N/A</v>
          </cell>
          <cell r="K1036">
            <v>105</v>
          </cell>
          <cell r="L1036">
            <v>55</v>
          </cell>
          <cell r="M1036" t="e">
            <v>#N/A</v>
          </cell>
          <cell r="N1036">
            <v>90</v>
          </cell>
          <cell r="O1036" t="e">
            <v>#N/A</v>
          </cell>
          <cell r="P1036" t="str">
            <v/>
          </cell>
          <cell r="Q1036" t="str">
            <v/>
          </cell>
          <cell r="R1036">
            <v>90</v>
          </cell>
        </row>
        <row r="1037">
          <cell r="A1037" t="str">
            <v/>
          </cell>
          <cell r="B1037" t="str">
            <v/>
          </cell>
          <cell r="C1037" t="str">
            <v>Future</v>
          </cell>
          <cell r="D1037" t="e">
            <v>#N/A</v>
          </cell>
          <cell r="E1037">
            <v>-62.920275590551661</v>
          </cell>
          <cell r="F1037">
            <v>135.09153543307161</v>
          </cell>
          <cell r="G1037">
            <v>40.800196850393604</v>
          </cell>
          <cell r="H1037">
            <v>40.800196850393604</v>
          </cell>
          <cell r="I1037" t="e">
            <v>#N/A</v>
          </cell>
          <cell r="J1037" t="e">
            <v>#N/A</v>
          </cell>
          <cell r="K1037">
            <v>105</v>
          </cell>
          <cell r="L1037">
            <v>55</v>
          </cell>
          <cell r="M1037" t="e">
            <v>#N/A</v>
          </cell>
          <cell r="N1037">
            <v>90</v>
          </cell>
          <cell r="O1037" t="e">
            <v>#N/A</v>
          </cell>
          <cell r="P1037" t="str">
            <v/>
          </cell>
          <cell r="Q1037" t="str">
            <v/>
          </cell>
          <cell r="R1037">
            <v>90</v>
          </cell>
        </row>
        <row r="1038">
          <cell r="A1038" t="str">
            <v/>
          </cell>
          <cell r="B1038" t="str">
            <v/>
          </cell>
          <cell r="C1038" t="str">
            <v>Future</v>
          </cell>
          <cell r="D1038" t="e">
            <v>#N/A</v>
          </cell>
          <cell r="E1038">
            <v>-63.199921259843002</v>
          </cell>
          <cell r="F1038">
            <v>135.22527559055192</v>
          </cell>
          <cell r="G1038">
            <v>40.73708661417313</v>
          </cell>
          <cell r="H1038">
            <v>40.73708661417313</v>
          </cell>
          <cell r="I1038" t="e">
            <v>#N/A</v>
          </cell>
          <cell r="J1038" t="e">
            <v>#N/A</v>
          </cell>
          <cell r="K1038">
            <v>105</v>
          </cell>
          <cell r="L1038">
            <v>55</v>
          </cell>
          <cell r="M1038" t="e">
            <v>#N/A</v>
          </cell>
          <cell r="N1038">
            <v>90</v>
          </cell>
          <cell r="O1038" t="e">
            <v>#N/A</v>
          </cell>
          <cell r="P1038" t="str">
            <v/>
          </cell>
          <cell r="Q1038" t="str">
            <v/>
          </cell>
          <cell r="R1038">
            <v>90</v>
          </cell>
        </row>
        <row r="1039">
          <cell r="A1039" t="str">
            <v/>
          </cell>
          <cell r="B1039" t="str">
            <v/>
          </cell>
          <cell r="C1039" t="str">
            <v>Future</v>
          </cell>
          <cell r="D1039" t="e">
            <v>#N/A</v>
          </cell>
          <cell r="E1039">
            <v>-63.479566929134343</v>
          </cell>
          <cell r="F1039">
            <v>135.35901574803222</v>
          </cell>
          <cell r="G1039">
            <v>40.673976377952656</v>
          </cell>
          <cell r="H1039">
            <v>40.673976377952656</v>
          </cell>
          <cell r="I1039" t="e">
            <v>#N/A</v>
          </cell>
          <cell r="J1039" t="e">
            <v>#N/A</v>
          </cell>
          <cell r="K1039">
            <v>105</v>
          </cell>
          <cell r="L1039">
            <v>55</v>
          </cell>
          <cell r="M1039" t="e">
            <v>#N/A</v>
          </cell>
          <cell r="N1039">
            <v>90</v>
          </cell>
          <cell r="O1039" t="e">
            <v>#N/A</v>
          </cell>
          <cell r="P1039" t="str">
            <v/>
          </cell>
          <cell r="Q1039" t="str">
            <v/>
          </cell>
          <cell r="R1039">
            <v>90</v>
          </cell>
        </row>
        <row r="1040">
          <cell r="A1040" t="str">
            <v/>
          </cell>
          <cell r="B1040" t="str">
            <v/>
          </cell>
          <cell r="C1040" t="str">
            <v>Future</v>
          </cell>
          <cell r="D1040" t="e">
            <v>#N/A</v>
          </cell>
          <cell r="E1040">
            <v>-63.759212598425684</v>
          </cell>
          <cell r="F1040">
            <v>135.49275590551252</v>
          </cell>
          <cell r="G1040">
            <v>40.610866141732181</v>
          </cell>
          <cell r="H1040">
            <v>40.610866141732181</v>
          </cell>
          <cell r="I1040" t="e">
            <v>#N/A</v>
          </cell>
          <cell r="J1040" t="e">
            <v>#N/A</v>
          </cell>
          <cell r="K1040">
            <v>105</v>
          </cell>
          <cell r="L1040">
            <v>55</v>
          </cell>
          <cell r="M1040" t="e">
            <v>#N/A</v>
          </cell>
          <cell r="N1040">
            <v>90</v>
          </cell>
          <cell r="O1040" t="e">
            <v>#N/A</v>
          </cell>
          <cell r="P1040" t="str">
            <v/>
          </cell>
          <cell r="Q1040" t="str">
            <v/>
          </cell>
          <cell r="R1040">
            <v>90</v>
          </cell>
        </row>
        <row r="1041">
          <cell r="A1041" t="str">
            <v/>
          </cell>
          <cell r="B1041" t="str">
            <v/>
          </cell>
          <cell r="C1041" t="str">
            <v>Future</v>
          </cell>
          <cell r="D1041" t="e">
            <v>#N/A</v>
          </cell>
          <cell r="E1041">
            <v>-64.038858267717018</v>
          </cell>
          <cell r="F1041">
            <v>135.62649606299283</v>
          </cell>
          <cell r="G1041">
            <v>40.547755905511707</v>
          </cell>
          <cell r="H1041">
            <v>40.547755905511707</v>
          </cell>
          <cell r="I1041" t="e">
            <v>#N/A</v>
          </cell>
          <cell r="J1041" t="e">
            <v>#N/A</v>
          </cell>
          <cell r="K1041">
            <v>105</v>
          </cell>
          <cell r="L1041">
            <v>55</v>
          </cell>
          <cell r="M1041" t="e">
            <v>#N/A</v>
          </cell>
          <cell r="N1041">
            <v>90</v>
          </cell>
          <cell r="O1041" t="e">
            <v>#N/A</v>
          </cell>
          <cell r="P1041" t="str">
            <v/>
          </cell>
          <cell r="Q1041" t="str">
            <v/>
          </cell>
          <cell r="R1041">
            <v>90</v>
          </cell>
        </row>
        <row r="1042">
          <cell r="A1042" t="str">
            <v/>
          </cell>
          <cell r="B1042" t="str">
            <v/>
          </cell>
          <cell r="C1042" t="str">
            <v>Future</v>
          </cell>
          <cell r="D1042" t="e">
            <v>#N/A</v>
          </cell>
          <cell r="E1042">
            <v>-64.318503937008359</v>
          </cell>
          <cell r="F1042">
            <v>135.76023622047313</v>
          </cell>
          <cell r="G1042">
            <v>40.484645669291233</v>
          </cell>
          <cell r="H1042">
            <v>40.484645669291233</v>
          </cell>
          <cell r="I1042" t="e">
            <v>#N/A</v>
          </cell>
          <cell r="J1042" t="e">
            <v>#N/A</v>
          </cell>
          <cell r="K1042">
            <v>105</v>
          </cell>
          <cell r="L1042">
            <v>55</v>
          </cell>
          <cell r="M1042" t="e">
            <v>#N/A</v>
          </cell>
          <cell r="N1042">
            <v>90</v>
          </cell>
          <cell r="O1042" t="e">
            <v>#N/A</v>
          </cell>
          <cell r="P1042" t="str">
            <v/>
          </cell>
          <cell r="Q1042" t="str">
            <v/>
          </cell>
          <cell r="R1042">
            <v>90</v>
          </cell>
        </row>
        <row r="1043">
          <cell r="A1043" t="str">
            <v/>
          </cell>
          <cell r="B1043" t="str">
            <v/>
          </cell>
          <cell r="C1043" t="str">
            <v>Future</v>
          </cell>
          <cell r="D1043" t="e">
            <v>#N/A</v>
          </cell>
          <cell r="E1043">
            <v>-64.5981496062997</v>
          </cell>
          <cell r="F1043">
            <v>135.89397637795344</v>
          </cell>
          <cell r="G1043">
            <v>40.421535433070758</v>
          </cell>
          <cell r="H1043">
            <v>40.421535433070758</v>
          </cell>
          <cell r="I1043" t="e">
            <v>#N/A</v>
          </cell>
          <cell r="J1043" t="e">
            <v>#N/A</v>
          </cell>
          <cell r="K1043">
            <v>105</v>
          </cell>
          <cell r="L1043">
            <v>55</v>
          </cell>
          <cell r="M1043" t="e">
            <v>#N/A</v>
          </cell>
          <cell r="N1043">
            <v>90</v>
          </cell>
          <cell r="O1043" t="e">
            <v>#N/A</v>
          </cell>
          <cell r="P1043" t="str">
            <v/>
          </cell>
          <cell r="Q1043" t="str">
            <v/>
          </cell>
          <cell r="R1043">
            <v>90</v>
          </cell>
        </row>
        <row r="1044">
          <cell r="A1044" t="str">
            <v/>
          </cell>
          <cell r="B1044" t="str">
            <v/>
          </cell>
          <cell r="C1044" t="str">
            <v>Future</v>
          </cell>
          <cell r="D1044" t="e">
            <v>#N/A</v>
          </cell>
          <cell r="E1044">
            <v>-64.877795275591041</v>
          </cell>
          <cell r="F1044">
            <v>136.02771653543374</v>
          </cell>
          <cell r="G1044">
            <v>40.358425196850284</v>
          </cell>
          <cell r="H1044">
            <v>40.358425196850284</v>
          </cell>
          <cell r="I1044" t="e">
            <v>#N/A</v>
          </cell>
          <cell r="J1044" t="e">
            <v>#N/A</v>
          </cell>
          <cell r="K1044">
            <v>105</v>
          </cell>
          <cell r="L1044">
            <v>55</v>
          </cell>
          <cell r="M1044" t="e">
            <v>#N/A</v>
          </cell>
          <cell r="N1044">
            <v>90</v>
          </cell>
          <cell r="O1044" t="e">
            <v>#N/A</v>
          </cell>
          <cell r="P1044" t="str">
            <v/>
          </cell>
          <cell r="Q1044" t="str">
            <v/>
          </cell>
          <cell r="R1044">
            <v>90</v>
          </cell>
        </row>
        <row r="1045">
          <cell r="A1045" t="str">
            <v/>
          </cell>
          <cell r="B1045" t="str">
            <v/>
          </cell>
          <cell r="C1045" t="str">
            <v>Future</v>
          </cell>
          <cell r="D1045" t="e">
            <v>#N/A</v>
          </cell>
          <cell r="E1045">
            <v>-65.157440944882381</v>
          </cell>
          <cell r="F1045">
            <v>136.16145669291404</v>
          </cell>
          <cell r="G1045">
            <v>40.29531496062981</v>
          </cell>
          <cell r="H1045">
            <v>40.29531496062981</v>
          </cell>
          <cell r="I1045" t="e">
            <v>#N/A</v>
          </cell>
          <cell r="J1045" t="e">
            <v>#N/A</v>
          </cell>
          <cell r="K1045">
            <v>105</v>
          </cell>
          <cell r="L1045">
            <v>55</v>
          </cell>
          <cell r="M1045" t="e">
            <v>#N/A</v>
          </cell>
          <cell r="N1045">
            <v>90</v>
          </cell>
          <cell r="O1045" t="e">
            <v>#N/A</v>
          </cell>
          <cell r="P1045" t="str">
            <v/>
          </cell>
          <cell r="Q1045" t="str">
            <v/>
          </cell>
          <cell r="R1045">
            <v>90</v>
          </cell>
        </row>
        <row r="1046">
          <cell r="A1046" t="str">
            <v/>
          </cell>
          <cell r="B1046" t="str">
            <v/>
          </cell>
          <cell r="C1046" t="str">
            <v>Future</v>
          </cell>
          <cell r="D1046" t="e">
            <v>#N/A</v>
          </cell>
          <cell r="E1046">
            <v>-65.437086614173722</v>
          </cell>
          <cell r="F1046">
            <v>136.29519685039435</v>
          </cell>
          <cell r="G1046">
            <v>40.232204724409335</v>
          </cell>
          <cell r="H1046">
            <v>40.232204724409335</v>
          </cell>
          <cell r="I1046" t="e">
            <v>#N/A</v>
          </cell>
          <cell r="J1046" t="e">
            <v>#N/A</v>
          </cell>
          <cell r="K1046">
            <v>105</v>
          </cell>
          <cell r="L1046">
            <v>55</v>
          </cell>
          <cell r="M1046" t="e">
            <v>#N/A</v>
          </cell>
          <cell r="N1046">
            <v>90</v>
          </cell>
          <cell r="O1046" t="e">
            <v>#N/A</v>
          </cell>
          <cell r="P1046" t="str">
            <v/>
          </cell>
          <cell r="Q1046" t="str">
            <v/>
          </cell>
          <cell r="R1046">
            <v>90</v>
          </cell>
        </row>
        <row r="1047">
          <cell r="A1047" t="str">
            <v/>
          </cell>
          <cell r="B1047" t="str">
            <v/>
          </cell>
          <cell r="C1047" t="str">
            <v>Future</v>
          </cell>
          <cell r="D1047" t="e">
            <v>#N/A</v>
          </cell>
          <cell r="E1047">
            <v>-65.716732283465063</v>
          </cell>
          <cell r="F1047">
            <v>136.42893700787465</v>
          </cell>
          <cell r="G1047">
            <v>40.169094488188861</v>
          </cell>
          <cell r="H1047">
            <v>40.169094488188861</v>
          </cell>
          <cell r="I1047" t="e">
            <v>#N/A</v>
          </cell>
          <cell r="J1047" t="e">
            <v>#N/A</v>
          </cell>
          <cell r="K1047">
            <v>105</v>
          </cell>
          <cell r="L1047">
            <v>55</v>
          </cell>
          <cell r="M1047" t="e">
            <v>#N/A</v>
          </cell>
          <cell r="N1047">
            <v>90</v>
          </cell>
          <cell r="O1047" t="e">
            <v>#N/A</v>
          </cell>
          <cell r="P1047" t="str">
            <v/>
          </cell>
          <cell r="Q1047" t="str">
            <v/>
          </cell>
          <cell r="R1047">
            <v>90</v>
          </cell>
        </row>
        <row r="1048">
          <cell r="A1048" t="str">
            <v/>
          </cell>
          <cell r="B1048" t="str">
            <v/>
          </cell>
          <cell r="C1048" t="str">
            <v>Future</v>
          </cell>
          <cell r="D1048" t="e">
            <v>#N/A</v>
          </cell>
          <cell r="E1048">
            <v>-65.996377952756404</v>
          </cell>
          <cell r="F1048">
            <v>136.56267716535496</v>
          </cell>
          <cell r="G1048">
            <v>40.105984251968387</v>
          </cell>
          <cell r="H1048">
            <v>40.105984251968387</v>
          </cell>
          <cell r="I1048" t="e">
            <v>#N/A</v>
          </cell>
          <cell r="J1048" t="e">
            <v>#N/A</v>
          </cell>
          <cell r="K1048">
            <v>105</v>
          </cell>
          <cell r="L1048">
            <v>55</v>
          </cell>
          <cell r="M1048" t="e">
            <v>#N/A</v>
          </cell>
          <cell r="N1048">
            <v>90</v>
          </cell>
          <cell r="O1048" t="e">
            <v>#N/A</v>
          </cell>
          <cell r="P1048" t="str">
            <v/>
          </cell>
          <cell r="Q1048" t="str">
            <v/>
          </cell>
          <cell r="R1048">
            <v>90</v>
          </cell>
        </row>
        <row r="1049">
          <cell r="A1049" t="str">
            <v/>
          </cell>
          <cell r="B1049" t="str">
            <v/>
          </cell>
          <cell r="C1049" t="str">
            <v>Future</v>
          </cell>
          <cell r="D1049" t="e">
            <v>#N/A</v>
          </cell>
          <cell r="E1049">
            <v>-66.276023622047745</v>
          </cell>
          <cell r="F1049">
            <v>136.69641732283526</v>
          </cell>
          <cell r="G1049">
            <v>40.042874015747913</v>
          </cell>
          <cell r="H1049">
            <v>40.042874015747913</v>
          </cell>
          <cell r="I1049" t="e">
            <v>#N/A</v>
          </cell>
          <cell r="J1049" t="e">
            <v>#N/A</v>
          </cell>
          <cell r="K1049">
            <v>105</v>
          </cell>
          <cell r="L1049">
            <v>55</v>
          </cell>
          <cell r="M1049" t="e">
            <v>#N/A</v>
          </cell>
          <cell r="N1049">
            <v>90</v>
          </cell>
          <cell r="O1049" t="e">
            <v>#N/A</v>
          </cell>
          <cell r="P1049" t="str">
            <v/>
          </cell>
          <cell r="Q1049" t="str">
            <v/>
          </cell>
          <cell r="R1049">
            <v>90</v>
          </cell>
        </row>
        <row r="1050">
          <cell r="A1050" t="str">
            <v/>
          </cell>
          <cell r="B1050" t="str">
            <v/>
          </cell>
          <cell r="C1050" t="str">
            <v>Future</v>
          </cell>
          <cell r="D1050" t="e">
            <v>#N/A</v>
          </cell>
          <cell r="E1050">
            <v>-66.555669291339086</v>
          </cell>
          <cell r="F1050">
            <v>136.83015748031556</v>
          </cell>
          <cell r="G1050">
            <v>39.979763779527438</v>
          </cell>
          <cell r="H1050">
            <v>39.979763779527438</v>
          </cell>
          <cell r="I1050" t="e">
            <v>#N/A</v>
          </cell>
          <cell r="J1050" t="e">
            <v>#N/A</v>
          </cell>
          <cell r="K1050">
            <v>105</v>
          </cell>
          <cell r="L1050">
            <v>55</v>
          </cell>
          <cell r="M1050" t="e">
            <v>#N/A</v>
          </cell>
          <cell r="N1050">
            <v>90</v>
          </cell>
          <cell r="O1050" t="e">
            <v>#N/A</v>
          </cell>
          <cell r="P1050" t="str">
            <v/>
          </cell>
          <cell r="Q1050" t="str">
            <v/>
          </cell>
          <cell r="R1050">
            <v>90</v>
          </cell>
        </row>
        <row r="1051">
          <cell r="A1051" t="str">
            <v/>
          </cell>
          <cell r="B1051" t="str">
            <v/>
          </cell>
          <cell r="C1051" t="str">
            <v>Future</v>
          </cell>
          <cell r="D1051" t="e">
            <v>#N/A</v>
          </cell>
          <cell r="E1051">
            <v>-66.835314960630427</v>
          </cell>
          <cell r="F1051">
            <v>136.96389763779587</v>
          </cell>
          <cell r="G1051">
            <v>39.916653543306964</v>
          </cell>
          <cell r="H1051">
            <v>39.916653543306964</v>
          </cell>
          <cell r="I1051" t="e">
            <v>#N/A</v>
          </cell>
          <cell r="J1051" t="e">
            <v>#N/A</v>
          </cell>
          <cell r="K1051">
            <v>105</v>
          </cell>
          <cell r="L1051">
            <v>55</v>
          </cell>
          <cell r="M1051" t="e">
            <v>#N/A</v>
          </cell>
          <cell r="N1051">
            <v>90</v>
          </cell>
          <cell r="O1051" t="e">
            <v>#N/A</v>
          </cell>
          <cell r="P1051" t="str">
            <v/>
          </cell>
          <cell r="Q1051" t="str">
            <v/>
          </cell>
          <cell r="R1051">
            <v>90</v>
          </cell>
        </row>
        <row r="1052">
          <cell r="A1052" t="str">
            <v/>
          </cell>
          <cell r="B1052" t="str">
            <v/>
          </cell>
          <cell r="C1052" t="str">
            <v>Future</v>
          </cell>
          <cell r="D1052" t="e">
            <v>#N/A</v>
          </cell>
          <cell r="E1052">
            <v>-67.114960629921768</v>
          </cell>
          <cell r="F1052">
            <v>137.09763779527617</v>
          </cell>
          <cell r="G1052">
            <v>39.85354330708649</v>
          </cell>
          <cell r="H1052">
            <v>39.85354330708649</v>
          </cell>
          <cell r="I1052" t="e">
            <v>#N/A</v>
          </cell>
          <cell r="J1052" t="e">
            <v>#N/A</v>
          </cell>
          <cell r="K1052">
            <v>105</v>
          </cell>
          <cell r="L1052">
            <v>55</v>
          </cell>
          <cell r="M1052" t="e">
            <v>#N/A</v>
          </cell>
          <cell r="N1052">
            <v>90</v>
          </cell>
          <cell r="O1052" t="e">
            <v>#N/A</v>
          </cell>
          <cell r="P1052" t="str">
            <v/>
          </cell>
          <cell r="Q1052" t="str">
            <v/>
          </cell>
          <cell r="R1052">
            <v>90</v>
          </cell>
        </row>
        <row r="1053">
          <cell r="A1053" t="str">
            <v/>
          </cell>
          <cell r="B1053" t="str">
            <v/>
          </cell>
          <cell r="C1053" t="str">
            <v>Future</v>
          </cell>
          <cell r="D1053" t="e">
            <v>#N/A</v>
          </cell>
          <cell r="E1053">
            <v>-67.394606299213109</v>
          </cell>
          <cell r="F1053">
            <v>137.23137795275647</v>
          </cell>
          <cell r="G1053">
            <v>39.790433070866015</v>
          </cell>
          <cell r="H1053">
            <v>39.790433070866015</v>
          </cell>
          <cell r="I1053" t="e">
            <v>#N/A</v>
          </cell>
          <cell r="J1053" t="e">
            <v>#N/A</v>
          </cell>
          <cell r="K1053">
            <v>105</v>
          </cell>
          <cell r="L1053">
            <v>55</v>
          </cell>
          <cell r="M1053" t="e">
            <v>#N/A</v>
          </cell>
          <cell r="N1053">
            <v>90</v>
          </cell>
          <cell r="O1053" t="e">
            <v>#N/A</v>
          </cell>
          <cell r="P1053" t="str">
            <v/>
          </cell>
          <cell r="Q1053" t="str">
            <v/>
          </cell>
          <cell r="R1053">
            <v>90</v>
          </cell>
        </row>
        <row r="1054">
          <cell r="A1054" t="str">
            <v/>
          </cell>
          <cell r="B1054" t="str">
            <v/>
          </cell>
          <cell r="C1054" t="str">
            <v>Future</v>
          </cell>
          <cell r="D1054" t="e">
            <v>#N/A</v>
          </cell>
          <cell r="E1054">
            <v>-67.67425196850445</v>
          </cell>
          <cell r="F1054">
            <v>137.36511811023678</v>
          </cell>
          <cell r="G1054">
            <v>39.727322834645541</v>
          </cell>
          <cell r="H1054">
            <v>39.727322834645541</v>
          </cell>
          <cell r="I1054" t="e">
            <v>#N/A</v>
          </cell>
          <cell r="J1054" t="e">
            <v>#N/A</v>
          </cell>
          <cell r="K1054">
            <v>105</v>
          </cell>
          <cell r="L1054">
            <v>55</v>
          </cell>
          <cell r="M1054" t="e">
            <v>#N/A</v>
          </cell>
          <cell r="N1054">
            <v>90</v>
          </cell>
          <cell r="O1054" t="e">
            <v>#N/A</v>
          </cell>
          <cell r="P1054" t="str">
            <v/>
          </cell>
          <cell r="Q1054" t="str">
            <v/>
          </cell>
          <cell r="R1054">
            <v>90</v>
          </cell>
        </row>
        <row r="1055">
          <cell r="A1055" t="str">
            <v/>
          </cell>
          <cell r="B1055" t="str">
            <v/>
          </cell>
          <cell r="C1055" t="str">
            <v>Future</v>
          </cell>
          <cell r="D1055" t="e">
            <v>#N/A</v>
          </cell>
          <cell r="E1055">
            <v>-67.953897637795791</v>
          </cell>
          <cell r="F1055">
            <v>137.49885826771708</v>
          </cell>
          <cell r="G1055">
            <v>39.664212598425067</v>
          </cell>
          <cell r="H1055">
            <v>39.664212598425067</v>
          </cell>
          <cell r="I1055" t="e">
            <v>#N/A</v>
          </cell>
          <cell r="J1055" t="e">
            <v>#N/A</v>
          </cell>
          <cell r="K1055">
            <v>105</v>
          </cell>
          <cell r="L1055">
            <v>55</v>
          </cell>
          <cell r="M1055" t="e">
            <v>#N/A</v>
          </cell>
          <cell r="N1055">
            <v>90</v>
          </cell>
          <cell r="O1055" t="e">
            <v>#N/A</v>
          </cell>
          <cell r="P1055" t="str">
            <v/>
          </cell>
          <cell r="Q1055" t="str">
            <v/>
          </cell>
          <cell r="R1055">
            <v>90</v>
          </cell>
        </row>
        <row r="1056">
          <cell r="A1056" t="str">
            <v/>
          </cell>
          <cell r="B1056" t="str">
            <v/>
          </cell>
          <cell r="C1056" t="str">
            <v>Future</v>
          </cell>
          <cell r="D1056" t="e">
            <v>#N/A</v>
          </cell>
          <cell r="E1056">
            <v>-68.233543307087132</v>
          </cell>
          <cell r="F1056">
            <v>137.63259842519739</v>
          </cell>
          <cell r="G1056">
            <v>39.601102362204593</v>
          </cell>
          <cell r="H1056">
            <v>39.601102362204593</v>
          </cell>
          <cell r="I1056" t="e">
            <v>#N/A</v>
          </cell>
          <cell r="J1056" t="e">
            <v>#N/A</v>
          </cell>
          <cell r="K1056">
            <v>105</v>
          </cell>
          <cell r="L1056">
            <v>55</v>
          </cell>
          <cell r="M1056" t="e">
            <v>#N/A</v>
          </cell>
          <cell r="N1056">
            <v>90</v>
          </cell>
          <cell r="O1056" t="e">
            <v>#N/A</v>
          </cell>
          <cell r="P1056" t="str">
            <v/>
          </cell>
          <cell r="Q1056" t="str">
            <v/>
          </cell>
          <cell r="R1056">
            <v>90</v>
          </cell>
        </row>
        <row r="1057">
          <cell r="A1057" t="str">
            <v/>
          </cell>
          <cell r="B1057" t="str">
            <v/>
          </cell>
          <cell r="C1057" t="str">
            <v>Future</v>
          </cell>
          <cell r="D1057" t="e">
            <v>#N/A</v>
          </cell>
          <cell r="E1057">
            <v>-68.513188976378473</v>
          </cell>
          <cell r="F1057">
            <v>137.76633858267769</v>
          </cell>
          <cell r="G1057">
            <v>39.537992125984118</v>
          </cell>
          <cell r="H1057">
            <v>39.537992125984118</v>
          </cell>
          <cell r="I1057" t="e">
            <v>#N/A</v>
          </cell>
          <cell r="J1057" t="e">
            <v>#N/A</v>
          </cell>
          <cell r="K1057">
            <v>105</v>
          </cell>
          <cell r="L1057">
            <v>55</v>
          </cell>
          <cell r="M1057" t="e">
            <v>#N/A</v>
          </cell>
          <cell r="N1057">
            <v>90</v>
          </cell>
          <cell r="O1057" t="e">
            <v>#N/A</v>
          </cell>
          <cell r="P1057" t="str">
            <v/>
          </cell>
          <cell r="Q1057" t="str">
            <v/>
          </cell>
          <cell r="R1057">
            <v>90</v>
          </cell>
        </row>
        <row r="1058">
          <cell r="A1058" t="str">
            <v/>
          </cell>
          <cell r="B1058" t="str">
            <v/>
          </cell>
          <cell r="C1058" t="str">
            <v>Future</v>
          </cell>
          <cell r="D1058" t="e">
            <v>#N/A</v>
          </cell>
          <cell r="E1058">
            <v>-68.792834645669814</v>
          </cell>
          <cell r="F1058">
            <v>137.90007874015799</v>
          </cell>
          <cell r="G1058">
            <v>39.474881889763644</v>
          </cell>
          <cell r="H1058">
            <v>39.474881889763644</v>
          </cell>
          <cell r="I1058" t="e">
            <v>#N/A</v>
          </cell>
          <cell r="J1058" t="e">
            <v>#N/A</v>
          </cell>
          <cell r="K1058">
            <v>105</v>
          </cell>
          <cell r="L1058">
            <v>55</v>
          </cell>
          <cell r="M1058" t="e">
            <v>#N/A</v>
          </cell>
          <cell r="N1058">
            <v>90</v>
          </cell>
          <cell r="O1058" t="e">
            <v>#N/A</v>
          </cell>
          <cell r="P1058" t="str">
            <v/>
          </cell>
          <cell r="Q1058" t="str">
            <v/>
          </cell>
          <cell r="R1058">
            <v>90</v>
          </cell>
        </row>
        <row r="1059">
          <cell r="A1059" t="str">
            <v/>
          </cell>
          <cell r="B1059" t="str">
            <v/>
          </cell>
          <cell r="C1059" t="str">
            <v>Future</v>
          </cell>
          <cell r="D1059" t="e">
            <v>#N/A</v>
          </cell>
          <cell r="E1059">
            <v>-69.072480314961155</v>
          </cell>
          <cell r="F1059">
            <v>138.0338188976383</v>
          </cell>
          <cell r="G1059">
            <v>39.41177165354317</v>
          </cell>
          <cell r="H1059">
            <v>39.41177165354317</v>
          </cell>
          <cell r="I1059" t="e">
            <v>#N/A</v>
          </cell>
          <cell r="J1059" t="e">
            <v>#N/A</v>
          </cell>
          <cell r="K1059">
            <v>105</v>
          </cell>
          <cell r="L1059">
            <v>55</v>
          </cell>
          <cell r="M1059" t="e">
            <v>#N/A</v>
          </cell>
          <cell r="N1059">
            <v>90</v>
          </cell>
          <cell r="O1059" t="e">
            <v>#N/A</v>
          </cell>
          <cell r="P1059" t="str">
            <v/>
          </cell>
          <cell r="Q1059" t="str">
            <v/>
          </cell>
          <cell r="R1059">
            <v>90</v>
          </cell>
        </row>
        <row r="1060">
          <cell r="A1060" t="str">
            <v/>
          </cell>
          <cell r="B1060" t="str">
            <v/>
          </cell>
          <cell r="C1060" t="str">
            <v>Future</v>
          </cell>
          <cell r="D1060" t="e">
            <v>#N/A</v>
          </cell>
          <cell r="E1060">
            <v>-69.352125984252496</v>
          </cell>
          <cell r="F1060">
            <v>138.1675590551186</v>
          </cell>
          <cell r="G1060">
            <v>39.348661417322695</v>
          </cell>
          <cell r="H1060">
            <v>39.348661417322695</v>
          </cell>
          <cell r="I1060" t="e">
            <v>#N/A</v>
          </cell>
          <cell r="J1060" t="e">
            <v>#N/A</v>
          </cell>
          <cell r="K1060">
            <v>105</v>
          </cell>
          <cell r="L1060">
            <v>55</v>
          </cell>
          <cell r="M1060" t="e">
            <v>#N/A</v>
          </cell>
          <cell r="N1060">
            <v>90</v>
          </cell>
          <cell r="O1060" t="e">
            <v>#N/A</v>
          </cell>
          <cell r="P1060" t="str">
            <v/>
          </cell>
          <cell r="Q1060" t="str">
            <v/>
          </cell>
          <cell r="R1060">
            <v>90</v>
          </cell>
        </row>
        <row r="1061">
          <cell r="A1061" t="str">
            <v/>
          </cell>
          <cell r="B1061" t="str">
            <v/>
          </cell>
          <cell r="C1061" t="str">
            <v>Future</v>
          </cell>
          <cell r="D1061" t="e">
            <v>#N/A</v>
          </cell>
          <cell r="E1061">
            <v>-69.631771653543836</v>
          </cell>
          <cell r="F1061">
            <v>138.30129921259891</v>
          </cell>
          <cell r="G1061">
            <v>39.285551181102221</v>
          </cell>
          <cell r="H1061">
            <v>39.285551181102221</v>
          </cell>
          <cell r="I1061" t="e">
            <v>#N/A</v>
          </cell>
          <cell r="J1061" t="e">
            <v>#N/A</v>
          </cell>
          <cell r="K1061">
            <v>105</v>
          </cell>
          <cell r="L1061">
            <v>55</v>
          </cell>
          <cell r="M1061" t="e">
            <v>#N/A</v>
          </cell>
          <cell r="N1061">
            <v>90</v>
          </cell>
          <cell r="O1061" t="e">
            <v>#N/A</v>
          </cell>
          <cell r="P1061" t="str">
            <v/>
          </cell>
          <cell r="Q1061" t="str">
            <v/>
          </cell>
          <cell r="R1061">
            <v>90</v>
          </cell>
        </row>
        <row r="1062">
          <cell r="A1062" t="str">
            <v/>
          </cell>
          <cell r="B1062" t="str">
            <v/>
          </cell>
          <cell r="C1062" t="str">
            <v>Future</v>
          </cell>
          <cell r="D1062" t="e">
            <v>#N/A</v>
          </cell>
          <cell r="E1062">
            <v>-69.911417322835177</v>
          </cell>
          <cell r="F1062">
            <v>138.43503937007921</v>
          </cell>
          <cell r="G1062">
            <v>39.222440944881747</v>
          </cell>
          <cell r="H1062">
            <v>39.222440944881747</v>
          </cell>
          <cell r="I1062" t="e">
            <v>#N/A</v>
          </cell>
          <cell r="J1062" t="e">
            <v>#N/A</v>
          </cell>
          <cell r="K1062">
            <v>105</v>
          </cell>
          <cell r="L1062">
            <v>55</v>
          </cell>
          <cell r="M1062" t="e">
            <v>#N/A</v>
          </cell>
          <cell r="N1062">
            <v>90</v>
          </cell>
          <cell r="O1062" t="e">
            <v>#N/A</v>
          </cell>
          <cell r="P1062" t="str">
            <v/>
          </cell>
          <cell r="Q1062" t="str">
            <v/>
          </cell>
          <cell r="R1062">
            <v>90</v>
          </cell>
        </row>
        <row r="1063">
          <cell r="A1063" t="str">
            <v/>
          </cell>
          <cell r="B1063" t="str">
            <v/>
          </cell>
          <cell r="C1063" t="str">
            <v>Future</v>
          </cell>
          <cell r="D1063" t="e">
            <v>#N/A</v>
          </cell>
          <cell r="E1063">
            <v>-70.191062992126518</v>
          </cell>
          <cell r="F1063">
            <v>138.56877952755951</v>
          </cell>
          <cell r="G1063">
            <v>39.159330708661273</v>
          </cell>
          <cell r="H1063">
            <v>39.159330708661273</v>
          </cell>
          <cell r="I1063" t="e">
            <v>#N/A</v>
          </cell>
          <cell r="J1063" t="e">
            <v>#N/A</v>
          </cell>
          <cell r="K1063">
            <v>105</v>
          </cell>
          <cell r="L1063">
            <v>55</v>
          </cell>
          <cell r="M1063" t="e">
            <v>#N/A</v>
          </cell>
          <cell r="N1063">
            <v>90</v>
          </cell>
          <cell r="O1063" t="e">
            <v>#N/A</v>
          </cell>
          <cell r="P1063" t="str">
            <v/>
          </cell>
          <cell r="Q1063" t="str">
            <v/>
          </cell>
          <cell r="R1063">
            <v>90</v>
          </cell>
        </row>
        <row r="1064">
          <cell r="A1064" t="str">
            <v/>
          </cell>
          <cell r="B1064" t="str">
            <v/>
          </cell>
          <cell r="C1064" t="str">
            <v>Future</v>
          </cell>
          <cell r="D1064" t="e">
            <v>#N/A</v>
          </cell>
          <cell r="E1064">
            <v>-70.470708661417859</v>
          </cell>
          <cell r="F1064">
            <v>138.70251968503982</v>
          </cell>
          <cell r="G1064">
            <v>39.096220472440798</v>
          </cell>
          <cell r="H1064">
            <v>39.096220472440798</v>
          </cell>
          <cell r="I1064" t="e">
            <v>#N/A</v>
          </cell>
          <cell r="J1064" t="e">
            <v>#N/A</v>
          </cell>
          <cell r="K1064">
            <v>105</v>
          </cell>
          <cell r="L1064">
            <v>55</v>
          </cell>
          <cell r="M1064" t="e">
            <v>#N/A</v>
          </cell>
          <cell r="N1064">
            <v>90</v>
          </cell>
          <cell r="O1064" t="e">
            <v>#N/A</v>
          </cell>
          <cell r="P1064" t="str">
            <v/>
          </cell>
          <cell r="Q1064" t="str">
            <v/>
          </cell>
          <cell r="R1064">
            <v>90</v>
          </cell>
        </row>
        <row r="1065">
          <cell r="A1065" t="str">
            <v/>
          </cell>
          <cell r="B1065" t="str">
            <v/>
          </cell>
          <cell r="C1065" t="str">
            <v>Future</v>
          </cell>
          <cell r="D1065" t="e">
            <v>#N/A</v>
          </cell>
          <cell r="E1065">
            <v>-70.7503543307092</v>
          </cell>
          <cell r="F1065">
            <v>138.83625984252012</v>
          </cell>
          <cell r="G1065">
            <v>39.033110236220324</v>
          </cell>
          <cell r="H1065">
            <v>39.033110236220324</v>
          </cell>
          <cell r="I1065" t="e">
            <v>#N/A</v>
          </cell>
          <cell r="J1065" t="e">
            <v>#N/A</v>
          </cell>
          <cell r="K1065">
            <v>105</v>
          </cell>
          <cell r="L1065">
            <v>55</v>
          </cell>
          <cell r="M1065" t="e">
            <v>#N/A</v>
          </cell>
          <cell r="N1065">
            <v>90</v>
          </cell>
          <cell r="O1065" t="e">
            <v>#N/A</v>
          </cell>
          <cell r="P1065" t="str">
            <v/>
          </cell>
          <cell r="Q1065" t="str">
            <v/>
          </cell>
          <cell r="R1065">
            <v>90</v>
          </cell>
        </row>
        <row r="1066">
          <cell r="A1066" t="str">
            <v/>
          </cell>
          <cell r="B1066" t="str">
            <v/>
          </cell>
          <cell r="C1066" t="str">
            <v>Future</v>
          </cell>
          <cell r="D1066" t="e">
            <v>#N/A</v>
          </cell>
          <cell r="E1066">
            <v>-71.030000000000541</v>
          </cell>
          <cell r="F1066">
            <v>138.97000000000043</v>
          </cell>
          <cell r="G1066">
            <v>38.96999999999985</v>
          </cell>
          <cell r="H1066">
            <v>38.96999999999985</v>
          </cell>
          <cell r="I1066" t="e">
            <v>#N/A</v>
          </cell>
          <cell r="J1066" t="e">
            <v>#N/A</v>
          </cell>
          <cell r="K1066">
            <v>105</v>
          </cell>
          <cell r="L1066">
            <v>55</v>
          </cell>
          <cell r="M1066" t="e">
            <v>#N/A</v>
          </cell>
          <cell r="N1066">
            <v>90</v>
          </cell>
          <cell r="O1066" t="e">
            <v>#N/A</v>
          </cell>
          <cell r="P1066" t="str">
            <v/>
          </cell>
          <cell r="Q1066" t="str">
            <v/>
          </cell>
          <cell r="R1066">
            <v>90</v>
          </cell>
        </row>
        <row r="1067">
          <cell r="A1067" t="str">
            <v/>
          </cell>
          <cell r="B1067" t="str">
            <v/>
          </cell>
          <cell r="C1067" t="str">
            <v>Future</v>
          </cell>
          <cell r="D1067" t="e">
            <v>#N/A</v>
          </cell>
          <cell r="E1067">
            <v>-71.309645669291882</v>
          </cell>
          <cell r="F1067">
            <v>139.10374015748073</v>
          </cell>
          <cell r="G1067">
            <v>38.906889763779375</v>
          </cell>
          <cell r="H1067">
            <v>38.906889763779375</v>
          </cell>
          <cell r="I1067" t="e">
            <v>#N/A</v>
          </cell>
          <cell r="J1067" t="e">
            <v>#N/A</v>
          </cell>
          <cell r="K1067">
            <v>105</v>
          </cell>
          <cell r="L1067">
            <v>55</v>
          </cell>
          <cell r="M1067" t="e">
            <v>#N/A</v>
          </cell>
          <cell r="N1067">
            <v>90</v>
          </cell>
          <cell r="O1067" t="e">
            <v>#N/A</v>
          </cell>
          <cell r="P1067" t="str">
            <v/>
          </cell>
          <cell r="Q1067" t="str">
            <v/>
          </cell>
          <cell r="R1067">
            <v>90</v>
          </cell>
        </row>
        <row r="1068">
          <cell r="A1068" t="str">
            <v/>
          </cell>
          <cell r="B1068" t="str">
            <v/>
          </cell>
          <cell r="C1068" t="str">
            <v>Future</v>
          </cell>
          <cell r="D1068" t="e">
            <v>#N/A</v>
          </cell>
          <cell r="E1068">
            <v>-71.589291338583223</v>
          </cell>
          <cell r="F1068">
            <v>139.23748031496103</v>
          </cell>
          <cell r="G1068">
            <v>38.843779527558901</v>
          </cell>
          <cell r="H1068">
            <v>38.843779527558901</v>
          </cell>
          <cell r="I1068" t="e">
            <v>#N/A</v>
          </cell>
          <cell r="J1068" t="e">
            <v>#N/A</v>
          </cell>
          <cell r="K1068">
            <v>105</v>
          </cell>
          <cell r="L1068">
            <v>55</v>
          </cell>
          <cell r="M1068" t="e">
            <v>#N/A</v>
          </cell>
          <cell r="N1068">
            <v>90</v>
          </cell>
          <cell r="O1068" t="e">
            <v>#N/A</v>
          </cell>
          <cell r="P1068" t="str">
            <v/>
          </cell>
          <cell r="Q1068" t="str">
            <v/>
          </cell>
          <cell r="R1068">
            <v>90</v>
          </cell>
        </row>
        <row r="1069">
          <cell r="A1069" t="str">
            <v/>
          </cell>
          <cell r="B1069" t="str">
            <v/>
          </cell>
          <cell r="C1069" t="str">
            <v>Future</v>
          </cell>
          <cell r="D1069" t="e">
            <v>#N/A</v>
          </cell>
          <cell r="E1069">
            <v>-71.868937007874564</v>
          </cell>
          <cell r="F1069">
            <v>139.37122047244134</v>
          </cell>
          <cell r="G1069">
            <v>38.780669291338427</v>
          </cell>
          <cell r="H1069">
            <v>38.780669291338427</v>
          </cell>
          <cell r="I1069" t="e">
            <v>#N/A</v>
          </cell>
          <cell r="J1069" t="e">
            <v>#N/A</v>
          </cell>
          <cell r="K1069">
            <v>105</v>
          </cell>
          <cell r="L1069">
            <v>55</v>
          </cell>
          <cell r="M1069" t="e">
            <v>#N/A</v>
          </cell>
          <cell r="N1069">
            <v>90</v>
          </cell>
          <cell r="O1069" t="e">
            <v>#N/A</v>
          </cell>
          <cell r="P1069" t="str">
            <v/>
          </cell>
          <cell r="Q1069" t="str">
            <v/>
          </cell>
          <cell r="R1069">
            <v>90</v>
          </cell>
        </row>
        <row r="1070">
          <cell r="A1070" t="str">
            <v/>
          </cell>
          <cell r="B1070" t="str">
            <v/>
          </cell>
          <cell r="C1070" t="str">
            <v>Future</v>
          </cell>
          <cell r="D1070" t="e">
            <v>#N/A</v>
          </cell>
          <cell r="E1070">
            <v>-72.148582677165905</v>
          </cell>
          <cell r="F1070">
            <v>139.50496062992164</v>
          </cell>
          <cell r="G1070">
            <v>38.717559055117952</v>
          </cell>
          <cell r="H1070">
            <v>38.717559055117952</v>
          </cell>
          <cell r="I1070" t="e">
            <v>#N/A</v>
          </cell>
          <cell r="J1070" t="e">
            <v>#N/A</v>
          </cell>
          <cell r="K1070">
            <v>105</v>
          </cell>
          <cell r="L1070">
            <v>55</v>
          </cell>
          <cell r="M1070" t="e">
            <v>#N/A</v>
          </cell>
          <cell r="N1070">
            <v>90</v>
          </cell>
          <cell r="O1070" t="e">
            <v>#N/A</v>
          </cell>
          <cell r="P1070" t="str">
            <v/>
          </cell>
          <cell r="Q1070" t="str">
            <v/>
          </cell>
          <cell r="R1070">
            <v>90</v>
          </cell>
        </row>
        <row r="1071">
          <cell r="A1071" t="str">
            <v/>
          </cell>
          <cell r="B1071" t="str">
            <v/>
          </cell>
          <cell r="C1071" t="str">
            <v>Future</v>
          </cell>
          <cell r="D1071" t="e">
            <v>#N/A</v>
          </cell>
          <cell r="E1071">
            <v>-72.428228346457246</v>
          </cell>
          <cell r="F1071">
            <v>139.63870078740194</v>
          </cell>
          <cell r="G1071">
            <v>38.654448818897478</v>
          </cell>
          <cell r="H1071">
            <v>38.654448818897478</v>
          </cell>
          <cell r="I1071" t="e">
            <v>#N/A</v>
          </cell>
          <cell r="J1071" t="e">
            <v>#N/A</v>
          </cell>
          <cell r="K1071">
            <v>105</v>
          </cell>
          <cell r="L1071">
            <v>55</v>
          </cell>
          <cell r="M1071" t="e">
            <v>#N/A</v>
          </cell>
          <cell r="N1071">
            <v>90</v>
          </cell>
          <cell r="O1071" t="e">
            <v>#N/A</v>
          </cell>
          <cell r="P1071" t="str">
            <v/>
          </cell>
          <cell r="Q1071" t="str">
            <v/>
          </cell>
          <cell r="R1071">
            <v>90</v>
          </cell>
        </row>
        <row r="1072">
          <cell r="A1072" t="str">
            <v/>
          </cell>
          <cell r="B1072" t="str">
            <v/>
          </cell>
          <cell r="C1072" t="str">
            <v>Future</v>
          </cell>
          <cell r="D1072" t="e">
            <v>#N/A</v>
          </cell>
          <cell r="E1072">
            <v>-72.707874015748587</v>
          </cell>
          <cell r="F1072">
            <v>139.77244094488225</v>
          </cell>
          <cell r="G1072">
            <v>38.591338582677004</v>
          </cell>
          <cell r="H1072">
            <v>38.591338582677004</v>
          </cell>
          <cell r="I1072" t="e">
            <v>#N/A</v>
          </cell>
          <cell r="J1072" t="e">
            <v>#N/A</v>
          </cell>
          <cell r="K1072">
            <v>105</v>
          </cell>
          <cell r="L1072">
            <v>55</v>
          </cell>
          <cell r="M1072" t="e">
            <v>#N/A</v>
          </cell>
          <cell r="N1072">
            <v>90</v>
          </cell>
          <cell r="O1072" t="e">
            <v>#N/A</v>
          </cell>
          <cell r="P1072" t="str">
            <v/>
          </cell>
          <cell r="Q1072" t="str">
            <v/>
          </cell>
          <cell r="R1072">
            <v>90</v>
          </cell>
        </row>
        <row r="1073">
          <cell r="A1073" t="str">
            <v/>
          </cell>
          <cell r="B1073" t="str">
            <v/>
          </cell>
          <cell r="C1073" t="str">
            <v>Future</v>
          </cell>
          <cell r="D1073" t="e">
            <v>#N/A</v>
          </cell>
          <cell r="E1073">
            <v>-72.987519685039928</v>
          </cell>
          <cell r="F1073">
            <v>139.90618110236255</v>
          </cell>
          <cell r="G1073">
            <v>38.52822834645653</v>
          </cell>
          <cell r="H1073">
            <v>38.52822834645653</v>
          </cell>
          <cell r="I1073" t="e">
            <v>#N/A</v>
          </cell>
          <cell r="J1073" t="e">
            <v>#N/A</v>
          </cell>
          <cell r="K1073">
            <v>105</v>
          </cell>
          <cell r="L1073">
            <v>55</v>
          </cell>
          <cell r="M1073" t="e">
            <v>#N/A</v>
          </cell>
          <cell r="N1073">
            <v>90</v>
          </cell>
          <cell r="O1073" t="e">
            <v>#N/A</v>
          </cell>
          <cell r="P1073" t="str">
            <v/>
          </cell>
          <cell r="Q1073" t="str">
            <v/>
          </cell>
          <cell r="R1073">
            <v>90</v>
          </cell>
        </row>
        <row r="1074">
          <cell r="A1074" t="str">
            <v/>
          </cell>
          <cell r="B1074" t="str">
            <v/>
          </cell>
          <cell r="C1074" t="str">
            <v>Future</v>
          </cell>
          <cell r="D1074" t="e">
            <v>#N/A</v>
          </cell>
          <cell r="E1074">
            <v>-73.267165354331269</v>
          </cell>
          <cell r="F1074">
            <v>140.03992125984286</v>
          </cell>
          <cell r="G1074">
            <v>38.465118110236055</v>
          </cell>
          <cell r="H1074">
            <v>38.465118110236055</v>
          </cell>
          <cell r="I1074" t="e">
            <v>#N/A</v>
          </cell>
          <cell r="J1074" t="e">
            <v>#N/A</v>
          </cell>
          <cell r="K1074">
            <v>105</v>
          </cell>
          <cell r="L1074">
            <v>55</v>
          </cell>
          <cell r="M1074" t="e">
            <v>#N/A</v>
          </cell>
          <cell r="N1074">
            <v>90</v>
          </cell>
          <cell r="O1074" t="e">
            <v>#N/A</v>
          </cell>
          <cell r="P1074" t="str">
            <v/>
          </cell>
          <cell r="Q1074" t="str">
            <v/>
          </cell>
          <cell r="R1074">
            <v>90</v>
          </cell>
        </row>
        <row r="1075">
          <cell r="A1075" t="str">
            <v/>
          </cell>
          <cell r="B1075" t="str">
            <v/>
          </cell>
          <cell r="C1075" t="str">
            <v>Future</v>
          </cell>
          <cell r="D1075" t="e">
            <v>#N/A</v>
          </cell>
          <cell r="E1075">
            <v>-73.54681102362261</v>
          </cell>
          <cell r="F1075">
            <v>140.17366141732316</v>
          </cell>
          <cell r="G1075">
            <v>38.402007874015581</v>
          </cell>
          <cell r="H1075">
            <v>38.402007874015581</v>
          </cell>
          <cell r="I1075" t="e">
            <v>#N/A</v>
          </cell>
          <cell r="J1075" t="e">
            <v>#N/A</v>
          </cell>
          <cell r="K1075">
            <v>105</v>
          </cell>
          <cell r="L1075">
            <v>55</v>
          </cell>
          <cell r="M1075" t="e">
            <v>#N/A</v>
          </cell>
          <cell r="N1075">
            <v>90</v>
          </cell>
          <cell r="O1075" t="e">
            <v>#N/A</v>
          </cell>
          <cell r="P1075" t="str">
            <v/>
          </cell>
          <cell r="Q1075" t="str">
            <v/>
          </cell>
          <cell r="R1075">
            <v>90</v>
          </cell>
        </row>
        <row r="1076">
          <cell r="A1076" t="str">
            <v/>
          </cell>
          <cell r="B1076" t="str">
            <v/>
          </cell>
          <cell r="C1076" t="str">
            <v>Future</v>
          </cell>
          <cell r="D1076" t="e">
            <v>#N/A</v>
          </cell>
          <cell r="E1076">
            <v>-73.826456692913951</v>
          </cell>
          <cell r="F1076">
            <v>140.30740157480346</v>
          </cell>
          <cell r="G1076">
            <v>38.338897637795107</v>
          </cell>
          <cell r="H1076">
            <v>38.338897637795107</v>
          </cell>
          <cell r="I1076" t="e">
            <v>#N/A</v>
          </cell>
          <cell r="J1076" t="e">
            <v>#N/A</v>
          </cell>
          <cell r="K1076">
            <v>105</v>
          </cell>
          <cell r="L1076">
            <v>55</v>
          </cell>
          <cell r="M1076" t="e">
            <v>#N/A</v>
          </cell>
          <cell r="N1076">
            <v>90</v>
          </cell>
          <cell r="O1076" t="e">
            <v>#N/A</v>
          </cell>
          <cell r="P1076" t="str">
            <v/>
          </cell>
          <cell r="Q1076" t="str">
            <v/>
          </cell>
          <cell r="R1076">
            <v>90</v>
          </cell>
        </row>
        <row r="1077">
          <cell r="A1077" t="str">
            <v/>
          </cell>
          <cell r="B1077" t="str">
            <v/>
          </cell>
          <cell r="C1077" t="str">
            <v>Future</v>
          </cell>
          <cell r="D1077" t="e">
            <v>#N/A</v>
          </cell>
          <cell r="E1077">
            <v>-74.106102362205291</v>
          </cell>
          <cell r="F1077">
            <v>140.44114173228377</v>
          </cell>
          <cell r="G1077">
            <v>38.275787401574632</v>
          </cell>
          <cell r="H1077">
            <v>38.275787401574632</v>
          </cell>
          <cell r="I1077" t="e">
            <v>#N/A</v>
          </cell>
          <cell r="J1077" t="e">
            <v>#N/A</v>
          </cell>
          <cell r="K1077">
            <v>105</v>
          </cell>
          <cell r="L1077">
            <v>55</v>
          </cell>
          <cell r="M1077" t="e">
            <v>#N/A</v>
          </cell>
          <cell r="N1077">
            <v>90</v>
          </cell>
          <cell r="O1077" t="e">
            <v>#N/A</v>
          </cell>
          <cell r="P1077" t="str">
            <v/>
          </cell>
          <cell r="Q1077" t="str">
            <v/>
          </cell>
          <cell r="R1077">
            <v>90</v>
          </cell>
        </row>
        <row r="1078">
          <cell r="A1078" t="str">
            <v/>
          </cell>
          <cell r="B1078" t="str">
            <v/>
          </cell>
          <cell r="C1078" t="str">
            <v>Future</v>
          </cell>
          <cell r="D1078" t="e">
            <v>#N/A</v>
          </cell>
          <cell r="E1078">
            <v>-74.385748031496632</v>
          </cell>
          <cell r="F1078">
            <v>140.57488188976407</v>
          </cell>
          <cell r="G1078">
            <v>38.212677165354158</v>
          </cell>
          <cell r="H1078">
            <v>38.212677165354158</v>
          </cell>
          <cell r="I1078" t="e">
            <v>#N/A</v>
          </cell>
          <cell r="J1078" t="e">
            <v>#N/A</v>
          </cell>
          <cell r="K1078">
            <v>105</v>
          </cell>
          <cell r="L1078">
            <v>55</v>
          </cell>
          <cell r="M1078" t="e">
            <v>#N/A</v>
          </cell>
          <cell r="N1078">
            <v>90</v>
          </cell>
          <cell r="O1078" t="e">
            <v>#N/A</v>
          </cell>
          <cell r="P1078" t="str">
            <v/>
          </cell>
          <cell r="Q1078" t="str">
            <v/>
          </cell>
          <cell r="R1078">
            <v>90</v>
          </cell>
        </row>
        <row r="1079">
          <cell r="A1079" t="str">
            <v/>
          </cell>
          <cell r="B1079" t="str">
            <v/>
          </cell>
          <cell r="C1079" t="str">
            <v>Future</v>
          </cell>
          <cell r="D1079" t="e">
            <v>#N/A</v>
          </cell>
          <cell r="E1079">
            <v>-74.665393700787973</v>
          </cell>
          <cell r="F1079">
            <v>140.70862204724438</v>
          </cell>
          <cell r="G1079">
            <v>38.149566929133684</v>
          </cell>
          <cell r="H1079">
            <v>38.149566929133684</v>
          </cell>
          <cell r="I1079" t="e">
            <v>#N/A</v>
          </cell>
          <cell r="J1079" t="e">
            <v>#N/A</v>
          </cell>
          <cell r="K1079">
            <v>105</v>
          </cell>
          <cell r="L1079">
            <v>55</v>
          </cell>
          <cell r="M1079" t="e">
            <v>#N/A</v>
          </cell>
          <cell r="N1079">
            <v>90</v>
          </cell>
          <cell r="O1079" t="e">
            <v>#N/A</v>
          </cell>
          <cell r="P1079" t="str">
            <v/>
          </cell>
          <cell r="Q1079" t="str">
            <v/>
          </cell>
          <cell r="R1079">
            <v>90</v>
          </cell>
        </row>
        <row r="1080">
          <cell r="A1080" t="str">
            <v/>
          </cell>
          <cell r="B1080" t="str">
            <v/>
          </cell>
          <cell r="C1080" t="str">
            <v>Future</v>
          </cell>
          <cell r="D1080" t="e">
            <v>#N/A</v>
          </cell>
          <cell r="E1080">
            <v>-74.945039370079314</v>
          </cell>
          <cell r="F1080">
            <v>140.84236220472468</v>
          </cell>
          <cell r="G1080">
            <v>38.08645669291321</v>
          </cell>
          <cell r="H1080">
            <v>38.08645669291321</v>
          </cell>
          <cell r="I1080" t="e">
            <v>#N/A</v>
          </cell>
          <cell r="J1080" t="e">
            <v>#N/A</v>
          </cell>
          <cell r="K1080">
            <v>105</v>
          </cell>
          <cell r="L1080">
            <v>55</v>
          </cell>
          <cell r="M1080" t="e">
            <v>#N/A</v>
          </cell>
          <cell r="N1080">
            <v>90</v>
          </cell>
          <cell r="O1080" t="e">
            <v>#N/A</v>
          </cell>
          <cell r="P1080" t="str">
            <v/>
          </cell>
          <cell r="Q1080" t="str">
            <v/>
          </cell>
          <cell r="R1080">
            <v>90</v>
          </cell>
        </row>
        <row r="1081">
          <cell r="A1081" t="str">
            <v/>
          </cell>
          <cell r="B1081" t="str">
            <v/>
          </cell>
          <cell r="C1081" t="str">
            <v>Future</v>
          </cell>
          <cell r="D1081" t="e">
            <v>#N/A</v>
          </cell>
          <cell r="E1081">
            <v>-75.224685039370655</v>
          </cell>
          <cell r="F1081">
            <v>140.97610236220498</v>
          </cell>
          <cell r="G1081">
            <v>38.023346456692735</v>
          </cell>
          <cell r="H1081">
            <v>38.023346456692735</v>
          </cell>
          <cell r="I1081" t="e">
            <v>#N/A</v>
          </cell>
          <cell r="J1081" t="e">
            <v>#N/A</v>
          </cell>
          <cell r="K1081">
            <v>105</v>
          </cell>
          <cell r="L1081">
            <v>55</v>
          </cell>
          <cell r="M1081" t="e">
            <v>#N/A</v>
          </cell>
          <cell r="N1081">
            <v>90</v>
          </cell>
          <cell r="O1081" t="e">
            <v>#N/A</v>
          </cell>
          <cell r="P1081" t="str">
            <v/>
          </cell>
          <cell r="Q1081" t="str">
            <v/>
          </cell>
          <cell r="R1081">
            <v>90</v>
          </cell>
        </row>
        <row r="1082">
          <cell r="A1082" t="str">
            <v/>
          </cell>
          <cell r="B1082" t="str">
            <v/>
          </cell>
          <cell r="C1082" t="str">
            <v>Future</v>
          </cell>
          <cell r="D1082" t="e">
            <v>#N/A</v>
          </cell>
          <cell r="E1082">
            <v>-75.504330708661996</v>
          </cell>
          <cell r="F1082">
            <v>141.10984251968529</v>
          </cell>
          <cell r="G1082">
            <v>37.960236220472261</v>
          </cell>
          <cell r="H1082">
            <v>37.960236220472261</v>
          </cell>
          <cell r="I1082" t="e">
            <v>#N/A</v>
          </cell>
          <cell r="J1082" t="e">
            <v>#N/A</v>
          </cell>
          <cell r="K1082">
            <v>105</v>
          </cell>
          <cell r="L1082">
            <v>55</v>
          </cell>
          <cell r="M1082" t="e">
            <v>#N/A</v>
          </cell>
          <cell r="N1082">
            <v>90</v>
          </cell>
          <cell r="O1082" t="e">
            <v>#N/A</v>
          </cell>
          <cell r="P1082" t="str">
            <v/>
          </cell>
          <cell r="Q1082" t="str">
            <v/>
          </cell>
          <cell r="R1082">
            <v>90</v>
          </cell>
        </row>
        <row r="1083">
          <cell r="A1083" t="str">
            <v/>
          </cell>
          <cell r="B1083" t="str">
            <v/>
          </cell>
          <cell r="C1083" t="str">
            <v>Future</v>
          </cell>
          <cell r="D1083" t="e">
            <v>#N/A</v>
          </cell>
          <cell r="E1083">
            <v>-75.783976377953337</v>
          </cell>
          <cell r="F1083">
            <v>141.24358267716559</v>
          </cell>
          <cell r="G1083">
            <v>37.897125984251787</v>
          </cell>
          <cell r="H1083">
            <v>37.897125984251787</v>
          </cell>
          <cell r="I1083" t="e">
            <v>#N/A</v>
          </cell>
          <cell r="J1083" t="e">
            <v>#N/A</v>
          </cell>
          <cell r="K1083">
            <v>105</v>
          </cell>
          <cell r="L1083">
            <v>55</v>
          </cell>
          <cell r="M1083" t="e">
            <v>#N/A</v>
          </cell>
          <cell r="N1083">
            <v>90</v>
          </cell>
          <cell r="O1083" t="e">
            <v>#N/A</v>
          </cell>
          <cell r="P1083" t="str">
            <v/>
          </cell>
          <cell r="Q1083" t="str">
            <v/>
          </cell>
          <cell r="R1083">
            <v>90</v>
          </cell>
        </row>
        <row r="1084">
          <cell r="A1084" t="str">
            <v/>
          </cell>
          <cell r="B1084" t="str">
            <v/>
          </cell>
          <cell r="C1084" t="str">
            <v>Future</v>
          </cell>
          <cell r="D1084" t="e">
            <v>#N/A</v>
          </cell>
          <cell r="E1084">
            <v>-76.063622047244678</v>
          </cell>
          <cell r="F1084">
            <v>141.37732283464589</v>
          </cell>
          <cell r="G1084">
            <v>37.834015748031312</v>
          </cell>
          <cell r="H1084">
            <v>37.834015748031312</v>
          </cell>
          <cell r="I1084" t="e">
            <v>#N/A</v>
          </cell>
          <cell r="J1084" t="e">
            <v>#N/A</v>
          </cell>
          <cell r="K1084">
            <v>105</v>
          </cell>
          <cell r="L1084">
            <v>55</v>
          </cell>
          <cell r="M1084" t="e">
            <v>#N/A</v>
          </cell>
          <cell r="N1084">
            <v>90</v>
          </cell>
          <cell r="O1084" t="e">
            <v>#N/A</v>
          </cell>
          <cell r="P1084" t="str">
            <v/>
          </cell>
          <cell r="Q1084" t="str">
            <v/>
          </cell>
          <cell r="R1084">
            <v>90</v>
          </cell>
        </row>
        <row r="1085">
          <cell r="A1085" t="str">
            <v/>
          </cell>
          <cell r="B1085" t="str">
            <v/>
          </cell>
          <cell r="C1085" t="str">
            <v>Future</v>
          </cell>
          <cell r="D1085" t="e">
            <v>#N/A</v>
          </cell>
          <cell r="E1085">
            <v>-76.343267716536019</v>
          </cell>
          <cell r="F1085">
            <v>141.5110629921262</v>
          </cell>
          <cell r="G1085">
            <v>37.770905511810838</v>
          </cell>
          <cell r="H1085">
            <v>37.770905511810838</v>
          </cell>
          <cell r="I1085" t="e">
            <v>#N/A</v>
          </cell>
          <cell r="J1085" t="e">
            <v>#N/A</v>
          </cell>
          <cell r="K1085">
            <v>105</v>
          </cell>
          <cell r="L1085">
            <v>55</v>
          </cell>
          <cell r="M1085" t="e">
            <v>#N/A</v>
          </cell>
          <cell r="N1085">
            <v>90</v>
          </cell>
          <cell r="O1085" t="e">
            <v>#N/A</v>
          </cell>
          <cell r="P1085" t="str">
            <v/>
          </cell>
          <cell r="Q1085" t="str">
            <v/>
          </cell>
          <cell r="R1085">
            <v>90</v>
          </cell>
        </row>
        <row r="1086">
          <cell r="A1086" t="str">
            <v/>
          </cell>
          <cell r="B1086" t="str">
            <v/>
          </cell>
          <cell r="C1086" t="str">
            <v>Future</v>
          </cell>
          <cell r="D1086" t="e">
            <v>#N/A</v>
          </cell>
          <cell r="E1086">
            <v>-76.62291338582736</v>
          </cell>
          <cell r="F1086">
            <v>141.6448031496065</v>
          </cell>
          <cell r="G1086">
            <v>37.707795275590364</v>
          </cell>
          <cell r="H1086">
            <v>37.707795275590364</v>
          </cell>
          <cell r="I1086" t="e">
            <v>#N/A</v>
          </cell>
          <cell r="J1086" t="e">
            <v>#N/A</v>
          </cell>
          <cell r="K1086">
            <v>105</v>
          </cell>
          <cell r="L1086">
            <v>55</v>
          </cell>
          <cell r="M1086" t="e">
            <v>#N/A</v>
          </cell>
          <cell r="N1086">
            <v>90</v>
          </cell>
          <cell r="O1086" t="e">
            <v>#N/A</v>
          </cell>
          <cell r="P1086" t="str">
            <v/>
          </cell>
          <cell r="Q1086" t="str">
            <v/>
          </cell>
          <cell r="R1086">
            <v>90</v>
          </cell>
        </row>
        <row r="1087">
          <cell r="A1087" t="str">
            <v/>
          </cell>
          <cell r="B1087" t="str">
            <v/>
          </cell>
          <cell r="C1087" t="str">
            <v>Future</v>
          </cell>
          <cell r="D1087" t="e">
            <v>#N/A</v>
          </cell>
          <cell r="E1087">
            <v>-76.902559055118701</v>
          </cell>
          <cell r="F1087">
            <v>141.77854330708681</v>
          </cell>
          <cell r="G1087">
            <v>37.64468503936989</v>
          </cell>
          <cell r="H1087">
            <v>37.64468503936989</v>
          </cell>
          <cell r="I1087" t="e">
            <v>#N/A</v>
          </cell>
          <cell r="J1087" t="e">
            <v>#N/A</v>
          </cell>
          <cell r="K1087">
            <v>105</v>
          </cell>
          <cell r="L1087">
            <v>55</v>
          </cell>
          <cell r="M1087" t="e">
            <v>#N/A</v>
          </cell>
          <cell r="N1087">
            <v>90</v>
          </cell>
          <cell r="O1087" t="e">
            <v>#N/A</v>
          </cell>
          <cell r="P1087" t="str">
            <v/>
          </cell>
          <cell r="Q1087" t="str">
            <v/>
          </cell>
          <cell r="R1087">
            <v>90</v>
          </cell>
        </row>
        <row r="1088">
          <cell r="A1088" t="str">
            <v/>
          </cell>
          <cell r="B1088" t="str">
            <v/>
          </cell>
          <cell r="C1088" t="str">
            <v>Future</v>
          </cell>
          <cell r="D1088" t="e">
            <v>#N/A</v>
          </cell>
          <cell r="E1088">
            <v>-77.182204724410042</v>
          </cell>
          <cell r="F1088">
            <v>141.91228346456711</v>
          </cell>
          <cell r="G1088">
            <v>37.581574803149415</v>
          </cell>
          <cell r="H1088">
            <v>37.581574803149415</v>
          </cell>
          <cell r="I1088" t="e">
            <v>#N/A</v>
          </cell>
          <cell r="J1088" t="e">
            <v>#N/A</v>
          </cell>
          <cell r="K1088">
            <v>105</v>
          </cell>
          <cell r="L1088">
            <v>55</v>
          </cell>
          <cell r="M1088" t="e">
            <v>#N/A</v>
          </cell>
          <cell r="N1088">
            <v>90</v>
          </cell>
          <cell r="O1088" t="e">
            <v>#N/A</v>
          </cell>
          <cell r="P1088" t="str">
            <v/>
          </cell>
          <cell r="Q1088" t="str">
            <v/>
          </cell>
          <cell r="R1088">
            <v>90</v>
          </cell>
        </row>
        <row r="1089">
          <cell r="A1089" t="str">
            <v/>
          </cell>
          <cell r="B1089" t="str">
            <v/>
          </cell>
          <cell r="C1089" t="str">
            <v>Future</v>
          </cell>
          <cell r="D1089" t="e">
            <v>#N/A</v>
          </cell>
          <cell r="E1089">
            <v>-77.461850393701383</v>
          </cell>
          <cell r="F1089">
            <v>142.04602362204741</v>
          </cell>
          <cell r="G1089">
            <v>37.518464566928941</v>
          </cell>
          <cell r="H1089">
            <v>37.518464566928941</v>
          </cell>
          <cell r="I1089" t="e">
            <v>#N/A</v>
          </cell>
          <cell r="J1089" t="e">
            <v>#N/A</v>
          </cell>
          <cell r="K1089">
            <v>105</v>
          </cell>
          <cell r="L1089">
            <v>55</v>
          </cell>
          <cell r="M1089" t="e">
            <v>#N/A</v>
          </cell>
          <cell r="N1089">
            <v>90</v>
          </cell>
          <cell r="O1089" t="e">
            <v>#N/A</v>
          </cell>
          <cell r="P1089" t="str">
            <v/>
          </cell>
          <cell r="Q1089" t="str">
            <v/>
          </cell>
          <cell r="R1089">
            <v>90</v>
          </cell>
        </row>
        <row r="1090">
          <cell r="A1090" t="str">
            <v/>
          </cell>
          <cell r="B1090" t="str">
            <v/>
          </cell>
          <cell r="C1090" t="str">
            <v>Future</v>
          </cell>
          <cell r="D1090" t="e">
            <v>#N/A</v>
          </cell>
          <cell r="E1090">
            <v>-77.741496062992724</v>
          </cell>
          <cell r="F1090">
            <v>142.17976377952772</v>
          </cell>
          <cell r="G1090">
            <v>37.455354330708467</v>
          </cell>
          <cell r="H1090">
            <v>37.455354330708467</v>
          </cell>
          <cell r="I1090" t="e">
            <v>#N/A</v>
          </cell>
          <cell r="J1090" t="e">
            <v>#N/A</v>
          </cell>
          <cell r="K1090">
            <v>105</v>
          </cell>
          <cell r="L1090">
            <v>55</v>
          </cell>
          <cell r="M1090" t="e">
            <v>#N/A</v>
          </cell>
          <cell r="N1090">
            <v>90</v>
          </cell>
          <cell r="O1090" t="e">
            <v>#N/A</v>
          </cell>
          <cell r="P1090" t="str">
            <v/>
          </cell>
          <cell r="Q1090" t="str">
            <v/>
          </cell>
          <cell r="R1090">
            <v>90</v>
          </cell>
        </row>
        <row r="1091">
          <cell r="A1091" t="str">
            <v/>
          </cell>
          <cell r="B1091" t="str">
            <v/>
          </cell>
          <cell r="C1091" t="str">
            <v>Future</v>
          </cell>
          <cell r="D1091" t="e">
            <v>#N/A</v>
          </cell>
          <cell r="E1091">
            <v>-78.021141732284065</v>
          </cell>
          <cell r="F1091">
            <v>142.31350393700802</v>
          </cell>
          <cell r="G1091">
            <v>37.392244094487992</v>
          </cell>
          <cell r="H1091">
            <v>37.392244094487992</v>
          </cell>
          <cell r="I1091" t="e">
            <v>#N/A</v>
          </cell>
          <cell r="J1091" t="e">
            <v>#N/A</v>
          </cell>
          <cell r="K1091">
            <v>105</v>
          </cell>
          <cell r="L1091">
            <v>55</v>
          </cell>
          <cell r="M1091" t="e">
            <v>#N/A</v>
          </cell>
          <cell r="N1091">
            <v>90</v>
          </cell>
          <cell r="O1091" t="e">
            <v>#N/A</v>
          </cell>
          <cell r="P1091" t="str">
            <v/>
          </cell>
          <cell r="Q1091" t="str">
            <v/>
          </cell>
          <cell r="R1091">
            <v>90</v>
          </cell>
        </row>
        <row r="1092">
          <cell r="A1092" t="str">
            <v/>
          </cell>
          <cell r="B1092" t="str">
            <v/>
          </cell>
          <cell r="C1092" t="str">
            <v>Future</v>
          </cell>
          <cell r="D1092" t="e">
            <v>#N/A</v>
          </cell>
          <cell r="E1092">
            <v>-78.300787401575406</v>
          </cell>
          <cell r="F1092">
            <v>142.44724409448833</v>
          </cell>
          <cell r="G1092">
            <v>37.329133858267518</v>
          </cell>
          <cell r="H1092">
            <v>37.329133858267518</v>
          </cell>
          <cell r="I1092" t="e">
            <v>#N/A</v>
          </cell>
          <cell r="J1092" t="e">
            <v>#N/A</v>
          </cell>
          <cell r="K1092">
            <v>105</v>
          </cell>
          <cell r="L1092">
            <v>55</v>
          </cell>
          <cell r="M1092" t="e">
            <v>#N/A</v>
          </cell>
          <cell r="N1092">
            <v>90</v>
          </cell>
          <cell r="O1092" t="e">
            <v>#N/A</v>
          </cell>
          <cell r="P1092" t="str">
            <v/>
          </cell>
          <cell r="Q1092" t="str">
            <v/>
          </cell>
          <cell r="R1092">
            <v>90</v>
          </cell>
        </row>
        <row r="1093">
          <cell r="A1093" t="str">
            <v/>
          </cell>
          <cell r="B1093" t="str">
            <v/>
          </cell>
          <cell r="C1093" t="str">
            <v>Future</v>
          </cell>
          <cell r="D1093" t="e">
            <v>#N/A</v>
          </cell>
          <cell r="E1093">
            <v>-78.580433070866746</v>
          </cell>
          <cell r="F1093">
            <v>142.58098425196863</v>
          </cell>
          <cell r="G1093">
            <v>37.266023622047044</v>
          </cell>
          <cell r="H1093">
            <v>37.266023622047044</v>
          </cell>
          <cell r="I1093" t="e">
            <v>#N/A</v>
          </cell>
          <cell r="J1093" t="e">
            <v>#N/A</v>
          </cell>
          <cell r="K1093">
            <v>105</v>
          </cell>
          <cell r="L1093">
            <v>55</v>
          </cell>
          <cell r="M1093" t="e">
            <v>#N/A</v>
          </cell>
          <cell r="N1093">
            <v>90</v>
          </cell>
          <cell r="O1093" t="e">
            <v>#N/A</v>
          </cell>
          <cell r="P1093" t="str">
            <v/>
          </cell>
          <cell r="Q1093" t="str">
            <v/>
          </cell>
          <cell r="R1093">
            <v>90</v>
          </cell>
        </row>
        <row r="1094">
          <cell r="A1094" t="str">
            <v/>
          </cell>
          <cell r="B1094" t="str">
            <v/>
          </cell>
          <cell r="C1094" t="str">
            <v>Future</v>
          </cell>
          <cell r="D1094" t="e">
            <v>#N/A</v>
          </cell>
          <cell r="E1094">
            <v>-78.860078740158087</v>
          </cell>
          <cell r="F1094">
            <v>142.71472440944893</v>
          </cell>
          <cell r="G1094">
            <v>37.202913385826569</v>
          </cell>
          <cell r="H1094">
            <v>37.202913385826569</v>
          </cell>
          <cell r="I1094" t="e">
            <v>#N/A</v>
          </cell>
          <cell r="J1094" t="e">
            <v>#N/A</v>
          </cell>
          <cell r="K1094">
            <v>105</v>
          </cell>
          <cell r="L1094">
            <v>55</v>
          </cell>
          <cell r="M1094" t="e">
            <v>#N/A</v>
          </cell>
          <cell r="N1094">
            <v>90</v>
          </cell>
          <cell r="O1094" t="e">
            <v>#N/A</v>
          </cell>
          <cell r="P1094" t="str">
            <v/>
          </cell>
          <cell r="Q1094" t="str">
            <v/>
          </cell>
          <cell r="R1094">
            <v>90</v>
          </cell>
        </row>
        <row r="1095">
          <cell r="A1095" t="str">
            <v/>
          </cell>
          <cell r="B1095" t="str">
            <v/>
          </cell>
          <cell r="C1095" t="str">
            <v>Future</v>
          </cell>
          <cell r="D1095" t="e">
            <v>#N/A</v>
          </cell>
          <cell r="E1095">
            <v>-79.139724409449428</v>
          </cell>
          <cell r="F1095">
            <v>142.84846456692924</v>
          </cell>
          <cell r="G1095">
            <v>37.139803149606095</v>
          </cell>
          <cell r="H1095">
            <v>37.139803149606095</v>
          </cell>
          <cell r="I1095" t="e">
            <v>#N/A</v>
          </cell>
          <cell r="J1095" t="e">
            <v>#N/A</v>
          </cell>
          <cell r="K1095">
            <v>105</v>
          </cell>
          <cell r="L1095">
            <v>55</v>
          </cell>
          <cell r="M1095" t="e">
            <v>#N/A</v>
          </cell>
          <cell r="N1095">
            <v>90</v>
          </cell>
          <cell r="O1095" t="e">
            <v>#N/A</v>
          </cell>
          <cell r="P1095" t="str">
            <v/>
          </cell>
          <cell r="Q1095" t="str">
            <v/>
          </cell>
          <cell r="R1095">
            <v>90</v>
          </cell>
        </row>
        <row r="1096">
          <cell r="A1096" t="str">
            <v/>
          </cell>
          <cell r="B1096" t="str">
            <v/>
          </cell>
          <cell r="C1096" t="str">
            <v>Future</v>
          </cell>
          <cell r="D1096" t="e">
            <v>#N/A</v>
          </cell>
          <cell r="E1096">
            <v>-79.419370078740769</v>
          </cell>
          <cell r="F1096">
            <v>142.98220472440954</v>
          </cell>
          <cell r="G1096">
            <v>37.076692913385621</v>
          </cell>
          <cell r="H1096">
            <v>37.076692913385621</v>
          </cell>
          <cell r="I1096" t="e">
            <v>#N/A</v>
          </cell>
          <cell r="J1096" t="e">
            <v>#N/A</v>
          </cell>
          <cell r="K1096">
            <v>105</v>
          </cell>
          <cell r="L1096">
            <v>55</v>
          </cell>
          <cell r="M1096" t="e">
            <v>#N/A</v>
          </cell>
          <cell r="N1096">
            <v>90</v>
          </cell>
          <cell r="O1096" t="e">
            <v>#N/A</v>
          </cell>
          <cell r="P1096" t="str">
            <v/>
          </cell>
          <cell r="Q1096" t="str">
            <v/>
          </cell>
          <cell r="R1096">
            <v>90</v>
          </cell>
        </row>
        <row r="1097">
          <cell r="A1097" t="str">
            <v/>
          </cell>
          <cell r="B1097" t="str">
            <v/>
          </cell>
          <cell r="C1097" t="str">
            <v>Future</v>
          </cell>
          <cell r="D1097" t="e">
            <v>#N/A</v>
          </cell>
          <cell r="E1097">
            <v>-79.69901574803211</v>
          </cell>
          <cell r="F1097">
            <v>143.11594488188985</v>
          </cell>
          <cell r="G1097">
            <v>37.013582677165147</v>
          </cell>
          <cell r="H1097">
            <v>37.013582677165147</v>
          </cell>
          <cell r="I1097" t="e">
            <v>#N/A</v>
          </cell>
          <cell r="J1097" t="e">
            <v>#N/A</v>
          </cell>
          <cell r="K1097">
            <v>105</v>
          </cell>
          <cell r="L1097">
            <v>55</v>
          </cell>
          <cell r="M1097" t="e">
            <v>#N/A</v>
          </cell>
          <cell r="N1097">
            <v>90</v>
          </cell>
          <cell r="O1097" t="e">
            <v>#N/A</v>
          </cell>
          <cell r="P1097" t="str">
            <v/>
          </cell>
          <cell r="Q1097" t="str">
            <v/>
          </cell>
          <cell r="R1097">
            <v>90</v>
          </cell>
        </row>
        <row r="1098">
          <cell r="A1098" t="str">
            <v/>
          </cell>
          <cell r="B1098" t="str">
            <v/>
          </cell>
          <cell r="C1098" t="str">
            <v>Future</v>
          </cell>
          <cell r="D1098" t="e">
            <v>#N/A</v>
          </cell>
          <cell r="E1098">
            <v>-79.978661417323451</v>
          </cell>
          <cell r="F1098">
            <v>143.24968503937015</v>
          </cell>
          <cell r="G1098">
            <v>36.950472440944672</v>
          </cell>
          <cell r="H1098">
            <v>36.950472440944672</v>
          </cell>
          <cell r="I1098" t="e">
            <v>#N/A</v>
          </cell>
          <cell r="J1098" t="e">
            <v>#N/A</v>
          </cell>
          <cell r="K1098">
            <v>105</v>
          </cell>
          <cell r="L1098">
            <v>55</v>
          </cell>
          <cell r="M1098" t="e">
            <v>#N/A</v>
          </cell>
          <cell r="N1098">
            <v>90</v>
          </cell>
          <cell r="O1098" t="e">
            <v>#N/A</v>
          </cell>
          <cell r="P1098" t="str">
            <v/>
          </cell>
          <cell r="Q1098" t="str">
            <v/>
          </cell>
          <cell r="R1098">
            <v>90</v>
          </cell>
        </row>
        <row r="1099">
          <cell r="A1099" t="str">
            <v/>
          </cell>
          <cell r="B1099" t="str">
            <v/>
          </cell>
          <cell r="C1099" t="str">
            <v>Future</v>
          </cell>
          <cell r="D1099" t="e">
            <v>#N/A</v>
          </cell>
          <cell r="E1099">
            <v>-80.258307086614792</v>
          </cell>
          <cell r="F1099">
            <v>143.38342519685045</v>
          </cell>
          <cell r="G1099">
            <v>36.887362204724198</v>
          </cell>
          <cell r="H1099">
            <v>36.887362204724198</v>
          </cell>
          <cell r="I1099" t="e">
            <v>#N/A</v>
          </cell>
          <cell r="J1099" t="e">
            <v>#N/A</v>
          </cell>
          <cell r="K1099">
            <v>105</v>
          </cell>
          <cell r="L1099">
            <v>55</v>
          </cell>
          <cell r="M1099" t="e">
            <v>#N/A</v>
          </cell>
          <cell r="N1099">
            <v>90</v>
          </cell>
          <cell r="O1099" t="e">
            <v>#N/A</v>
          </cell>
          <cell r="P1099" t="str">
            <v/>
          </cell>
          <cell r="Q1099" t="str">
            <v/>
          </cell>
          <cell r="R1099">
            <v>90</v>
          </cell>
        </row>
        <row r="1100">
          <cell r="A1100" t="str">
            <v/>
          </cell>
          <cell r="B1100" t="str">
            <v/>
          </cell>
          <cell r="C1100" t="str">
            <v>Future</v>
          </cell>
          <cell r="D1100" t="e">
            <v>#N/A</v>
          </cell>
          <cell r="E1100">
            <v>-80.537952755906133</v>
          </cell>
          <cell r="F1100">
            <v>143.51716535433076</v>
          </cell>
          <cell r="G1100">
            <v>36.824251968503724</v>
          </cell>
          <cell r="H1100">
            <v>36.824251968503724</v>
          </cell>
          <cell r="I1100" t="e">
            <v>#N/A</v>
          </cell>
          <cell r="J1100" t="e">
            <v>#N/A</v>
          </cell>
          <cell r="K1100">
            <v>105</v>
          </cell>
          <cell r="L1100">
            <v>55</v>
          </cell>
          <cell r="M1100" t="e">
            <v>#N/A</v>
          </cell>
          <cell r="N1100">
            <v>90</v>
          </cell>
          <cell r="O1100" t="e">
            <v>#N/A</v>
          </cell>
          <cell r="P1100" t="str">
            <v/>
          </cell>
          <cell r="Q1100" t="str">
            <v/>
          </cell>
          <cell r="R1100">
            <v>90</v>
          </cell>
        </row>
        <row r="1101">
          <cell r="A1101" t="str">
            <v/>
          </cell>
          <cell r="B1101" t="str">
            <v/>
          </cell>
          <cell r="C1101" t="str">
            <v>Future</v>
          </cell>
          <cell r="D1101" t="e">
            <v>#N/A</v>
          </cell>
          <cell r="E1101">
            <v>-80.817598425197474</v>
          </cell>
          <cell r="F1101">
            <v>143.65090551181106</v>
          </cell>
          <cell r="G1101">
            <v>36.761141732283249</v>
          </cell>
          <cell r="H1101">
            <v>36.761141732283249</v>
          </cell>
          <cell r="I1101" t="e">
            <v>#N/A</v>
          </cell>
          <cell r="J1101" t="e">
            <v>#N/A</v>
          </cell>
          <cell r="K1101">
            <v>105</v>
          </cell>
          <cell r="L1101">
            <v>55</v>
          </cell>
          <cell r="M1101" t="e">
            <v>#N/A</v>
          </cell>
          <cell r="N1101">
            <v>90</v>
          </cell>
          <cell r="O1101" t="e">
            <v>#N/A</v>
          </cell>
          <cell r="P1101" t="str">
            <v/>
          </cell>
          <cell r="Q1101" t="str">
            <v/>
          </cell>
          <cell r="R1101">
            <v>90</v>
          </cell>
        </row>
        <row r="1102">
          <cell r="A1102" t="str">
            <v/>
          </cell>
          <cell r="B1102" t="str">
            <v/>
          </cell>
          <cell r="C1102" t="str">
            <v>Future</v>
          </cell>
          <cell r="D1102" t="e">
            <v>#N/A</v>
          </cell>
          <cell r="E1102">
            <v>-81.097244094488815</v>
          </cell>
          <cell r="F1102">
            <v>143.78464566929136</v>
          </cell>
          <cell r="G1102">
            <v>36.698031496062775</v>
          </cell>
          <cell r="H1102">
            <v>36.698031496062775</v>
          </cell>
          <cell r="I1102" t="e">
            <v>#N/A</v>
          </cell>
          <cell r="J1102" t="e">
            <v>#N/A</v>
          </cell>
          <cell r="K1102">
            <v>105</v>
          </cell>
          <cell r="L1102">
            <v>55</v>
          </cell>
          <cell r="M1102" t="e">
            <v>#N/A</v>
          </cell>
          <cell r="N1102">
            <v>90</v>
          </cell>
          <cell r="O1102" t="e">
            <v>#N/A</v>
          </cell>
          <cell r="P1102" t="str">
            <v/>
          </cell>
          <cell r="Q1102" t="str">
            <v/>
          </cell>
          <cell r="R1102">
            <v>90</v>
          </cell>
        </row>
        <row r="1103">
          <cell r="A1103" t="str">
            <v/>
          </cell>
          <cell r="B1103" t="str">
            <v/>
          </cell>
          <cell r="C1103" t="str">
            <v>Future</v>
          </cell>
          <cell r="D1103" t="e">
            <v>#N/A</v>
          </cell>
          <cell r="E1103">
            <v>-81.376889763780156</v>
          </cell>
          <cell r="F1103">
            <v>143.91838582677167</v>
          </cell>
          <cell r="G1103">
            <v>36.634921259842301</v>
          </cell>
          <cell r="H1103">
            <v>36.634921259842301</v>
          </cell>
          <cell r="I1103" t="e">
            <v>#N/A</v>
          </cell>
          <cell r="J1103" t="e">
            <v>#N/A</v>
          </cell>
          <cell r="K1103">
            <v>105</v>
          </cell>
          <cell r="L1103">
            <v>55</v>
          </cell>
          <cell r="M1103" t="e">
            <v>#N/A</v>
          </cell>
          <cell r="N1103">
            <v>90</v>
          </cell>
          <cell r="O1103" t="e">
            <v>#N/A</v>
          </cell>
          <cell r="P1103" t="str">
            <v/>
          </cell>
          <cell r="Q1103" t="str">
            <v/>
          </cell>
          <cell r="R1103">
            <v>90</v>
          </cell>
        </row>
        <row r="1104">
          <cell r="A1104" t="str">
            <v/>
          </cell>
          <cell r="B1104" t="str">
            <v/>
          </cell>
          <cell r="C1104" t="str">
            <v>Future</v>
          </cell>
          <cell r="D1104" t="e">
            <v>#N/A</v>
          </cell>
          <cell r="E1104">
            <v>-81.656535433071497</v>
          </cell>
          <cell r="F1104">
            <v>144.05212598425197</v>
          </cell>
          <cell r="G1104">
            <v>36.571811023621827</v>
          </cell>
          <cell r="H1104">
            <v>36.571811023621827</v>
          </cell>
          <cell r="I1104" t="e">
            <v>#N/A</v>
          </cell>
          <cell r="J1104" t="e">
            <v>#N/A</v>
          </cell>
          <cell r="K1104">
            <v>105</v>
          </cell>
          <cell r="L1104">
            <v>55</v>
          </cell>
          <cell r="M1104" t="e">
            <v>#N/A</v>
          </cell>
          <cell r="N1104">
            <v>90</v>
          </cell>
          <cell r="O1104" t="e">
            <v>#N/A</v>
          </cell>
          <cell r="P1104" t="str">
            <v/>
          </cell>
          <cell r="Q1104" t="str">
            <v/>
          </cell>
          <cell r="R1104">
            <v>90</v>
          </cell>
        </row>
        <row r="1105">
          <cell r="A1105" t="str">
            <v/>
          </cell>
          <cell r="B1105" t="str">
            <v/>
          </cell>
          <cell r="C1105" t="str">
            <v>Future</v>
          </cell>
          <cell r="D1105" t="e">
            <v>#N/A</v>
          </cell>
          <cell r="E1105">
            <v>-81.936181102362838</v>
          </cell>
          <cell r="F1105">
            <v>144.18586614173228</v>
          </cell>
          <cell r="G1105">
            <v>36.508700787401352</v>
          </cell>
          <cell r="H1105">
            <v>36.508700787401352</v>
          </cell>
          <cell r="I1105" t="e">
            <v>#N/A</v>
          </cell>
          <cell r="J1105" t="e">
            <v>#N/A</v>
          </cell>
          <cell r="K1105">
            <v>105</v>
          </cell>
          <cell r="L1105">
            <v>55</v>
          </cell>
          <cell r="M1105" t="e">
            <v>#N/A</v>
          </cell>
          <cell r="N1105">
            <v>90</v>
          </cell>
          <cell r="O1105" t="e">
            <v>#N/A</v>
          </cell>
          <cell r="P1105" t="str">
            <v/>
          </cell>
          <cell r="Q1105" t="str">
            <v/>
          </cell>
          <cell r="R1105">
            <v>90</v>
          </cell>
        </row>
        <row r="1106">
          <cell r="A1106" t="str">
            <v/>
          </cell>
          <cell r="B1106" t="str">
            <v/>
          </cell>
          <cell r="C1106" t="str">
            <v>Future</v>
          </cell>
          <cell r="D1106" t="e">
            <v>#N/A</v>
          </cell>
          <cell r="E1106">
            <v>-82.215826771654179</v>
          </cell>
          <cell r="F1106">
            <v>144.31960629921258</v>
          </cell>
          <cell r="G1106">
            <v>36.445590551180878</v>
          </cell>
          <cell r="H1106">
            <v>36.445590551180878</v>
          </cell>
          <cell r="I1106" t="e">
            <v>#N/A</v>
          </cell>
          <cell r="J1106" t="e">
            <v>#N/A</v>
          </cell>
          <cell r="K1106">
            <v>105</v>
          </cell>
          <cell r="L1106">
            <v>55</v>
          </cell>
          <cell r="M1106" t="e">
            <v>#N/A</v>
          </cell>
          <cell r="N1106">
            <v>90</v>
          </cell>
          <cell r="O1106" t="e">
            <v>#N/A</v>
          </cell>
          <cell r="P1106" t="str">
            <v/>
          </cell>
          <cell r="Q1106" t="str">
            <v/>
          </cell>
          <cell r="R1106">
            <v>90</v>
          </cell>
        </row>
        <row r="1107">
          <cell r="A1107" t="str">
            <v/>
          </cell>
          <cell r="B1107" t="str">
            <v/>
          </cell>
          <cell r="C1107" t="str">
            <v>Future</v>
          </cell>
          <cell r="D1107" t="e">
            <v>#N/A</v>
          </cell>
          <cell r="E1107">
            <v>-82.49547244094552</v>
          </cell>
          <cell r="F1107">
            <v>144.45334645669288</v>
          </cell>
          <cell r="G1107">
            <v>36.382480314960404</v>
          </cell>
          <cell r="H1107">
            <v>36.382480314960404</v>
          </cell>
          <cell r="I1107" t="e">
            <v>#N/A</v>
          </cell>
          <cell r="J1107" t="e">
            <v>#N/A</v>
          </cell>
          <cell r="K1107">
            <v>105</v>
          </cell>
          <cell r="L1107">
            <v>55</v>
          </cell>
          <cell r="M1107" t="e">
            <v>#N/A</v>
          </cell>
          <cell r="N1107">
            <v>90</v>
          </cell>
          <cell r="O1107" t="e">
            <v>#N/A</v>
          </cell>
          <cell r="P1107" t="str">
            <v/>
          </cell>
          <cell r="Q1107" t="str">
            <v/>
          </cell>
          <cell r="R1107">
            <v>90</v>
          </cell>
        </row>
        <row r="1108">
          <cell r="A1108" t="str">
            <v/>
          </cell>
          <cell r="B1108" t="str">
            <v/>
          </cell>
          <cell r="C1108" t="str">
            <v>Future</v>
          </cell>
          <cell r="D1108" t="e">
            <v>#N/A</v>
          </cell>
          <cell r="E1108">
            <v>-82.775118110236861</v>
          </cell>
          <cell r="F1108">
            <v>144.58708661417319</v>
          </cell>
          <cell r="G1108">
            <v>36.319370078739929</v>
          </cell>
          <cell r="H1108">
            <v>36.319370078739929</v>
          </cell>
          <cell r="I1108" t="e">
            <v>#N/A</v>
          </cell>
          <cell r="J1108" t="e">
            <v>#N/A</v>
          </cell>
          <cell r="K1108">
            <v>105</v>
          </cell>
          <cell r="L1108">
            <v>55</v>
          </cell>
          <cell r="M1108" t="e">
            <v>#N/A</v>
          </cell>
          <cell r="N1108">
            <v>90</v>
          </cell>
          <cell r="O1108" t="e">
            <v>#N/A</v>
          </cell>
          <cell r="P1108" t="str">
            <v/>
          </cell>
          <cell r="Q1108" t="str">
            <v/>
          </cell>
          <cell r="R1108">
            <v>90</v>
          </cell>
        </row>
        <row r="1109">
          <cell r="A1109" t="str">
            <v/>
          </cell>
          <cell r="B1109" t="str">
            <v/>
          </cell>
          <cell r="C1109" t="str">
            <v>Future</v>
          </cell>
          <cell r="D1109" t="e">
            <v>#N/A</v>
          </cell>
          <cell r="E1109">
            <v>-83.054763779528201</v>
          </cell>
          <cell r="F1109">
            <v>144.72082677165349</v>
          </cell>
          <cell r="G1109">
            <v>36.256259842519455</v>
          </cell>
          <cell r="H1109">
            <v>36.256259842519455</v>
          </cell>
          <cell r="I1109" t="e">
            <v>#N/A</v>
          </cell>
          <cell r="J1109" t="e">
            <v>#N/A</v>
          </cell>
          <cell r="K1109">
            <v>105</v>
          </cell>
          <cell r="L1109">
            <v>55</v>
          </cell>
          <cell r="M1109" t="e">
            <v>#N/A</v>
          </cell>
          <cell r="N1109">
            <v>90</v>
          </cell>
          <cell r="O1109" t="e">
            <v>#N/A</v>
          </cell>
          <cell r="P1109" t="str">
            <v/>
          </cell>
          <cell r="Q1109" t="str">
            <v/>
          </cell>
          <cell r="R1109">
            <v>90</v>
          </cell>
        </row>
        <row r="1110">
          <cell r="A1110" t="str">
            <v/>
          </cell>
          <cell r="B1110" t="str">
            <v/>
          </cell>
          <cell r="C1110" t="str">
            <v>Future</v>
          </cell>
          <cell r="D1110" t="e">
            <v>#N/A</v>
          </cell>
          <cell r="E1110">
            <v>-83.334409448819542</v>
          </cell>
          <cell r="F1110">
            <v>144.8545669291338</v>
          </cell>
          <cell r="G1110">
            <v>36.193149606298981</v>
          </cell>
          <cell r="H1110">
            <v>36.193149606298981</v>
          </cell>
          <cell r="I1110" t="e">
            <v>#N/A</v>
          </cell>
          <cell r="J1110" t="e">
            <v>#N/A</v>
          </cell>
          <cell r="K1110">
            <v>105</v>
          </cell>
          <cell r="L1110">
            <v>55</v>
          </cell>
          <cell r="M1110" t="e">
            <v>#N/A</v>
          </cell>
          <cell r="N1110">
            <v>90</v>
          </cell>
          <cell r="O1110" t="e">
            <v>#N/A</v>
          </cell>
          <cell r="P1110" t="str">
            <v/>
          </cell>
          <cell r="Q1110" t="str">
            <v/>
          </cell>
          <cell r="R1110">
            <v>90</v>
          </cell>
        </row>
        <row r="1111">
          <cell r="A1111" t="str">
            <v/>
          </cell>
          <cell r="B1111" t="str">
            <v/>
          </cell>
          <cell r="C1111" t="str">
            <v>Future</v>
          </cell>
          <cell r="D1111" t="e">
            <v>#N/A</v>
          </cell>
          <cell r="E1111">
            <v>-83.614055118110883</v>
          </cell>
          <cell r="F1111">
            <v>144.9883070866141</v>
          </cell>
          <cell r="G1111">
            <v>36.130039370078507</v>
          </cell>
          <cell r="H1111">
            <v>36.130039370078507</v>
          </cell>
          <cell r="I1111" t="e">
            <v>#N/A</v>
          </cell>
          <cell r="J1111" t="e">
            <v>#N/A</v>
          </cell>
          <cell r="K1111">
            <v>105</v>
          </cell>
          <cell r="L1111">
            <v>55</v>
          </cell>
          <cell r="M1111" t="e">
            <v>#N/A</v>
          </cell>
          <cell r="N1111">
            <v>90</v>
          </cell>
          <cell r="O1111" t="e">
            <v>#N/A</v>
          </cell>
          <cell r="P1111" t="str">
            <v/>
          </cell>
          <cell r="Q1111" t="str">
            <v/>
          </cell>
          <cell r="R1111">
            <v>90</v>
          </cell>
        </row>
        <row r="1112">
          <cell r="A1112" t="str">
            <v/>
          </cell>
          <cell r="B1112" t="str">
            <v/>
          </cell>
          <cell r="C1112" t="str">
            <v>Future</v>
          </cell>
          <cell r="D1112" t="e">
            <v>#N/A</v>
          </cell>
          <cell r="E1112">
            <v>-83.893700787402224</v>
          </cell>
          <cell r="F1112">
            <v>145.1220472440944</v>
          </cell>
          <cell r="G1112">
            <v>36.066929133858032</v>
          </cell>
          <cell r="H1112">
            <v>36.066929133858032</v>
          </cell>
          <cell r="I1112" t="e">
            <v>#N/A</v>
          </cell>
          <cell r="J1112" t="e">
            <v>#N/A</v>
          </cell>
          <cell r="K1112">
            <v>105</v>
          </cell>
          <cell r="L1112">
            <v>55</v>
          </cell>
          <cell r="M1112" t="e">
            <v>#N/A</v>
          </cell>
          <cell r="N1112">
            <v>90</v>
          </cell>
          <cell r="O1112" t="e">
            <v>#N/A</v>
          </cell>
          <cell r="P1112" t="str">
            <v/>
          </cell>
          <cell r="Q1112" t="str">
            <v/>
          </cell>
          <cell r="R1112">
            <v>90</v>
          </cell>
        </row>
        <row r="1113">
          <cell r="A1113" t="str">
            <v/>
          </cell>
          <cell r="B1113" t="str">
            <v/>
          </cell>
          <cell r="C1113" t="str">
            <v>Future</v>
          </cell>
          <cell r="D1113" t="e">
            <v>#N/A</v>
          </cell>
          <cell r="E1113">
            <v>-84.173346456693565</v>
          </cell>
          <cell r="F1113">
            <v>145.25578740157471</v>
          </cell>
          <cell r="G1113">
            <v>36.003818897637558</v>
          </cell>
          <cell r="H1113">
            <v>36.003818897637558</v>
          </cell>
          <cell r="I1113" t="e">
            <v>#N/A</v>
          </cell>
          <cell r="J1113" t="e">
            <v>#N/A</v>
          </cell>
          <cell r="K1113">
            <v>105</v>
          </cell>
          <cell r="L1113">
            <v>55</v>
          </cell>
          <cell r="M1113" t="e">
            <v>#N/A</v>
          </cell>
          <cell r="N1113">
            <v>90</v>
          </cell>
          <cell r="O1113" t="e">
            <v>#N/A</v>
          </cell>
          <cell r="P1113" t="str">
            <v/>
          </cell>
          <cell r="Q1113" t="str">
            <v/>
          </cell>
          <cell r="R1113">
            <v>90</v>
          </cell>
        </row>
        <row r="1114">
          <cell r="A1114" t="str">
            <v/>
          </cell>
          <cell r="B1114" t="str">
            <v/>
          </cell>
          <cell r="C1114" t="str">
            <v>Future</v>
          </cell>
          <cell r="D1114" t="e">
            <v>#N/A</v>
          </cell>
          <cell r="E1114">
            <v>-84.452992125984906</v>
          </cell>
          <cell r="F1114">
            <v>145.38952755905501</v>
          </cell>
          <cell r="G1114">
            <v>35.940708661417084</v>
          </cell>
          <cell r="H1114">
            <v>35.940708661417084</v>
          </cell>
          <cell r="I1114" t="e">
            <v>#N/A</v>
          </cell>
          <cell r="J1114" t="e">
            <v>#N/A</v>
          </cell>
          <cell r="K1114">
            <v>105</v>
          </cell>
          <cell r="L1114">
            <v>55</v>
          </cell>
          <cell r="M1114" t="e">
            <v>#N/A</v>
          </cell>
          <cell r="N1114">
            <v>90</v>
          </cell>
          <cell r="O1114" t="e">
            <v>#N/A</v>
          </cell>
          <cell r="P1114" t="str">
            <v/>
          </cell>
          <cell r="Q1114" t="str">
            <v/>
          </cell>
          <cell r="R1114">
            <v>90</v>
          </cell>
        </row>
        <row r="1115">
          <cell r="A1115" t="str">
            <v/>
          </cell>
          <cell r="B1115" t="str">
            <v/>
          </cell>
          <cell r="C1115" t="str">
            <v>Future</v>
          </cell>
          <cell r="D1115" t="e">
            <v>#N/A</v>
          </cell>
          <cell r="E1115">
            <v>-84.732637795276247</v>
          </cell>
          <cell r="F1115">
            <v>145.52326771653532</v>
          </cell>
          <cell r="G1115">
            <v>35.877598425196609</v>
          </cell>
          <cell r="H1115">
            <v>35.877598425196609</v>
          </cell>
          <cell r="I1115" t="e">
            <v>#N/A</v>
          </cell>
          <cell r="J1115" t="e">
            <v>#N/A</v>
          </cell>
          <cell r="K1115">
            <v>105</v>
          </cell>
          <cell r="L1115">
            <v>55</v>
          </cell>
          <cell r="M1115" t="e">
            <v>#N/A</v>
          </cell>
          <cell r="N1115">
            <v>90</v>
          </cell>
          <cell r="O1115" t="e">
            <v>#N/A</v>
          </cell>
          <cell r="P1115" t="str">
            <v/>
          </cell>
          <cell r="Q1115" t="str">
            <v/>
          </cell>
          <cell r="R1115">
            <v>90</v>
          </cell>
        </row>
        <row r="1116">
          <cell r="A1116" t="str">
            <v/>
          </cell>
          <cell r="B1116" t="str">
            <v/>
          </cell>
          <cell r="C1116" t="str">
            <v>Future</v>
          </cell>
          <cell r="D1116" t="e">
            <v>#N/A</v>
          </cell>
          <cell r="E1116">
            <v>-85.012283464567588</v>
          </cell>
          <cell r="F1116">
            <v>145.65700787401562</v>
          </cell>
          <cell r="G1116">
            <v>35.814488188976135</v>
          </cell>
          <cell r="H1116">
            <v>35.814488188976135</v>
          </cell>
          <cell r="I1116" t="e">
            <v>#N/A</v>
          </cell>
          <cell r="J1116" t="e">
            <v>#N/A</v>
          </cell>
          <cell r="K1116">
            <v>105</v>
          </cell>
          <cell r="L1116">
            <v>55</v>
          </cell>
          <cell r="M1116" t="e">
            <v>#N/A</v>
          </cell>
          <cell r="N1116">
            <v>90</v>
          </cell>
          <cell r="O1116" t="e">
            <v>#N/A</v>
          </cell>
          <cell r="P1116" t="str">
            <v/>
          </cell>
          <cell r="Q1116" t="str">
            <v/>
          </cell>
          <cell r="R1116">
            <v>90</v>
          </cell>
        </row>
        <row r="1117">
          <cell r="A1117" t="str">
            <v/>
          </cell>
          <cell r="B1117" t="str">
            <v/>
          </cell>
          <cell r="C1117" t="str">
            <v>Future</v>
          </cell>
          <cell r="D1117" t="e">
            <v>#N/A</v>
          </cell>
          <cell r="E1117">
            <v>-85.291929133858929</v>
          </cell>
          <cell r="F1117">
            <v>145.79074803149592</v>
          </cell>
          <cell r="G1117">
            <v>35.751377952755661</v>
          </cell>
          <cell r="H1117">
            <v>35.751377952755661</v>
          </cell>
          <cell r="I1117" t="e">
            <v>#N/A</v>
          </cell>
          <cell r="J1117" t="e">
            <v>#N/A</v>
          </cell>
          <cell r="K1117">
            <v>105</v>
          </cell>
          <cell r="L1117">
            <v>55</v>
          </cell>
          <cell r="M1117" t="e">
            <v>#N/A</v>
          </cell>
          <cell r="N1117">
            <v>90</v>
          </cell>
          <cell r="O1117" t="e">
            <v>#N/A</v>
          </cell>
          <cell r="P1117" t="str">
            <v/>
          </cell>
          <cell r="Q1117" t="str">
            <v/>
          </cell>
          <cell r="R1117">
            <v>90</v>
          </cell>
        </row>
        <row r="1118">
          <cell r="A1118" t="str">
            <v/>
          </cell>
          <cell r="B1118" t="str">
            <v/>
          </cell>
          <cell r="C1118" t="str">
            <v>Future</v>
          </cell>
          <cell r="D1118" t="e">
            <v>#N/A</v>
          </cell>
          <cell r="E1118">
            <v>-85.57157480315027</v>
          </cell>
          <cell r="F1118">
            <v>145.92448818897623</v>
          </cell>
          <cell r="G1118">
            <v>35.688267716535186</v>
          </cell>
          <cell r="H1118">
            <v>35.688267716535186</v>
          </cell>
          <cell r="I1118" t="e">
            <v>#N/A</v>
          </cell>
          <cell r="J1118" t="e">
            <v>#N/A</v>
          </cell>
          <cell r="K1118">
            <v>105</v>
          </cell>
          <cell r="L1118">
            <v>55</v>
          </cell>
          <cell r="M1118" t="e">
            <v>#N/A</v>
          </cell>
          <cell r="N1118">
            <v>90</v>
          </cell>
          <cell r="O1118" t="e">
            <v>#N/A</v>
          </cell>
          <cell r="P1118" t="str">
            <v/>
          </cell>
          <cell r="Q1118" t="str">
            <v/>
          </cell>
          <cell r="R1118">
            <v>90</v>
          </cell>
        </row>
        <row r="1119">
          <cell r="A1119" t="str">
            <v/>
          </cell>
          <cell r="B1119" t="str">
            <v/>
          </cell>
          <cell r="C1119" t="str">
            <v>Future</v>
          </cell>
          <cell r="D1119" t="e">
            <v>#N/A</v>
          </cell>
          <cell r="E1119">
            <v>-85.851220472441611</v>
          </cell>
          <cell r="F1119">
            <v>146.05822834645653</v>
          </cell>
          <cell r="G1119">
            <v>35.625157480314712</v>
          </cell>
          <cell r="H1119">
            <v>35.625157480314712</v>
          </cell>
          <cell r="I1119" t="e">
            <v>#N/A</v>
          </cell>
          <cell r="J1119" t="e">
            <v>#N/A</v>
          </cell>
          <cell r="K1119">
            <v>105</v>
          </cell>
          <cell r="L1119">
            <v>55</v>
          </cell>
          <cell r="M1119" t="e">
            <v>#N/A</v>
          </cell>
          <cell r="N1119">
            <v>90</v>
          </cell>
          <cell r="O1119" t="e">
            <v>#N/A</v>
          </cell>
          <cell r="P1119" t="str">
            <v/>
          </cell>
          <cell r="Q1119" t="str">
            <v/>
          </cell>
          <cell r="R1119">
            <v>90</v>
          </cell>
        </row>
        <row r="1120">
          <cell r="A1120" t="str">
            <v/>
          </cell>
          <cell r="B1120" t="str">
            <v/>
          </cell>
          <cell r="C1120" t="str">
            <v>Future</v>
          </cell>
          <cell r="D1120" t="e">
            <v>#N/A</v>
          </cell>
          <cell r="E1120">
            <v>-86.130866141732952</v>
          </cell>
          <cell r="F1120">
            <v>146.19196850393683</v>
          </cell>
          <cell r="G1120">
            <v>35.562047244094238</v>
          </cell>
          <cell r="H1120">
            <v>35.562047244094238</v>
          </cell>
          <cell r="I1120" t="e">
            <v>#N/A</v>
          </cell>
          <cell r="J1120" t="e">
            <v>#N/A</v>
          </cell>
          <cell r="K1120">
            <v>105</v>
          </cell>
          <cell r="L1120">
            <v>55</v>
          </cell>
          <cell r="M1120" t="e">
            <v>#N/A</v>
          </cell>
          <cell r="N1120">
            <v>90</v>
          </cell>
          <cell r="O1120" t="e">
            <v>#N/A</v>
          </cell>
          <cell r="P1120" t="str">
            <v/>
          </cell>
          <cell r="Q1120" t="str">
            <v/>
          </cell>
          <cell r="R1120">
            <v>90</v>
          </cell>
        </row>
        <row r="1121">
          <cell r="A1121" t="str">
            <v/>
          </cell>
          <cell r="B1121" t="str">
            <v/>
          </cell>
          <cell r="C1121" t="str">
            <v>Future</v>
          </cell>
          <cell r="D1121" t="e">
            <v>#N/A</v>
          </cell>
          <cell r="E1121">
            <v>-86.410511811024293</v>
          </cell>
          <cell r="F1121">
            <v>146.32570866141714</v>
          </cell>
          <cell r="G1121">
            <v>35.498937007873764</v>
          </cell>
          <cell r="H1121">
            <v>35.498937007873764</v>
          </cell>
          <cell r="I1121" t="e">
            <v>#N/A</v>
          </cell>
          <cell r="J1121" t="e">
            <v>#N/A</v>
          </cell>
          <cell r="K1121">
            <v>105</v>
          </cell>
          <cell r="L1121">
            <v>55</v>
          </cell>
          <cell r="M1121" t="e">
            <v>#N/A</v>
          </cell>
          <cell r="N1121">
            <v>90</v>
          </cell>
          <cell r="O1121" t="e">
            <v>#N/A</v>
          </cell>
          <cell r="P1121" t="str">
            <v/>
          </cell>
          <cell r="Q1121" t="str">
            <v/>
          </cell>
          <cell r="R1121">
            <v>90</v>
          </cell>
        </row>
        <row r="1122">
          <cell r="A1122" t="str">
            <v/>
          </cell>
          <cell r="B1122" t="str">
            <v/>
          </cell>
          <cell r="C1122" t="str">
            <v>Future</v>
          </cell>
          <cell r="D1122" t="e">
            <v>#N/A</v>
          </cell>
          <cell r="E1122">
            <v>-86.690157480315634</v>
          </cell>
          <cell r="F1122">
            <v>146.45944881889744</v>
          </cell>
          <cell r="G1122">
            <v>35.435826771653289</v>
          </cell>
          <cell r="H1122">
            <v>35.435826771653289</v>
          </cell>
          <cell r="I1122" t="e">
            <v>#N/A</v>
          </cell>
          <cell r="J1122" t="e">
            <v>#N/A</v>
          </cell>
          <cell r="K1122">
            <v>105</v>
          </cell>
          <cell r="L1122">
            <v>55</v>
          </cell>
          <cell r="M1122" t="e">
            <v>#N/A</v>
          </cell>
          <cell r="N1122">
            <v>90</v>
          </cell>
          <cell r="O1122" t="e">
            <v>#N/A</v>
          </cell>
          <cell r="P1122" t="str">
            <v/>
          </cell>
          <cell r="Q1122" t="str">
            <v/>
          </cell>
          <cell r="R1122">
            <v>90</v>
          </cell>
        </row>
        <row r="1123">
          <cell r="A1123" t="str">
            <v/>
          </cell>
          <cell r="B1123" t="str">
            <v/>
          </cell>
          <cell r="C1123" t="str">
            <v>Future</v>
          </cell>
          <cell r="D1123" t="e">
            <v>#N/A</v>
          </cell>
          <cell r="E1123">
            <v>-86.969803149606975</v>
          </cell>
          <cell r="F1123">
            <v>146.59318897637775</v>
          </cell>
          <cell r="G1123">
            <v>35.372716535432815</v>
          </cell>
          <cell r="H1123">
            <v>35.372716535432815</v>
          </cell>
          <cell r="I1123" t="e">
            <v>#N/A</v>
          </cell>
          <cell r="J1123" t="e">
            <v>#N/A</v>
          </cell>
          <cell r="K1123">
            <v>105</v>
          </cell>
          <cell r="L1123">
            <v>55</v>
          </cell>
          <cell r="M1123" t="e">
            <v>#N/A</v>
          </cell>
          <cell r="N1123">
            <v>90</v>
          </cell>
          <cell r="O1123" t="e">
            <v>#N/A</v>
          </cell>
          <cell r="P1123" t="str">
            <v/>
          </cell>
          <cell r="Q1123" t="str">
            <v/>
          </cell>
          <cell r="R1123">
            <v>90</v>
          </cell>
        </row>
        <row r="1124">
          <cell r="A1124" t="str">
            <v/>
          </cell>
          <cell r="B1124" t="str">
            <v/>
          </cell>
          <cell r="C1124" t="str">
            <v>Future</v>
          </cell>
          <cell r="D1124" t="e">
            <v>#N/A</v>
          </cell>
          <cell r="E1124">
            <v>-87.249448818898315</v>
          </cell>
          <cell r="F1124">
            <v>146.72692913385805</v>
          </cell>
          <cell r="G1124">
            <v>35.309606299212341</v>
          </cell>
          <cell r="H1124">
            <v>35.309606299212341</v>
          </cell>
          <cell r="I1124" t="e">
            <v>#N/A</v>
          </cell>
          <cell r="J1124" t="e">
            <v>#N/A</v>
          </cell>
          <cell r="K1124">
            <v>105</v>
          </cell>
          <cell r="L1124">
            <v>55</v>
          </cell>
          <cell r="M1124" t="e">
            <v>#N/A</v>
          </cell>
          <cell r="N1124">
            <v>90</v>
          </cell>
          <cell r="O1124" t="e">
            <v>#N/A</v>
          </cell>
          <cell r="P1124" t="str">
            <v/>
          </cell>
          <cell r="Q1124" t="str">
            <v/>
          </cell>
          <cell r="R1124">
            <v>90</v>
          </cell>
        </row>
        <row r="1125">
          <cell r="A1125" t="str">
            <v/>
          </cell>
          <cell r="B1125" t="str">
            <v/>
          </cell>
          <cell r="C1125" t="str">
            <v>Future</v>
          </cell>
          <cell r="D1125" t="e">
            <v>#N/A</v>
          </cell>
          <cell r="E1125">
            <v>-87.529094488189656</v>
          </cell>
          <cell r="F1125">
            <v>146.86066929133835</v>
          </cell>
          <cell r="G1125">
            <v>35.246496062991866</v>
          </cell>
          <cell r="H1125">
            <v>35.246496062991866</v>
          </cell>
          <cell r="I1125" t="e">
            <v>#N/A</v>
          </cell>
          <cell r="J1125" t="e">
            <v>#N/A</v>
          </cell>
          <cell r="K1125">
            <v>105</v>
          </cell>
          <cell r="L1125">
            <v>55</v>
          </cell>
          <cell r="M1125" t="e">
            <v>#N/A</v>
          </cell>
          <cell r="N1125">
            <v>90</v>
          </cell>
          <cell r="O1125" t="e">
            <v>#N/A</v>
          </cell>
          <cell r="P1125" t="str">
            <v/>
          </cell>
          <cell r="Q1125" t="str">
            <v/>
          </cell>
          <cell r="R1125">
            <v>90</v>
          </cell>
        </row>
        <row r="1126">
          <cell r="A1126" t="str">
            <v/>
          </cell>
          <cell r="B1126" t="str">
            <v/>
          </cell>
          <cell r="C1126" t="str">
            <v>Future</v>
          </cell>
          <cell r="D1126" t="e">
            <v>#N/A</v>
          </cell>
          <cell r="E1126">
            <v>-87.808740157480997</v>
          </cell>
          <cell r="F1126">
            <v>146.99440944881866</v>
          </cell>
          <cell r="G1126">
            <v>35.183385826771392</v>
          </cell>
          <cell r="H1126">
            <v>35.183385826771392</v>
          </cell>
          <cell r="I1126" t="e">
            <v>#N/A</v>
          </cell>
          <cell r="J1126" t="e">
            <v>#N/A</v>
          </cell>
          <cell r="K1126">
            <v>105</v>
          </cell>
          <cell r="L1126">
            <v>55</v>
          </cell>
          <cell r="M1126" t="e">
            <v>#N/A</v>
          </cell>
          <cell r="N1126">
            <v>90</v>
          </cell>
          <cell r="O1126" t="e">
            <v>#N/A</v>
          </cell>
          <cell r="P1126" t="str">
            <v/>
          </cell>
          <cell r="Q1126" t="str">
            <v/>
          </cell>
          <cell r="R1126">
            <v>90</v>
          </cell>
        </row>
        <row r="1127">
          <cell r="A1127" t="str">
            <v/>
          </cell>
          <cell r="B1127" t="str">
            <v/>
          </cell>
          <cell r="C1127" t="str">
            <v>Future</v>
          </cell>
          <cell r="D1127" t="e">
            <v>#N/A</v>
          </cell>
          <cell r="E1127">
            <v>-88.088385826772338</v>
          </cell>
          <cell r="F1127">
            <v>147.12814960629896</v>
          </cell>
          <cell r="G1127">
            <v>35.120275590550918</v>
          </cell>
          <cell r="H1127">
            <v>35.120275590550918</v>
          </cell>
          <cell r="I1127" t="e">
            <v>#N/A</v>
          </cell>
          <cell r="J1127" t="e">
            <v>#N/A</v>
          </cell>
          <cell r="K1127">
            <v>105</v>
          </cell>
          <cell r="L1127">
            <v>55</v>
          </cell>
          <cell r="M1127" t="e">
            <v>#N/A</v>
          </cell>
          <cell r="N1127">
            <v>90</v>
          </cell>
          <cell r="O1127" t="e">
            <v>#N/A</v>
          </cell>
          <cell r="P1127" t="str">
            <v/>
          </cell>
          <cell r="Q1127" t="str">
            <v/>
          </cell>
          <cell r="R1127">
            <v>90</v>
          </cell>
        </row>
        <row r="1128">
          <cell r="A1128" t="str">
            <v/>
          </cell>
          <cell r="B1128" t="str">
            <v/>
          </cell>
          <cell r="C1128" t="str">
            <v>Future</v>
          </cell>
          <cell r="D1128" t="e">
            <v>#N/A</v>
          </cell>
          <cell r="E1128">
            <v>-88.368031496063679</v>
          </cell>
          <cell r="F1128">
            <v>147.26188976377927</v>
          </cell>
          <cell r="G1128">
            <v>35.057165354330444</v>
          </cell>
          <cell r="H1128">
            <v>35.057165354330444</v>
          </cell>
          <cell r="I1128" t="e">
            <v>#N/A</v>
          </cell>
          <cell r="J1128" t="e">
            <v>#N/A</v>
          </cell>
          <cell r="K1128">
            <v>105</v>
          </cell>
          <cell r="L1128">
            <v>55</v>
          </cell>
          <cell r="M1128" t="e">
            <v>#N/A</v>
          </cell>
          <cell r="N1128">
            <v>90</v>
          </cell>
          <cell r="O1128" t="e">
            <v>#N/A</v>
          </cell>
          <cell r="P1128" t="str">
            <v/>
          </cell>
          <cell r="Q1128" t="str">
            <v/>
          </cell>
          <cell r="R1128">
            <v>90</v>
          </cell>
        </row>
        <row r="1129">
          <cell r="A1129" t="str">
            <v/>
          </cell>
          <cell r="B1129" t="str">
            <v/>
          </cell>
          <cell r="C1129" t="str">
            <v>Future</v>
          </cell>
          <cell r="D1129" t="e">
            <v>#N/A</v>
          </cell>
          <cell r="E1129">
            <v>-88.64767716535502</v>
          </cell>
          <cell r="F1129">
            <v>147.39562992125957</v>
          </cell>
          <cell r="G1129">
            <v>34.994055118109969</v>
          </cell>
          <cell r="H1129">
            <v>34.994055118109969</v>
          </cell>
          <cell r="I1129" t="e">
            <v>#N/A</v>
          </cell>
          <cell r="J1129" t="e">
            <v>#N/A</v>
          </cell>
          <cell r="K1129">
            <v>105</v>
          </cell>
          <cell r="L1129">
            <v>55</v>
          </cell>
          <cell r="M1129" t="e">
            <v>#N/A</v>
          </cell>
          <cell r="N1129">
            <v>90</v>
          </cell>
          <cell r="O1129" t="e">
            <v>#N/A</v>
          </cell>
          <cell r="P1129" t="str">
            <v/>
          </cell>
          <cell r="Q1129" t="str">
            <v/>
          </cell>
          <cell r="R1129">
            <v>90</v>
          </cell>
        </row>
        <row r="1130">
          <cell r="A1130" t="str">
            <v/>
          </cell>
          <cell r="B1130" t="str">
            <v/>
          </cell>
          <cell r="C1130" t="str">
            <v>Future</v>
          </cell>
          <cell r="D1130" t="e">
            <v>#N/A</v>
          </cell>
          <cell r="E1130">
            <v>-88.927322834646361</v>
          </cell>
          <cell r="F1130">
            <v>147.52937007873987</v>
          </cell>
          <cell r="G1130">
            <v>34.930944881889495</v>
          </cell>
          <cell r="H1130">
            <v>34.930944881889495</v>
          </cell>
          <cell r="I1130" t="e">
            <v>#N/A</v>
          </cell>
          <cell r="J1130" t="e">
            <v>#N/A</v>
          </cell>
          <cell r="K1130">
            <v>105</v>
          </cell>
          <cell r="L1130">
            <v>55</v>
          </cell>
          <cell r="M1130" t="e">
            <v>#N/A</v>
          </cell>
          <cell r="N1130">
            <v>90</v>
          </cell>
          <cell r="O1130" t="e">
            <v>#N/A</v>
          </cell>
          <cell r="P1130" t="str">
            <v/>
          </cell>
          <cell r="Q1130" t="str">
            <v/>
          </cell>
          <cell r="R1130">
            <v>90</v>
          </cell>
        </row>
        <row r="1131">
          <cell r="A1131" t="str">
            <v/>
          </cell>
          <cell r="B1131" t="str">
            <v/>
          </cell>
          <cell r="C1131" t="str">
            <v>Future</v>
          </cell>
          <cell r="D1131" t="e">
            <v>#N/A</v>
          </cell>
          <cell r="E1131">
            <v>-89.206968503937702</v>
          </cell>
          <cell r="F1131">
            <v>147.66311023622018</v>
          </cell>
          <cell r="G1131">
            <v>34.867834645669021</v>
          </cell>
          <cell r="H1131">
            <v>34.867834645669021</v>
          </cell>
          <cell r="I1131" t="e">
            <v>#N/A</v>
          </cell>
          <cell r="J1131" t="e">
            <v>#N/A</v>
          </cell>
          <cell r="K1131">
            <v>105</v>
          </cell>
          <cell r="L1131">
            <v>55</v>
          </cell>
          <cell r="M1131" t="e">
            <v>#N/A</v>
          </cell>
          <cell r="N1131">
            <v>90</v>
          </cell>
          <cell r="O1131" t="e">
            <v>#N/A</v>
          </cell>
          <cell r="P1131" t="str">
            <v/>
          </cell>
          <cell r="Q1131" t="str">
            <v/>
          </cell>
          <cell r="R1131">
            <v>90</v>
          </cell>
        </row>
        <row r="1132">
          <cell r="A1132" t="str">
            <v/>
          </cell>
          <cell r="B1132" t="str">
            <v/>
          </cell>
          <cell r="C1132" t="str">
            <v>Future</v>
          </cell>
          <cell r="D1132" t="e">
            <v>#N/A</v>
          </cell>
          <cell r="E1132">
            <v>-89.486614173229043</v>
          </cell>
          <cell r="F1132">
            <v>147.79685039370048</v>
          </cell>
          <cell r="G1132">
            <v>34.804724409448546</v>
          </cell>
          <cell r="H1132">
            <v>34.804724409448546</v>
          </cell>
          <cell r="I1132" t="e">
            <v>#N/A</v>
          </cell>
          <cell r="J1132" t="e">
            <v>#N/A</v>
          </cell>
          <cell r="K1132">
            <v>105</v>
          </cell>
          <cell r="L1132">
            <v>55</v>
          </cell>
          <cell r="M1132" t="e">
            <v>#N/A</v>
          </cell>
          <cell r="N1132">
            <v>90</v>
          </cell>
          <cell r="O1132" t="e">
            <v>#N/A</v>
          </cell>
          <cell r="P1132" t="str">
            <v/>
          </cell>
          <cell r="Q1132" t="str">
            <v/>
          </cell>
          <cell r="R1132">
            <v>90</v>
          </cell>
        </row>
        <row r="1133">
          <cell r="A1133" t="str">
            <v/>
          </cell>
          <cell r="B1133" t="str">
            <v/>
          </cell>
          <cell r="C1133" t="str">
            <v>Future</v>
          </cell>
          <cell r="D1133" t="e">
            <v>#N/A</v>
          </cell>
          <cell r="E1133">
            <v>-89.766259842520384</v>
          </cell>
          <cell r="F1133">
            <v>147.93059055118079</v>
          </cell>
          <cell r="G1133">
            <v>34.741614173228072</v>
          </cell>
          <cell r="H1133">
            <v>34.741614173228072</v>
          </cell>
          <cell r="I1133" t="e">
            <v>#N/A</v>
          </cell>
          <cell r="J1133" t="e">
            <v>#N/A</v>
          </cell>
          <cell r="K1133">
            <v>105</v>
          </cell>
          <cell r="L1133">
            <v>55</v>
          </cell>
          <cell r="M1133" t="e">
            <v>#N/A</v>
          </cell>
          <cell r="N1133">
            <v>90</v>
          </cell>
          <cell r="O1133" t="e">
            <v>#N/A</v>
          </cell>
          <cell r="P1133" t="str">
            <v/>
          </cell>
          <cell r="Q1133" t="str">
            <v/>
          </cell>
          <cell r="R1133">
            <v>90</v>
          </cell>
        </row>
        <row r="1134">
          <cell r="A1134" t="str">
            <v/>
          </cell>
          <cell r="B1134" t="str">
            <v/>
          </cell>
          <cell r="C1134" t="str">
            <v>Future</v>
          </cell>
          <cell r="D1134" t="e">
            <v>#N/A</v>
          </cell>
          <cell r="E1134">
            <v>-90.045905511811725</v>
          </cell>
          <cell r="F1134">
            <v>148.06433070866109</v>
          </cell>
          <cell r="G1134">
            <v>34.678503937007598</v>
          </cell>
          <cell r="H1134">
            <v>34.678503937007598</v>
          </cell>
          <cell r="I1134" t="e">
            <v>#N/A</v>
          </cell>
          <cell r="J1134" t="e">
            <v>#N/A</v>
          </cell>
          <cell r="K1134">
            <v>105</v>
          </cell>
          <cell r="L1134">
            <v>55</v>
          </cell>
          <cell r="M1134" t="e">
            <v>#N/A</v>
          </cell>
          <cell r="N1134">
            <v>90</v>
          </cell>
          <cell r="O1134" t="e">
            <v>#N/A</v>
          </cell>
          <cell r="P1134" t="str">
            <v/>
          </cell>
          <cell r="Q1134" t="str">
            <v/>
          </cell>
          <cell r="R1134">
            <v>90</v>
          </cell>
        </row>
        <row r="1135">
          <cell r="A1135" t="str">
            <v/>
          </cell>
          <cell r="B1135" t="str">
            <v/>
          </cell>
          <cell r="C1135" t="str">
            <v>Future</v>
          </cell>
          <cell r="D1135" t="e">
            <v>#N/A</v>
          </cell>
          <cell r="E1135">
            <v>-90.325551181103066</v>
          </cell>
          <cell r="F1135">
            <v>148.19807086614139</v>
          </cell>
          <cell r="G1135">
            <v>34.615393700787124</v>
          </cell>
          <cell r="H1135">
            <v>34.615393700787124</v>
          </cell>
          <cell r="I1135" t="e">
            <v>#N/A</v>
          </cell>
          <cell r="J1135" t="e">
            <v>#N/A</v>
          </cell>
          <cell r="K1135">
            <v>105</v>
          </cell>
          <cell r="L1135">
            <v>55</v>
          </cell>
          <cell r="M1135" t="e">
            <v>#N/A</v>
          </cell>
          <cell r="N1135">
            <v>90</v>
          </cell>
          <cell r="O1135" t="e">
            <v>#N/A</v>
          </cell>
          <cell r="P1135" t="str">
            <v/>
          </cell>
          <cell r="Q1135" t="str">
            <v/>
          </cell>
          <cell r="R1135">
            <v>90</v>
          </cell>
        </row>
        <row r="1136">
          <cell r="A1136" t="str">
            <v/>
          </cell>
          <cell r="B1136" t="str">
            <v/>
          </cell>
          <cell r="C1136" t="str">
            <v>Future</v>
          </cell>
          <cell r="D1136" t="e">
            <v>#N/A</v>
          </cell>
          <cell r="E1136">
            <v>-90.605196850394407</v>
          </cell>
          <cell r="F1136">
            <v>148.3318110236217</v>
          </cell>
          <cell r="G1136">
            <v>34.552283464566649</v>
          </cell>
          <cell r="H1136">
            <v>34.552283464566649</v>
          </cell>
          <cell r="I1136" t="e">
            <v>#N/A</v>
          </cell>
          <cell r="J1136" t="e">
            <v>#N/A</v>
          </cell>
          <cell r="K1136">
            <v>105</v>
          </cell>
          <cell r="L1136">
            <v>55</v>
          </cell>
          <cell r="M1136" t="e">
            <v>#N/A</v>
          </cell>
          <cell r="N1136">
            <v>90</v>
          </cell>
          <cell r="O1136" t="e">
            <v>#N/A</v>
          </cell>
          <cell r="P1136" t="str">
            <v/>
          </cell>
          <cell r="Q1136" t="str">
            <v/>
          </cell>
          <cell r="R1136">
            <v>90</v>
          </cell>
        </row>
        <row r="1137">
          <cell r="A1137" t="str">
            <v/>
          </cell>
          <cell r="B1137" t="str">
            <v/>
          </cell>
          <cell r="C1137" t="str">
            <v>Future</v>
          </cell>
          <cell r="D1137" t="e">
            <v>#N/A</v>
          </cell>
          <cell r="E1137">
            <v>-90.884842519685748</v>
          </cell>
          <cell r="F1137">
            <v>148.465551181102</v>
          </cell>
          <cell r="G1137">
            <v>34.489173228346175</v>
          </cell>
          <cell r="H1137">
            <v>34.489173228346175</v>
          </cell>
          <cell r="I1137" t="e">
            <v>#N/A</v>
          </cell>
          <cell r="J1137" t="e">
            <v>#N/A</v>
          </cell>
          <cell r="K1137">
            <v>105</v>
          </cell>
          <cell r="L1137">
            <v>55</v>
          </cell>
          <cell r="M1137" t="e">
            <v>#N/A</v>
          </cell>
          <cell r="N1137">
            <v>90</v>
          </cell>
          <cell r="O1137" t="e">
            <v>#N/A</v>
          </cell>
          <cell r="P1137" t="str">
            <v/>
          </cell>
          <cell r="Q1137" t="str">
            <v/>
          </cell>
          <cell r="R1137">
            <v>90</v>
          </cell>
        </row>
        <row r="1138">
          <cell r="A1138" t="str">
            <v/>
          </cell>
          <cell r="B1138" t="str">
            <v/>
          </cell>
          <cell r="C1138" t="str">
            <v>Future</v>
          </cell>
          <cell r="D1138" t="e">
            <v>#N/A</v>
          </cell>
          <cell r="E1138">
            <v>-91.164488188977089</v>
          </cell>
          <cell r="F1138">
            <v>148.5992913385823</v>
          </cell>
          <cell r="G1138">
            <v>34.426062992125701</v>
          </cell>
          <cell r="H1138">
            <v>34.426062992125701</v>
          </cell>
          <cell r="I1138" t="e">
            <v>#N/A</v>
          </cell>
          <cell r="J1138" t="e">
            <v>#N/A</v>
          </cell>
          <cell r="K1138">
            <v>105</v>
          </cell>
          <cell r="L1138">
            <v>55</v>
          </cell>
          <cell r="M1138" t="e">
            <v>#N/A</v>
          </cell>
          <cell r="N1138">
            <v>90</v>
          </cell>
          <cell r="O1138" t="e">
            <v>#N/A</v>
          </cell>
          <cell r="P1138" t="str">
            <v/>
          </cell>
          <cell r="Q1138" t="str">
            <v/>
          </cell>
          <cell r="R1138">
            <v>90</v>
          </cell>
        </row>
        <row r="1139">
          <cell r="A1139" t="str">
            <v/>
          </cell>
          <cell r="B1139" t="str">
            <v/>
          </cell>
          <cell r="C1139" t="str">
            <v>Future</v>
          </cell>
          <cell r="D1139" t="e">
            <v>#N/A</v>
          </cell>
          <cell r="E1139">
            <v>-91.44413385826843</v>
          </cell>
          <cell r="F1139">
            <v>148.73303149606261</v>
          </cell>
          <cell r="G1139">
            <v>34.362952755905226</v>
          </cell>
          <cell r="H1139">
            <v>34.362952755905226</v>
          </cell>
          <cell r="I1139" t="e">
            <v>#N/A</v>
          </cell>
          <cell r="J1139" t="e">
            <v>#N/A</v>
          </cell>
          <cell r="K1139">
            <v>105</v>
          </cell>
          <cell r="L1139">
            <v>55</v>
          </cell>
          <cell r="M1139" t="e">
            <v>#N/A</v>
          </cell>
          <cell r="N1139">
            <v>90</v>
          </cell>
          <cell r="O1139" t="e">
            <v>#N/A</v>
          </cell>
          <cell r="P1139" t="str">
            <v/>
          </cell>
          <cell r="Q1139" t="str">
            <v/>
          </cell>
          <cell r="R1139">
            <v>90</v>
          </cell>
        </row>
        <row r="1140">
          <cell r="A1140" t="str">
            <v/>
          </cell>
          <cell r="B1140" t="str">
            <v/>
          </cell>
          <cell r="C1140" t="str">
            <v>Future</v>
          </cell>
          <cell r="D1140" t="e">
            <v>#N/A</v>
          </cell>
          <cell r="E1140">
            <v>-91.72377952755977</v>
          </cell>
          <cell r="F1140">
            <v>148.86677165354291</v>
          </cell>
          <cell r="G1140">
            <v>34.299842519684752</v>
          </cell>
          <cell r="H1140">
            <v>34.299842519684752</v>
          </cell>
          <cell r="I1140" t="e">
            <v>#N/A</v>
          </cell>
          <cell r="J1140" t="e">
            <v>#N/A</v>
          </cell>
          <cell r="K1140">
            <v>105</v>
          </cell>
          <cell r="L1140">
            <v>55</v>
          </cell>
          <cell r="M1140" t="e">
            <v>#N/A</v>
          </cell>
          <cell r="N1140">
            <v>90</v>
          </cell>
          <cell r="O1140" t="e">
            <v>#N/A</v>
          </cell>
          <cell r="P1140" t="str">
            <v/>
          </cell>
          <cell r="Q1140" t="str">
            <v/>
          </cell>
          <cell r="R1140">
            <v>90</v>
          </cell>
        </row>
        <row r="1141">
          <cell r="A1141" t="str">
            <v/>
          </cell>
          <cell r="B1141" t="str">
            <v/>
          </cell>
          <cell r="C1141" t="str">
            <v>Future</v>
          </cell>
          <cell r="D1141" t="e">
            <v>#N/A</v>
          </cell>
          <cell r="E1141">
            <v>-92.003425196851111</v>
          </cell>
          <cell r="F1141">
            <v>149.00051181102322</v>
          </cell>
          <cell r="G1141">
            <v>34.236732283464278</v>
          </cell>
          <cell r="H1141">
            <v>34.236732283464278</v>
          </cell>
          <cell r="I1141" t="e">
            <v>#N/A</v>
          </cell>
          <cell r="J1141" t="e">
            <v>#N/A</v>
          </cell>
          <cell r="K1141">
            <v>105</v>
          </cell>
          <cell r="L1141">
            <v>55</v>
          </cell>
          <cell r="M1141" t="e">
            <v>#N/A</v>
          </cell>
          <cell r="N1141">
            <v>90</v>
          </cell>
          <cell r="O1141" t="e">
            <v>#N/A</v>
          </cell>
          <cell r="P1141" t="str">
            <v/>
          </cell>
          <cell r="Q1141" t="str">
            <v/>
          </cell>
          <cell r="R1141">
            <v>90</v>
          </cell>
        </row>
        <row r="1142">
          <cell r="A1142" t="str">
            <v/>
          </cell>
          <cell r="B1142" t="str">
            <v/>
          </cell>
          <cell r="C1142" t="str">
            <v>Future</v>
          </cell>
          <cell r="D1142" t="e">
            <v>#N/A</v>
          </cell>
          <cell r="E1142">
            <v>-92.283070866142452</v>
          </cell>
          <cell r="F1142">
            <v>149.13425196850352</v>
          </cell>
          <cell r="G1142">
            <v>34.173622047243803</v>
          </cell>
          <cell r="H1142">
            <v>34.173622047243803</v>
          </cell>
          <cell r="I1142" t="e">
            <v>#N/A</v>
          </cell>
          <cell r="J1142" t="e">
            <v>#N/A</v>
          </cell>
          <cell r="K1142">
            <v>105</v>
          </cell>
          <cell r="L1142">
            <v>55</v>
          </cell>
          <cell r="M1142" t="e">
            <v>#N/A</v>
          </cell>
          <cell r="N1142">
            <v>90</v>
          </cell>
          <cell r="O1142" t="e">
            <v>#N/A</v>
          </cell>
          <cell r="P1142" t="str">
            <v/>
          </cell>
          <cell r="Q1142" t="str">
            <v/>
          </cell>
          <cell r="R1142">
            <v>90</v>
          </cell>
        </row>
        <row r="1143">
          <cell r="A1143" t="str">
            <v/>
          </cell>
          <cell r="B1143" t="str">
            <v/>
          </cell>
          <cell r="C1143" t="str">
            <v>Future</v>
          </cell>
          <cell r="D1143" t="e">
            <v>#N/A</v>
          </cell>
          <cell r="E1143">
            <v>-92.562716535433793</v>
          </cell>
          <cell r="F1143">
            <v>149.26799212598382</v>
          </cell>
          <cell r="G1143">
            <v>34.110511811023329</v>
          </cell>
          <cell r="H1143">
            <v>34.110511811023329</v>
          </cell>
          <cell r="I1143" t="e">
            <v>#N/A</v>
          </cell>
          <cell r="J1143" t="e">
            <v>#N/A</v>
          </cell>
          <cell r="K1143">
            <v>105</v>
          </cell>
          <cell r="L1143">
            <v>55</v>
          </cell>
          <cell r="M1143" t="e">
            <v>#N/A</v>
          </cell>
          <cell r="N1143">
            <v>90</v>
          </cell>
          <cell r="O1143" t="e">
            <v>#N/A</v>
          </cell>
          <cell r="P1143" t="str">
            <v/>
          </cell>
          <cell r="Q1143" t="str">
            <v/>
          </cell>
          <cell r="R1143">
            <v>90</v>
          </cell>
        </row>
        <row r="1144">
          <cell r="A1144" t="str">
            <v/>
          </cell>
          <cell r="B1144" t="str">
            <v/>
          </cell>
          <cell r="C1144" t="str">
            <v>Future</v>
          </cell>
          <cell r="D1144" t="e">
            <v>#N/A</v>
          </cell>
          <cell r="E1144">
            <v>-92.842362204725134</v>
          </cell>
          <cell r="F1144">
            <v>149.40173228346413</v>
          </cell>
          <cell r="G1144">
            <v>34.047401574802855</v>
          </cell>
          <cell r="H1144">
            <v>34.047401574802855</v>
          </cell>
          <cell r="I1144" t="e">
            <v>#N/A</v>
          </cell>
          <cell r="J1144" t="e">
            <v>#N/A</v>
          </cell>
          <cell r="K1144">
            <v>105</v>
          </cell>
          <cell r="L1144">
            <v>55</v>
          </cell>
          <cell r="M1144" t="e">
            <v>#N/A</v>
          </cell>
          <cell r="N1144">
            <v>90</v>
          </cell>
          <cell r="O1144" t="e">
            <v>#N/A</v>
          </cell>
          <cell r="P1144" t="str">
            <v/>
          </cell>
          <cell r="Q1144" t="str">
            <v/>
          </cell>
          <cell r="R1144">
            <v>90</v>
          </cell>
        </row>
        <row r="1145">
          <cell r="A1145" t="str">
            <v/>
          </cell>
          <cell r="B1145" t="str">
            <v/>
          </cell>
          <cell r="C1145" t="str">
            <v>Future</v>
          </cell>
          <cell r="D1145" t="e">
            <v>#N/A</v>
          </cell>
          <cell r="E1145">
            <v>-93.122007874016475</v>
          </cell>
          <cell r="F1145">
            <v>149.53547244094443</v>
          </cell>
          <cell r="G1145">
            <v>33.984291338582381</v>
          </cell>
          <cell r="H1145">
            <v>33.984291338582381</v>
          </cell>
          <cell r="I1145" t="e">
            <v>#N/A</v>
          </cell>
          <cell r="J1145" t="e">
            <v>#N/A</v>
          </cell>
          <cell r="K1145">
            <v>105</v>
          </cell>
          <cell r="L1145">
            <v>55</v>
          </cell>
          <cell r="M1145" t="e">
            <v>#N/A</v>
          </cell>
          <cell r="N1145">
            <v>90</v>
          </cell>
          <cell r="O1145" t="e">
            <v>#N/A</v>
          </cell>
          <cell r="P1145" t="str">
            <v/>
          </cell>
          <cell r="Q1145" t="str">
            <v/>
          </cell>
          <cell r="R1145">
            <v>90</v>
          </cell>
        </row>
        <row r="1146">
          <cell r="A1146" t="str">
            <v/>
          </cell>
          <cell r="B1146" t="str">
            <v/>
          </cell>
          <cell r="C1146" t="str">
            <v>Future</v>
          </cell>
          <cell r="D1146" t="e">
            <v>#N/A</v>
          </cell>
          <cell r="E1146">
            <v>-93.401653543307816</v>
          </cell>
          <cell r="F1146">
            <v>149.66921259842474</v>
          </cell>
          <cell r="G1146">
            <v>33.921181102361906</v>
          </cell>
          <cell r="H1146">
            <v>33.921181102361906</v>
          </cell>
          <cell r="I1146" t="e">
            <v>#N/A</v>
          </cell>
          <cell r="J1146" t="e">
            <v>#N/A</v>
          </cell>
          <cell r="K1146">
            <v>105</v>
          </cell>
          <cell r="L1146">
            <v>55</v>
          </cell>
          <cell r="M1146" t="e">
            <v>#N/A</v>
          </cell>
          <cell r="N1146">
            <v>90</v>
          </cell>
          <cell r="O1146" t="e">
            <v>#N/A</v>
          </cell>
          <cell r="P1146" t="str">
            <v/>
          </cell>
          <cell r="Q1146" t="str">
            <v/>
          </cell>
          <cell r="R1146">
            <v>90</v>
          </cell>
        </row>
        <row r="1147">
          <cell r="A1147" t="str">
            <v/>
          </cell>
          <cell r="B1147" t="str">
            <v/>
          </cell>
          <cell r="C1147" t="str">
            <v>Future</v>
          </cell>
          <cell r="D1147" t="e">
            <v>#N/A</v>
          </cell>
          <cell r="E1147">
            <v>-93.681299212599157</v>
          </cell>
          <cell r="F1147">
            <v>149.80295275590504</v>
          </cell>
          <cell r="G1147">
            <v>33.858070866141432</v>
          </cell>
          <cell r="H1147">
            <v>33.858070866141432</v>
          </cell>
          <cell r="I1147" t="e">
            <v>#N/A</v>
          </cell>
          <cell r="J1147" t="e">
            <v>#N/A</v>
          </cell>
          <cell r="K1147">
            <v>105</v>
          </cell>
          <cell r="L1147">
            <v>55</v>
          </cell>
          <cell r="M1147" t="e">
            <v>#N/A</v>
          </cell>
          <cell r="N1147">
            <v>90</v>
          </cell>
          <cell r="O1147" t="e">
            <v>#N/A</v>
          </cell>
          <cell r="P1147" t="str">
            <v/>
          </cell>
          <cell r="Q1147" t="str">
            <v/>
          </cell>
          <cell r="R1147">
            <v>90</v>
          </cell>
        </row>
        <row r="1148">
          <cell r="A1148" t="str">
            <v/>
          </cell>
          <cell r="B1148" t="str">
            <v/>
          </cell>
          <cell r="C1148" t="str">
            <v>Future</v>
          </cell>
          <cell r="D1148" t="e">
            <v>#N/A</v>
          </cell>
          <cell r="E1148">
            <v>-93.960944881890498</v>
          </cell>
          <cell r="F1148">
            <v>149.93669291338534</v>
          </cell>
          <cell r="G1148">
            <v>33.794960629920958</v>
          </cell>
          <cell r="H1148">
            <v>33.794960629920958</v>
          </cell>
          <cell r="I1148" t="e">
            <v>#N/A</v>
          </cell>
          <cell r="J1148" t="e">
            <v>#N/A</v>
          </cell>
          <cell r="K1148">
            <v>105</v>
          </cell>
          <cell r="L1148">
            <v>55</v>
          </cell>
          <cell r="M1148" t="e">
            <v>#N/A</v>
          </cell>
          <cell r="N1148">
            <v>90</v>
          </cell>
          <cell r="O1148" t="e">
            <v>#N/A</v>
          </cell>
          <cell r="P1148" t="str">
            <v/>
          </cell>
          <cell r="Q1148" t="str">
            <v/>
          </cell>
          <cell r="R1148">
            <v>90</v>
          </cell>
        </row>
        <row r="1149">
          <cell r="A1149" t="str">
            <v/>
          </cell>
          <cell r="B1149" t="str">
            <v/>
          </cell>
          <cell r="C1149" t="str">
            <v>Future</v>
          </cell>
          <cell r="D1149" t="e">
            <v>#N/A</v>
          </cell>
          <cell r="E1149">
            <v>-94.240590551181839</v>
          </cell>
          <cell r="F1149">
            <v>150.07043307086565</v>
          </cell>
          <cell r="G1149">
            <v>33.731850393700483</v>
          </cell>
          <cell r="H1149">
            <v>33.731850393700483</v>
          </cell>
          <cell r="I1149" t="e">
            <v>#N/A</v>
          </cell>
          <cell r="J1149" t="e">
            <v>#N/A</v>
          </cell>
          <cell r="K1149">
            <v>105</v>
          </cell>
          <cell r="L1149">
            <v>55</v>
          </cell>
          <cell r="M1149" t="e">
            <v>#N/A</v>
          </cell>
          <cell r="N1149">
            <v>90</v>
          </cell>
          <cell r="O1149" t="e">
            <v>#N/A</v>
          </cell>
          <cell r="P1149" t="str">
            <v/>
          </cell>
          <cell r="Q1149" t="str">
            <v/>
          </cell>
          <cell r="R1149">
            <v>90</v>
          </cell>
        </row>
        <row r="1150">
          <cell r="A1150" t="str">
            <v/>
          </cell>
          <cell r="B1150" t="str">
            <v/>
          </cell>
          <cell r="C1150" t="str">
            <v>Future</v>
          </cell>
          <cell r="D1150" t="e">
            <v>#N/A</v>
          </cell>
          <cell r="E1150">
            <v>-94.52023622047318</v>
          </cell>
          <cell r="F1150">
            <v>150.20417322834595</v>
          </cell>
          <cell r="G1150">
            <v>33.668740157480009</v>
          </cell>
          <cell r="H1150">
            <v>33.668740157480009</v>
          </cell>
          <cell r="I1150" t="e">
            <v>#N/A</v>
          </cell>
          <cell r="J1150" t="e">
            <v>#N/A</v>
          </cell>
          <cell r="K1150">
            <v>105</v>
          </cell>
          <cell r="L1150">
            <v>55</v>
          </cell>
          <cell r="M1150" t="e">
            <v>#N/A</v>
          </cell>
          <cell r="N1150">
            <v>90</v>
          </cell>
          <cell r="O1150" t="e">
            <v>#N/A</v>
          </cell>
          <cell r="P1150" t="str">
            <v/>
          </cell>
          <cell r="Q1150" t="str">
            <v/>
          </cell>
          <cell r="R1150">
            <v>90</v>
          </cell>
        </row>
        <row r="1151">
          <cell r="A1151" t="str">
            <v/>
          </cell>
          <cell r="B1151" t="str">
            <v/>
          </cell>
          <cell r="C1151" t="str">
            <v>Future</v>
          </cell>
          <cell r="D1151" t="e">
            <v>#N/A</v>
          </cell>
          <cell r="E1151">
            <v>-94.799881889764521</v>
          </cell>
          <cell r="F1151">
            <v>150.33791338582625</v>
          </cell>
          <cell r="G1151">
            <v>33.605629921259535</v>
          </cell>
          <cell r="H1151">
            <v>33.605629921259535</v>
          </cell>
          <cell r="I1151" t="e">
            <v>#N/A</v>
          </cell>
          <cell r="J1151" t="e">
            <v>#N/A</v>
          </cell>
          <cell r="K1151">
            <v>105</v>
          </cell>
          <cell r="L1151">
            <v>55</v>
          </cell>
          <cell r="M1151" t="e">
            <v>#N/A</v>
          </cell>
          <cell r="N1151">
            <v>90</v>
          </cell>
          <cell r="O1151" t="e">
            <v>#N/A</v>
          </cell>
          <cell r="P1151" t="str">
            <v/>
          </cell>
          <cell r="Q1151" t="str">
            <v/>
          </cell>
          <cell r="R1151">
            <v>90</v>
          </cell>
        </row>
        <row r="1152">
          <cell r="A1152" t="str">
            <v/>
          </cell>
          <cell r="B1152" t="str">
            <v/>
          </cell>
          <cell r="C1152" t="str">
            <v>Future</v>
          </cell>
          <cell r="D1152" t="e">
            <v>#N/A</v>
          </cell>
          <cell r="E1152">
            <v>-95.079527559055862</v>
          </cell>
          <cell r="F1152">
            <v>150.47165354330656</v>
          </cell>
          <cell r="G1152">
            <v>33.542519685039061</v>
          </cell>
          <cell r="H1152">
            <v>33.542519685039061</v>
          </cell>
          <cell r="I1152" t="e">
            <v>#N/A</v>
          </cell>
          <cell r="J1152" t="e">
            <v>#N/A</v>
          </cell>
          <cell r="K1152">
            <v>105</v>
          </cell>
          <cell r="L1152">
            <v>55</v>
          </cell>
          <cell r="M1152" t="e">
            <v>#N/A</v>
          </cell>
          <cell r="N1152">
            <v>90</v>
          </cell>
          <cell r="O1152" t="e">
            <v>#N/A</v>
          </cell>
          <cell r="P1152" t="str">
            <v/>
          </cell>
          <cell r="Q1152" t="str">
            <v/>
          </cell>
          <cell r="R1152">
            <v>90</v>
          </cell>
        </row>
        <row r="1153">
          <cell r="A1153" t="str">
            <v/>
          </cell>
          <cell r="B1153" t="str">
            <v/>
          </cell>
          <cell r="C1153" t="str">
            <v>Future</v>
          </cell>
          <cell r="D1153" t="e">
            <v>#N/A</v>
          </cell>
          <cell r="E1153">
            <v>-95.359173228347203</v>
          </cell>
          <cell r="F1153">
            <v>150.60539370078686</v>
          </cell>
          <cell r="G1153">
            <v>33.479409448818586</v>
          </cell>
          <cell r="H1153">
            <v>33.479409448818586</v>
          </cell>
          <cell r="I1153" t="e">
            <v>#N/A</v>
          </cell>
          <cell r="J1153" t="e">
            <v>#N/A</v>
          </cell>
          <cell r="K1153">
            <v>105</v>
          </cell>
          <cell r="L1153">
            <v>55</v>
          </cell>
          <cell r="M1153" t="e">
            <v>#N/A</v>
          </cell>
          <cell r="N1153">
            <v>90</v>
          </cell>
          <cell r="O1153" t="e">
            <v>#N/A</v>
          </cell>
          <cell r="P1153" t="str">
            <v/>
          </cell>
          <cell r="Q1153" t="str">
            <v/>
          </cell>
          <cell r="R1153">
            <v>90</v>
          </cell>
        </row>
        <row r="1154">
          <cell r="A1154" t="str">
            <v/>
          </cell>
          <cell r="B1154" t="str">
            <v/>
          </cell>
          <cell r="C1154" t="str">
            <v>Future</v>
          </cell>
          <cell r="D1154" t="e">
            <v>#N/A</v>
          </cell>
          <cell r="E1154">
            <v>-95.638818897638544</v>
          </cell>
          <cell r="F1154">
            <v>150.73913385826717</v>
          </cell>
          <cell r="G1154">
            <v>33.416299212598112</v>
          </cell>
          <cell r="H1154">
            <v>33.416299212598112</v>
          </cell>
          <cell r="I1154" t="e">
            <v>#N/A</v>
          </cell>
          <cell r="J1154" t="e">
            <v>#N/A</v>
          </cell>
          <cell r="K1154">
            <v>105</v>
          </cell>
          <cell r="L1154">
            <v>55</v>
          </cell>
          <cell r="M1154" t="e">
            <v>#N/A</v>
          </cell>
          <cell r="N1154">
            <v>90</v>
          </cell>
          <cell r="O1154" t="e">
            <v>#N/A</v>
          </cell>
          <cell r="P1154" t="str">
            <v/>
          </cell>
          <cell r="Q1154" t="str">
            <v/>
          </cell>
          <cell r="R1154">
            <v>90</v>
          </cell>
        </row>
        <row r="1155">
          <cell r="A1155" t="str">
            <v/>
          </cell>
          <cell r="B1155" t="str">
            <v/>
          </cell>
          <cell r="C1155" t="str">
            <v>Future</v>
          </cell>
          <cell r="D1155" t="e">
            <v>#N/A</v>
          </cell>
          <cell r="E1155">
            <v>-95.918464566929885</v>
          </cell>
          <cell r="F1155">
            <v>150.87287401574747</v>
          </cell>
          <cell r="G1155">
            <v>33.353188976377638</v>
          </cell>
          <cell r="H1155">
            <v>33.353188976377638</v>
          </cell>
          <cell r="I1155" t="e">
            <v>#N/A</v>
          </cell>
          <cell r="J1155" t="e">
            <v>#N/A</v>
          </cell>
          <cell r="K1155">
            <v>105</v>
          </cell>
          <cell r="L1155">
            <v>55</v>
          </cell>
          <cell r="M1155" t="e">
            <v>#N/A</v>
          </cell>
          <cell r="N1155">
            <v>90</v>
          </cell>
          <cell r="O1155" t="e">
            <v>#N/A</v>
          </cell>
          <cell r="P1155" t="str">
            <v/>
          </cell>
          <cell r="Q1155" t="str">
            <v/>
          </cell>
          <cell r="R1155">
            <v>90</v>
          </cell>
        </row>
        <row r="1156">
          <cell r="A1156" t="str">
            <v/>
          </cell>
          <cell r="B1156" t="str">
            <v/>
          </cell>
          <cell r="C1156" t="str">
            <v>Future</v>
          </cell>
          <cell r="D1156" t="e">
            <v>#N/A</v>
          </cell>
          <cell r="E1156">
            <v>-96.198110236221225</v>
          </cell>
          <cell r="F1156">
            <v>151.00661417322777</v>
          </cell>
          <cell r="G1156">
            <v>33.290078740157163</v>
          </cell>
          <cell r="H1156">
            <v>33.290078740157163</v>
          </cell>
          <cell r="I1156" t="e">
            <v>#N/A</v>
          </cell>
          <cell r="J1156" t="e">
            <v>#N/A</v>
          </cell>
          <cell r="K1156">
            <v>105</v>
          </cell>
          <cell r="L1156">
            <v>55</v>
          </cell>
          <cell r="M1156" t="e">
            <v>#N/A</v>
          </cell>
          <cell r="N1156">
            <v>90</v>
          </cell>
          <cell r="O1156" t="e">
            <v>#N/A</v>
          </cell>
          <cell r="P1156" t="str">
            <v/>
          </cell>
          <cell r="Q1156" t="str">
            <v/>
          </cell>
          <cell r="R1156">
            <v>90</v>
          </cell>
        </row>
        <row r="1157">
          <cell r="A1157" t="str">
            <v/>
          </cell>
          <cell r="B1157" t="str">
            <v/>
          </cell>
          <cell r="C1157" t="str">
            <v>Future</v>
          </cell>
          <cell r="D1157" t="e">
            <v>#N/A</v>
          </cell>
          <cell r="E1157">
            <v>-96.477755905512566</v>
          </cell>
          <cell r="F1157">
            <v>151.14035433070808</v>
          </cell>
          <cell r="G1157">
            <v>33.226968503936689</v>
          </cell>
          <cell r="H1157">
            <v>33.226968503936689</v>
          </cell>
          <cell r="I1157" t="e">
            <v>#N/A</v>
          </cell>
          <cell r="J1157" t="e">
            <v>#N/A</v>
          </cell>
          <cell r="K1157">
            <v>105</v>
          </cell>
          <cell r="L1157">
            <v>55</v>
          </cell>
          <cell r="M1157" t="e">
            <v>#N/A</v>
          </cell>
          <cell r="N1157">
            <v>90</v>
          </cell>
          <cell r="O1157" t="e">
            <v>#N/A</v>
          </cell>
          <cell r="P1157" t="str">
            <v/>
          </cell>
          <cell r="Q1157" t="str">
            <v/>
          </cell>
          <cell r="R1157">
            <v>90</v>
          </cell>
        </row>
        <row r="1158">
          <cell r="A1158" t="str">
            <v/>
          </cell>
          <cell r="B1158" t="str">
            <v/>
          </cell>
          <cell r="C1158" t="str">
            <v>Future</v>
          </cell>
          <cell r="D1158" t="e">
            <v>#N/A</v>
          </cell>
          <cell r="E1158">
            <v>-96.757401574803907</v>
          </cell>
          <cell r="F1158">
            <v>151.27409448818838</v>
          </cell>
          <cell r="G1158">
            <v>33.163858267716215</v>
          </cell>
          <cell r="H1158">
            <v>33.163858267716215</v>
          </cell>
          <cell r="I1158" t="e">
            <v>#N/A</v>
          </cell>
          <cell r="J1158" t="e">
            <v>#N/A</v>
          </cell>
          <cell r="K1158">
            <v>105</v>
          </cell>
          <cell r="L1158">
            <v>55</v>
          </cell>
          <cell r="M1158" t="e">
            <v>#N/A</v>
          </cell>
          <cell r="N1158">
            <v>90</v>
          </cell>
          <cell r="O1158" t="e">
            <v>#N/A</v>
          </cell>
          <cell r="P1158" t="str">
            <v/>
          </cell>
          <cell r="Q1158" t="str">
            <v/>
          </cell>
          <cell r="R1158">
            <v>90</v>
          </cell>
        </row>
        <row r="1159">
          <cell r="A1159" t="str">
            <v/>
          </cell>
          <cell r="B1159" t="str">
            <v/>
          </cell>
          <cell r="C1159" t="str">
            <v>Future</v>
          </cell>
          <cell r="D1159" t="e">
            <v>#N/A</v>
          </cell>
          <cell r="E1159">
            <v>-97.037047244095248</v>
          </cell>
          <cell r="F1159">
            <v>151.40783464566869</v>
          </cell>
          <cell r="G1159">
            <v>33.100748031495741</v>
          </cell>
          <cell r="H1159">
            <v>33.100748031495741</v>
          </cell>
          <cell r="I1159" t="e">
            <v>#N/A</v>
          </cell>
          <cell r="J1159" t="e">
            <v>#N/A</v>
          </cell>
          <cell r="K1159">
            <v>105</v>
          </cell>
          <cell r="L1159">
            <v>55</v>
          </cell>
          <cell r="M1159" t="e">
            <v>#N/A</v>
          </cell>
          <cell r="N1159">
            <v>90</v>
          </cell>
          <cell r="O1159" t="e">
            <v>#N/A</v>
          </cell>
          <cell r="P1159" t="str">
            <v/>
          </cell>
          <cell r="Q1159" t="str">
            <v/>
          </cell>
          <cell r="R1159">
            <v>90</v>
          </cell>
        </row>
        <row r="1160">
          <cell r="A1160" t="str">
            <v/>
          </cell>
          <cell r="B1160" t="str">
            <v/>
          </cell>
          <cell r="C1160" t="str">
            <v>Future</v>
          </cell>
          <cell r="D1160" t="e">
            <v>#N/A</v>
          </cell>
          <cell r="E1160">
            <v>-97.316692913386589</v>
          </cell>
          <cell r="F1160">
            <v>151.54157480314899</v>
          </cell>
          <cell r="G1160">
            <v>33.037637795275266</v>
          </cell>
          <cell r="H1160">
            <v>33.037637795275266</v>
          </cell>
          <cell r="I1160" t="e">
            <v>#N/A</v>
          </cell>
          <cell r="J1160" t="e">
            <v>#N/A</v>
          </cell>
          <cell r="K1160">
            <v>105</v>
          </cell>
          <cell r="L1160">
            <v>55</v>
          </cell>
          <cell r="M1160" t="e">
            <v>#N/A</v>
          </cell>
          <cell r="N1160">
            <v>90</v>
          </cell>
          <cell r="O1160" t="e">
            <v>#N/A</v>
          </cell>
          <cell r="P1160" t="str">
            <v/>
          </cell>
          <cell r="Q1160" t="str">
            <v/>
          </cell>
          <cell r="R1160">
            <v>90</v>
          </cell>
        </row>
        <row r="1161">
          <cell r="A1161" t="str">
            <v/>
          </cell>
          <cell r="B1161" t="str">
            <v/>
          </cell>
          <cell r="C1161" t="str">
            <v>Future</v>
          </cell>
          <cell r="D1161" t="e">
            <v>#N/A</v>
          </cell>
          <cell r="E1161">
            <v>-97.59633858267793</v>
          </cell>
          <cell r="F1161">
            <v>151.67531496062929</v>
          </cell>
          <cell r="G1161">
            <v>32.974527559054792</v>
          </cell>
          <cell r="H1161">
            <v>32.974527559054792</v>
          </cell>
          <cell r="I1161" t="e">
            <v>#N/A</v>
          </cell>
          <cell r="J1161" t="e">
            <v>#N/A</v>
          </cell>
          <cell r="K1161">
            <v>105</v>
          </cell>
          <cell r="L1161">
            <v>55</v>
          </cell>
          <cell r="M1161" t="e">
            <v>#N/A</v>
          </cell>
          <cell r="N1161">
            <v>90</v>
          </cell>
          <cell r="O1161" t="e">
            <v>#N/A</v>
          </cell>
          <cell r="P1161" t="str">
            <v/>
          </cell>
          <cell r="Q1161" t="str">
            <v/>
          </cell>
          <cell r="R1161">
            <v>90</v>
          </cell>
        </row>
        <row r="1162">
          <cell r="A1162" t="str">
            <v/>
          </cell>
          <cell r="B1162" t="str">
            <v/>
          </cell>
          <cell r="C1162" t="str">
            <v>Future</v>
          </cell>
          <cell r="D1162" t="e">
            <v>#N/A</v>
          </cell>
          <cell r="E1162">
            <v>-97.875984251969271</v>
          </cell>
          <cell r="F1162">
            <v>151.8090551181096</v>
          </cell>
          <cell r="G1162">
            <v>32.911417322834318</v>
          </cell>
          <cell r="H1162">
            <v>32.911417322834318</v>
          </cell>
          <cell r="I1162" t="e">
            <v>#N/A</v>
          </cell>
          <cell r="J1162" t="e">
            <v>#N/A</v>
          </cell>
          <cell r="K1162">
            <v>105</v>
          </cell>
          <cell r="L1162">
            <v>55</v>
          </cell>
          <cell r="M1162" t="e">
            <v>#N/A</v>
          </cell>
          <cell r="N1162">
            <v>90</v>
          </cell>
          <cell r="O1162" t="e">
            <v>#N/A</v>
          </cell>
          <cell r="P1162" t="str">
            <v/>
          </cell>
          <cell r="Q1162" t="str">
            <v/>
          </cell>
          <cell r="R1162">
            <v>90</v>
          </cell>
        </row>
        <row r="1163">
          <cell r="A1163" t="str">
            <v/>
          </cell>
          <cell r="B1163" t="str">
            <v/>
          </cell>
          <cell r="C1163" t="str">
            <v>Future</v>
          </cell>
          <cell r="D1163" t="e">
            <v>#N/A</v>
          </cell>
          <cell r="E1163">
            <v>-98.155629921260612</v>
          </cell>
          <cell r="F1163">
            <v>151.9427952755899</v>
          </cell>
          <cell r="G1163">
            <v>32.848307086613843</v>
          </cell>
          <cell r="H1163">
            <v>32.848307086613843</v>
          </cell>
          <cell r="I1163" t="e">
            <v>#N/A</v>
          </cell>
          <cell r="J1163" t="e">
            <v>#N/A</v>
          </cell>
          <cell r="K1163">
            <v>105</v>
          </cell>
          <cell r="L1163">
            <v>55</v>
          </cell>
          <cell r="M1163" t="e">
            <v>#N/A</v>
          </cell>
          <cell r="N1163">
            <v>90</v>
          </cell>
          <cell r="O1163" t="e">
            <v>#N/A</v>
          </cell>
          <cell r="P1163" t="str">
            <v/>
          </cell>
          <cell r="Q1163" t="str">
            <v/>
          </cell>
          <cell r="R1163">
            <v>90</v>
          </cell>
        </row>
        <row r="1164">
          <cell r="A1164" t="str">
            <v/>
          </cell>
          <cell r="B1164" t="str">
            <v/>
          </cell>
          <cell r="C1164" t="str">
            <v>Future</v>
          </cell>
          <cell r="D1164" t="e">
            <v>#N/A</v>
          </cell>
          <cell r="E1164">
            <v>-98.435275590551953</v>
          </cell>
          <cell r="F1164">
            <v>152.07653543307021</v>
          </cell>
          <cell r="G1164">
            <v>32.785196850393369</v>
          </cell>
          <cell r="H1164">
            <v>32.785196850393369</v>
          </cell>
          <cell r="I1164" t="e">
            <v>#N/A</v>
          </cell>
          <cell r="J1164" t="e">
            <v>#N/A</v>
          </cell>
          <cell r="K1164">
            <v>105</v>
          </cell>
          <cell r="L1164">
            <v>55</v>
          </cell>
          <cell r="M1164" t="e">
            <v>#N/A</v>
          </cell>
          <cell r="N1164">
            <v>90</v>
          </cell>
          <cell r="O1164" t="e">
            <v>#N/A</v>
          </cell>
          <cell r="P1164" t="str">
            <v/>
          </cell>
          <cell r="Q1164" t="str">
            <v/>
          </cell>
          <cell r="R1164">
            <v>90</v>
          </cell>
        </row>
        <row r="1165">
          <cell r="A1165" t="str">
            <v/>
          </cell>
          <cell r="B1165" t="str">
            <v/>
          </cell>
          <cell r="C1165" t="str">
            <v>Future</v>
          </cell>
          <cell r="D1165" t="e">
            <v>#N/A</v>
          </cell>
          <cell r="E1165">
            <v>-98.714921259843294</v>
          </cell>
          <cell r="F1165">
            <v>152.21027559055051</v>
          </cell>
          <cell r="G1165">
            <v>32.722086614172895</v>
          </cell>
          <cell r="H1165">
            <v>32.722086614172895</v>
          </cell>
          <cell r="I1165" t="e">
            <v>#N/A</v>
          </cell>
          <cell r="J1165" t="e">
            <v>#N/A</v>
          </cell>
          <cell r="K1165">
            <v>105</v>
          </cell>
          <cell r="L1165">
            <v>55</v>
          </cell>
          <cell r="M1165" t="e">
            <v>#N/A</v>
          </cell>
          <cell r="N1165">
            <v>90</v>
          </cell>
          <cell r="O1165" t="e">
            <v>#N/A</v>
          </cell>
          <cell r="P1165" t="str">
            <v/>
          </cell>
          <cell r="Q1165" t="str">
            <v/>
          </cell>
          <cell r="R1165">
            <v>90</v>
          </cell>
        </row>
        <row r="1166">
          <cell r="A1166" t="str">
            <v/>
          </cell>
          <cell r="B1166" t="str">
            <v/>
          </cell>
          <cell r="C1166" t="str">
            <v>Future</v>
          </cell>
          <cell r="D1166" t="e">
            <v>#N/A</v>
          </cell>
          <cell r="E1166">
            <v>-98.994566929134635</v>
          </cell>
          <cell r="F1166">
            <v>152.34401574803081</v>
          </cell>
          <cell r="G1166">
            <v>32.65897637795242</v>
          </cell>
          <cell r="H1166">
            <v>32.65897637795242</v>
          </cell>
          <cell r="I1166" t="e">
            <v>#N/A</v>
          </cell>
          <cell r="J1166" t="e">
            <v>#N/A</v>
          </cell>
          <cell r="K1166">
            <v>105</v>
          </cell>
          <cell r="L1166">
            <v>55</v>
          </cell>
          <cell r="M1166" t="e">
            <v>#N/A</v>
          </cell>
          <cell r="N1166">
            <v>90</v>
          </cell>
          <cell r="O1166" t="e">
            <v>#N/A</v>
          </cell>
          <cell r="P1166" t="str">
            <v/>
          </cell>
          <cell r="Q1166" t="str">
            <v/>
          </cell>
          <cell r="R1166">
            <v>90</v>
          </cell>
        </row>
        <row r="1167">
          <cell r="A1167" t="str">
            <v/>
          </cell>
          <cell r="B1167" t="str">
            <v/>
          </cell>
          <cell r="C1167" t="str">
            <v>Future</v>
          </cell>
          <cell r="D1167" t="e">
            <v>#N/A</v>
          </cell>
          <cell r="E1167">
            <v>-99.274212598425976</v>
          </cell>
          <cell r="F1167">
            <v>152.47775590551112</v>
          </cell>
          <cell r="G1167">
            <v>32.595866141731946</v>
          </cell>
          <cell r="H1167">
            <v>32.595866141731946</v>
          </cell>
          <cell r="I1167" t="e">
            <v>#N/A</v>
          </cell>
          <cell r="J1167" t="e">
            <v>#N/A</v>
          </cell>
          <cell r="K1167">
            <v>105</v>
          </cell>
          <cell r="L1167">
            <v>55</v>
          </cell>
          <cell r="M1167" t="e">
            <v>#N/A</v>
          </cell>
          <cell r="N1167">
            <v>90</v>
          </cell>
          <cell r="O1167" t="e">
            <v>#N/A</v>
          </cell>
          <cell r="P1167" t="str">
            <v/>
          </cell>
          <cell r="Q1167" t="str">
            <v/>
          </cell>
          <cell r="R1167">
            <v>90</v>
          </cell>
        </row>
        <row r="1168">
          <cell r="A1168" t="str">
            <v/>
          </cell>
          <cell r="B1168" t="str">
            <v/>
          </cell>
          <cell r="C1168" t="str">
            <v>Future</v>
          </cell>
          <cell r="D1168" t="e">
            <v>#N/A</v>
          </cell>
          <cell r="E1168">
            <v>-99.553858267717317</v>
          </cell>
          <cell r="F1168">
            <v>152.61149606299142</v>
          </cell>
          <cell r="G1168">
            <v>32.532755905511472</v>
          </cell>
          <cell r="H1168">
            <v>32.532755905511472</v>
          </cell>
          <cell r="I1168" t="e">
            <v>#N/A</v>
          </cell>
          <cell r="J1168" t="e">
            <v>#N/A</v>
          </cell>
          <cell r="K1168">
            <v>105</v>
          </cell>
          <cell r="L1168">
            <v>55</v>
          </cell>
          <cell r="M1168" t="e">
            <v>#N/A</v>
          </cell>
          <cell r="N1168">
            <v>90</v>
          </cell>
          <cell r="O1168" t="e">
            <v>#N/A</v>
          </cell>
          <cell r="P1168" t="str">
            <v/>
          </cell>
          <cell r="Q1168" t="str">
            <v/>
          </cell>
          <cell r="R1168">
            <v>90</v>
          </cell>
        </row>
        <row r="1169">
          <cell r="A1169" t="str">
            <v/>
          </cell>
          <cell r="B1169" t="str">
            <v/>
          </cell>
          <cell r="C1169" t="str">
            <v>Future</v>
          </cell>
          <cell r="D1169" t="e">
            <v>#N/A</v>
          </cell>
          <cell r="E1169">
            <v>-99.833503937008658</v>
          </cell>
          <cell r="F1169">
            <v>152.74523622047172</v>
          </cell>
          <cell r="G1169">
            <v>32.469645669290998</v>
          </cell>
          <cell r="H1169">
            <v>32.469645669290998</v>
          </cell>
          <cell r="I1169" t="e">
            <v>#N/A</v>
          </cell>
          <cell r="J1169" t="e">
            <v>#N/A</v>
          </cell>
          <cell r="K1169">
            <v>105</v>
          </cell>
          <cell r="L1169">
            <v>55</v>
          </cell>
          <cell r="M1169" t="e">
            <v>#N/A</v>
          </cell>
          <cell r="N1169">
            <v>90</v>
          </cell>
          <cell r="O1169" t="e">
            <v>#N/A</v>
          </cell>
          <cell r="P1169" t="str">
            <v/>
          </cell>
          <cell r="Q1169" t="str">
            <v/>
          </cell>
          <cell r="R1169">
            <v>90</v>
          </cell>
        </row>
        <row r="1170">
          <cell r="A1170" t="str">
            <v/>
          </cell>
          <cell r="B1170" t="str">
            <v/>
          </cell>
          <cell r="C1170" t="str">
            <v>Future</v>
          </cell>
          <cell r="D1170" t="e">
            <v>#N/A</v>
          </cell>
          <cell r="E1170">
            <v>-100.1131496063</v>
          </cell>
          <cell r="F1170">
            <v>152.87897637795203</v>
          </cell>
          <cell r="G1170">
            <v>32.406535433070523</v>
          </cell>
          <cell r="H1170">
            <v>32.406535433070523</v>
          </cell>
          <cell r="I1170" t="e">
            <v>#N/A</v>
          </cell>
          <cell r="J1170" t="e">
            <v>#N/A</v>
          </cell>
          <cell r="K1170">
            <v>105</v>
          </cell>
          <cell r="L1170">
            <v>55</v>
          </cell>
          <cell r="M1170" t="e">
            <v>#N/A</v>
          </cell>
          <cell r="N1170">
            <v>90</v>
          </cell>
          <cell r="O1170" t="e">
            <v>#N/A</v>
          </cell>
          <cell r="P1170" t="str">
            <v/>
          </cell>
          <cell r="Q1170" t="str">
            <v/>
          </cell>
          <cell r="R1170">
            <v>90</v>
          </cell>
        </row>
        <row r="1171">
          <cell r="A1171" t="str">
            <v/>
          </cell>
          <cell r="B1171" t="str">
            <v/>
          </cell>
          <cell r="C1171" t="str">
            <v>Future</v>
          </cell>
          <cell r="D1171" t="e">
            <v>#N/A</v>
          </cell>
          <cell r="E1171">
            <v>-100.39279527559134</v>
          </cell>
          <cell r="F1171">
            <v>153.01271653543233</v>
          </cell>
          <cell r="G1171">
            <v>32.343425196850049</v>
          </cell>
          <cell r="H1171">
            <v>32.343425196850049</v>
          </cell>
          <cell r="I1171" t="e">
            <v>#N/A</v>
          </cell>
          <cell r="J1171" t="e">
            <v>#N/A</v>
          </cell>
          <cell r="K1171">
            <v>105</v>
          </cell>
          <cell r="L1171">
            <v>55</v>
          </cell>
          <cell r="M1171" t="e">
            <v>#N/A</v>
          </cell>
          <cell r="N1171">
            <v>90</v>
          </cell>
          <cell r="O1171" t="e">
            <v>#N/A</v>
          </cell>
          <cell r="P1171" t="str">
            <v/>
          </cell>
          <cell r="Q1171" t="str">
            <v/>
          </cell>
          <cell r="R1171">
            <v>90</v>
          </cell>
        </row>
        <row r="1172">
          <cell r="A1172" t="str">
            <v/>
          </cell>
          <cell r="B1172" t="str">
            <v/>
          </cell>
          <cell r="C1172" t="str">
            <v>Future</v>
          </cell>
          <cell r="D1172" t="e">
            <v>#N/A</v>
          </cell>
          <cell r="E1172">
            <v>-100.67244094488268</v>
          </cell>
          <cell r="F1172">
            <v>153.14645669291264</v>
          </cell>
          <cell r="G1172">
            <v>32.280314960629575</v>
          </cell>
          <cell r="H1172">
            <v>32.280314960629575</v>
          </cell>
          <cell r="I1172" t="e">
            <v>#N/A</v>
          </cell>
          <cell r="J1172" t="e">
            <v>#N/A</v>
          </cell>
          <cell r="K1172">
            <v>105</v>
          </cell>
          <cell r="L1172">
            <v>55</v>
          </cell>
          <cell r="M1172" t="e">
            <v>#N/A</v>
          </cell>
          <cell r="N1172">
            <v>90</v>
          </cell>
          <cell r="O1172" t="e">
            <v>#N/A</v>
          </cell>
          <cell r="P1172" t="str">
            <v/>
          </cell>
          <cell r="Q1172" t="str">
            <v/>
          </cell>
          <cell r="R1172">
            <v>90</v>
          </cell>
        </row>
        <row r="1173">
          <cell r="A1173" t="str">
            <v/>
          </cell>
          <cell r="B1173" t="str">
            <v/>
          </cell>
          <cell r="C1173" t="str">
            <v>Future</v>
          </cell>
          <cell r="D1173" t="e">
            <v>#N/A</v>
          </cell>
          <cell r="E1173">
            <v>-100.95208661417402</v>
          </cell>
          <cell r="F1173">
            <v>153.28019685039294</v>
          </cell>
          <cell r="G1173">
            <v>32.2172047244091</v>
          </cell>
          <cell r="H1173">
            <v>32.2172047244091</v>
          </cell>
          <cell r="I1173" t="e">
            <v>#N/A</v>
          </cell>
          <cell r="J1173" t="e">
            <v>#N/A</v>
          </cell>
          <cell r="K1173">
            <v>105</v>
          </cell>
          <cell r="L1173">
            <v>55</v>
          </cell>
          <cell r="M1173" t="e">
            <v>#N/A</v>
          </cell>
          <cell r="N1173">
            <v>90</v>
          </cell>
          <cell r="O1173" t="e">
            <v>#N/A</v>
          </cell>
          <cell r="P1173" t="str">
            <v/>
          </cell>
          <cell r="Q1173" t="str">
            <v/>
          </cell>
          <cell r="R1173">
            <v>90</v>
          </cell>
        </row>
        <row r="1174">
          <cell r="A1174" t="str">
            <v/>
          </cell>
          <cell r="B1174" t="str">
            <v/>
          </cell>
          <cell r="C1174" t="str">
            <v>Future</v>
          </cell>
          <cell r="D1174" t="e">
            <v>#N/A</v>
          </cell>
          <cell r="E1174">
            <v>-101.23173228346536</v>
          </cell>
          <cell r="F1174">
            <v>153.41393700787324</v>
          </cell>
          <cell r="G1174">
            <v>32.154094488188626</v>
          </cell>
          <cell r="H1174">
            <v>32.154094488188626</v>
          </cell>
          <cell r="I1174" t="e">
            <v>#N/A</v>
          </cell>
          <cell r="J1174" t="e">
            <v>#N/A</v>
          </cell>
          <cell r="K1174">
            <v>105</v>
          </cell>
          <cell r="L1174">
            <v>55</v>
          </cell>
          <cell r="M1174" t="e">
            <v>#N/A</v>
          </cell>
          <cell r="N1174">
            <v>90</v>
          </cell>
          <cell r="O1174" t="e">
            <v>#N/A</v>
          </cell>
          <cell r="P1174" t="str">
            <v/>
          </cell>
          <cell r="Q1174" t="str">
            <v/>
          </cell>
          <cell r="R1174">
            <v>90</v>
          </cell>
        </row>
        <row r="1175">
          <cell r="A1175" t="str">
            <v/>
          </cell>
          <cell r="B1175" t="str">
            <v/>
          </cell>
          <cell r="C1175" t="str">
            <v>Future</v>
          </cell>
          <cell r="D1175" t="e">
            <v>#N/A</v>
          </cell>
          <cell r="E1175">
            <v>-101.5113779527567</v>
          </cell>
          <cell r="F1175">
            <v>153.54767716535355</v>
          </cell>
          <cell r="G1175">
            <v>32.090984251968152</v>
          </cell>
          <cell r="H1175">
            <v>32.090984251968152</v>
          </cell>
          <cell r="I1175" t="e">
            <v>#N/A</v>
          </cell>
          <cell r="J1175" t="e">
            <v>#N/A</v>
          </cell>
          <cell r="K1175">
            <v>105</v>
          </cell>
          <cell r="L1175">
            <v>55</v>
          </cell>
          <cell r="M1175" t="e">
            <v>#N/A</v>
          </cell>
          <cell r="N1175">
            <v>90</v>
          </cell>
          <cell r="O1175" t="e">
            <v>#N/A</v>
          </cell>
          <cell r="P1175" t="str">
            <v/>
          </cell>
          <cell r="Q1175" t="str">
            <v/>
          </cell>
          <cell r="R1175">
            <v>90</v>
          </cell>
        </row>
        <row r="1176">
          <cell r="A1176" t="str">
            <v/>
          </cell>
          <cell r="B1176" t="str">
            <v/>
          </cell>
          <cell r="C1176" t="str">
            <v>Future</v>
          </cell>
          <cell r="D1176" t="e">
            <v>#N/A</v>
          </cell>
          <cell r="E1176">
            <v>-101.79102362204804</v>
          </cell>
          <cell r="F1176">
            <v>153.68141732283385</v>
          </cell>
          <cell r="G1176">
            <v>32.027874015747678</v>
          </cell>
          <cell r="H1176">
            <v>32.027874015747678</v>
          </cell>
          <cell r="I1176" t="e">
            <v>#N/A</v>
          </cell>
          <cell r="J1176" t="e">
            <v>#N/A</v>
          </cell>
          <cell r="K1176">
            <v>105</v>
          </cell>
          <cell r="L1176">
            <v>55</v>
          </cell>
          <cell r="M1176" t="e">
            <v>#N/A</v>
          </cell>
          <cell r="N1176">
            <v>90</v>
          </cell>
          <cell r="O1176" t="e">
            <v>#N/A</v>
          </cell>
          <cell r="P1176" t="str">
            <v/>
          </cell>
          <cell r="Q1176" t="str">
            <v/>
          </cell>
          <cell r="R1176">
            <v>90</v>
          </cell>
        </row>
        <row r="1177">
          <cell r="A1177" t="str">
            <v/>
          </cell>
          <cell r="B1177" t="str">
            <v/>
          </cell>
          <cell r="C1177" t="str">
            <v>Future</v>
          </cell>
          <cell r="D1177" t="e">
            <v>#N/A</v>
          </cell>
          <cell r="E1177">
            <v>-102.07066929133939</v>
          </cell>
          <cell r="F1177">
            <v>153.81515748031416</v>
          </cell>
          <cell r="G1177">
            <v>31.964763779527207</v>
          </cell>
          <cell r="H1177">
            <v>31.964763779527207</v>
          </cell>
          <cell r="I1177" t="e">
            <v>#N/A</v>
          </cell>
          <cell r="J1177" t="e">
            <v>#N/A</v>
          </cell>
          <cell r="K1177">
            <v>105</v>
          </cell>
          <cell r="L1177">
            <v>55</v>
          </cell>
          <cell r="M1177" t="e">
            <v>#N/A</v>
          </cell>
          <cell r="N1177">
            <v>90</v>
          </cell>
          <cell r="O1177" t="e">
            <v>#N/A</v>
          </cell>
          <cell r="P1177" t="str">
            <v/>
          </cell>
          <cell r="Q1177" t="str">
            <v/>
          </cell>
          <cell r="R1177">
            <v>90</v>
          </cell>
        </row>
        <row r="1178">
          <cell r="A1178" t="str">
            <v/>
          </cell>
          <cell r="B1178" t="str">
            <v/>
          </cell>
          <cell r="C1178" t="str">
            <v>Future</v>
          </cell>
          <cell r="D1178" t="e">
            <v>#N/A</v>
          </cell>
          <cell r="E1178">
            <v>-102.35031496063073</v>
          </cell>
          <cell r="F1178">
            <v>153.94889763779446</v>
          </cell>
          <cell r="G1178">
            <v>31.901653543306736</v>
          </cell>
          <cell r="H1178">
            <v>31.901653543306736</v>
          </cell>
          <cell r="I1178" t="e">
            <v>#N/A</v>
          </cell>
          <cell r="J1178" t="e">
            <v>#N/A</v>
          </cell>
          <cell r="K1178">
            <v>105</v>
          </cell>
          <cell r="L1178">
            <v>55</v>
          </cell>
          <cell r="M1178" t="e">
            <v>#N/A</v>
          </cell>
          <cell r="N1178">
            <v>90</v>
          </cell>
          <cell r="O1178" t="e">
            <v>#N/A</v>
          </cell>
          <cell r="P1178" t="str">
            <v/>
          </cell>
          <cell r="Q1178" t="str">
            <v/>
          </cell>
          <cell r="R1178">
            <v>90</v>
          </cell>
        </row>
        <row r="1179">
          <cell r="A1179" t="str">
            <v/>
          </cell>
          <cell r="B1179" t="str">
            <v/>
          </cell>
          <cell r="C1179" t="str">
            <v>Future</v>
          </cell>
          <cell r="D1179" t="e">
            <v>#N/A</v>
          </cell>
          <cell r="E1179">
            <v>-102.62996062992207</v>
          </cell>
          <cell r="F1179">
            <v>154.08263779527476</v>
          </cell>
          <cell r="G1179">
            <v>31.838543307086265</v>
          </cell>
          <cell r="H1179">
            <v>31.838543307086265</v>
          </cell>
          <cell r="I1179" t="e">
            <v>#N/A</v>
          </cell>
          <cell r="J1179" t="e">
            <v>#N/A</v>
          </cell>
          <cell r="K1179">
            <v>105</v>
          </cell>
          <cell r="L1179">
            <v>55</v>
          </cell>
          <cell r="M1179" t="e">
            <v>#N/A</v>
          </cell>
          <cell r="N1179">
            <v>90</v>
          </cell>
          <cell r="O1179" t="e">
            <v>#N/A</v>
          </cell>
          <cell r="P1179" t="str">
            <v/>
          </cell>
          <cell r="Q1179" t="str">
            <v/>
          </cell>
          <cell r="R1179">
            <v>90</v>
          </cell>
        </row>
        <row r="1180">
          <cell r="A1180" t="str">
            <v/>
          </cell>
          <cell r="B1180" t="str">
            <v/>
          </cell>
          <cell r="C1180" t="str">
            <v>Future</v>
          </cell>
          <cell r="D1180" t="e">
            <v>#N/A</v>
          </cell>
          <cell r="E1180">
            <v>-102.90960629921341</v>
          </cell>
          <cell r="F1180">
            <v>154.21637795275507</v>
          </cell>
          <cell r="G1180">
            <v>31.775433070865795</v>
          </cell>
          <cell r="H1180">
            <v>31.775433070865795</v>
          </cell>
          <cell r="I1180" t="e">
            <v>#N/A</v>
          </cell>
          <cell r="J1180" t="e">
            <v>#N/A</v>
          </cell>
          <cell r="K1180">
            <v>105</v>
          </cell>
          <cell r="L1180">
            <v>55</v>
          </cell>
          <cell r="M1180" t="e">
            <v>#N/A</v>
          </cell>
          <cell r="N1180">
            <v>90</v>
          </cell>
          <cell r="O1180" t="e">
            <v>#N/A</v>
          </cell>
          <cell r="P1180" t="str">
            <v/>
          </cell>
          <cell r="Q1180" t="str">
            <v/>
          </cell>
          <cell r="R1180">
            <v>90</v>
          </cell>
        </row>
        <row r="1181">
          <cell r="A1181" t="str">
            <v/>
          </cell>
          <cell r="B1181" t="str">
            <v/>
          </cell>
          <cell r="C1181" t="str">
            <v>Future</v>
          </cell>
          <cell r="D1181" t="e">
            <v>#N/A</v>
          </cell>
          <cell r="E1181">
            <v>-103.18925196850475</v>
          </cell>
          <cell r="F1181">
            <v>154.35011811023537</v>
          </cell>
          <cell r="G1181">
            <v>31.712322834645324</v>
          </cell>
          <cell r="H1181">
            <v>31.712322834645324</v>
          </cell>
          <cell r="I1181" t="e">
            <v>#N/A</v>
          </cell>
          <cell r="J1181" t="e">
            <v>#N/A</v>
          </cell>
          <cell r="K1181">
            <v>105</v>
          </cell>
          <cell r="L1181">
            <v>55</v>
          </cell>
          <cell r="M1181" t="e">
            <v>#N/A</v>
          </cell>
          <cell r="N1181">
            <v>90</v>
          </cell>
          <cell r="O1181" t="e">
            <v>#N/A</v>
          </cell>
          <cell r="P1181" t="str">
            <v/>
          </cell>
          <cell r="Q1181" t="str">
            <v/>
          </cell>
          <cell r="R1181">
            <v>90</v>
          </cell>
        </row>
        <row r="1182">
          <cell r="A1182" t="str">
            <v/>
          </cell>
          <cell r="B1182" t="str">
            <v/>
          </cell>
          <cell r="C1182" t="str">
            <v>Future</v>
          </cell>
          <cell r="D1182" t="e">
            <v>#N/A</v>
          </cell>
          <cell r="E1182">
            <v>-103.46889763779609</v>
          </cell>
          <cell r="F1182">
            <v>154.48385826771568</v>
          </cell>
          <cell r="G1182">
            <v>31.649212598424853</v>
          </cell>
          <cell r="H1182">
            <v>31.649212598424853</v>
          </cell>
          <cell r="I1182" t="e">
            <v>#N/A</v>
          </cell>
          <cell r="J1182" t="e">
            <v>#N/A</v>
          </cell>
          <cell r="K1182">
            <v>105</v>
          </cell>
          <cell r="L1182">
            <v>55</v>
          </cell>
          <cell r="M1182" t="e">
            <v>#N/A</v>
          </cell>
          <cell r="N1182">
            <v>90</v>
          </cell>
          <cell r="O1182" t="e">
            <v>#N/A</v>
          </cell>
          <cell r="P1182" t="str">
            <v/>
          </cell>
          <cell r="Q1182" t="str">
            <v/>
          </cell>
          <cell r="R1182">
            <v>90</v>
          </cell>
        </row>
        <row r="1183">
          <cell r="A1183" t="str">
            <v/>
          </cell>
          <cell r="B1183" t="str">
            <v/>
          </cell>
          <cell r="C1183" t="str">
            <v>Future</v>
          </cell>
          <cell r="D1183" t="e">
            <v>#N/A</v>
          </cell>
          <cell r="E1183">
            <v>-103.74854330708743</v>
          </cell>
          <cell r="F1183">
            <v>154.61759842519598</v>
          </cell>
          <cell r="G1183">
            <v>31.586102362204382</v>
          </cell>
          <cell r="H1183">
            <v>31.586102362204382</v>
          </cell>
          <cell r="I1183" t="e">
            <v>#N/A</v>
          </cell>
          <cell r="J1183" t="e">
            <v>#N/A</v>
          </cell>
          <cell r="K1183">
            <v>105</v>
          </cell>
          <cell r="L1183">
            <v>55</v>
          </cell>
          <cell r="M1183" t="e">
            <v>#N/A</v>
          </cell>
          <cell r="N1183">
            <v>90</v>
          </cell>
          <cell r="O1183" t="e">
            <v>#N/A</v>
          </cell>
          <cell r="P1183" t="str">
            <v/>
          </cell>
          <cell r="Q1183" t="str">
            <v/>
          </cell>
          <cell r="R1183">
            <v>90</v>
          </cell>
        </row>
        <row r="1184">
          <cell r="A1184" t="str">
            <v/>
          </cell>
          <cell r="B1184" t="str">
            <v/>
          </cell>
          <cell r="C1184" t="str">
            <v>Future</v>
          </cell>
          <cell r="D1184" t="e">
            <v>#N/A</v>
          </cell>
          <cell r="E1184">
            <v>-104.02818897637877</v>
          </cell>
          <cell r="F1184">
            <v>154.75133858267628</v>
          </cell>
          <cell r="G1184">
            <v>31.522992125983912</v>
          </cell>
          <cell r="H1184">
            <v>31.522992125983912</v>
          </cell>
          <cell r="I1184" t="e">
            <v>#N/A</v>
          </cell>
          <cell r="J1184" t="e">
            <v>#N/A</v>
          </cell>
          <cell r="K1184">
            <v>105</v>
          </cell>
          <cell r="L1184">
            <v>55</v>
          </cell>
          <cell r="M1184" t="e">
            <v>#N/A</v>
          </cell>
          <cell r="N1184">
            <v>90</v>
          </cell>
          <cell r="O1184" t="e">
            <v>#N/A</v>
          </cell>
          <cell r="P1184" t="str">
            <v/>
          </cell>
          <cell r="Q1184" t="str">
            <v/>
          </cell>
          <cell r="R1184">
            <v>90</v>
          </cell>
        </row>
        <row r="1185">
          <cell r="A1185" t="str">
            <v/>
          </cell>
          <cell r="B1185" t="str">
            <v/>
          </cell>
          <cell r="C1185" t="str">
            <v>Future</v>
          </cell>
          <cell r="D1185" t="e">
            <v>#N/A</v>
          </cell>
          <cell r="E1185">
            <v>-104.30783464567011</v>
          </cell>
          <cell r="F1185">
            <v>154.88507874015659</v>
          </cell>
          <cell r="G1185">
            <v>31.459881889763441</v>
          </cell>
          <cell r="H1185">
            <v>31.459881889763441</v>
          </cell>
          <cell r="I1185" t="e">
            <v>#N/A</v>
          </cell>
          <cell r="J1185" t="e">
            <v>#N/A</v>
          </cell>
          <cell r="K1185">
            <v>105</v>
          </cell>
          <cell r="L1185">
            <v>55</v>
          </cell>
          <cell r="M1185" t="e">
            <v>#N/A</v>
          </cell>
          <cell r="N1185">
            <v>90</v>
          </cell>
          <cell r="O1185" t="e">
            <v>#N/A</v>
          </cell>
          <cell r="P1185" t="str">
            <v/>
          </cell>
          <cell r="Q1185" t="str">
            <v/>
          </cell>
          <cell r="R1185">
            <v>90</v>
          </cell>
        </row>
        <row r="1186">
          <cell r="A1186" t="str">
            <v/>
          </cell>
          <cell r="B1186" t="str">
            <v/>
          </cell>
          <cell r="C1186" t="str">
            <v>Future</v>
          </cell>
          <cell r="D1186" t="e">
            <v>#N/A</v>
          </cell>
          <cell r="E1186">
            <v>-104.58748031496145</v>
          </cell>
          <cell r="F1186">
            <v>155.01881889763689</v>
          </cell>
          <cell r="G1186">
            <v>31.39677165354297</v>
          </cell>
          <cell r="H1186">
            <v>31.39677165354297</v>
          </cell>
          <cell r="I1186" t="e">
            <v>#N/A</v>
          </cell>
          <cell r="J1186" t="e">
            <v>#N/A</v>
          </cell>
          <cell r="K1186">
            <v>105</v>
          </cell>
          <cell r="L1186">
            <v>55</v>
          </cell>
          <cell r="M1186" t="e">
            <v>#N/A</v>
          </cell>
          <cell r="N1186">
            <v>90</v>
          </cell>
          <cell r="O1186" t="e">
            <v>#N/A</v>
          </cell>
          <cell r="P1186" t="str">
            <v/>
          </cell>
          <cell r="Q1186" t="str">
            <v/>
          </cell>
          <cell r="R1186">
            <v>90</v>
          </cell>
        </row>
        <row r="1187">
          <cell r="A1187" t="str">
            <v/>
          </cell>
          <cell r="B1187" t="str">
            <v/>
          </cell>
          <cell r="C1187" t="str">
            <v>Future</v>
          </cell>
          <cell r="D1187" t="e">
            <v>#N/A</v>
          </cell>
          <cell r="E1187">
            <v>-104.86712598425279</v>
          </cell>
          <cell r="F1187">
            <v>155.15255905511719</v>
          </cell>
          <cell r="G1187">
            <v>31.333661417322499</v>
          </cell>
          <cell r="H1187">
            <v>31.333661417322499</v>
          </cell>
          <cell r="I1187" t="e">
            <v>#N/A</v>
          </cell>
          <cell r="J1187" t="e">
            <v>#N/A</v>
          </cell>
          <cell r="K1187">
            <v>105</v>
          </cell>
          <cell r="L1187">
            <v>55</v>
          </cell>
          <cell r="M1187" t="e">
            <v>#N/A</v>
          </cell>
          <cell r="N1187">
            <v>90</v>
          </cell>
          <cell r="O1187" t="e">
            <v>#N/A</v>
          </cell>
          <cell r="P1187" t="str">
            <v/>
          </cell>
          <cell r="Q1187" t="str">
            <v/>
          </cell>
          <cell r="R1187">
            <v>90</v>
          </cell>
        </row>
        <row r="1188">
          <cell r="A1188" t="str">
            <v/>
          </cell>
          <cell r="B1188" t="str">
            <v/>
          </cell>
          <cell r="C1188" t="str">
            <v>Future</v>
          </cell>
          <cell r="D1188" t="e">
            <v>#N/A</v>
          </cell>
          <cell r="E1188">
            <v>-105.14677165354414</v>
          </cell>
          <cell r="F1188">
            <v>155.2862992125975</v>
          </cell>
          <cell r="G1188">
            <v>31.270551181102029</v>
          </cell>
          <cell r="H1188">
            <v>31.270551181102029</v>
          </cell>
          <cell r="I1188" t="e">
            <v>#N/A</v>
          </cell>
          <cell r="J1188" t="e">
            <v>#N/A</v>
          </cell>
          <cell r="K1188">
            <v>105</v>
          </cell>
          <cell r="L1188">
            <v>55</v>
          </cell>
          <cell r="M1188" t="e">
            <v>#N/A</v>
          </cell>
          <cell r="N1188">
            <v>90</v>
          </cell>
          <cell r="O1188" t="e">
            <v>#N/A</v>
          </cell>
          <cell r="P1188" t="str">
            <v/>
          </cell>
          <cell r="Q1188" t="str">
            <v/>
          </cell>
          <cell r="R1188">
            <v>90</v>
          </cell>
        </row>
        <row r="1189">
          <cell r="A1189" t="str">
            <v/>
          </cell>
          <cell r="B1189" t="str">
            <v/>
          </cell>
          <cell r="C1189" t="str">
            <v>Future</v>
          </cell>
          <cell r="D1189" t="e">
            <v>#N/A</v>
          </cell>
          <cell r="E1189">
            <v>-105.42641732283548</v>
          </cell>
          <cell r="F1189">
            <v>155.4200393700778</v>
          </cell>
          <cell r="G1189">
            <v>31.207440944881558</v>
          </cell>
          <cell r="H1189">
            <v>31.207440944881558</v>
          </cell>
          <cell r="I1189" t="e">
            <v>#N/A</v>
          </cell>
          <cell r="J1189" t="e">
            <v>#N/A</v>
          </cell>
          <cell r="K1189">
            <v>105</v>
          </cell>
          <cell r="L1189">
            <v>55</v>
          </cell>
          <cell r="M1189" t="e">
            <v>#N/A</v>
          </cell>
          <cell r="N1189">
            <v>90</v>
          </cell>
          <cell r="O1189" t="e">
            <v>#N/A</v>
          </cell>
          <cell r="P1189" t="str">
            <v/>
          </cell>
          <cell r="Q1189" t="str">
            <v/>
          </cell>
          <cell r="R1189">
            <v>90</v>
          </cell>
        </row>
        <row r="1190">
          <cell r="A1190" t="str">
            <v/>
          </cell>
          <cell r="B1190" t="str">
            <v/>
          </cell>
          <cell r="C1190" t="str">
            <v>Future</v>
          </cell>
          <cell r="D1190" t="e">
            <v>#N/A</v>
          </cell>
          <cell r="E1190">
            <v>-105.70606299212682</v>
          </cell>
          <cell r="F1190">
            <v>155.55377952755811</v>
          </cell>
          <cell r="G1190">
            <v>31.144330708661087</v>
          </cell>
          <cell r="H1190">
            <v>31.144330708661087</v>
          </cell>
          <cell r="I1190" t="e">
            <v>#N/A</v>
          </cell>
          <cell r="J1190" t="e">
            <v>#N/A</v>
          </cell>
          <cell r="K1190">
            <v>105</v>
          </cell>
          <cell r="L1190">
            <v>55</v>
          </cell>
          <cell r="M1190" t="e">
            <v>#N/A</v>
          </cell>
          <cell r="N1190">
            <v>90</v>
          </cell>
          <cell r="O1190" t="e">
            <v>#N/A</v>
          </cell>
          <cell r="P1190" t="str">
            <v/>
          </cell>
          <cell r="Q1190" t="str">
            <v/>
          </cell>
          <cell r="R1190">
            <v>90</v>
          </cell>
        </row>
        <row r="1191">
          <cell r="A1191" t="str">
            <v/>
          </cell>
          <cell r="B1191" t="str">
            <v/>
          </cell>
          <cell r="C1191" t="str">
            <v>Future</v>
          </cell>
          <cell r="D1191" t="e">
            <v>#N/A</v>
          </cell>
          <cell r="E1191">
            <v>-105.98570866141816</v>
          </cell>
          <cell r="F1191">
            <v>155.68751968503841</v>
          </cell>
          <cell r="G1191">
            <v>31.081220472440616</v>
          </cell>
          <cell r="H1191">
            <v>31.081220472440616</v>
          </cell>
          <cell r="I1191" t="e">
            <v>#N/A</v>
          </cell>
          <cell r="J1191" t="e">
            <v>#N/A</v>
          </cell>
          <cell r="K1191">
            <v>105</v>
          </cell>
          <cell r="L1191">
            <v>55</v>
          </cell>
          <cell r="M1191" t="e">
            <v>#N/A</v>
          </cell>
          <cell r="N1191">
            <v>90</v>
          </cell>
          <cell r="O1191" t="e">
            <v>#N/A</v>
          </cell>
          <cell r="P1191" t="str">
            <v/>
          </cell>
          <cell r="Q1191" t="str">
            <v/>
          </cell>
          <cell r="R1191">
            <v>90</v>
          </cell>
        </row>
        <row r="1192">
          <cell r="A1192" t="str">
            <v/>
          </cell>
          <cell r="B1192" t="str">
            <v/>
          </cell>
          <cell r="C1192" t="str">
            <v>Future</v>
          </cell>
          <cell r="D1192" t="e">
            <v>#N/A</v>
          </cell>
          <cell r="E1192">
            <v>-106.2653543307095</v>
          </cell>
          <cell r="F1192">
            <v>155.82125984251871</v>
          </cell>
          <cell r="G1192">
            <v>31.018110236220146</v>
          </cell>
          <cell r="H1192">
            <v>31.018110236220146</v>
          </cell>
          <cell r="I1192" t="e">
            <v>#N/A</v>
          </cell>
          <cell r="J1192" t="e">
            <v>#N/A</v>
          </cell>
          <cell r="K1192">
            <v>105</v>
          </cell>
          <cell r="L1192">
            <v>55</v>
          </cell>
          <cell r="M1192" t="e">
            <v>#N/A</v>
          </cell>
          <cell r="N1192">
            <v>90</v>
          </cell>
          <cell r="O1192" t="e">
            <v>#N/A</v>
          </cell>
          <cell r="P1192" t="str">
            <v/>
          </cell>
          <cell r="Q1192" t="str">
            <v/>
          </cell>
          <cell r="R1192">
            <v>90</v>
          </cell>
        </row>
        <row r="1193">
          <cell r="A1193" t="str">
            <v/>
          </cell>
          <cell r="B1193" t="str">
            <v/>
          </cell>
          <cell r="C1193" t="str">
            <v>Future</v>
          </cell>
          <cell r="D1193" t="e">
            <v>#N/A</v>
          </cell>
          <cell r="E1193">
            <v>-106.54500000000084</v>
          </cell>
          <cell r="F1193">
            <v>155.95499999999902</v>
          </cell>
          <cell r="G1193">
            <v>30.954999999999675</v>
          </cell>
          <cell r="H1193">
            <v>30.954999999999675</v>
          </cell>
          <cell r="I1193" t="e">
            <v>#N/A</v>
          </cell>
          <cell r="J1193" t="e">
            <v>#N/A</v>
          </cell>
          <cell r="K1193">
            <v>105</v>
          </cell>
          <cell r="L1193">
            <v>55</v>
          </cell>
          <cell r="M1193" t="e">
            <v>#N/A</v>
          </cell>
          <cell r="N1193">
            <v>90</v>
          </cell>
          <cell r="O1193" t="e">
            <v>#N/A</v>
          </cell>
          <cell r="P1193" t="str">
            <v/>
          </cell>
          <cell r="Q1193" t="str">
            <v/>
          </cell>
          <cell r="R1193">
            <v>90</v>
          </cell>
        </row>
        <row r="1194">
          <cell r="A1194" t="str">
            <v/>
          </cell>
          <cell r="B1194" t="str">
            <v/>
          </cell>
          <cell r="C1194" t="str">
            <v>Future</v>
          </cell>
          <cell r="D1194" t="e">
            <v>#N/A</v>
          </cell>
          <cell r="E1194">
            <v>-106.82464566929218</v>
          </cell>
          <cell r="F1194">
            <v>156.08874015747932</v>
          </cell>
          <cell r="G1194">
            <v>30.891889763779204</v>
          </cell>
          <cell r="H1194">
            <v>30.891889763779204</v>
          </cell>
          <cell r="I1194" t="e">
            <v>#N/A</v>
          </cell>
          <cell r="J1194" t="e">
            <v>#N/A</v>
          </cell>
          <cell r="K1194">
            <v>105</v>
          </cell>
          <cell r="L1194">
            <v>55</v>
          </cell>
          <cell r="M1194" t="e">
            <v>#N/A</v>
          </cell>
          <cell r="N1194">
            <v>90</v>
          </cell>
          <cell r="O1194" t="e">
            <v>#N/A</v>
          </cell>
          <cell r="P1194" t="str">
            <v/>
          </cell>
          <cell r="Q1194" t="str">
            <v/>
          </cell>
          <cell r="R1194">
            <v>90</v>
          </cell>
        </row>
        <row r="1195">
          <cell r="A1195" t="str">
            <v/>
          </cell>
          <cell r="B1195" t="str">
            <v/>
          </cell>
          <cell r="C1195" t="str">
            <v>Future</v>
          </cell>
          <cell r="D1195" t="e">
            <v>#N/A</v>
          </cell>
          <cell r="E1195">
            <v>-107.10429133858352</v>
          </cell>
          <cell r="F1195">
            <v>156.22248031495963</v>
          </cell>
          <cell r="G1195">
            <v>30.828779527558734</v>
          </cell>
          <cell r="H1195">
            <v>30.828779527558734</v>
          </cell>
          <cell r="I1195" t="e">
            <v>#N/A</v>
          </cell>
          <cell r="J1195" t="e">
            <v>#N/A</v>
          </cell>
          <cell r="K1195">
            <v>105</v>
          </cell>
          <cell r="L1195">
            <v>55</v>
          </cell>
          <cell r="M1195" t="e">
            <v>#N/A</v>
          </cell>
          <cell r="N1195">
            <v>90</v>
          </cell>
          <cell r="O1195" t="e">
            <v>#N/A</v>
          </cell>
          <cell r="P1195" t="str">
            <v/>
          </cell>
          <cell r="Q1195" t="str">
            <v/>
          </cell>
          <cell r="R1195">
            <v>90</v>
          </cell>
        </row>
        <row r="1196">
          <cell r="A1196" t="str">
            <v/>
          </cell>
          <cell r="B1196" t="str">
            <v/>
          </cell>
          <cell r="C1196" t="str">
            <v>Future</v>
          </cell>
          <cell r="D1196" t="e">
            <v>#N/A</v>
          </cell>
          <cell r="E1196">
            <v>-107.38393700787486</v>
          </cell>
          <cell r="F1196">
            <v>156.35622047243993</v>
          </cell>
          <cell r="G1196">
            <v>30.765669291338263</v>
          </cell>
          <cell r="H1196">
            <v>30.765669291338263</v>
          </cell>
          <cell r="I1196" t="e">
            <v>#N/A</v>
          </cell>
          <cell r="J1196" t="e">
            <v>#N/A</v>
          </cell>
          <cell r="K1196">
            <v>105</v>
          </cell>
          <cell r="L1196">
            <v>55</v>
          </cell>
          <cell r="M1196" t="e">
            <v>#N/A</v>
          </cell>
          <cell r="N1196">
            <v>90</v>
          </cell>
          <cell r="O1196" t="e">
            <v>#N/A</v>
          </cell>
          <cell r="P1196" t="str">
            <v/>
          </cell>
          <cell r="Q1196" t="str">
            <v/>
          </cell>
          <cell r="R1196">
            <v>90</v>
          </cell>
        </row>
        <row r="1197">
          <cell r="A1197" t="str">
            <v/>
          </cell>
          <cell r="B1197" t="str">
            <v/>
          </cell>
          <cell r="C1197" t="str">
            <v>Future</v>
          </cell>
          <cell r="D1197" t="e">
            <v>#N/A</v>
          </cell>
          <cell r="E1197">
            <v>-107.6635826771662</v>
          </cell>
          <cell r="F1197">
            <v>156.48996062992023</v>
          </cell>
          <cell r="G1197">
            <v>30.702559055117792</v>
          </cell>
          <cell r="H1197">
            <v>30.702559055117792</v>
          </cell>
          <cell r="I1197" t="e">
            <v>#N/A</v>
          </cell>
          <cell r="J1197" t="e">
            <v>#N/A</v>
          </cell>
          <cell r="K1197">
            <v>105</v>
          </cell>
          <cell r="L1197">
            <v>55</v>
          </cell>
          <cell r="M1197" t="e">
            <v>#N/A</v>
          </cell>
          <cell r="N1197">
            <v>90</v>
          </cell>
          <cell r="O1197" t="e">
            <v>#N/A</v>
          </cell>
          <cell r="P1197" t="str">
            <v/>
          </cell>
          <cell r="Q1197" t="str">
            <v/>
          </cell>
          <cell r="R1197">
            <v>90</v>
          </cell>
        </row>
        <row r="1198">
          <cell r="A1198" t="str">
            <v/>
          </cell>
          <cell r="B1198" t="str">
            <v/>
          </cell>
          <cell r="C1198" t="str">
            <v>Future</v>
          </cell>
          <cell r="D1198" t="e">
            <v>#N/A</v>
          </cell>
          <cell r="E1198">
            <v>-107.94322834645754</v>
          </cell>
          <cell r="F1198">
            <v>156.62370078740054</v>
          </cell>
          <cell r="G1198">
            <v>30.639448818897321</v>
          </cell>
          <cell r="H1198">
            <v>30.639448818897321</v>
          </cell>
          <cell r="I1198" t="e">
            <v>#N/A</v>
          </cell>
          <cell r="J1198" t="e">
            <v>#N/A</v>
          </cell>
          <cell r="K1198">
            <v>105</v>
          </cell>
          <cell r="L1198">
            <v>55</v>
          </cell>
          <cell r="M1198" t="e">
            <v>#N/A</v>
          </cell>
          <cell r="N1198">
            <v>90</v>
          </cell>
          <cell r="O1198" t="e">
            <v>#N/A</v>
          </cell>
          <cell r="P1198" t="str">
            <v/>
          </cell>
          <cell r="Q1198" t="str">
            <v/>
          </cell>
          <cell r="R1198">
            <v>90</v>
          </cell>
        </row>
        <row r="1199">
          <cell r="A1199" t="str">
            <v/>
          </cell>
          <cell r="B1199" t="str">
            <v/>
          </cell>
          <cell r="C1199" t="str">
            <v>Future</v>
          </cell>
          <cell r="D1199" t="e">
            <v>#N/A</v>
          </cell>
          <cell r="E1199">
            <v>-108.22287401574889</v>
          </cell>
          <cell r="F1199">
            <v>156.75744094488084</v>
          </cell>
          <cell r="G1199">
            <v>30.576338582676851</v>
          </cell>
          <cell r="H1199">
            <v>30.576338582676851</v>
          </cell>
          <cell r="I1199" t="e">
            <v>#N/A</v>
          </cell>
          <cell r="J1199" t="e">
            <v>#N/A</v>
          </cell>
          <cell r="K1199">
            <v>105</v>
          </cell>
          <cell r="L1199">
            <v>55</v>
          </cell>
          <cell r="M1199" t="e">
            <v>#N/A</v>
          </cell>
          <cell r="N1199">
            <v>90</v>
          </cell>
          <cell r="O1199" t="e">
            <v>#N/A</v>
          </cell>
          <cell r="P1199" t="str">
            <v/>
          </cell>
          <cell r="Q1199" t="str">
            <v/>
          </cell>
          <cell r="R1199">
            <v>90</v>
          </cell>
        </row>
        <row r="1200">
          <cell r="A1200" t="str">
            <v/>
          </cell>
          <cell r="B1200" t="str">
            <v/>
          </cell>
          <cell r="C1200" t="str">
            <v>Future</v>
          </cell>
          <cell r="D1200" t="e">
            <v>#N/A</v>
          </cell>
          <cell r="E1200">
            <v>-108.50251968504023</v>
          </cell>
          <cell r="F1200">
            <v>156.89118110236114</v>
          </cell>
          <cell r="G1200">
            <v>30.51322834645638</v>
          </cell>
          <cell r="H1200">
            <v>30.51322834645638</v>
          </cell>
          <cell r="I1200" t="e">
            <v>#N/A</v>
          </cell>
          <cell r="J1200" t="e">
            <v>#N/A</v>
          </cell>
          <cell r="K1200">
            <v>105</v>
          </cell>
          <cell r="L1200">
            <v>55</v>
          </cell>
          <cell r="M1200" t="e">
            <v>#N/A</v>
          </cell>
          <cell r="N1200">
            <v>90</v>
          </cell>
          <cell r="O1200" t="e">
            <v>#N/A</v>
          </cell>
          <cell r="P1200" t="str">
            <v/>
          </cell>
          <cell r="Q1200" t="str">
            <v/>
          </cell>
          <cell r="R1200">
            <v>90</v>
          </cell>
        </row>
        <row r="1201">
          <cell r="A1201" t="str">
            <v/>
          </cell>
          <cell r="B1201" t="str">
            <v/>
          </cell>
          <cell r="C1201" t="str">
            <v>Future</v>
          </cell>
          <cell r="D1201" t="e">
            <v>#N/A</v>
          </cell>
          <cell r="E1201">
            <v>-108.78216535433157</v>
          </cell>
          <cell r="F1201">
            <v>157.02492125984145</v>
          </cell>
          <cell r="G1201">
            <v>30.450118110235909</v>
          </cell>
          <cell r="H1201">
            <v>30.450118110235909</v>
          </cell>
          <cell r="I1201" t="e">
            <v>#N/A</v>
          </cell>
          <cell r="J1201" t="e">
            <v>#N/A</v>
          </cell>
          <cell r="K1201">
            <v>105</v>
          </cell>
          <cell r="L1201">
            <v>55</v>
          </cell>
          <cell r="M1201" t="e">
            <v>#N/A</v>
          </cell>
          <cell r="N1201">
            <v>90</v>
          </cell>
          <cell r="O1201" t="e">
            <v>#N/A</v>
          </cell>
          <cell r="P1201" t="str">
            <v/>
          </cell>
          <cell r="Q1201" t="str">
            <v/>
          </cell>
          <cell r="R1201">
            <v>90</v>
          </cell>
        </row>
        <row r="1202">
          <cell r="A1202" t="str">
            <v/>
          </cell>
          <cell r="B1202" t="str">
            <v/>
          </cell>
          <cell r="C1202" t="str">
            <v>Future</v>
          </cell>
          <cell r="D1202" t="e">
            <v>#N/A</v>
          </cell>
          <cell r="E1202">
            <v>-109.06181102362291</v>
          </cell>
          <cell r="F1202">
            <v>157.15866141732175</v>
          </cell>
          <cell r="G1202">
            <v>30.387007874015438</v>
          </cell>
          <cell r="H1202">
            <v>30.387007874015438</v>
          </cell>
          <cell r="I1202" t="e">
            <v>#N/A</v>
          </cell>
          <cell r="J1202" t="e">
            <v>#N/A</v>
          </cell>
          <cell r="K1202">
            <v>105</v>
          </cell>
          <cell r="L1202">
            <v>55</v>
          </cell>
          <cell r="M1202" t="e">
            <v>#N/A</v>
          </cell>
          <cell r="N1202">
            <v>90</v>
          </cell>
          <cell r="O1202" t="e">
            <v>#N/A</v>
          </cell>
          <cell r="P1202" t="str">
            <v/>
          </cell>
          <cell r="Q1202" t="str">
            <v/>
          </cell>
          <cell r="R1202">
            <v>90</v>
          </cell>
        </row>
        <row r="1203">
          <cell r="A1203" t="str">
            <v/>
          </cell>
          <cell r="B1203" t="str">
            <v/>
          </cell>
          <cell r="C1203" t="str">
            <v>Future</v>
          </cell>
          <cell r="D1203" t="e">
            <v>#N/A</v>
          </cell>
          <cell r="E1203">
            <v>-109.34145669291425</v>
          </cell>
          <cell r="F1203">
            <v>157.29240157480206</v>
          </cell>
          <cell r="G1203">
            <v>30.323897637794968</v>
          </cell>
          <cell r="H1203">
            <v>30.323897637794968</v>
          </cell>
          <cell r="I1203" t="e">
            <v>#N/A</v>
          </cell>
          <cell r="J1203" t="e">
            <v>#N/A</v>
          </cell>
          <cell r="K1203">
            <v>105</v>
          </cell>
          <cell r="L1203">
            <v>55</v>
          </cell>
          <cell r="M1203" t="e">
            <v>#N/A</v>
          </cell>
          <cell r="N1203">
            <v>90</v>
          </cell>
          <cell r="O1203" t="e">
            <v>#N/A</v>
          </cell>
          <cell r="P1203" t="str">
            <v/>
          </cell>
          <cell r="Q1203" t="str">
            <v/>
          </cell>
          <cell r="R1203">
            <v>90</v>
          </cell>
        </row>
        <row r="1204">
          <cell r="A1204" t="str">
            <v/>
          </cell>
          <cell r="B1204" t="str">
            <v/>
          </cell>
          <cell r="C1204" t="str">
            <v>Future</v>
          </cell>
          <cell r="D1204" t="e">
            <v>#N/A</v>
          </cell>
          <cell r="E1204">
            <v>-109.62110236220559</v>
          </cell>
          <cell r="F1204">
            <v>157.42614173228236</v>
          </cell>
          <cell r="G1204">
            <v>30.260787401574497</v>
          </cell>
          <cell r="H1204">
            <v>30.260787401574497</v>
          </cell>
          <cell r="I1204" t="e">
            <v>#N/A</v>
          </cell>
          <cell r="J1204" t="e">
            <v>#N/A</v>
          </cell>
          <cell r="K1204">
            <v>105</v>
          </cell>
          <cell r="L1204">
            <v>55</v>
          </cell>
          <cell r="M1204" t="e">
            <v>#N/A</v>
          </cell>
          <cell r="N1204">
            <v>90</v>
          </cell>
          <cell r="O1204" t="e">
            <v>#N/A</v>
          </cell>
          <cell r="P1204" t="str">
            <v/>
          </cell>
          <cell r="Q1204" t="str">
            <v/>
          </cell>
          <cell r="R1204">
            <v>90</v>
          </cell>
        </row>
        <row r="1205">
          <cell r="A1205" t="str">
            <v/>
          </cell>
          <cell r="B1205" t="str">
            <v/>
          </cell>
          <cell r="C1205" t="str">
            <v>Future</v>
          </cell>
          <cell r="D1205" t="e">
            <v>#N/A</v>
          </cell>
          <cell r="E1205">
            <v>-109.90074803149693</v>
          </cell>
          <cell r="F1205">
            <v>157.55988188976266</v>
          </cell>
          <cell r="G1205">
            <v>30.197677165354026</v>
          </cell>
          <cell r="H1205">
            <v>30.197677165354026</v>
          </cell>
          <cell r="I1205" t="e">
            <v>#N/A</v>
          </cell>
          <cell r="J1205" t="e">
            <v>#N/A</v>
          </cell>
          <cell r="K1205">
            <v>105</v>
          </cell>
          <cell r="L1205">
            <v>55</v>
          </cell>
          <cell r="M1205" t="e">
            <v>#N/A</v>
          </cell>
          <cell r="N1205">
            <v>90</v>
          </cell>
          <cell r="O1205" t="e">
            <v>#N/A</v>
          </cell>
          <cell r="P1205" t="str">
            <v/>
          </cell>
          <cell r="Q1205" t="str">
            <v/>
          </cell>
          <cell r="R1205">
            <v>90</v>
          </cell>
        </row>
        <row r="1206">
          <cell r="A1206" t="str">
            <v/>
          </cell>
          <cell r="B1206" t="str">
            <v/>
          </cell>
          <cell r="C1206" t="str">
            <v>Future</v>
          </cell>
          <cell r="D1206" t="e">
            <v>#N/A</v>
          </cell>
          <cell r="E1206">
            <v>-110.18039370078827</v>
          </cell>
          <cell r="F1206">
            <v>157.69362204724297</v>
          </cell>
          <cell r="G1206">
            <v>30.134566929133555</v>
          </cell>
          <cell r="H1206">
            <v>30.134566929133555</v>
          </cell>
          <cell r="I1206" t="e">
            <v>#N/A</v>
          </cell>
          <cell r="J1206" t="e">
            <v>#N/A</v>
          </cell>
          <cell r="K1206">
            <v>105</v>
          </cell>
          <cell r="L1206">
            <v>55</v>
          </cell>
          <cell r="M1206" t="e">
            <v>#N/A</v>
          </cell>
          <cell r="N1206">
            <v>90</v>
          </cell>
          <cell r="O1206" t="e">
            <v>#N/A</v>
          </cell>
          <cell r="P1206" t="str">
            <v/>
          </cell>
          <cell r="Q1206" t="str">
            <v/>
          </cell>
          <cell r="R1206">
            <v>90</v>
          </cell>
        </row>
        <row r="1207">
          <cell r="A1207" t="str">
            <v/>
          </cell>
          <cell r="B1207" t="str">
            <v/>
          </cell>
          <cell r="C1207" t="str">
            <v>Future</v>
          </cell>
          <cell r="D1207" t="e">
            <v>#N/A</v>
          </cell>
          <cell r="E1207">
            <v>-110.46003937007961</v>
          </cell>
          <cell r="F1207">
            <v>157.82736220472327</v>
          </cell>
          <cell r="G1207">
            <v>30.071456692913085</v>
          </cell>
          <cell r="H1207">
            <v>30.071456692913085</v>
          </cell>
          <cell r="I1207" t="e">
            <v>#N/A</v>
          </cell>
          <cell r="J1207" t="e">
            <v>#N/A</v>
          </cell>
          <cell r="K1207">
            <v>105</v>
          </cell>
          <cell r="L1207">
            <v>55</v>
          </cell>
          <cell r="M1207" t="e">
            <v>#N/A</v>
          </cell>
          <cell r="N1207">
            <v>90</v>
          </cell>
          <cell r="O1207" t="e">
            <v>#N/A</v>
          </cell>
          <cell r="P1207" t="str">
            <v/>
          </cell>
          <cell r="Q1207" t="str">
            <v/>
          </cell>
          <cell r="R1207">
            <v>90</v>
          </cell>
        </row>
        <row r="1208">
          <cell r="A1208" t="str">
            <v/>
          </cell>
          <cell r="B1208" t="str">
            <v/>
          </cell>
          <cell r="C1208" t="str">
            <v>Future</v>
          </cell>
          <cell r="D1208" t="e">
            <v>#N/A</v>
          </cell>
          <cell r="E1208">
            <v>-110.73968503937095</v>
          </cell>
          <cell r="F1208">
            <v>157.96110236220358</v>
          </cell>
          <cell r="G1208">
            <v>30.008346456692614</v>
          </cell>
          <cell r="H1208">
            <v>30.008346456692614</v>
          </cell>
          <cell r="I1208" t="e">
            <v>#N/A</v>
          </cell>
          <cell r="J1208" t="e">
            <v>#N/A</v>
          </cell>
          <cell r="K1208">
            <v>105</v>
          </cell>
          <cell r="L1208">
            <v>55</v>
          </cell>
          <cell r="M1208" t="e">
            <v>#N/A</v>
          </cell>
          <cell r="N1208">
            <v>90</v>
          </cell>
          <cell r="O1208" t="e">
            <v>#N/A</v>
          </cell>
          <cell r="P1208" t="str">
            <v/>
          </cell>
          <cell r="Q1208" t="str">
            <v/>
          </cell>
          <cell r="R1208">
            <v>90</v>
          </cell>
        </row>
        <row r="1209">
          <cell r="A1209" t="str">
            <v/>
          </cell>
          <cell r="B1209" t="str">
            <v/>
          </cell>
          <cell r="C1209" t="str">
            <v>Future</v>
          </cell>
          <cell r="D1209" t="e">
            <v>#N/A</v>
          </cell>
          <cell r="E1209">
            <v>-111.0193307086623</v>
          </cell>
          <cell r="F1209">
            <v>158.09484251968388</v>
          </cell>
          <cell r="G1209">
            <v>29.945236220472143</v>
          </cell>
          <cell r="H1209">
            <v>29.945236220472143</v>
          </cell>
          <cell r="I1209" t="e">
            <v>#N/A</v>
          </cell>
          <cell r="J1209" t="e">
            <v>#N/A</v>
          </cell>
          <cell r="K1209">
            <v>105</v>
          </cell>
          <cell r="L1209">
            <v>55</v>
          </cell>
          <cell r="M1209" t="e">
            <v>#N/A</v>
          </cell>
          <cell r="N1209">
            <v>90</v>
          </cell>
          <cell r="O1209" t="e">
            <v>#N/A</v>
          </cell>
          <cell r="P1209" t="str">
            <v/>
          </cell>
          <cell r="Q1209" t="str">
            <v/>
          </cell>
          <cell r="R1209">
            <v>90</v>
          </cell>
        </row>
        <row r="1210">
          <cell r="A1210" t="str">
            <v/>
          </cell>
          <cell r="B1210" t="str">
            <v/>
          </cell>
          <cell r="C1210" t="str">
            <v>Future</v>
          </cell>
          <cell r="D1210" t="e">
            <v>#N/A</v>
          </cell>
          <cell r="E1210">
            <v>-111.29897637795364</v>
          </cell>
          <cell r="F1210">
            <v>158.22858267716418</v>
          </cell>
          <cell r="G1210">
            <v>29.882125984251672</v>
          </cell>
          <cell r="H1210">
            <v>29.882125984251672</v>
          </cell>
          <cell r="I1210" t="e">
            <v>#N/A</v>
          </cell>
          <cell r="J1210" t="e">
            <v>#N/A</v>
          </cell>
          <cell r="K1210">
            <v>105</v>
          </cell>
          <cell r="L1210">
            <v>55</v>
          </cell>
          <cell r="M1210" t="e">
            <v>#N/A</v>
          </cell>
          <cell r="N1210">
            <v>90</v>
          </cell>
          <cell r="O1210" t="e">
            <v>#N/A</v>
          </cell>
          <cell r="P1210" t="str">
            <v/>
          </cell>
          <cell r="Q1210" t="str">
            <v/>
          </cell>
          <cell r="R1210">
            <v>90</v>
          </cell>
        </row>
        <row r="1211">
          <cell r="A1211" t="str">
            <v/>
          </cell>
          <cell r="B1211" t="str">
            <v/>
          </cell>
          <cell r="C1211" t="str">
            <v>Future</v>
          </cell>
          <cell r="D1211" t="e">
            <v>#N/A</v>
          </cell>
          <cell r="E1211">
            <v>-111.57862204724498</v>
          </cell>
          <cell r="F1211">
            <v>158.36232283464449</v>
          </cell>
          <cell r="G1211">
            <v>29.819015748031202</v>
          </cell>
          <cell r="H1211">
            <v>29.819015748031202</v>
          </cell>
          <cell r="I1211" t="e">
            <v>#N/A</v>
          </cell>
          <cell r="J1211" t="e">
            <v>#N/A</v>
          </cell>
          <cell r="K1211">
            <v>105</v>
          </cell>
          <cell r="L1211">
            <v>55</v>
          </cell>
          <cell r="M1211" t="e">
            <v>#N/A</v>
          </cell>
          <cell r="N1211">
            <v>90</v>
          </cell>
          <cell r="O1211" t="e">
            <v>#N/A</v>
          </cell>
          <cell r="P1211" t="str">
            <v/>
          </cell>
          <cell r="Q1211" t="str">
            <v/>
          </cell>
          <cell r="R1211">
            <v>90</v>
          </cell>
        </row>
        <row r="1212">
          <cell r="A1212" t="str">
            <v/>
          </cell>
          <cell r="B1212" t="str">
            <v/>
          </cell>
          <cell r="C1212" t="str">
            <v>Future</v>
          </cell>
          <cell r="D1212" t="e">
            <v>#N/A</v>
          </cell>
          <cell r="E1212">
            <v>-111.85826771653632</v>
          </cell>
          <cell r="F1212">
            <v>158.49606299212479</v>
          </cell>
          <cell r="G1212">
            <v>29.755905511810731</v>
          </cell>
          <cell r="H1212">
            <v>29.755905511810731</v>
          </cell>
          <cell r="I1212" t="e">
            <v>#N/A</v>
          </cell>
          <cell r="J1212" t="e">
            <v>#N/A</v>
          </cell>
          <cell r="K1212">
            <v>105</v>
          </cell>
          <cell r="L1212">
            <v>55</v>
          </cell>
          <cell r="M1212" t="e">
            <v>#N/A</v>
          </cell>
          <cell r="N1212">
            <v>90</v>
          </cell>
          <cell r="O1212" t="e">
            <v>#N/A</v>
          </cell>
          <cell r="P1212" t="str">
            <v/>
          </cell>
          <cell r="Q1212" t="str">
            <v/>
          </cell>
          <cell r="R1212">
            <v>90</v>
          </cell>
        </row>
        <row r="1213">
          <cell r="A1213" t="str">
            <v/>
          </cell>
          <cell r="B1213" t="str">
            <v/>
          </cell>
          <cell r="C1213" t="str">
            <v>Future</v>
          </cell>
          <cell r="D1213" t="e">
            <v>#N/A</v>
          </cell>
          <cell r="E1213">
            <v>-112.13791338582766</v>
          </cell>
          <cell r="F1213">
            <v>158.6298031496051</v>
          </cell>
          <cell r="G1213">
            <v>29.69279527559026</v>
          </cell>
          <cell r="H1213">
            <v>29.69279527559026</v>
          </cell>
          <cell r="I1213" t="e">
            <v>#N/A</v>
          </cell>
          <cell r="J1213" t="e">
            <v>#N/A</v>
          </cell>
          <cell r="K1213">
            <v>105</v>
          </cell>
          <cell r="L1213">
            <v>55</v>
          </cell>
          <cell r="M1213" t="e">
            <v>#N/A</v>
          </cell>
          <cell r="N1213">
            <v>90</v>
          </cell>
          <cell r="O1213" t="e">
            <v>#N/A</v>
          </cell>
          <cell r="P1213" t="str">
            <v/>
          </cell>
          <cell r="Q1213" t="str">
            <v/>
          </cell>
          <cell r="R1213">
            <v>90</v>
          </cell>
        </row>
        <row r="1214">
          <cell r="A1214" t="str">
            <v/>
          </cell>
          <cell r="B1214" t="str">
            <v/>
          </cell>
          <cell r="C1214" t="str">
            <v>Future</v>
          </cell>
          <cell r="D1214" t="e">
            <v>#N/A</v>
          </cell>
          <cell r="E1214">
            <v>-112.417559055119</v>
          </cell>
          <cell r="F1214">
            <v>158.7635433070854</v>
          </cell>
          <cell r="G1214">
            <v>29.629685039369789</v>
          </cell>
          <cell r="H1214">
            <v>29.629685039369789</v>
          </cell>
          <cell r="I1214" t="e">
            <v>#N/A</v>
          </cell>
          <cell r="J1214" t="e">
            <v>#N/A</v>
          </cell>
          <cell r="K1214">
            <v>105</v>
          </cell>
          <cell r="L1214">
            <v>55</v>
          </cell>
          <cell r="M1214" t="e">
            <v>#N/A</v>
          </cell>
          <cell r="N1214">
            <v>90</v>
          </cell>
          <cell r="O1214" t="e">
            <v>#N/A</v>
          </cell>
          <cell r="P1214" t="str">
            <v/>
          </cell>
          <cell r="Q1214" t="str">
            <v/>
          </cell>
          <cell r="R1214">
            <v>90</v>
          </cell>
        </row>
        <row r="1215">
          <cell r="A1215" t="str">
            <v/>
          </cell>
          <cell r="B1215" t="str">
            <v/>
          </cell>
          <cell r="C1215" t="str">
            <v>Future</v>
          </cell>
          <cell r="D1215" t="e">
            <v>#N/A</v>
          </cell>
          <cell r="E1215">
            <v>-112.69720472441034</v>
          </cell>
          <cell r="F1215">
            <v>158.8972834645657</v>
          </cell>
          <cell r="G1215">
            <v>29.566574803149319</v>
          </cell>
          <cell r="H1215">
            <v>29.566574803149319</v>
          </cell>
          <cell r="I1215" t="e">
            <v>#N/A</v>
          </cell>
          <cell r="J1215" t="e">
            <v>#N/A</v>
          </cell>
          <cell r="K1215">
            <v>105</v>
          </cell>
          <cell r="L1215">
            <v>55</v>
          </cell>
          <cell r="M1215" t="e">
            <v>#N/A</v>
          </cell>
          <cell r="N1215">
            <v>90</v>
          </cell>
          <cell r="O1215" t="e">
            <v>#N/A</v>
          </cell>
          <cell r="P1215" t="str">
            <v/>
          </cell>
          <cell r="Q1215" t="str">
            <v/>
          </cell>
          <cell r="R1215">
            <v>90</v>
          </cell>
        </row>
        <row r="1216">
          <cell r="A1216" t="str">
            <v/>
          </cell>
          <cell r="B1216" t="str">
            <v/>
          </cell>
          <cell r="C1216" t="str">
            <v>Future</v>
          </cell>
          <cell r="D1216" t="e">
            <v>#N/A</v>
          </cell>
          <cell r="E1216">
            <v>-112.97685039370168</v>
          </cell>
          <cell r="F1216">
            <v>159.03102362204601</v>
          </cell>
          <cell r="G1216">
            <v>29.503464566928848</v>
          </cell>
          <cell r="H1216">
            <v>29.503464566928848</v>
          </cell>
          <cell r="I1216" t="e">
            <v>#N/A</v>
          </cell>
          <cell r="J1216" t="e">
            <v>#N/A</v>
          </cell>
          <cell r="K1216">
            <v>105</v>
          </cell>
          <cell r="L1216">
            <v>55</v>
          </cell>
          <cell r="M1216" t="e">
            <v>#N/A</v>
          </cell>
          <cell r="N1216">
            <v>90</v>
          </cell>
          <cell r="O1216" t="e">
            <v>#N/A</v>
          </cell>
          <cell r="P1216" t="str">
            <v/>
          </cell>
          <cell r="Q1216" t="str">
            <v/>
          </cell>
          <cell r="R1216">
            <v>90</v>
          </cell>
        </row>
        <row r="1217">
          <cell r="A1217" t="str">
            <v/>
          </cell>
          <cell r="B1217" t="str">
            <v/>
          </cell>
          <cell r="C1217" t="str">
            <v>Future</v>
          </cell>
          <cell r="D1217" t="e">
            <v>#N/A</v>
          </cell>
          <cell r="E1217">
            <v>-113.25649606299302</v>
          </cell>
          <cell r="F1217">
            <v>159.16476377952631</v>
          </cell>
          <cell r="G1217">
            <v>29.440354330708377</v>
          </cell>
          <cell r="H1217">
            <v>29.440354330708377</v>
          </cell>
          <cell r="I1217" t="e">
            <v>#N/A</v>
          </cell>
          <cell r="J1217" t="e">
            <v>#N/A</v>
          </cell>
          <cell r="K1217">
            <v>105</v>
          </cell>
          <cell r="L1217">
            <v>55</v>
          </cell>
          <cell r="M1217" t="e">
            <v>#N/A</v>
          </cell>
          <cell r="N1217">
            <v>90</v>
          </cell>
          <cell r="O1217" t="e">
            <v>#N/A</v>
          </cell>
          <cell r="P1217" t="str">
            <v/>
          </cell>
          <cell r="Q1217" t="str">
            <v/>
          </cell>
          <cell r="R1217">
            <v>90</v>
          </cell>
        </row>
        <row r="1218">
          <cell r="A1218" t="str">
            <v/>
          </cell>
          <cell r="B1218" t="str">
            <v/>
          </cell>
          <cell r="C1218" t="str">
            <v>Future</v>
          </cell>
          <cell r="D1218" t="e">
            <v>#N/A</v>
          </cell>
          <cell r="E1218">
            <v>-113.53614173228436</v>
          </cell>
          <cell r="F1218">
            <v>159.29850393700661</v>
          </cell>
          <cell r="G1218">
            <v>29.377244094487907</v>
          </cell>
          <cell r="H1218">
            <v>29.377244094487907</v>
          </cell>
          <cell r="I1218" t="e">
            <v>#N/A</v>
          </cell>
          <cell r="J1218" t="e">
            <v>#N/A</v>
          </cell>
          <cell r="K1218">
            <v>105</v>
          </cell>
          <cell r="L1218">
            <v>55</v>
          </cell>
          <cell r="M1218" t="e">
            <v>#N/A</v>
          </cell>
          <cell r="N1218">
            <v>90</v>
          </cell>
          <cell r="O1218" t="e">
            <v>#N/A</v>
          </cell>
          <cell r="P1218" t="str">
            <v/>
          </cell>
          <cell r="Q1218" t="str">
            <v/>
          </cell>
          <cell r="R1218">
            <v>90</v>
          </cell>
        </row>
        <row r="1219">
          <cell r="A1219" t="str">
            <v/>
          </cell>
          <cell r="B1219" t="str">
            <v/>
          </cell>
          <cell r="C1219" t="str">
            <v>Future</v>
          </cell>
          <cell r="D1219" t="e">
            <v>#N/A</v>
          </cell>
          <cell r="E1219">
            <v>-113.8157874015757</v>
          </cell>
          <cell r="F1219">
            <v>159.43224409448692</v>
          </cell>
          <cell r="G1219">
            <v>29.314133858267436</v>
          </cell>
          <cell r="H1219">
            <v>29.314133858267436</v>
          </cell>
          <cell r="I1219" t="e">
            <v>#N/A</v>
          </cell>
          <cell r="J1219" t="e">
            <v>#N/A</v>
          </cell>
          <cell r="K1219">
            <v>105</v>
          </cell>
          <cell r="L1219">
            <v>55</v>
          </cell>
          <cell r="M1219" t="e">
            <v>#N/A</v>
          </cell>
          <cell r="N1219">
            <v>90</v>
          </cell>
          <cell r="O1219" t="e">
            <v>#N/A</v>
          </cell>
          <cell r="P1219" t="str">
            <v/>
          </cell>
          <cell r="Q1219" t="str">
            <v/>
          </cell>
          <cell r="R1219">
            <v>90</v>
          </cell>
        </row>
        <row r="1220">
          <cell r="A1220" t="str">
            <v/>
          </cell>
          <cell r="B1220" t="str">
            <v/>
          </cell>
          <cell r="C1220" t="str">
            <v>Future</v>
          </cell>
          <cell r="D1220" t="e">
            <v>#N/A</v>
          </cell>
          <cell r="E1220">
            <v>-114.09543307086705</v>
          </cell>
          <cell r="F1220">
            <v>159.56598425196722</v>
          </cell>
          <cell r="G1220">
            <v>29.251023622046965</v>
          </cell>
          <cell r="H1220">
            <v>29.251023622046965</v>
          </cell>
          <cell r="I1220" t="e">
            <v>#N/A</v>
          </cell>
          <cell r="J1220" t="e">
            <v>#N/A</v>
          </cell>
          <cell r="K1220">
            <v>105</v>
          </cell>
          <cell r="L1220">
            <v>55</v>
          </cell>
          <cell r="M1220" t="e">
            <v>#N/A</v>
          </cell>
          <cell r="N1220">
            <v>90</v>
          </cell>
          <cell r="O1220" t="e">
            <v>#N/A</v>
          </cell>
          <cell r="P1220" t="str">
            <v/>
          </cell>
          <cell r="Q1220" t="str">
            <v/>
          </cell>
          <cell r="R1220">
            <v>90</v>
          </cell>
        </row>
        <row r="1221">
          <cell r="A1221" t="str">
            <v/>
          </cell>
          <cell r="B1221" t="str">
            <v/>
          </cell>
          <cell r="C1221" t="str">
            <v>Future</v>
          </cell>
          <cell r="D1221" t="e">
            <v>#N/A</v>
          </cell>
          <cell r="E1221">
            <v>-114.37507874015839</v>
          </cell>
          <cell r="F1221">
            <v>159.69972440944753</v>
          </cell>
          <cell r="G1221">
            <v>29.187913385826494</v>
          </cell>
          <cell r="H1221">
            <v>29.187913385826494</v>
          </cell>
          <cell r="I1221" t="e">
            <v>#N/A</v>
          </cell>
          <cell r="J1221" t="e">
            <v>#N/A</v>
          </cell>
          <cell r="K1221">
            <v>105</v>
          </cell>
          <cell r="L1221">
            <v>55</v>
          </cell>
          <cell r="M1221" t="e">
            <v>#N/A</v>
          </cell>
          <cell r="N1221">
            <v>90</v>
          </cell>
          <cell r="O1221" t="e">
            <v>#N/A</v>
          </cell>
          <cell r="P1221" t="str">
            <v/>
          </cell>
          <cell r="Q1221" t="str">
            <v/>
          </cell>
          <cell r="R1221">
            <v>90</v>
          </cell>
        </row>
        <row r="1222">
          <cell r="A1222" t="str">
            <v/>
          </cell>
          <cell r="B1222" t="str">
            <v/>
          </cell>
          <cell r="C1222" t="str">
            <v>Future</v>
          </cell>
          <cell r="D1222" t="e">
            <v>#N/A</v>
          </cell>
          <cell r="E1222">
            <v>-114.65472440944973</v>
          </cell>
          <cell r="F1222">
            <v>159.83346456692783</v>
          </cell>
          <cell r="G1222">
            <v>29.124803149606024</v>
          </cell>
          <cell r="H1222">
            <v>29.124803149606024</v>
          </cell>
          <cell r="I1222" t="e">
            <v>#N/A</v>
          </cell>
          <cell r="J1222" t="e">
            <v>#N/A</v>
          </cell>
          <cell r="K1222">
            <v>105</v>
          </cell>
          <cell r="L1222">
            <v>55</v>
          </cell>
          <cell r="M1222" t="e">
            <v>#N/A</v>
          </cell>
          <cell r="N1222">
            <v>90</v>
          </cell>
          <cell r="O1222" t="e">
            <v>#N/A</v>
          </cell>
          <cell r="P1222" t="str">
            <v/>
          </cell>
          <cell r="Q1222" t="str">
            <v/>
          </cell>
          <cell r="R1222">
            <v>90</v>
          </cell>
        </row>
        <row r="1223">
          <cell r="A1223" t="str">
            <v/>
          </cell>
          <cell r="B1223" t="str">
            <v/>
          </cell>
          <cell r="C1223" t="str">
            <v>Future</v>
          </cell>
          <cell r="D1223" t="e">
            <v>#N/A</v>
          </cell>
          <cell r="E1223">
            <v>-114.93437007874107</v>
          </cell>
          <cell r="F1223">
            <v>159.96720472440813</v>
          </cell>
          <cell r="G1223">
            <v>29.061692913385553</v>
          </cell>
          <cell r="H1223">
            <v>29.061692913385553</v>
          </cell>
          <cell r="I1223" t="e">
            <v>#N/A</v>
          </cell>
          <cell r="J1223" t="e">
            <v>#N/A</v>
          </cell>
          <cell r="K1223">
            <v>105</v>
          </cell>
          <cell r="L1223">
            <v>55</v>
          </cell>
          <cell r="M1223" t="e">
            <v>#N/A</v>
          </cell>
          <cell r="N1223">
            <v>90</v>
          </cell>
          <cell r="O1223" t="e">
            <v>#N/A</v>
          </cell>
          <cell r="P1223" t="str">
            <v/>
          </cell>
          <cell r="Q1223" t="str">
            <v/>
          </cell>
          <cell r="R1223">
            <v>90</v>
          </cell>
        </row>
        <row r="1224">
          <cell r="A1224" t="str">
            <v/>
          </cell>
          <cell r="B1224" t="str">
            <v/>
          </cell>
          <cell r="C1224" t="str">
            <v>Future</v>
          </cell>
          <cell r="D1224" t="e">
            <v>#N/A</v>
          </cell>
          <cell r="E1224">
            <v>-115.21401574803241</v>
          </cell>
          <cell r="F1224">
            <v>160.10094488188844</v>
          </cell>
          <cell r="G1224">
            <v>28.998582677165082</v>
          </cell>
          <cell r="H1224">
            <v>28.998582677165082</v>
          </cell>
          <cell r="I1224" t="e">
            <v>#N/A</v>
          </cell>
          <cell r="J1224" t="e">
            <v>#N/A</v>
          </cell>
          <cell r="K1224">
            <v>105</v>
          </cell>
          <cell r="L1224">
            <v>55</v>
          </cell>
          <cell r="M1224" t="e">
            <v>#N/A</v>
          </cell>
          <cell r="N1224">
            <v>90</v>
          </cell>
          <cell r="O1224" t="e">
            <v>#N/A</v>
          </cell>
          <cell r="P1224" t="str">
            <v/>
          </cell>
          <cell r="Q1224" t="str">
            <v/>
          </cell>
          <cell r="R1224">
            <v>90</v>
          </cell>
        </row>
        <row r="1225">
          <cell r="A1225" t="str">
            <v/>
          </cell>
          <cell r="B1225" t="str">
            <v/>
          </cell>
          <cell r="C1225" t="str">
            <v>Future</v>
          </cell>
          <cell r="D1225" t="e">
            <v>#N/A</v>
          </cell>
          <cell r="E1225">
            <v>-115.49366141732375</v>
          </cell>
          <cell r="F1225">
            <v>160.23468503936874</v>
          </cell>
          <cell r="G1225">
            <v>28.935472440944611</v>
          </cell>
          <cell r="H1225">
            <v>28.935472440944611</v>
          </cell>
          <cell r="I1225" t="e">
            <v>#N/A</v>
          </cell>
          <cell r="J1225" t="e">
            <v>#N/A</v>
          </cell>
          <cell r="K1225">
            <v>105</v>
          </cell>
          <cell r="L1225">
            <v>55</v>
          </cell>
          <cell r="M1225" t="e">
            <v>#N/A</v>
          </cell>
          <cell r="N1225">
            <v>90</v>
          </cell>
          <cell r="O1225" t="e">
            <v>#N/A</v>
          </cell>
          <cell r="P1225" t="str">
            <v/>
          </cell>
          <cell r="Q1225" t="str">
            <v/>
          </cell>
          <cell r="R1225">
            <v>90</v>
          </cell>
        </row>
        <row r="1226">
          <cell r="A1226" t="str">
            <v/>
          </cell>
          <cell r="B1226" t="str">
            <v/>
          </cell>
          <cell r="C1226" t="str">
            <v>Future</v>
          </cell>
          <cell r="D1226" t="e">
            <v>#N/A</v>
          </cell>
          <cell r="E1226">
            <v>-115.77330708661509</v>
          </cell>
          <cell r="F1226">
            <v>160.36842519684905</v>
          </cell>
          <cell r="G1226">
            <v>28.872362204724141</v>
          </cell>
          <cell r="H1226">
            <v>28.872362204724141</v>
          </cell>
          <cell r="I1226" t="e">
            <v>#N/A</v>
          </cell>
          <cell r="J1226" t="e">
            <v>#N/A</v>
          </cell>
          <cell r="K1226">
            <v>105</v>
          </cell>
          <cell r="L1226">
            <v>55</v>
          </cell>
          <cell r="M1226" t="e">
            <v>#N/A</v>
          </cell>
          <cell r="N1226">
            <v>90</v>
          </cell>
          <cell r="O1226" t="e">
            <v>#N/A</v>
          </cell>
          <cell r="P1226" t="str">
            <v/>
          </cell>
          <cell r="Q1226" t="str">
            <v/>
          </cell>
          <cell r="R1226">
            <v>90</v>
          </cell>
        </row>
        <row r="1227">
          <cell r="A1227" t="str">
            <v/>
          </cell>
          <cell r="B1227" t="str">
            <v/>
          </cell>
          <cell r="C1227" t="str">
            <v>Future</v>
          </cell>
          <cell r="D1227" t="e">
            <v>#N/A</v>
          </cell>
          <cell r="E1227">
            <v>-116.05295275590643</v>
          </cell>
          <cell r="F1227">
            <v>160.50216535432935</v>
          </cell>
          <cell r="G1227">
            <v>28.80925196850367</v>
          </cell>
          <cell r="H1227">
            <v>28.80925196850367</v>
          </cell>
          <cell r="I1227" t="e">
            <v>#N/A</v>
          </cell>
          <cell r="J1227" t="e">
            <v>#N/A</v>
          </cell>
          <cell r="K1227">
            <v>105</v>
          </cell>
          <cell r="L1227">
            <v>55</v>
          </cell>
          <cell r="M1227" t="e">
            <v>#N/A</v>
          </cell>
          <cell r="N1227">
            <v>90</v>
          </cell>
          <cell r="O1227" t="e">
            <v>#N/A</v>
          </cell>
          <cell r="P1227" t="str">
            <v/>
          </cell>
          <cell r="Q1227" t="str">
            <v/>
          </cell>
          <cell r="R1227">
            <v>90</v>
          </cell>
        </row>
        <row r="1228">
          <cell r="A1228" t="str">
            <v/>
          </cell>
          <cell r="B1228" t="str">
            <v/>
          </cell>
          <cell r="C1228" t="str">
            <v>Future</v>
          </cell>
          <cell r="D1228" t="e">
            <v>#N/A</v>
          </cell>
          <cell r="E1228">
            <v>-116.33259842519777</v>
          </cell>
          <cell r="F1228">
            <v>160.63590551180965</v>
          </cell>
          <cell r="G1228">
            <v>28.746141732283199</v>
          </cell>
          <cell r="H1228">
            <v>28.746141732283199</v>
          </cell>
          <cell r="I1228" t="e">
            <v>#N/A</v>
          </cell>
          <cell r="J1228" t="e">
            <v>#N/A</v>
          </cell>
          <cell r="K1228">
            <v>105</v>
          </cell>
          <cell r="L1228">
            <v>55</v>
          </cell>
          <cell r="M1228" t="e">
            <v>#N/A</v>
          </cell>
          <cell r="N1228">
            <v>90</v>
          </cell>
          <cell r="O1228" t="e">
            <v>#N/A</v>
          </cell>
          <cell r="P1228" t="str">
            <v/>
          </cell>
          <cell r="Q1228" t="str">
            <v/>
          </cell>
          <cell r="R1228">
            <v>90</v>
          </cell>
        </row>
        <row r="1229">
          <cell r="A1229" t="str">
            <v/>
          </cell>
          <cell r="B1229" t="str">
            <v/>
          </cell>
          <cell r="C1229" t="str">
            <v>Future</v>
          </cell>
          <cell r="D1229" t="e">
            <v>#N/A</v>
          </cell>
          <cell r="E1229">
            <v>-116.61224409448911</v>
          </cell>
          <cell r="F1229">
            <v>160.76964566928996</v>
          </cell>
          <cell r="G1229">
            <v>28.683031496062728</v>
          </cell>
          <cell r="H1229">
            <v>28.683031496062728</v>
          </cell>
          <cell r="I1229" t="e">
            <v>#N/A</v>
          </cell>
          <cell r="J1229" t="e">
            <v>#N/A</v>
          </cell>
          <cell r="K1229">
            <v>105</v>
          </cell>
          <cell r="L1229">
            <v>55</v>
          </cell>
          <cell r="M1229" t="e">
            <v>#N/A</v>
          </cell>
          <cell r="N1229">
            <v>90</v>
          </cell>
          <cell r="O1229" t="e">
            <v>#N/A</v>
          </cell>
          <cell r="P1229" t="str">
            <v/>
          </cell>
          <cell r="Q1229" t="str">
            <v/>
          </cell>
          <cell r="R1229">
            <v>90</v>
          </cell>
        </row>
        <row r="1230">
          <cell r="A1230" t="str">
            <v/>
          </cell>
          <cell r="B1230" t="str">
            <v/>
          </cell>
          <cell r="C1230" t="str">
            <v>Future</v>
          </cell>
          <cell r="D1230" t="e">
            <v>#N/A</v>
          </cell>
          <cell r="E1230">
            <v>-116.89188976378045</v>
          </cell>
          <cell r="F1230">
            <v>160.90338582677026</v>
          </cell>
          <cell r="G1230">
            <v>28.619921259842258</v>
          </cell>
          <cell r="H1230">
            <v>28.619921259842258</v>
          </cell>
          <cell r="I1230" t="e">
            <v>#N/A</v>
          </cell>
          <cell r="J1230" t="e">
            <v>#N/A</v>
          </cell>
          <cell r="K1230">
            <v>105</v>
          </cell>
          <cell r="L1230">
            <v>55</v>
          </cell>
          <cell r="M1230" t="e">
            <v>#N/A</v>
          </cell>
          <cell r="N1230">
            <v>90</v>
          </cell>
          <cell r="O1230" t="e">
            <v>#N/A</v>
          </cell>
          <cell r="P1230" t="str">
            <v/>
          </cell>
          <cell r="Q1230" t="str">
            <v/>
          </cell>
          <cell r="R1230">
            <v>90</v>
          </cell>
        </row>
        <row r="1231">
          <cell r="A1231" t="str">
            <v/>
          </cell>
          <cell r="B1231" t="str">
            <v/>
          </cell>
          <cell r="C1231" t="str">
            <v>Future</v>
          </cell>
          <cell r="D1231" t="e">
            <v>#N/A</v>
          </cell>
          <cell r="E1231">
            <v>-117.1715354330718</v>
          </cell>
          <cell r="F1231">
            <v>161.03712598425057</v>
          </cell>
          <cell r="G1231">
            <v>28.556811023621787</v>
          </cell>
          <cell r="H1231">
            <v>28.556811023621787</v>
          </cell>
          <cell r="I1231" t="e">
            <v>#N/A</v>
          </cell>
          <cell r="J1231" t="e">
            <v>#N/A</v>
          </cell>
          <cell r="K1231">
            <v>105</v>
          </cell>
          <cell r="L1231">
            <v>55</v>
          </cell>
          <cell r="M1231" t="e">
            <v>#N/A</v>
          </cell>
          <cell r="N1231">
            <v>90</v>
          </cell>
          <cell r="O1231" t="e">
            <v>#N/A</v>
          </cell>
          <cell r="P1231" t="str">
            <v/>
          </cell>
          <cell r="Q1231" t="str">
            <v/>
          </cell>
          <cell r="R1231">
            <v>90</v>
          </cell>
        </row>
        <row r="1232">
          <cell r="A1232" t="str">
            <v/>
          </cell>
          <cell r="B1232" t="str">
            <v/>
          </cell>
          <cell r="C1232" t="str">
            <v>Future</v>
          </cell>
          <cell r="D1232" t="e">
            <v>#N/A</v>
          </cell>
          <cell r="E1232">
            <v>-117.45118110236314</v>
          </cell>
          <cell r="F1232">
            <v>161.17086614173087</v>
          </cell>
          <cell r="G1232">
            <v>28.493700787401316</v>
          </cell>
          <cell r="H1232">
            <v>28.493700787401316</v>
          </cell>
          <cell r="I1232" t="e">
            <v>#N/A</v>
          </cell>
          <cell r="J1232" t="e">
            <v>#N/A</v>
          </cell>
          <cell r="K1232">
            <v>105</v>
          </cell>
          <cell r="L1232">
            <v>55</v>
          </cell>
          <cell r="M1232" t="e">
            <v>#N/A</v>
          </cell>
          <cell r="N1232">
            <v>90</v>
          </cell>
          <cell r="O1232" t="e">
            <v>#N/A</v>
          </cell>
          <cell r="P1232" t="str">
            <v/>
          </cell>
          <cell r="Q1232" t="str">
            <v/>
          </cell>
          <cell r="R1232">
            <v>90</v>
          </cell>
        </row>
        <row r="1233">
          <cell r="A1233" t="str">
            <v/>
          </cell>
          <cell r="B1233" t="str">
            <v/>
          </cell>
          <cell r="C1233" t="str">
            <v>Future</v>
          </cell>
          <cell r="D1233" t="e">
            <v>#N/A</v>
          </cell>
          <cell r="E1233">
            <v>-117.73082677165448</v>
          </cell>
          <cell r="F1233">
            <v>161.30460629921117</v>
          </cell>
          <cell r="G1233">
            <v>28.430590551180845</v>
          </cell>
          <cell r="H1233">
            <v>28.430590551180845</v>
          </cell>
          <cell r="I1233" t="e">
            <v>#N/A</v>
          </cell>
          <cell r="J1233" t="e">
            <v>#N/A</v>
          </cell>
          <cell r="K1233">
            <v>105</v>
          </cell>
          <cell r="L1233">
            <v>55</v>
          </cell>
          <cell r="M1233" t="e">
            <v>#N/A</v>
          </cell>
          <cell r="N1233">
            <v>90</v>
          </cell>
          <cell r="O1233" t="e">
            <v>#N/A</v>
          </cell>
          <cell r="P1233" t="str">
            <v/>
          </cell>
          <cell r="Q1233" t="str">
            <v/>
          </cell>
          <cell r="R1233">
            <v>90</v>
          </cell>
        </row>
        <row r="1234">
          <cell r="A1234" t="str">
            <v/>
          </cell>
          <cell r="B1234" t="str">
            <v/>
          </cell>
          <cell r="C1234" t="str">
            <v>Future</v>
          </cell>
          <cell r="D1234" t="e">
            <v>#N/A</v>
          </cell>
          <cell r="E1234">
            <v>-118.01047244094582</v>
          </cell>
          <cell r="F1234">
            <v>161.43834645669148</v>
          </cell>
          <cell r="G1234">
            <v>28.367480314960375</v>
          </cell>
          <cell r="H1234">
            <v>28.367480314960375</v>
          </cell>
          <cell r="I1234" t="e">
            <v>#N/A</v>
          </cell>
          <cell r="J1234" t="e">
            <v>#N/A</v>
          </cell>
          <cell r="K1234">
            <v>105</v>
          </cell>
          <cell r="L1234">
            <v>55</v>
          </cell>
          <cell r="M1234" t="e">
            <v>#N/A</v>
          </cell>
          <cell r="N1234">
            <v>90</v>
          </cell>
          <cell r="O1234" t="e">
            <v>#N/A</v>
          </cell>
          <cell r="P1234" t="str">
            <v/>
          </cell>
          <cell r="Q1234" t="str">
            <v/>
          </cell>
          <cell r="R1234">
            <v>90</v>
          </cell>
        </row>
        <row r="1235">
          <cell r="A1235" t="str">
            <v/>
          </cell>
          <cell r="B1235" t="str">
            <v/>
          </cell>
          <cell r="C1235" t="str">
            <v>Future</v>
          </cell>
          <cell r="D1235" t="e">
            <v>#N/A</v>
          </cell>
          <cell r="E1235">
            <v>-118.29011811023716</v>
          </cell>
          <cell r="F1235">
            <v>161.57208661417178</v>
          </cell>
          <cell r="G1235">
            <v>28.304370078739904</v>
          </cell>
          <cell r="H1235">
            <v>28.304370078739904</v>
          </cell>
          <cell r="I1235" t="e">
            <v>#N/A</v>
          </cell>
          <cell r="J1235" t="e">
            <v>#N/A</v>
          </cell>
          <cell r="K1235">
            <v>105</v>
          </cell>
          <cell r="L1235">
            <v>55</v>
          </cell>
          <cell r="M1235" t="e">
            <v>#N/A</v>
          </cell>
          <cell r="N1235">
            <v>90</v>
          </cell>
          <cell r="O1235" t="e">
            <v>#N/A</v>
          </cell>
          <cell r="P1235" t="str">
            <v/>
          </cell>
          <cell r="Q1235" t="str">
            <v/>
          </cell>
          <cell r="R1235">
            <v>90</v>
          </cell>
        </row>
        <row r="1236">
          <cell r="A1236" t="str">
            <v/>
          </cell>
          <cell r="B1236" t="str">
            <v/>
          </cell>
          <cell r="C1236" t="str">
            <v>Future</v>
          </cell>
          <cell r="D1236" t="e">
            <v>#N/A</v>
          </cell>
          <cell r="E1236">
            <v>-118.5697637795285</v>
          </cell>
          <cell r="F1236">
            <v>161.70582677165208</v>
          </cell>
          <cell r="G1236">
            <v>28.241259842519433</v>
          </cell>
          <cell r="H1236">
            <v>28.241259842519433</v>
          </cell>
          <cell r="I1236" t="e">
            <v>#N/A</v>
          </cell>
          <cell r="J1236" t="e">
            <v>#N/A</v>
          </cell>
          <cell r="K1236">
            <v>105</v>
          </cell>
          <cell r="L1236">
            <v>55</v>
          </cell>
          <cell r="M1236" t="e">
            <v>#N/A</v>
          </cell>
          <cell r="N1236">
            <v>90</v>
          </cell>
          <cell r="O1236" t="e">
            <v>#N/A</v>
          </cell>
          <cell r="P1236" t="str">
            <v/>
          </cell>
          <cell r="Q1236" t="str">
            <v/>
          </cell>
          <cell r="R1236">
            <v>90</v>
          </cell>
        </row>
        <row r="1237">
          <cell r="A1237" t="str">
            <v/>
          </cell>
          <cell r="B1237" t="str">
            <v/>
          </cell>
          <cell r="C1237" t="str">
            <v>Future</v>
          </cell>
          <cell r="D1237" t="e">
            <v>#N/A</v>
          </cell>
          <cell r="E1237">
            <v>-118.84940944881984</v>
          </cell>
          <cell r="F1237">
            <v>161.83956692913239</v>
          </cell>
          <cell r="G1237">
            <v>28.178149606298962</v>
          </cell>
          <cell r="H1237">
            <v>28.178149606298962</v>
          </cell>
          <cell r="I1237" t="e">
            <v>#N/A</v>
          </cell>
          <cell r="J1237" t="e">
            <v>#N/A</v>
          </cell>
          <cell r="K1237">
            <v>105</v>
          </cell>
          <cell r="L1237">
            <v>55</v>
          </cell>
          <cell r="M1237" t="e">
            <v>#N/A</v>
          </cell>
          <cell r="N1237">
            <v>90</v>
          </cell>
          <cell r="O1237" t="e">
            <v>#N/A</v>
          </cell>
          <cell r="P1237" t="str">
            <v/>
          </cell>
          <cell r="Q1237" t="str">
            <v/>
          </cell>
          <cell r="R1237">
            <v>90</v>
          </cell>
        </row>
        <row r="1238">
          <cell r="A1238" t="str">
            <v/>
          </cell>
          <cell r="B1238" t="str">
            <v/>
          </cell>
          <cell r="C1238" t="str">
            <v>Future</v>
          </cell>
          <cell r="D1238" t="e">
            <v>#N/A</v>
          </cell>
          <cell r="E1238">
            <v>-119.12905511811118</v>
          </cell>
          <cell r="F1238">
            <v>161.97330708661269</v>
          </cell>
          <cell r="G1238">
            <v>28.115039370078492</v>
          </cell>
          <cell r="H1238">
            <v>28.115039370078492</v>
          </cell>
          <cell r="I1238" t="e">
            <v>#N/A</v>
          </cell>
          <cell r="J1238" t="e">
            <v>#N/A</v>
          </cell>
          <cell r="K1238">
            <v>105</v>
          </cell>
          <cell r="L1238">
            <v>55</v>
          </cell>
          <cell r="M1238" t="e">
            <v>#N/A</v>
          </cell>
          <cell r="N1238">
            <v>90</v>
          </cell>
          <cell r="O1238" t="e">
            <v>#N/A</v>
          </cell>
          <cell r="P1238" t="str">
            <v/>
          </cell>
          <cell r="Q1238" t="str">
            <v/>
          </cell>
          <cell r="R1238">
            <v>90</v>
          </cell>
        </row>
        <row r="1239">
          <cell r="A1239" t="str">
            <v/>
          </cell>
          <cell r="B1239" t="str">
            <v/>
          </cell>
          <cell r="C1239" t="str">
            <v>Future</v>
          </cell>
          <cell r="D1239" t="e">
            <v>#N/A</v>
          </cell>
          <cell r="E1239">
            <v>-119.40870078740252</v>
          </cell>
          <cell r="F1239">
            <v>162.107047244093</v>
          </cell>
          <cell r="G1239">
            <v>28.051929133858021</v>
          </cell>
          <cell r="H1239">
            <v>28.051929133858021</v>
          </cell>
          <cell r="I1239" t="e">
            <v>#N/A</v>
          </cell>
          <cell r="J1239" t="e">
            <v>#N/A</v>
          </cell>
          <cell r="K1239">
            <v>105</v>
          </cell>
          <cell r="L1239">
            <v>55</v>
          </cell>
          <cell r="M1239" t="e">
            <v>#N/A</v>
          </cell>
          <cell r="N1239">
            <v>90</v>
          </cell>
          <cell r="O1239" t="e">
            <v>#N/A</v>
          </cell>
          <cell r="P1239" t="str">
            <v/>
          </cell>
          <cell r="Q1239" t="str">
            <v/>
          </cell>
          <cell r="R1239">
            <v>90</v>
          </cell>
        </row>
        <row r="1240">
          <cell r="A1240" t="str">
            <v/>
          </cell>
          <cell r="B1240" t="str">
            <v/>
          </cell>
          <cell r="C1240" t="str">
            <v>Future</v>
          </cell>
          <cell r="D1240" t="e">
            <v>#N/A</v>
          </cell>
          <cell r="E1240">
            <v>-119.68834645669386</v>
          </cell>
          <cell r="F1240">
            <v>162.2407874015733</v>
          </cell>
          <cell r="G1240">
            <v>27.98881889763755</v>
          </cell>
          <cell r="H1240">
            <v>27.98881889763755</v>
          </cell>
          <cell r="I1240" t="e">
            <v>#N/A</v>
          </cell>
          <cell r="J1240" t="e">
            <v>#N/A</v>
          </cell>
          <cell r="K1240">
            <v>105</v>
          </cell>
          <cell r="L1240">
            <v>55</v>
          </cell>
          <cell r="M1240" t="e">
            <v>#N/A</v>
          </cell>
          <cell r="N1240">
            <v>90</v>
          </cell>
          <cell r="O1240" t="e">
            <v>#N/A</v>
          </cell>
          <cell r="P1240" t="str">
            <v/>
          </cell>
          <cell r="Q1240" t="str">
            <v/>
          </cell>
          <cell r="R1240">
            <v>90</v>
          </cell>
        </row>
        <row r="1241">
          <cell r="A1241" t="str">
            <v/>
          </cell>
          <cell r="B1241" t="str">
            <v/>
          </cell>
          <cell r="C1241" t="str">
            <v>Future</v>
          </cell>
          <cell r="D1241" t="e">
            <v>#N/A</v>
          </cell>
          <cell r="E1241">
            <v>-119.96799212598521</v>
          </cell>
          <cell r="F1241">
            <v>162.3745275590536</v>
          </cell>
          <cell r="G1241">
            <v>27.92570866141708</v>
          </cell>
          <cell r="H1241">
            <v>27.92570866141708</v>
          </cell>
          <cell r="I1241" t="e">
            <v>#N/A</v>
          </cell>
          <cell r="J1241" t="e">
            <v>#N/A</v>
          </cell>
          <cell r="K1241">
            <v>105</v>
          </cell>
          <cell r="L1241">
            <v>55</v>
          </cell>
          <cell r="M1241" t="e">
            <v>#N/A</v>
          </cell>
          <cell r="N1241">
            <v>90</v>
          </cell>
          <cell r="O1241" t="e">
            <v>#N/A</v>
          </cell>
          <cell r="P1241" t="str">
            <v/>
          </cell>
          <cell r="Q1241" t="str">
            <v/>
          </cell>
          <cell r="R1241">
            <v>90</v>
          </cell>
        </row>
        <row r="1242">
          <cell r="A1242" t="str">
            <v/>
          </cell>
          <cell r="B1242" t="str">
            <v/>
          </cell>
          <cell r="C1242" t="str">
            <v>Future</v>
          </cell>
          <cell r="D1242" t="e">
            <v>#N/A</v>
          </cell>
          <cell r="E1242">
            <v>-120.24763779527655</v>
          </cell>
          <cell r="F1242">
            <v>162.50826771653391</v>
          </cell>
          <cell r="G1242">
            <v>27.862598425196609</v>
          </cell>
          <cell r="H1242">
            <v>27.862598425196609</v>
          </cell>
          <cell r="I1242" t="e">
            <v>#N/A</v>
          </cell>
          <cell r="J1242" t="e">
            <v>#N/A</v>
          </cell>
          <cell r="K1242">
            <v>105</v>
          </cell>
          <cell r="L1242">
            <v>55</v>
          </cell>
          <cell r="M1242" t="e">
            <v>#N/A</v>
          </cell>
          <cell r="N1242">
            <v>90</v>
          </cell>
          <cell r="O1242" t="e">
            <v>#N/A</v>
          </cell>
          <cell r="P1242" t="str">
            <v/>
          </cell>
          <cell r="Q1242" t="str">
            <v/>
          </cell>
          <cell r="R1242">
            <v>90</v>
          </cell>
        </row>
        <row r="1243">
          <cell r="A1243" t="str">
            <v/>
          </cell>
          <cell r="B1243" t="str">
            <v/>
          </cell>
          <cell r="C1243" t="str">
            <v>Future</v>
          </cell>
          <cell r="D1243" t="e">
            <v>#N/A</v>
          </cell>
          <cell r="E1243">
            <v>-120.52728346456789</v>
          </cell>
          <cell r="F1243">
            <v>162.64200787401421</v>
          </cell>
          <cell r="G1243">
            <v>27.799488188976138</v>
          </cell>
          <cell r="H1243">
            <v>27.799488188976138</v>
          </cell>
          <cell r="I1243" t="e">
            <v>#N/A</v>
          </cell>
          <cell r="J1243" t="e">
            <v>#N/A</v>
          </cell>
          <cell r="K1243">
            <v>105</v>
          </cell>
          <cell r="L1243">
            <v>55</v>
          </cell>
          <cell r="M1243" t="e">
            <v>#N/A</v>
          </cell>
          <cell r="N1243">
            <v>90</v>
          </cell>
          <cell r="O1243" t="e">
            <v>#N/A</v>
          </cell>
          <cell r="P1243" t="str">
            <v/>
          </cell>
          <cell r="Q1243" t="str">
            <v/>
          </cell>
          <cell r="R1243">
            <v>90</v>
          </cell>
        </row>
        <row r="1244">
          <cell r="A1244" t="str">
            <v/>
          </cell>
          <cell r="B1244" t="str">
            <v/>
          </cell>
          <cell r="C1244" t="str">
            <v>Future</v>
          </cell>
          <cell r="D1244" t="e">
            <v>#N/A</v>
          </cell>
          <cell r="E1244">
            <v>-120.80692913385923</v>
          </cell>
          <cell r="F1244">
            <v>162.77574803149452</v>
          </cell>
          <cell r="G1244">
            <v>27.736377952755667</v>
          </cell>
          <cell r="H1244">
            <v>27.736377952755667</v>
          </cell>
          <cell r="I1244" t="e">
            <v>#N/A</v>
          </cell>
          <cell r="J1244" t="e">
            <v>#N/A</v>
          </cell>
          <cell r="K1244">
            <v>105</v>
          </cell>
          <cell r="L1244">
            <v>55</v>
          </cell>
          <cell r="M1244" t="e">
            <v>#N/A</v>
          </cell>
          <cell r="N1244">
            <v>90</v>
          </cell>
          <cell r="O1244" t="e">
            <v>#N/A</v>
          </cell>
          <cell r="P1244" t="str">
            <v/>
          </cell>
          <cell r="Q1244" t="str">
            <v/>
          </cell>
          <cell r="R1244">
            <v>90</v>
          </cell>
        </row>
        <row r="1245">
          <cell r="A1245" t="str">
            <v/>
          </cell>
          <cell r="B1245" t="str">
            <v/>
          </cell>
          <cell r="C1245" t="str">
            <v>Future</v>
          </cell>
          <cell r="D1245" t="e">
            <v>#N/A</v>
          </cell>
          <cell r="E1245">
            <v>-121.08657480315057</v>
          </cell>
          <cell r="F1245">
            <v>162.90948818897482</v>
          </cell>
          <cell r="G1245">
            <v>27.673267716535197</v>
          </cell>
          <cell r="H1245">
            <v>27.673267716535197</v>
          </cell>
          <cell r="I1245" t="e">
            <v>#N/A</v>
          </cell>
          <cell r="J1245" t="e">
            <v>#N/A</v>
          </cell>
          <cell r="K1245">
            <v>105</v>
          </cell>
          <cell r="L1245">
            <v>55</v>
          </cell>
          <cell r="M1245" t="e">
            <v>#N/A</v>
          </cell>
          <cell r="N1245">
            <v>90</v>
          </cell>
          <cell r="O1245" t="e">
            <v>#N/A</v>
          </cell>
          <cell r="P1245" t="str">
            <v/>
          </cell>
          <cell r="Q1245" t="str">
            <v/>
          </cell>
          <cell r="R1245">
            <v>90</v>
          </cell>
        </row>
        <row r="1246">
          <cell r="A1246" t="str">
            <v/>
          </cell>
          <cell r="B1246" t="str">
            <v/>
          </cell>
          <cell r="C1246" t="str">
            <v>Future</v>
          </cell>
          <cell r="D1246" t="e">
            <v>#N/A</v>
          </cell>
          <cell r="E1246">
            <v>-121.36622047244191</v>
          </cell>
          <cell r="F1246">
            <v>163.04322834645512</v>
          </cell>
          <cell r="G1246">
            <v>27.610157480314726</v>
          </cell>
          <cell r="H1246">
            <v>27.610157480314726</v>
          </cell>
          <cell r="I1246" t="e">
            <v>#N/A</v>
          </cell>
          <cell r="J1246" t="e">
            <v>#N/A</v>
          </cell>
          <cell r="K1246">
            <v>105</v>
          </cell>
          <cell r="L1246">
            <v>55</v>
          </cell>
          <cell r="M1246" t="e">
            <v>#N/A</v>
          </cell>
          <cell r="N1246">
            <v>90</v>
          </cell>
          <cell r="O1246" t="e">
            <v>#N/A</v>
          </cell>
          <cell r="P1246" t="str">
            <v/>
          </cell>
          <cell r="Q1246" t="str">
            <v/>
          </cell>
          <cell r="R1246">
            <v>90</v>
          </cell>
        </row>
        <row r="1247">
          <cell r="A1247" t="str">
            <v/>
          </cell>
          <cell r="B1247" t="str">
            <v/>
          </cell>
          <cell r="C1247" t="str">
            <v>Future</v>
          </cell>
          <cell r="D1247" t="e">
            <v>#N/A</v>
          </cell>
          <cell r="E1247">
            <v>-121.64586614173325</v>
          </cell>
          <cell r="F1247">
            <v>163.17696850393543</v>
          </cell>
          <cell r="G1247">
            <v>27.547047244094255</v>
          </cell>
          <cell r="H1247">
            <v>27.547047244094255</v>
          </cell>
          <cell r="I1247" t="e">
            <v>#N/A</v>
          </cell>
          <cell r="J1247" t="e">
            <v>#N/A</v>
          </cell>
          <cell r="K1247">
            <v>105</v>
          </cell>
          <cell r="L1247">
            <v>55</v>
          </cell>
          <cell r="M1247" t="e">
            <v>#N/A</v>
          </cell>
          <cell r="N1247">
            <v>90</v>
          </cell>
          <cell r="O1247" t="e">
            <v>#N/A</v>
          </cell>
          <cell r="P1247" t="str">
            <v/>
          </cell>
          <cell r="Q1247" t="str">
            <v/>
          </cell>
          <cell r="R1247">
            <v>90</v>
          </cell>
        </row>
        <row r="1248">
          <cell r="A1248" t="str">
            <v/>
          </cell>
          <cell r="B1248" t="str">
            <v/>
          </cell>
          <cell r="C1248" t="str">
            <v>Future</v>
          </cell>
          <cell r="D1248" t="e">
            <v>#N/A</v>
          </cell>
          <cell r="E1248">
            <v>-121.92551181102459</v>
          </cell>
          <cell r="F1248">
            <v>163.31070866141573</v>
          </cell>
          <cell r="G1248">
            <v>27.483937007873784</v>
          </cell>
          <cell r="H1248">
            <v>27.483937007873784</v>
          </cell>
          <cell r="I1248" t="e">
            <v>#N/A</v>
          </cell>
          <cell r="J1248" t="e">
            <v>#N/A</v>
          </cell>
          <cell r="K1248">
            <v>105</v>
          </cell>
          <cell r="L1248">
            <v>55</v>
          </cell>
          <cell r="M1248" t="e">
            <v>#N/A</v>
          </cell>
          <cell r="N1248">
            <v>90</v>
          </cell>
          <cell r="O1248" t="e">
            <v>#N/A</v>
          </cell>
          <cell r="P1248" t="str">
            <v/>
          </cell>
          <cell r="Q1248" t="str">
            <v/>
          </cell>
          <cell r="R1248">
            <v>90</v>
          </cell>
        </row>
        <row r="1249">
          <cell r="A1249" t="str">
            <v/>
          </cell>
          <cell r="B1249" t="str">
            <v/>
          </cell>
          <cell r="C1249" t="str">
            <v>Future</v>
          </cell>
          <cell r="D1249" t="e">
            <v>#N/A</v>
          </cell>
          <cell r="E1249">
            <v>-122.20515748031593</v>
          </cell>
          <cell r="F1249">
            <v>163.44444881889603</v>
          </cell>
          <cell r="G1249">
            <v>27.420826771653314</v>
          </cell>
          <cell r="H1249">
            <v>27.420826771653314</v>
          </cell>
          <cell r="I1249" t="e">
            <v>#N/A</v>
          </cell>
          <cell r="J1249" t="e">
            <v>#N/A</v>
          </cell>
          <cell r="K1249">
            <v>105</v>
          </cell>
          <cell r="L1249">
            <v>55</v>
          </cell>
          <cell r="M1249" t="e">
            <v>#N/A</v>
          </cell>
          <cell r="N1249">
            <v>90</v>
          </cell>
          <cell r="O1249" t="e">
            <v>#N/A</v>
          </cell>
          <cell r="P1249" t="str">
            <v/>
          </cell>
          <cell r="Q1249" t="str">
            <v/>
          </cell>
          <cell r="R1249">
            <v>90</v>
          </cell>
        </row>
        <row r="1250">
          <cell r="A1250" t="str">
            <v/>
          </cell>
          <cell r="B1250" t="str">
            <v/>
          </cell>
          <cell r="C1250" t="str">
            <v>Future</v>
          </cell>
          <cell r="D1250" t="e">
            <v>#N/A</v>
          </cell>
          <cell r="E1250">
            <v>-122.48480314960727</v>
          </cell>
          <cell r="F1250">
            <v>163.57818897637634</v>
          </cell>
          <cell r="G1250">
            <v>27.357716535432843</v>
          </cell>
          <cell r="H1250">
            <v>27.357716535432843</v>
          </cell>
          <cell r="I1250" t="e">
            <v>#N/A</v>
          </cell>
          <cell r="J1250" t="e">
            <v>#N/A</v>
          </cell>
          <cell r="K1250">
            <v>105</v>
          </cell>
          <cell r="L1250">
            <v>55</v>
          </cell>
          <cell r="M1250" t="e">
            <v>#N/A</v>
          </cell>
          <cell r="N1250">
            <v>90</v>
          </cell>
          <cell r="O1250" t="e">
            <v>#N/A</v>
          </cell>
          <cell r="P1250" t="str">
            <v/>
          </cell>
          <cell r="Q1250" t="str">
            <v/>
          </cell>
          <cell r="R1250">
            <v>90</v>
          </cell>
        </row>
        <row r="1251">
          <cell r="A1251" t="str">
            <v/>
          </cell>
          <cell r="B1251" t="str">
            <v/>
          </cell>
          <cell r="C1251" t="str">
            <v>Future</v>
          </cell>
          <cell r="D1251" t="e">
            <v>#N/A</v>
          </cell>
          <cell r="E1251">
            <v>-122.76444881889861</v>
          </cell>
          <cell r="F1251">
            <v>163.71192913385664</v>
          </cell>
          <cell r="G1251">
            <v>27.294606299212372</v>
          </cell>
          <cell r="H1251">
            <v>27.294606299212372</v>
          </cell>
          <cell r="I1251" t="e">
            <v>#N/A</v>
          </cell>
          <cell r="J1251" t="e">
            <v>#N/A</v>
          </cell>
          <cell r="K1251">
            <v>105</v>
          </cell>
          <cell r="L1251">
            <v>55</v>
          </cell>
          <cell r="M1251" t="e">
            <v>#N/A</v>
          </cell>
          <cell r="N1251">
            <v>90</v>
          </cell>
          <cell r="O1251" t="e">
            <v>#N/A</v>
          </cell>
          <cell r="P1251" t="str">
            <v/>
          </cell>
          <cell r="Q1251" t="str">
            <v/>
          </cell>
          <cell r="R1251">
            <v>90</v>
          </cell>
        </row>
        <row r="1252">
          <cell r="A1252" t="str">
            <v/>
          </cell>
          <cell r="B1252" t="str">
            <v/>
          </cell>
          <cell r="C1252" t="str">
            <v>Future</v>
          </cell>
          <cell r="D1252" t="e">
            <v>#N/A</v>
          </cell>
          <cell r="E1252">
            <v>-123.04409448818996</v>
          </cell>
          <cell r="F1252">
            <v>163.84566929133695</v>
          </cell>
          <cell r="G1252">
            <v>27.231496062991901</v>
          </cell>
          <cell r="H1252">
            <v>27.231496062991901</v>
          </cell>
          <cell r="I1252" t="e">
            <v>#N/A</v>
          </cell>
          <cell r="J1252" t="e">
            <v>#N/A</v>
          </cell>
          <cell r="K1252">
            <v>105</v>
          </cell>
          <cell r="L1252">
            <v>55</v>
          </cell>
          <cell r="M1252" t="e">
            <v>#N/A</v>
          </cell>
          <cell r="N1252">
            <v>90</v>
          </cell>
          <cell r="O1252" t="e">
            <v>#N/A</v>
          </cell>
          <cell r="P1252" t="str">
            <v/>
          </cell>
          <cell r="Q1252" t="str">
            <v/>
          </cell>
          <cell r="R1252">
            <v>90</v>
          </cell>
        </row>
        <row r="1253">
          <cell r="A1253" t="str">
            <v/>
          </cell>
          <cell r="P1253" t="str">
            <v/>
          </cell>
          <cell r="Q1253" t="str">
            <v/>
          </cell>
        </row>
      </sheetData>
      <sheetData sheetId="20"/>
      <sheetData sheetId="21"/>
      <sheetData sheetId="22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mercial Traffic&gt;&gt;"/>
      <sheetName val="Instructions"/>
      <sheetName val="Monthly_Traffic_Summary"/>
      <sheetName val="Annual Traffic Summary"/>
      <sheetName val="Comm. Traffic Charts"/>
      <sheetName val="US Traffic Data"/>
      <sheetName val="Europe Traffic Data"/>
      <sheetName val="Asia Traffic Data"/>
      <sheetName val="#REF"/>
      <sheetName val="Sheet1"/>
      <sheetName val="Mai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Biz Jets Takeoffs Landings&gt;&gt;"/>
      <sheetName val="Deliveries"/>
      <sheetName val="Biz Jet Output Data"/>
      <sheetName val="Quart. &amp; Annual Summary"/>
      <sheetName val="BJs charts"/>
      <sheetName val="__FDSCACHE__"/>
      <sheetName val="Source Data All Biz Jets"/>
      <sheetName val="Source Data Gulfstream "/>
      <sheetName val="Source Data Cessna"/>
      <sheetName val="Source Data Bombardier"/>
      <sheetName val="Delivs Condensed"/>
      <sheetName val="Amstat Inventories"/>
      <sheetName val="Sheet1"/>
      <sheetName val="BizJet Deliveries"/>
      <sheetName val="BBD Data"/>
      <sheetName val="AFOSHEET"/>
      <sheetName val="#REF"/>
      <sheetName val="Annual Traffic Summary"/>
      <sheetName val="Monthly_Traffic_Summary"/>
    </sheetNames>
    <sheetDataSet>
      <sheetData sheetId="0"/>
      <sheetData sheetId="1"/>
      <sheetData sheetId="2"/>
      <sheetData sheetId="3">
        <row r="1">
          <cell r="A1" t="str">
            <v>FAA Biz Jets Arrivals / Departures</v>
          </cell>
        </row>
      </sheetData>
      <sheetData sheetId="4"/>
      <sheetData sheetId="5">
        <row r="1">
          <cell r="A1" t="str">
            <v>Biz Jet Traffic Charts</v>
          </cell>
        </row>
      </sheetData>
      <sheetData sheetId="6"/>
      <sheetData sheetId="7"/>
      <sheetData sheetId="8"/>
      <sheetData sheetId="9"/>
      <sheetData sheetId="10"/>
      <sheetData sheetId="11" refreshError="1"/>
      <sheetData sheetId="12" refreshError="1"/>
      <sheetData sheetId="13" refreshError="1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ining"/>
      <sheetName val="Insurance"/>
      <sheetName val="Banks"/>
      <sheetName val="Oils"/>
      <sheetName val="General Europe"/>
      <sheetName val="General UK"/>
      <sheetName val="Latest_Chart"/>
      <sheetName val="Add4Sheet"/>
      <sheetName val="Module2"/>
      <sheetName val="Module1"/>
      <sheetName val="LINKTAB"/>
      <sheetName val="Model"/>
      <sheetName val="P"/>
      <sheetName val="Market_Share"/>
      <sheetName val="Assumptions"/>
      <sheetName val="Summary"/>
      <sheetName val="Consol_Income"/>
      <sheetName val="Rate Case"/>
      <sheetName val="Balance Sheet"/>
      <sheetName val="Sheet9"/>
      <sheetName val="Leases"/>
      <sheetName val="Graph"/>
      <sheetName val="Income"/>
      <sheetName val="Financial Summary"/>
      <sheetName val="BizJet Deliveries"/>
      <sheetName val="Exclusion List"/>
      <sheetName val="CFOld"/>
      <sheetName val="PLOld"/>
      <sheetName val="Headline"/>
      <sheetName val="MTT old"/>
      <sheetName val="CENMODEL"/>
      <sheetName val="Monthly figures"/>
      <sheetName val="Consolidated"/>
      <sheetName val="Customize Your Statement"/>
      <sheetName val="DOMNETREV1002B"/>
      <sheetName val="Cash flow"/>
      <sheetName val="Profit &amp; Loss"/>
      <sheetName val="Inputs, sensitivity &amp; val"/>
      <sheetName val="c1"/>
      <sheetName val="KQ"/>
      <sheetName val="Sainsbury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W-Cache"/>
      <sheetName val="Main"/>
      <sheetName val="Short Form"/>
      <sheetName val="Boeing Monthly"/>
      <sheetName val="Airbus Monthly"/>
      <sheetName val="Boeing Del Schedule- Reported"/>
      <sheetName val="Boeing Del Schedule"/>
      <sheetName val="Airbus Del Schedule"/>
      <sheetName val="BA Monthly Del by Airline"/>
      <sheetName val="Airbus Monthly Del by Airline"/>
      <sheetName val="Monthly Note"/>
      <sheetName val="Regional"/>
      <sheetName val="Orders"/>
      <sheetName val="Asia"/>
      <sheetName val="747 "/>
      <sheetName val="787 vs A350 Orders"/>
      <sheetName val="A380 Buildup"/>
      <sheetName val="__FDSCACHE__"/>
      <sheetName val="New Tables 2006"/>
      <sheetName val="Airbus Del Schedule 2"/>
      <sheetName val="Graphs"/>
      <sheetName val="Paris 05 Orders"/>
      <sheetName val="Paris 07 Orders"/>
      <sheetName val="Dubai 07 Orders"/>
      <sheetName val="F'boro 08 Orders"/>
      <sheetName val="Tables"/>
      <sheetName val="BA for Note"/>
      <sheetName val="Airbus for Note"/>
      <sheetName val="projected fleet size"/>
      <sheetName val="747 Data"/>
      <sheetName val="Summary Sheet"/>
      <sheetName val="777vA340"/>
      <sheetName val="Airclaims"/>
      <sheetName val="2005 Paris Air Show Orders"/>
    </sheetNames>
    <sheetDataSet>
      <sheetData sheetId="0" refreshError="1"/>
      <sheetData sheetId="1">
        <row r="1">
          <cell r="A1" t="str">
            <v>COMMERCIAL AIRCRAFT QUARTERLY ORDER/BACKLOG SCORECARD</v>
          </cell>
        </row>
      </sheetData>
      <sheetData sheetId="2" refreshError="1"/>
      <sheetData sheetId="3" refreshError="1"/>
      <sheetData sheetId="4" refreshError="1"/>
      <sheetData sheetId="5">
        <row r="3">
          <cell r="A3" t="str">
            <v>Boeing Aircraft Delivery Schedule</v>
          </cell>
        </row>
      </sheetData>
      <sheetData sheetId="6">
        <row r="1">
          <cell r="A1" t="str">
            <v>(Announced Orders, per press releases; all orders not currently reflected in official backlog)</v>
          </cell>
        </row>
      </sheetData>
      <sheetData sheetId="7" refreshError="1"/>
      <sheetData sheetId="8" refreshError="1"/>
      <sheetData sheetId="9" refreshError="1"/>
      <sheetData sheetId="10">
        <row r="1">
          <cell r="B1" t="str">
            <v>Tables/Figures for Monthly Note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>
        <row r="2">
          <cell r="A2" t="str">
            <v>As of 13 July, 2007</v>
          </cell>
        </row>
      </sheetData>
      <sheetData sheetId="16" refreshError="1"/>
      <sheetData sheetId="17" refreshError="1"/>
      <sheetData sheetId="18">
        <row r="1">
          <cell r="A1">
            <v>32873</v>
          </cell>
        </row>
      </sheetData>
      <sheetData sheetId="19" refreshError="1"/>
      <sheetData sheetId="20">
        <row r="2">
          <cell r="A2" t="str">
            <v>Order, Backlog- Data</v>
          </cell>
        </row>
        <row r="4">
          <cell r="B4" t="str">
            <v>Orders</v>
          </cell>
          <cell r="S4" t="str">
            <v>Backlog</v>
          </cell>
        </row>
        <row r="5">
          <cell r="B5" t="str">
            <v>A300</v>
          </cell>
          <cell r="C5" t="str">
            <v>A310</v>
          </cell>
          <cell r="D5" t="str">
            <v>A318</v>
          </cell>
          <cell r="E5" t="str">
            <v>A319</v>
          </cell>
          <cell r="F5" t="str">
            <v>A320</v>
          </cell>
          <cell r="G5" t="str">
            <v>A321</v>
          </cell>
          <cell r="H5" t="str">
            <v>A330</v>
          </cell>
          <cell r="I5" t="str">
            <v>A340</v>
          </cell>
          <cell r="J5" t="str">
            <v>A350</v>
          </cell>
          <cell r="K5" t="str">
            <v>A380</v>
          </cell>
          <cell r="L5">
            <v>717</v>
          </cell>
          <cell r="M5">
            <v>737</v>
          </cell>
          <cell r="N5">
            <v>747</v>
          </cell>
          <cell r="O5">
            <v>757</v>
          </cell>
          <cell r="P5">
            <v>767</v>
          </cell>
          <cell r="Q5">
            <v>777</v>
          </cell>
          <cell r="R5">
            <v>787</v>
          </cell>
          <cell r="S5" t="str">
            <v>A300</v>
          </cell>
          <cell r="T5" t="str">
            <v>A310</v>
          </cell>
          <cell r="U5" t="str">
            <v>A318</v>
          </cell>
          <cell r="V5" t="str">
            <v>A319</v>
          </cell>
          <cell r="W5" t="str">
            <v>A320</v>
          </cell>
          <cell r="X5" t="str">
            <v>A321</v>
          </cell>
          <cell r="Y5" t="str">
            <v>A330</v>
          </cell>
          <cell r="Z5" t="str">
            <v>A340</v>
          </cell>
          <cell r="AA5" t="str">
            <v>A350</v>
          </cell>
          <cell r="AB5" t="str">
            <v>A380</v>
          </cell>
          <cell r="AC5">
            <v>717</v>
          </cell>
          <cell r="AD5">
            <v>737</v>
          </cell>
          <cell r="AE5">
            <v>747</v>
          </cell>
          <cell r="AF5">
            <v>757</v>
          </cell>
          <cell r="AG5">
            <v>767</v>
          </cell>
          <cell r="AH5">
            <v>777</v>
          </cell>
          <cell r="AI5">
            <v>787</v>
          </cell>
        </row>
        <row r="6">
          <cell r="A6">
            <v>1990</v>
          </cell>
          <cell r="B6">
            <v>31</v>
          </cell>
          <cell r="C6">
            <v>40</v>
          </cell>
          <cell r="E6">
            <v>0</v>
          </cell>
          <cell r="F6">
            <v>73</v>
          </cell>
          <cell r="G6">
            <v>53</v>
          </cell>
          <cell r="H6">
            <v>25</v>
          </cell>
          <cell r="I6">
            <v>8</v>
          </cell>
          <cell r="M6">
            <v>162</v>
          </cell>
          <cell r="N6">
            <v>172</v>
          </cell>
          <cell r="O6">
            <v>97</v>
          </cell>
          <cell r="P6">
            <v>52</v>
          </cell>
          <cell r="Q6">
            <v>49</v>
          </cell>
          <cell r="S6">
            <v>78</v>
          </cell>
          <cell r="T6">
            <v>78</v>
          </cell>
          <cell r="W6">
            <v>531</v>
          </cell>
          <cell r="X6">
            <v>137</v>
          </cell>
          <cell r="Y6">
            <v>138</v>
          </cell>
          <cell r="Z6">
            <v>92</v>
          </cell>
          <cell r="AD6">
            <v>1001</v>
          </cell>
          <cell r="AE6">
            <v>305</v>
          </cell>
          <cell r="AF6">
            <v>417</v>
          </cell>
          <cell r="AG6">
            <v>195</v>
          </cell>
          <cell r="AH6">
            <v>49</v>
          </cell>
        </row>
        <row r="7">
          <cell r="A7">
            <v>1991</v>
          </cell>
          <cell r="B7">
            <v>40</v>
          </cell>
          <cell r="C7">
            <v>12</v>
          </cell>
          <cell r="E7">
            <v>0</v>
          </cell>
          <cell r="F7">
            <v>14</v>
          </cell>
          <cell r="G7">
            <v>3</v>
          </cell>
          <cell r="H7">
            <v>5</v>
          </cell>
          <cell r="I7">
            <v>26</v>
          </cell>
          <cell r="M7">
            <v>72</v>
          </cell>
          <cell r="N7">
            <v>38</v>
          </cell>
          <cell r="O7">
            <v>43</v>
          </cell>
          <cell r="P7">
            <v>72</v>
          </cell>
          <cell r="Q7">
            <v>27</v>
          </cell>
          <cell r="S7">
            <v>93</v>
          </cell>
          <cell r="T7">
            <v>56</v>
          </cell>
          <cell r="W7">
            <v>416</v>
          </cell>
          <cell r="X7">
            <v>140</v>
          </cell>
          <cell r="Y7">
            <v>143</v>
          </cell>
          <cell r="Z7">
            <v>118</v>
          </cell>
          <cell r="AD7">
            <v>837</v>
          </cell>
          <cell r="AE7">
            <v>280</v>
          </cell>
          <cell r="AF7">
            <v>381</v>
          </cell>
          <cell r="AG7">
            <v>205</v>
          </cell>
          <cell r="AH7">
            <v>76</v>
          </cell>
        </row>
        <row r="8">
          <cell r="A8">
            <v>1992</v>
          </cell>
          <cell r="B8">
            <v>18</v>
          </cell>
          <cell r="C8">
            <v>14</v>
          </cell>
          <cell r="E8">
            <v>6</v>
          </cell>
          <cell r="F8">
            <v>59</v>
          </cell>
          <cell r="G8">
            <v>8</v>
          </cell>
          <cell r="H8">
            <v>1</v>
          </cell>
          <cell r="I8">
            <v>22</v>
          </cell>
          <cell r="M8">
            <v>114</v>
          </cell>
          <cell r="N8">
            <v>28</v>
          </cell>
          <cell r="O8">
            <v>38</v>
          </cell>
          <cell r="P8">
            <v>21</v>
          </cell>
          <cell r="Q8">
            <v>42</v>
          </cell>
          <cell r="S8">
            <v>89</v>
          </cell>
          <cell r="T8">
            <v>44</v>
          </cell>
          <cell r="V8">
            <v>6</v>
          </cell>
          <cell r="W8">
            <v>296</v>
          </cell>
          <cell r="X8">
            <v>153</v>
          </cell>
          <cell r="Y8">
            <v>144</v>
          </cell>
          <cell r="Z8">
            <v>112</v>
          </cell>
          <cell r="AD8">
            <v>701</v>
          </cell>
          <cell r="AE8">
            <v>242</v>
          </cell>
          <cell r="AF8">
            <v>321</v>
          </cell>
          <cell r="AG8">
            <v>158</v>
          </cell>
          <cell r="AH8">
            <v>116</v>
          </cell>
        </row>
        <row r="9">
          <cell r="A9">
            <v>1993</v>
          </cell>
          <cell r="B9">
            <v>6</v>
          </cell>
          <cell r="C9">
            <v>3</v>
          </cell>
          <cell r="E9">
            <v>0</v>
          </cell>
          <cell r="F9">
            <v>13</v>
          </cell>
          <cell r="G9">
            <v>0</v>
          </cell>
          <cell r="H9">
            <v>1</v>
          </cell>
          <cell r="I9">
            <v>15</v>
          </cell>
          <cell r="M9">
            <v>107</v>
          </cell>
          <cell r="N9">
            <v>0</v>
          </cell>
          <cell r="O9">
            <v>35</v>
          </cell>
          <cell r="P9">
            <v>65</v>
          </cell>
          <cell r="Q9">
            <v>26</v>
          </cell>
          <cell r="S9">
            <v>71</v>
          </cell>
          <cell r="T9">
            <v>15</v>
          </cell>
          <cell r="V9">
            <v>6</v>
          </cell>
          <cell r="W9">
            <v>212</v>
          </cell>
          <cell r="X9">
            <v>153</v>
          </cell>
          <cell r="Y9">
            <v>117</v>
          </cell>
          <cell r="Z9">
            <v>96</v>
          </cell>
          <cell r="AD9">
            <v>526</v>
          </cell>
          <cell r="AE9">
            <v>158</v>
          </cell>
          <cell r="AF9">
            <v>272</v>
          </cell>
          <cell r="AG9">
            <v>151</v>
          </cell>
          <cell r="AH9">
            <v>145</v>
          </cell>
        </row>
        <row r="10">
          <cell r="A10">
            <v>1994</v>
          </cell>
          <cell r="B10">
            <v>0</v>
          </cell>
          <cell r="C10">
            <v>0</v>
          </cell>
          <cell r="E10">
            <v>44</v>
          </cell>
          <cell r="F10">
            <v>42</v>
          </cell>
          <cell r="G10">
            <v>20</v>
          </cell>
          <cell r="H10">
            <v>0</v>
          </cell>
          <cell r="I10">
            <v>30</v>
          </cell>
          <cell r="M10">
            <v>69</v>
          </cell>
          <cell r="N10">
            <v>16</v>
          </cell>
          <cell r="O10">
            <v>12</v>
          </cell>
          <cell r="P10">
            <v>22</v>
          </cell>
          <cell r="Q10">
            <v>0</v>
          </cell>
          <cell r="S10">
            <v>41</v>
          </cell>
          <cell r="T10">
            <v>9</v>
          </cell>
          <cell r="V10">
            <v>51</v>
          </cell>
          <cell r="W10">
            <v>177</v>
          </cell>
          <cell r="X10">
            <v>131</v>
          </cell>
          <cell r="Y10">
            <v>108</v>
          </cell>
          <cell r="Z10">
            <v>98</v>
          </cell>
          <cell r="AD10">
            <v>424</v>
          </cell>
          <cell r="AE10">
            <v>112</v>
          </cell>
          <cell r="AF10">
            <v>190</v>
          </cell>
          <cell r="AG10">
            <v>127</v>
          </cell>
          <cell r="AH10">
            <v>145</v>
          </cell>
        </row>
        <row r="11">
          <cell r="A11">
            <v>1995</v>
          </cell>
          <cell r="B11">
            <v>2</v>
          </cell>
          <cell r="C11">
            <v>4</v>
          </cell>
          <cell r="E11">
            <v>30</v>
          </cell>
          <cell r="F11">
            <v>29</v>
          </cell>
          <cell r="G11">
            <v>7</v>
          </cell>
          <cell r="H11">
            <v>9</v>
          </cell>
          <cell r="I11">
            <v>10</v>
          </cell>
          <cell r="L11">
            <v>50</v>
          </cell>
          <cell r="M11">
            <v>176</v>
          </cell>
          <cell r="N11">
            <v>20</v>
          </cell>
          <cell r="O11">
            <v>13</v>
          </cell>
          <cell r="P11">
            <v>26</v>
          </cell>
          <cell r="Q11">
            <v>95</v>
          </cell>
          <cell r="S11">
            <v>26</v>
          </cell>
          <cell r="T11">
            <v>11</v>
          </cell>
          <cell r="V11">
            <v>81</v>
          </cell>
          <cell r="W11">
            <v>172</v>
          </cell>
          <cell r="X11">
            <v>120</v>
          </cell>
          <cell r="Y11">
            <v>81</v>
          </cell>
          <cell r="Z11">
            <v>87</v>
          </cell>
          <cell r="AC11">
            <v>50</v>
          </cell>
          <cell r="AD11">
            <v>474</v>
          </cell>
          <cell r="AE11">
            <v>123</v>
          </cell>
          <cell r="AF11">
            <v>138</v>
          </cell>
          <cell r="AG11">
            <v>118</v>
          </cell>
          <cell r="AH11">
            <v>215</v>
          </cell>
        </row>
        <row r="12">
          <cell r="A12">
            <v>1996</v>
          </cell>
          <cell r="B12">
            <v>13</v>
          </cell>
          <cell r="C12">
            <v>12</v>
          </cell>
          <cell r="E12">
            <v>48</v>
          </cell>
          <cell r="F12">
            <v>124</v>
          </cell>
          <cell r="G12">
            <v>33</v>
          </cell>
          <cell r="H12">
            <v>40</v>
          </cell>
          <cell r="I12">
            <v>31</v>
          </cell>
          <cell r="L12">
            <v>0</v>
          </cell>
          <cell r="M12">
            <v>300</v>
          </cell>
          <cell r="N12">
            <v>72</v>
          </cell>
          <cell r="O12">
            <v>49</v>
          </cell>
          <cell r="P12">
            <v>35</v>
          </cell>
          <cell r="Q12">
            <v>102</v>
          </cell>
          <cell r="S12">
            <v>23</v>
          </cell>
          <cell r="T12">
            <v>9</v>
          </cell>
          <cell r="V12">
            <v>120</v>
          </cell>
          <cell r="W12">
            <v>260</v>
          </cell>
          <cell r="X12">
            <v>141</v>
          </cell>
          <cell r="Y12">
            <v>114</v>
          </cell>
          <cell r="Z12">
            <v>87</v>
          </cell>
          <cell r="AC12">
            <v>50</v>
          </cell>
          <cell r="AD12">
            <v>755</v>
          </cell>
          <cell r="AE12">
            <v>165</v>
          </cell>
          <cell r="AF12">
            <v>136</v>
          </cell>
          <cell r="AG12">
            <v>85</v>
          </cell>
          <cell r="AH12">
            <v>271</v>
          </cell>
        </row>
        <row r="13">
          <cell r="A13">
            <v>1997</v>
          </cell>
          <cell r="B13">
            <v>6</v>
          </cell>
          <cell r="C13">
            <v>1</v>
          </cell>
          <cell r="E13">
            <v>185</v>
          </cell>
          <cell r="F13">
            <v>98</v>
          </cell>
          <cell r="G13">
            <v>37</v>
          </cell>
          <cell r="H13">
            <v>64</v>
          </cell>
          <cell r="I13">
            <v>25</v>
          </cell>
          <cell r="L13">
            <v>0</v>
          </cell>
          <cell r="M13">
            <v>320</v>
          </cell>
          <cell r="N13">
            <v>37</v>
          </cell>
          <cell r="O13">
            <v>45</v>
          </cell>
          <cell r="P13">
            <v>98</v>
          </cell>
          <cell r="Q13">
            <v>51</v>
          </cell>
          <cell r="S13">
            <v>20</v>
          </cell>
          <cell r="T13">
            <v>7</v>
          </cell>
          <cell r="V13">
            <v>306</v>
          </cell>
          <cell r="W13">
            <v>297</v>
          </cell>
          <cell r="X13">
            <v>140</v>
          </cell>
          <cell r="Y13">
            <v>162</v>
          </cell>
          <cell r="Z13">
            <v>77</v>
          </cell>
          <cell r="AC13">
            <v>50</v>
          </cell>
          <cell r="AD13">
            <v>920</v>
          </cell>
          <cell r="AE13">
            <v>163</v>
          </cell>
          <cell r="AF13">
            <v>135</v>
          </cell>
          <cell r="AG13">
            <v>141</v>
          </cell>
          <cell r="AH13">
            <v>259</v>
          </cell>
        </row>
        <row r="14">
          <cell r="A14">
            <v>1998</v>
          </cell>
          <cell r="B14">
            <v>32</v>
          </cell>
          <cell r="C14">
            <v>0</v>
          </cell>
          <cell r="E14">
            <v>139</v>
          </cell>
          <cell r="F14">
            <v>201</v>
          </cell>
          <cell r="G14">
            <v>45</v>
          </cell>
          <cell r="H14">
            <v>24</v>
          </cell>
          <cell r="I14">
            <v>63</v>
          </cell>
          <cell r="L14">
            <v>65</v>
          </cell>
          <cell r="M14">
            <v>373</v>
          </cell>
          <cell r="N14">
            <v>14</v>
          </cell>
          <cell r="O14">
            <v>50</v>
          </cell>
          <cell r="P14">
            <v>42</v>
          </cell>
          <cell r="Q14">
            <v>71</v>
          </cell>
          <cell r="S14">
            <v>39</v>
          </cell>
          <cell r="T14">
            <v>6</v>
          </cell>
          <cell r="V14">
            <v>435</v>
          </cell>
          <cell r="W14">
            <v>416</v>
          </cell>
          <cell r="X14">
            <v>141</v>
          </cell>
          <cell r="Y14">
            <v>161</v>
          </cell>
          <cell r="Z14">
            <v>116</v>
          </cell>
          <cell r="AC14">
            <v>55</v>
          </cell>
          <cell r="AD14">
            <v>981</v>
          </cell>
          <cell r="AE14">
            <v>103</v>
          </cell>
          <cell r="AF14">
            <v>129</v>
          </cell>
          <cell r="AG14">
            <v>133</v>
          </cell>
          <cell r="AH14">
            <v>249</v>
          </cell>
        </row>
        <row r="15">
          <cell r="A15">
            <v>1999</v>
          </cell>
          <cell r="B15">
            <v>0</v>
          </cell>
          <cell r="C15">
            <v>0</v>
          </cell>
          <cell r="D15">
            <v>120</v>
          </cell>
          <cell r="E15">
            <v>66</v>
          </cell>
          <cell r="F15">
            <v>188</v>
          </cell>
          <cell r="G15">
            <v>66</v>
          </cell>
          <cell r="H15">
            <v>32</v>
          </cell>
          <cell r="I15">
            <v>36</v>
          </cell>
          <cell r="L15">
            <v>15</v>
          </cell>
          <cell r="M15">
            <v>263</v>
          </cell>
          <cell r="N15">
            <v>35</v>
          </cell>
          <cell r="O15">
            <v>18</v>
          </cell>
          <cell r="P15">
            <v>37</v>
          </cell>
          <cell r="Q15">
            <v>23</v>
          </cell>
          <cell r="S15">
            <v>31</v>
          </cell>
          <cell r="T15">
            <v>5</v>
          </cell>
          <cell r="U15">
            <v>120</v>
          </cell>
          <cell r="V15">
            <v>380</v>
          </cell>
          <cell r="W15">
            <v>493</v>
          </cell>
          <cell r="X15">
            <v>169</v>
          </cell>
          <cell r="Y15">
            <v>134</v>
          </cell>
          <cell r="Z15">
            <v>119</v>
          </cell>
          <cell r="AC15">
            <v>119</v>
          </cell>
          <cell r="AD15">
            <v>912</v>
          </cell>
          <cell r="AE15">
            <v>76</v>
          </cell>
          <cell r="AF15">
            <v>80</v>
          </cell>
          <cell r="AG15">
            <v>122</v>
          </cell>
          <cell r="AH15">
            <v>188</v>
          </cell>
        </row>
        <row r="16">
          <cell r="A16">
            <v>2000</v>
          </cell>
          <cell r="B16">
            <v>2</v>
          </cell>
          <cell r="C16">
            <v>0</v>
          </cell>
          <cell r="D16">
            <v>41</v>
          </cell>
          <cell r="E16">
            <v>135</v>
          </cell>
          <cell r="F16">
            <v>177</v>
          </cell>
          <cell r="G16">
            <v>72</v>
          </cell>
          <cell r="H16">
            <v>110</v>
          </cell>
          <cell r="I16">
            <v>20</v>
          </cell>
          <cell r="L16">
            <v>21</v>
          </cell>
          <cell r="M16">
            <v>391</v>
          </cell>
          <cell r="N16">
            <v>27</v>
          </cell>
          <cell r="O16">
            <v>43</v>
          </cell>
          <cell r="P16">
            <v>12</v>
          </cell>
          <cell r="Q16">
            <v>117</v>
          </cell>
          <cell r="S16">
            <v>25</v>
          </cell>
          <cell r="T16">
            <v>5</v>
          </cell>
          <cell r="U16">
            <v>161</v>
          </cell>
          <cell r="V16">
            <v>385</v>
          </cell>
          <cell r="W16">
            <v>534</v>
          </cell>
          <cell r="X16">
            <v>207</v>
          </cell>
          <cell r="Y16">
            <v>193</v>
          </cell>
          <cell r="Z16">
            <v>126</v>
          </cell>
          <cell r="AC16">
            <v>108</v>
          </cell>
          <cell r="AD16">
            <v>1019</v>
          </cell>
          <cell r="AE16">
            <v>82</v>
          </cell>
          <cell r="AF16">
            <v>79</v>
          </cell>
          <cell r="AG16">
            <v>84</v>
          </cell>
          <cell r="AH16">
            <v>247</v>
          </cell>
        </row>
        <row r="17">
          <cell r="A17">
            <v>2001</v>
          </cell>
          <cell r="B17">
            <v>61</v>
          </cell>
          <cell r="C17">
            <v>0</v>
          </cell>
          <cell r="D17">
            <v>0</v>
          </cell>
          <cell r="E17">
            <v>57</v>
          </cell>
          <cell r="F17">
            <v>131</v>
          </cell>
          <cell r="G17">
            <v>47</v>
          </cell>
          <cell r="H17">
            <v>52</v>
          </cell>
          <cell r="I17">
            <v>2</v>
          </cell>
          <cell r="K17">
            <v>85</v>
          </cell>
          <cell r="L17">
            <v>6</v>
          </cell>
          <cell r="M17">
            <v>188</v>
          </cell>
          <cell r="N17">
            <v>16</v>
          </cell>
          <cell r="O17">
            <v>44</v>
          </cell>
          <cell r="P17">
            <v>51</v>
          </cell>
          <cell r="Q17">
            <v>30</v>
          </cell>
          <cell r="S17">
            <v>75</v>
          </cell>
          <cell r="T17">
            <v>5</v>
          </cell>
          <cell r="U17">
            <v>114</v>
          </cell>
          <cell r="V17">
            <v>287</v>
          </cell>
          <cell r="W17">
            <v>532</v>
          </cell>
          <cell r="X17">
            <v>195</v>
          </cell>
          <cell r="Y17">
            <v>198</v>
          </cell>
          <cell r="Z17">
            <v>84</v>
          </cell>
          <cell r="AB17">
            <v>85</v>
          </cell>
          <cell r="AC17">
            <v>45</v>
          </cell>
          <cell r="AD17">
            <v>889</v>
          </cell>
          <cell r="AE17">
            <v>59</v>
          </cell>
          <cell r="AF17">
            <v>55</v>
          </cell>
          <cell r="AG17">
            <v>67</v>
          </cell>
          <cell r="AH17">
            <v>204</v>
          </cell>
        </row>
        <row r="18">
          <cell r="A18">
            <v>2002</v>
          </cell>
          <cell r="B18">
            <v>0</v>
          </cell>
          <cell r="C18">
            <v>0</v>
          </cell>
          <cell r="D18">
            <v>0</v>
          </cell>
          <cell r="E18">
            <v>173</v>
          </cell>
          <cell r="F18">
            <v>16</v>
          </cell>
          <cell r="G18">
            <v>21</v>
          </cell>
          <cell r="H18">
            <v>24</v>
          </cell>
          <cell r="I18">
            <v>31</v>
          </cell>
          <cell r="K18">
            <v>10</v>
          </cell>
          <cell r="L18">
            <v>23</v>
          </cell>
          <cell r="M18">
            <v>162</v>
          </cell>
          <cell r="N18">
            <v>17</v>
          </cell>
          <cell r="O18">
            <v>0</v>
          </cell>
          <cell r="P18">
            <v>8</v>
          </cell>
          <cell r="Q18">
            <v>32</v>
          </cell>
          <cell r="S18">
            <v>66</v>
          </cell>
          <cell r="T18">
            <v>5</v>
          </cell>
          <cell r="U18">
            <v>84</v>
          </cell>
          <cell r="V18">
            <v>367</v>
          </cell>
          <cell r="W18">
            <v>483</v>
          </cell>
          <cell r="X18">
            <v>166</v>
          </cell>
          <cell r="Y18">
            <v>168</v>
          </cell>
          <cell r="Z18">
            <v>90</v>
          </cell>
          <cell r="AB18">
            <v>95</v>
          </cell>
          <cell r="AC18">
            <v>40</v>
          </cell>
          <cell r="AD18">
            <v>778</v>
          </cell>
          <cell r="AE18">
            <v>52</v>
          </cell>
          <cell r="AF18">
            <v>28</v>
          </cell>
          <cell r="AG18">
            <v>39</v>
          </cell>
          <cell r="AH18">
            <v>187</v>
          </cell>
        </row>
        <row r="19">
          <cell r="A19">
            <v>2003</v>
          </cell>
          <cell r="B19">
            <v>6</v>
          </cell>
          <cell r="C19">
            <v>0</v>
          </cell>
          <cell r="D19">
            <v>0</v>
          </cell>
          <cell r="E19">
            <v>78</v>
          </cell>
          <cell r="F19">
            <v>117</v>
          </cell>
          <cell r="G19">
            <v>13</v>
          </cell>
          <cell r="H19">
            <v>54</v>
          </cell>
          <cell r="I19">
            <v>35</v>
          </cell>
          <cell r="K19">
            <v>34</v>
          </cell>
          <cell r="L19">
            <v>8</v>
          </cell>
          <cell r="M19">
            <v>207</v>
          </cell>
          <cell r="N19">
            <v>4</v>
          </cell>
          <cell r="O19">
            <v>7</v>
          </cell>
          <cell r="P19">
            <v>11</v>
          </cell>
          <cell r="Q19">
            <v>13</v>
          </cell>
          <cell r="S19">
            <v>64</v>
          </cell>
          <cell r="T19">
            <v>5</v>
          </cell>
          <cell r="U19">
            <v>70</v>
          </cell>
          <cell r="V19">
            <v>361</v>
          </cell>
          <cell r="W19">
            <v>445</v>
          </cell>
          <cell r="X19">
            <v>120</v>
          </cell>
          <cell r="Y19">
            <v>187</v>
          </cell>
          <cell r="Z19">
            <v>87</v>
          </cell>
          <cell r="AB19">
            <v>129</v>
          </cell>
          <cell r="AC19">
            <v>36</v>
          </cell>
          <cell r="AD19">
            <v>832</v>
          </cell>
          <cell r="AE19">
            <v>37</v>
          </cell>
          <cell r="AF19">
            <v>13</v>
          </cell>
          <cell r="AG19">
            <v>25</v>
          </cell>
          <cell r="AH19">
            <v>168</v>
          </cell>
        </row>
        <row r="20">
          <cell r="A20">
            <v>2004</v>
          </cell>
          <cell r="B20">
            <v>0</v>
          </cell>
          <cell r="C20">
            <v>0</v>
          </cell>
          <cell r="D20">
            <v>4</v>
          </cell>
          <cell r="E20">
            <v>31</v>
          </cell>
          <cell r="F20">
            <v>21</v>
          </cell>
          <cell r="G20">
            <v>5</v>
          </cell>
          <cell r="H20">
            <v>6</v>
          </cell>
          <cell r="I20">
            <v>3</v>
          </cell>
          <cell r="K20">
            <v>0</v>
          </cell>
          <cell r="L20">
            <v>6</v>
          </cell>
          <cell r="M20">
            <v>50</v>
          </cell>
          <cell r="N20">
            <v>6</v>
          </cell>
          <cell r="O20">
            <v>0</v>
          </cell>
          <cell r="P20">
            <v>2</v>
          </cell>
          <cell r="Q20">
            <v>2</v>
          </cell>
          <cell r="R20">
            <v>56</v>
          </cell>
          <cell r="S20">
            <v>54</v>
          </cell>
          <cell r="T20">
            <v>5</v>
          </cell>
          <cell r="U20">
            <v>42</v>
          </cell>
          <cell r="V20">
            <v>378</v>
          </cell>
          <cell r="W20">
            <v>963</v>
          </cell>
          <cell r="X20">
            <v>92</v>
          </cell>
          <cell r="Y20">
            <v>188</v>
          </cell>
          <cell r="Z20">
            <v>85</v>
          </cell>
          <cell r="AB20">
            <v>139</v>
          </cell>
          <cell r="AC20">
            <v>32</v>
          </cell>
          <cell r="AD20">
            <v>772</v>
          </cell>
          <cell r="AE20">
            <v>32</v>
          </cell>
          <cell r="AF20">
            <v>2</v>
          </cell>
          <cell r="AG20">
            <v>25</v>
          </cell>
          <cell r="AH20">
            <v>174</v>
          </cell>
          <cell r="AI20">
            <v>56</v>
          </cell>
        </row>
        <row r="21">
          <cell r="A21">
            <v>2005</v>
          </cell>
          <cell r="B21">
            <v>7</v>
          </cell>
          <cell r="C21">
            <v>0</v>
          </cell>
          <cell r="D21">
            <v>36</v>
          </cell>
          <cell r="E21">
            <v>211</v>
          </cell>
          <cell r="F21">
            <v>568</v>
          </cell>
          <cell r="G21">
            <v>103</v>
          </cell>
          <cell r="H21">
            <v>64</v>
          </cell>
          <cell r="I21">
            <v>15</v>
          </cell>
          <cell r="J21">
            <v>87</v>
          </cell>
          <cell r="K21">
            <v>20</v>
          </cell>
          <cell r="L21">
            <v>0</v>
          </cell>
          <cell r="M21">
            <v>574</v>
          </cell>
          <cell r="N21">
            <v>48</v>
          </cell>
          <cell r="O21">
            <v>0</v>
          </cell>
          <cell r="P21">
            <v>19</v>
          </cell>
          <cell r="Q21">
            <v>155</v>
          </cell>
          <cell r="R21">
            <v>235</v>
          </cell>
          <cell r="S21">
            <v>15</v>
          </cell>
          <cell r="T21">
            <v>5</v>
          </cell>
          <cell r="U21">
            <v>69</v>
          </cell>
          <cell r="V21">
            <v>444</v>
          </cell>
          <cell r="W21">
            <v>963</v>
          </cell>
          <cell r="X21">
            <v>178</v>
          </cell>
          <cell r="Y21">
            <v>179</v>
          </cell>
          <cell r="Z21">
            <v>73</v>
          </cell>
          <cell r="AA21">
            <v>67</v>
          </cell>
          <cell r="AB21">
            <v>159</v>
          </cell>
          <cell r="AC21">
            <v>5</v>
          </cell>
          <cell r="AD21">
            <v>1122</v>
          </cell>
          <cell r="AE21">
            <v>62</v>
          </cell>
          <cell r="AF21">
            <v>0</v>
          </cell>
          <cell r="AG21">
            <v>30</v>
          </cell>
          <cell r="AH21">
            <v>288</v>
          </cell>
          <cell r="AI21">
            <v>281</v>
          </cell>
        </row>
        <row r="22">
          <cell r="A22">
            <v>2006</v>
          </cell>
          <cell r="B22">
            <v>0</v>
          </cell>
          <cell r="C22">
            <v>0</v>
          </cell>
          <cell r="D22">
            <v>4</v>
          </cell>
          <cell r="E22">
            <v>253</v>
          </cell>
          <cell r="F22">
            <v>312</v>
          </cell>
          <cell r="G22">
            <v>104</v>
          </cell>
          <cell r="H22">
            <v>104</v>
          </cell>
          <cell r="I22">
            <v>15</v>
          </cell>
          <cell r="J22">
            <v>15</v>
          </cell>
          <cell r="K22">
            <v>17</v>
          </cell>
          <cell r="L22">
            <v>0</v>
          </cell>
          <cell r="M22">
            <v>739</v>
          </cell>
          <cell r="N22">
            <v>72</v>
          </cell>
          <cell r="O22">
            <v>0</v>
          </cell>
          <cell r="P22">
            <v>10</v>
          </cell>
          <cell r="Q22">
            <v>77</v>
          </cell>
          <cell r="R22">
            <v>160</v>
          </cell>
          <cell r="S22">
            <v>6</v>
          </cell>
          <cell r="T22">
            <v>5</v>
          </cell>
          <cell r="U22">
            <v>54</v>
          </cell>
          <cell r="V22">
            <v>567</v>
          </cell>
          <cell r="W22">
            <v>1067</v>
          </cell>
          <cell r="X22">
            <v>278</v>
          </cell>
          <cell r="Y22">
            <v>227</v>
          </cell>
          <cell r="Z22">
            <v>61</v>
          </cell>
          <cell r="AA22">
            <v>102</v>
          </cell>
          <cell r="AB22">
            <v>166</v>
          </cell>
          <cell r="AC22">
            <v>0</v>
          </cell>
          <cell r="AD22">
            <v>1545</v>
          </cell>
          <cell r="AE22">
            <v>120</v>
          </cell>
          <cell r="AF22">
            <v>0</v>
          </cell>
          <cell r="AG22">
            <v>28</v>
          </cell>
          <cell r="AH22">
            <v>300</v>
          </cell>
          <cell r="AI22">
            <v>448</v>
          </cell>
        </row>
        <row r="27">
          <cell r="A27" t="str">
            <v>Orders</v>
          </cell>
        </row>
        <row r="77">
          <cell r="A77" t="str">
            <v>Orders vs Backlog</v>
          </cell>
        </row>
        <row r="147">
          <cell r="A147" t="str">
            <v>Commercial Aircraft Orders By Maker</v>
          </cell>
        </row>
        <row r="150">
          <cell r="A150" t="str">
            <v>For graph</v>
          </cell>
        </row>
        <row r="151">
          <cell r="A151" t="str">
            <v>% OF$ Bkgs</v>
          </cell>
          <cell r="B151" t="str">
            <v>1988</v>
          </cell>
          <cell r="C151" t="str">
            <v>1989</v>
          </cell>
          <cell r="D151" t="str">
            <v>1990</v>
          </cell>
          <cell r="E151" t="str">
            <v>1991</v>
          </cell>
          <cell r="F151" t="str">
            <v>1992</v>
          </cell>
          <cell r="G151" t="str">
            <v xml:space="preserve">1993 </v>
          </cell>
          <cell r="H151" t="str">
            <v xml:space="preserve">1994 </v>
          </cell>
          <cell r="I151" t="str">
            <v xml:space="preserve">1995 </v>
          </cell>
          <cell r="J151" t="str">
            <v xml:space="preserve">1996 </v>
          </cell>
          <cell r="K151" t="str">
            <v xml:space="preserve">1997 </v>
          </cell>
          <cell r="L151">
            <v>1998</v>
          </cell>
          <cell r="M151">
            <v>1999</v>
          </cell>
          <cell r="N151">
            <v>2000</v>
          </cell>
          <cell r="O151">
            <v>2001</v>
          </cell>
          <cell r="P151">
            <v>2002</v>
          </cell>
          <cell r="Q151">
            <v>2003</v>
          </cell>
          <cell r="R151">
            <v>2004</v>
          </cell>
          <cell r="S151">
            <v>2005</v>
          </cell>
          <cell r="T151">
            <v>2006</v>
          </cell>
        </row>
        <row r="152">
          <cell r="A152" t="str">
            <v xml:space="preserve"> BOEING</v>
          </cell>
          <cell r="B152">
            <v>0.67</v>
          </cell>
          <cell r="C152">
            <v>0.55000000000000004</v>
          </cell>
          <cell r="D152">
            <v>0.7</v>
          </cell>
          <cell r="E152">
            <v>0.81</v>
          </cell>
          <cell r="F152">
            <v>0.70741594467848334</v>
          </cell>
          <cell r="G152">
            <v>0.86822968906720177</v>
          </cell>
          <cell r="H152">
            <v>0.56712185657786729</v>
          </cell>
          <cell r="I152">
            <v>0.82677584006805616</v>
          </cell>
          <cell r="J152">
            <v>0.73044815465729362</v>
          </cell>
          <cell r="K152">
            <v>0.67323119514266838</v>
          </cell>
          <cell r="L152">
            <v>0.59599592229710596</v>
          </cell>
        </row>
        <row r="153">
          <cell r="A153" t="str">
            <v xml:space="preserve"> AIRBUS</v>
          </cell>
          <cell r="B153">
            <v>0.12</v>
          </cell>
          <cell r="C153">
            <v>0.33</v>
          </cell>
          <cell r="D153">
            <v>0.18</v>
          </cell>
          <cell r="E153">
            <v>0.24</v>
          </cell>
          <cell r="F153">
            <v>0.25411334552102377</v>
          </cell>
          <cell r="G153">
            <v>0.137913741223671</v>
          </cell>
          <cell r="H153">
            <v>0.41713304977240506</v>
          </cell>
          <cell r="I153">
            <v>0.12093258188005106</v>
          </cell>
          <cell r="J153">
            <v>0.24810522847100178</v>
          </cell>
          <cell r="K153">
            <v>0.30831786579419257</v>
          </cell>
          <cell r="L153">
            <v>0.37697513733929888</v>
          </cell>
        </row>
        <row r="154">
          <cell r="A154" t="str">
            <v xml:space="preserve"> DOUGLAS</v>
          </cell>
          <cell r="B154">
            <v>0.21</v>
          </cell>
          <cell r="C154">
            <v>0.12</v>
          </cell>
          <cell r="D154">
            <v>0.11</v>
          </cell>
          <cell r="E154">
            <v>-0.05</v>
          </cell>
          <cell r="F154">
            <v>3.8470709800492803E-2</v>
          </cell>
          <cell r="G154">
            <v>-6.1434302908726169E-3</v>
          </cell>
          <cell r="H154">
            <v>1.5745093649727631E-2</v>
          </cell>
          <cell r="I154">
            <v>5.2291578051892808E-2</v>
          </cell>
          <cell r="J154">
            <v>2.1446616871704745E-2</v>
          </cell>
          <cell r="K154">
            <v>1.8450939063139021E-2</v>
          </cell>
          <cell r="L154">
            <v>2.7028940363595176E-2</v>
          </cell>
        </row>
        <row r="155">
          <cell r="A155" t="str">
            <v>Units</v>
          </cell>
        </row>
        <row r="156">
          <cell r="A156" t="str">
            <v xml:space="preserve"> BOEING</v>
          </cell>
          <cell r="B156">
            <v>638</v>
          </cell>
          <cell r="C156">
            <v>756</v>
          </cell>
          <cell r="D156">
            <v>483</v>
          </cell>
          <cell r="E156">
            <v>252</v>
          </cell>
          <cell r="F156">
            <v>243</v>
          </cell>
          <cell r="G156">
            <v>233</v>
          </cell>
          <cell r="H156">
            <v>119</v>
          </cell>
          <cell r="I156">
            <v>330</v>
          </cell>
          <cell r="J156">
            <v>558</v>
          </cell>
          <cell r="K156">
            <v>551</v>
          </cell>
          <cell r="L156">
            <v>615</v>
          </cell>
          <cell r="M156">
            <v>391</v>
          </cell>
          <cell r="N156">
            <v>611</v>
          </cell>
          <cell r="O156">
            <v>335</v>
          </cell>
          <cell r="P156">
            <v>251</v>
          </cell>
          <cell r="Q156">
            <v>250</v>
          </cell>
          <cell r="R156">
            <v>272</v>
          </cell>
          <cell r="S156">
            <v>1031</v>
          </cell>
          <cell r="T156">
            <v>1058</v>
          </cell>
        </row>
        <row r="157">
          <cell r="A157" t="str">
            <v xml:space="preserve"> AIRBUS</v>
          </cell>
          <cell r="B157">
            <v>163</v>
          </cell>
          <cell r="C157">
            <v>390</v>
          </cell>
          <cell r="D157">
            <v>287</v>
          </cell>
          <cell r="E157">
            <v>101</v>
          </cell>
          <cell r="F157">
            <v>136</v>
          </cell>
          <cell r="G157">
            <v>38</v>
          </cell>
          <cell r="H157">
            <v>125</v>
          </cell>
          <cell r="I157">
            <v>106</v>
          </cell>
          <cell r="J157">
            <v>428</v>
          </cell>
          <cell r="K157">
            <v>460</v>
          </cell>
          <cell r="L157">
            <v>556</v>
          </cell>
          <cell r="M157">
            <v>476</v>
          </cell>
          <cell r="N157">
            <v>520</v>
          </cell>
          <cell r="O157">
            <v>375</v>
          </cell>
          <cell r="P157">
            <v>300</v>
          </cell>
          <cell r="Q157">
            <v>284</v>
          </cell>
          <cell r="R157">
            <v>370</v>
          </cell>
          <cell r="S157">
            <v>1111</v>
          </cell>
          <cell r="T157">
            <v>824</v>
          </cell>
        </row>
        <row r="158">
          <cell r="A158" t="str">
            <v xml:space="preserve"> DOUGLAS</v>
          </cell>
          <cell r="B158">
            <v>246</v>
          </cell>
          <cell r="C158">
            <v>233</v>
          </cell>
          <cell r="D158">
            <v>168</v>
          </cell>
          <cell r="E158">
            <v>-33</v>
          </cell>
          <cell r="F158">
            <v>36</v>
          </cell>
          <cell r="G158">
            <v>-2</v>
          </cell>
          <cell r="H158">
            <v>3</v>
          </cell>
          <cell r="I158">
            <v>95</v>
          </cell>
          <cell r="J158">
            <v>38</v>
          </cell>
          <cell r="K158">
            <v>17</v>
          </cell>
          <cell r="L158">
            <v>41</v>
          </cell>
          <cell r="T158">
            <v>0</v>
          </cell>
        </row>
        <row r="159">
          <cell r="R159">
            <v>52</v>
          </cell>
        </row>
        <row r="183">
          <cell r="A183" t="str">
            <v>Commercial Aircraft Deliveries By Maker</v>
          </cell>
        </row>
        <row r="185">
          <cell r="T185" t="str">
            <v>= Estimate: Airbus yet to release 2007 numbers</v>
          </cell>
        </row>
        <row r="186">
          <cell r="A186" t="str">
            <v>Large Commercial Aircraft Deliveries</v>
          </cell>
        </row>
        <row r="187">
          <cell r="B187">
            <v>1990</v>
          </cell>
          <cell r="C187">
            <v>1991</v>
          </cell>
          <cell r="D187">
            <v>1992</v>
          </cell>
          <cell r="E187">
            <v>1993</v>
          </cell>
          <cell r="F187">
            <v>1994</v>
          </cell>
          <cell r="G187">
            <v>1995</v>
          </cell>
          <cell r="H187">
            <v>1996</v>
          </cell>
          <cell r="I187">
            <v>1997</v>
          </cell>
          <cell r="J187">
            <v>1998</v>
          </cell>
          <cell r="K187">
            <v>1999</v>
          </cell>
          <cell r="L187">
            <v>2000</v>
          </cell>
          <cell r="M187">
            <v>2001</v>
          </cell>
          <cell r="N187">
            <v>2002</v>
          </cell>
          <cell r="O187">
            <v>2003</v>
          </cell>
          <cell r="P187">
            <v>2004</v>
          </cell>
          <cell r="Q187">
            <v>2005</v>
          </cell>
          <cell r="R187">
            <v>2006</v>
          </cell>
          <cell r="S187" t="str">
            <v>2007A</v>
          </cell>
          <cell r="T187" t="str">
            <v>2008E</v>
          </cell>
          <cell r="U187" t="str">
            <v>2009E</v>
          </cell>
          <cell r="V187" t="str">
            <v>2010E</v>
          </cell>
        </row>
        <row r="188">
          <cell r="A188" t="str">
            <v>Airbus</v>
          </cell>
          <cell r="B188">
            <v>95</v>
          </cell>
          <cell r="C188">
            <v>163</v>
          </cell>
          <cell r="D188">
            <v>157</v>
          </cell>
          <cell r="E188">
            <v>138</v>
          </cell>
          <cell r="F188">
            <v>126</v>
          </cell>
          <cell r="G188">
            <v>121</v>
          </cell>
          <cell r="H188">
            <v>126</v>
          </cell>
          <cell r="I188">
            <v>182</v>
          </cell>
          <cell r="J188">
            <v>229</v>
          </cell>
          <cell r="K188">
            <v>294</v>
          </cell>
          <cell r="L188">
            <v>310</v>
          </cell>
          <cell r="M188">
            <v>325</v>
          </cell>
          <cell r="N188">
            <v>303</v>
          </cell>
          <cell r="O188">
            <v>305</v>
          </cell>
          <cell r="P188">
            <v>320</v>
          </cell>
          <cell r="Q188">
            <v>378</v>
          </cell>
          <cell r="R188">
            <v>434</v>
          </cell>
          <cell r="S188">
            <v>453</v>
          </cell>
          <cell r="T188">
            <v>500</v>
          </cell>
          <cell r="U188">
            <v>543</v>
          </cell>
          <cell r="V188">
            <v>554</v>
          </cell>
        </row>
        <row r="189">
          <cell r="A189" t="str">
            <v>Boeing</v>
          </cell>
          <cell r="B189">
            <v>527</v>
          </cell>
          <cell r="C189">
            <v>606</v>
          </cell>
          <cell r="D189">
            <v>567</v>
          </cell>
          <cell r="E189">
            <v>397</v>
          </cell>
          <cell r="F189">
            <v>309</v>
          </cell>
          <cell r="G189">
            <v>256</v>
          </cell>
          <cell r="H189">
            <v>264</v>
          </cell>
          <cell r="I189">
            <v>361</v>
          </cell>
          <cell r="J189">
            <v>559</v>
          </cell>
          <cell r="K189">
            <v>620</v>
          </cell>
          <cell r="L189">
            <v>489</v>
          </cell>
          <cell r="M189">
            <v>527</v>
          </cell>
          <cell r="N189">
            <v>381</v>
          </cell>
          <cell r="O189">
            <v>281</v>
          </cell>
          <cell r="P189">
            <v>285</v>
          </cell>
          <cell r="Q189">
            <v>290</v>
          </cell>
          <cell r="R189">
            <v>398</v>
          </cell>
          <cell r="S189">
            <v>441</v>
          </cell>
          <cell r="T189">
            <v>520</v>
          </cell>
          <cell r="U189">
            <v>585</v>
          </cell>
          <cell r="V189">
            <v>635</v>
          </cell>
        </row>
        <row r="190">
          <cell r="A190" t="str">
            <v>Total</v>
          </cell>
          <cell r="B190">
            <v>622</v>
          </cell>
          <cell r="C190">
            <v>769</v>
          </cell>
          <cell r="D190">
            <v>724</v>
          </cell>
          <cell r="E190">
            <v>535</v>
          </cell>
          <cell r="F190">
            <v>435</v>
          </cell>
          <cell r="G190">
            <v>377</v>
          </cell>
          <cell r="H190">
            <v>390</v>
          </cell>
          <cell r="I190">
            <v>543</v>
          </cell>
          <cell r="J190">
            <v>788</v>
          </cell>
          <cell r="K190">
            <v>914</v>
          </cell>
          <cell r="L190">
            <v>799</v>
          </cell>
          <cell r="M190">
            <v>852</v>
          </cell>
          <cell r="N190">
            <v>684</v>
          </cell>
          <cell r="O190">
            <v>586</v>
          </cell>
          <cell r="P190">
            <v>605</v>
          </cell>
          <cell r="Q190">
            <v>668</v>
          </cell>
          <cell r="R190">
            <v>832</v>
          </cell>
          <cell r="S190">
            <v>894</v>
          </cell>
          <cell r="T190">
            <v>1020</v>
          </cell>
          <cell r="U190">
            <v>1128</v>
          </cell>
          <cell r="V190">
            <v>1189</v>
          </cell>
        </row>
        <row r="191">
          <cell r="A191" t="str">
            <v>% ch y/y</v>
          </cell>
          <cell r="C191">
            <v>0.2363344051446945</v>
          </cell>
          <cell r="D191">
            <v>-5.8517555266579979E-2</v>
          </cell>
          <cell r="E191">
            <v>-0.26104972375690605</v>
          </cell>
          <cell r="F191">
            <v>-0.18691588785046731</v>
          </cell>
          <cell r="G191">
            <v>-0.1333333333333333</v>
          </cell>
          <cell r="H191">
            <v>3.4482758620689724E-2</v>
          </cell>
          <cell r="I191">
            <v>0.39230769230769225</v>
          </cell>
          <cell r="J191">
            <v>0.45119705340699823</v>
          </cell>
          <cell r="K191">
            <v>0.15989847715736039</v>
          </cell>
          <cell r="L191">
            <v>-0.12582056892778992</v>
          </cell>
          <cell r="M191">
            <v>6.6332916145181553E-2</v>
          </cell>
          <cell r="N191">
            <v>-0.19718309859154926</v>
          </cell>
          <cell r="O191">
            <v>-0.14327485380116955</v>
          </cell>
          <cell r="P191">
            <v>3.2423208191126207E-2</v>
          </cell>
          <cell r="Q191">
            <v>0.10413223140495864</v>
          </cell>
          <cell r="R191">
            <v>0.24550898203592819</v>
          </cell>
          <cell r="S191">
            <v>7.4519230769230838E-2</v>
          </cell>
          <cell r="T191">
            <v>0.14093959731543615</v>
          </cell>
          <cell r="U191">
            <v>0.10588235294117654</v>
          </cell>
          <cell r="V191">
            <v>5.4078014184397061E-2</v>
          </cell>
        </row>
        <row r="192">
          <cell r="A192" t="str">
            <v>% Airbus</v>
          </cell>
          <cell r="B192">
            <v>0.15273311897106109</v>
          </cell>
          <cell r="C192">
            <v>0.21196358907672302</v>
          </cell>
          <cell r="D192">
            <v>0.21685082872928177</v>
          </cell>
          <cell r="E192">
            <v>0.25794392523364484</v>
          </cell>
          <cell r="F192">
            <v>0.28965517241379313</v>
          </cell>
          <cell r="G192">
            <v>0.32095490716180369</v>
          </cell>
          <cell r="H192">
            <v>0.32307692307692309</v>
          </cell>
          <cell r="I192">
            <v>0.33517495395948432</v>
          </cell>
          <cell r="J192">
            <v>0.29060913705583757</v>
          </cell>
          <cell r="K192">
            <v>0.32166301969365424</v>
          </cell>
          <cell r="L192">
            <v>0.38798498122653319</v>
          </cell>
          <cell r="M192">
            <v>0.38145539906103287</v>
          </cell>
          <cell r="N192">
            <v>0.44298245614035087</v>
          </cell>
          <cell r="O192">
            <v>0.52047781569965867</v>
          </cell>
          <cell r="P192">
            <v>0.52892561983471076</v>
          </cell>
          <cell r="Q192">
            <v>0.56586826347305386</v>
          </cell>
          <cell r="R192">
            <v>0.52163461538461542</v>
          </cell>
          <cell r="S192">
            <v>0.50671140939597314</v>
          </cell>
          <cell r="T192">
            <v>0.49019607843137253</v>
          </cell>
          <cell r="U192">
            <v>0.48138297872340424</v>
          </cell>
          <cell r="V192">
            <v>0.4659377628259041</v>
          </cell>
        </row>
        <row r="193">
          <cell r="A193" t="str">
            <v>% Boeing</v>
          </cell>
          <cell r="B193">
            <v>0.84726688102893888</v>
          </cell>
          <cell r="C193">
            <v>0.78803641092327703</v>
          </cell>
          <cell r="D193">
            <v>0.78314917127071826</v>
          </cell>
          <cell r="E193">
            <v>0.74205607476635516</v>
          </cell>
          <cell r="F193">
            <v>0.71034482758620687</v>
          </cell>
          <cell r="G193">
            <v>0.67904509283819625</v>
          </cell>
          <cell r="H193">
            <v>0.67692307692307696</v>
          </cell>
          <cell r="I193">
            <v>0.66482504604051562</v>
          </cell>
          <cell r="J193">
            <v>0.70939086294416243</v>
          </cell>
          <cell r="K193">
            <v>0.6783369803063457</v>
          </cell>
          <cell r="L193">
            <v>0.61201501877346687</v>
          </cell>
          <cell r="M193">
            <v>0.61854460093896713</v>
          </cell>
          <cell r="N193">
            <v>0.55701754385964908</v>
          </cell>
          <cell r="O193">
            <v>0.47952218430034127</v>
          </cell>
          <cell r="P193">
            <v>0.47107438016528924</v>
          </cell>
          <cell r="Q193">
            <v>0.43413173652694609</v>
          </cell>
          <cell r="R193">
            <v>0.47836538461538464</v>
          </cell>
          <cell r="S193">
            <v>0.49328859060402686</v>
          </cell>
          <cell r="T193">
            <v>0.50980392156862742</v>
          </cell>
          <cell r="U193">
            <v>0.5186170212765957</v>
          </cell>
          <cell r="V193">
            <v>0.53406223717409584</v>
          </cell>
        </row>
        <row r="221">
          <cell r="A221" t="str">
            <v>Aggregate Backlog By Maker</v>
          </cell>
        </row>
        <row r="224">
          <cell r="A224" t="str">
            <v>Backlog</v>
          </cell>
          <cell r="B224">
            <v>1990</v>
          </cell>
          <cell r="C224">
            <v>1991</v>
          </cell>
          <cell r="D224">
            <v>1992</v>
          </cell>
          <cell r="E224">
            <v>1993</v>
          </cell>
          <cell r="F224">
            <v>1994</v>
          </cell>
          <cell r="G224">
            <v>1995</v>
          </cell>
          <cell r="H224">
            <v>1996</v>
          </cell>
          <cell r="I224">
            <v>1997</v>
          </cell>
          <cell r="J224">
            <v>1998</v>
          </cell>
          <cell r="K224">
            <v>1999</v>
          </cell>
          <cell r="L224">
            <v>2000</v>
          </cell>
          <cell r="M224">
            <v>2001</v>
          </cell>
          <cell r="N224">
            <v>2002</v>
          </cell>
          <cell r="O224">
            <v>2003</v>
          </cell>
          <cell r="P224">
            <v>2004</v>
          </cell>
          <cell r="Q224">
            <v>2005</v>
          </cell>
          <cell r="R224">
            <v>2006</v>
          </cell>
          <cell r="S224">
            <v>2007</v>
          </cell>
        </row>
        <row r="225">
          <cell r="A225" t="str">
            <v>Airbus</v>
          </cell>
          <cell r="B225">
            <v>1034</v>
          </cell>
          <cell r="C225">
            <v>950</v>
          </cell>
          <cell r="D225">
            <v>836</v>
          </cell>
          <cell r="E225">
            <v>667</v>
          </cell>
          <cell r="F225">
            <v>615</v>
          </cell>
          <cell r="G225">
            <v>578</v>
          </cell>
          <cell r="H225">
            <v>753</v>
          </cell>
          <cell r="I225">
            <v>1009</v>
          </cell>
          <cell r="J225">
            <v>1309</v>
          </cell>
          <cell r="K225">
            <v>1445</v>
          </cell>
          <cell r="L225">
            <v>1626</v>
          </cell>
          <cell r="M225">
            <v>1575</v>
          </cell>
          <cell r="N225">
            <v>1505</v>
          </cell>
          <cell r="O225">
            <v>1454</v>
          </cell>
          <cell r="P225">
            <v>1511</v>
          </cell>
          <cell r="Q225">
            <v>2177</v>
          </cell>
          <cell r="R225">
            <v>2533</v>
          </cell>
          <cell r="S225">
            <v>3636</v>
          </cell>
        </row>
        <row r="226">
          <cell r="A226" t="str">
            <v>Boeing</v>
          </cell>
          <cell r="B226">
            <v>2479</v>
          </cell>
          <cell r="C226">
            <v>2078</v>
          </cell>
          <cell r="D226">
            <v>1733</v>
          </cell>
          <cell r="E226">
            <v>1360</v>
          </cell>
          <cell r="F226">
            <v>1126</v>
          </cell>
          <cell r="G226">
            <v>1290</v>
          </cell>
          <cell r="H226">
            <v>1616</v>
          </cell>
          <cell r="I226">
            <v>1652</v>
          </cell>
          <cell r="J226">
            <v>1706</v>
          </cell>
          <cell r="K226">
            <v>1503</v>
          </cell>
          <cell r="L226">
            <v>1610</v>
          </cell>
          <cell r="M226">
            <v>1357</v>
          </cell>
          <cell r="N226">
            <v>1152</v>
          </cell>
          <cell r="O226">
            <v>1112</v>
          </cell>
          <cell r="P226">
            <v>1097</v>
          </cell>
          <cell r="Q226">
            <v>1809</v>
          </cell>
          <cell r="R226">
            <v>2455</v>
          </cell>
          <cell r="S226">
            <v>3427</v>
          </cell>
        </row>
        <row r="227">
          <cell r="A227" t="str">
            <v>Total</v>
          </cell>
          <cell r="B227">
            <v>3513</v>
          </cell>
          <cell r="C227">
            <v>3028</v>
          </cell>
          <cell r="D227">
            <v>2569</v>
          </cell>
          <cell r="E227">
            <v>2027</v>
          </cell>
          <cell r="F227">
            <v>1741</v>
          </cell>
          <cell r="G227">
            <v>1868</v>
          </cell>
          <cell r="H227">
            <v>2369</v>
          </cell>
          <cell r="I227">
            <v>2661</v>
          </cell>
          <cell r="J227">
            <v>3015</v>
          </cell>
          <cell r="K227">
            <v>2948</v>
          </cell>
          <cell r="L227">
            <v>3236</v>
          </cell>
          <cell r="M227">
            <v>2932</v>
          </cell>
          <cell r="N227">
            <v>2657</v>
          </cell>
          <cell r="O227">
            <v>2566</v>
          </cell>
          <cell r="P227">
            <v>2608</v>
          </cell>
          <cell r="Q227">
            <v>3986</v>
          </cell>
          <cell r="R227">
            <v>4988</v>
          </cell>
          <cell r="S227">
            <v>7063</v>
          </cell>
        </row>
        <row r="228">
          <cell r="A228" t="str">
            <v>Deliveries</v>
          </cell>
        </row>
        <row r="229">
          <cell r="A229" t="str">
            <v>Airbus</v>
          </cell>
          <cell r="B229">
            <v>98</v>
          </cell>
          <cell r="C229">
            <v>163</v>
          </cell>
          <cell r="D229">
            <v>157</v>
          </cell>
          <cell r="E229">
            <v>138</v>
          </cell>
          <cell r="F229">
            <v>126</v>
          </cell>
          <cell r="G229">
            <v>121</v>
          </cell>
          <cell r="H229">
            <v>126</v>
          </cell>
          <cell r="I229">
            <v>182</v>
          </cell>
          <cell r="J229">
            <v>229</v>
          </cell>
          <cell r="K229">
            <v>294</v>
          </cell>
          <cell r="L229">
            <v>311</v>
          </cell>
          <cell r="M229">
            <v>325</v>
          </cell>
          <cell r="N229">
            <v>303</v>
          </cell>
          <cell r="O229">
            <v>305</v>
          </cell>
          <cell r="P229">
            <v>320</v>
          </cell>
          <cell r="Q229">
            <v>378</v>
          </cell>
          <cell r="R229">
            <v>434</v>
          </cell>
          <cell r="S229">
            <v>453</v>
          </cell>
        </row>
        <row r="230">
          <cell r="A230" t="str">
            <v>Boeing</v>
          </cell>
          <cell r="B230">
            <v>520</v>
          </cell>
          <cell r="C230">
            <v>590</v>
          </cell>
          <cell r="D230">
            <v>567</v>
          </cell>
          <cell r="E230">
            <v>397</v>
          </cell>
          <cell r="F230">
            <v>309</v>
          </cell>
          <cell r="G230">
            <v>256</v>
          </cell>
          <cell r="H230">
            <v>264</v>
          </cell>
          <cell r="I230">
            <v>361</v>
          </cell>
          <cell r="J230">
            <v>559</v>
          </cell>
          <cell r="K230">
            <v>620</v>
          </cell>
          <cell r="L230">
            <v>489</v>
          </cell>
          <cell r="M230">
            <v>527</v>
          </cell>
          <cell r="N230">
            <v>381</v>
          </cell>
          <cell r="O230">
            <v>281</v>
          </cell>
          <cell r="P230">
            <v>285</v>
          </cell>
          <cell r="Q230">
            <v>290</v>
          </cell>
          <cell r="R230">
            <v>398</v>
          </cell>
          <cell r="S230">
            <v>475</v>
          </cell>
        </row>
        <row r="231">
          <cell r="A231" t="str">
            <v>Total</v>
          </cell>
          <cell r="B231">
            <v>618</v>
          </cell>
          <cell r="C231">
            <v>753</v>
          </cell>
          <cell r="D231">
            <v>724</v>
          </cell>
          <cell r="E231">
            <v>535</v>
          </cell>
          <cell r="F231">
            <v>435</v>
          </cell>
          <cell r="G231">
            <v>377</v>
          </cell>
          <cell r="H231">
            <v>390</v>
          </cell>
          <cell r="I231">
            <v>543</v>
          </cell>
          <cell r="J231">
            <v>788</v>
          </cell>
          <cell r="K231">
            <v>914</v>
          </cell>
          <cell r="L231">
            <v>800</v>
          </cell>
          <cell r="M231">
            <v>852</v>
          </cell>
          <cell r="N231">
            <v>684</v>
          </cell>
          <cell r="O231">
            <v>586</v>
          </cell>
          <cell r="P231">
            <v>605</v>
          </cell>
          <cell r="Q231">
            <v>668</v>
          </cell>
          <cell r="R231">
            <v>832</v>
          </cell>
          <cell r="S231">
            <v>928</v>
          </cell>
        </row>
        <row r="233">
          <cell r="A233" t="str">
            <v>Backlog/Delivs</v>
          </cell>
          <cell r="B233">
            <v>5.6844660194174761</v>
          </cell>
          <cell r="C233">
            <v>4.0212483399734396</v>
          </cell>
          <cell r="D233">
            <v>3.548342541436464</v>
          </cell>
          <cell r="E233">
            <v>3.7887850467289721</v>
          </cell>
          <cell r="F233">
            <v>4.0022988505747126</v>
          </cell>
          <cell r="G233">
            <v>4.9549071618037139</v>
          </cell>
          <cell r="H233">
            <v>6.0743589743589741</v>
          </cell>
          <cell r="I233">
            <v>4.9005524861878449</v>
          </cell>
          <cell r="J233">
            <v>3.8261421319796955</v>
          </cell>
          <cell r="K233">
            <v>3.2253829321663021</v>
          </cell>
          <cell r="L233">
            <v>4.0449999999999999</v>
          </cell>
          <cell r="M233">
            <v>3.4413145539906105</v>
          </cell>
          <cell r="N233">
            <v>3.884502923976608</v>
          </cell>
          <cell r="O233">
            <v>4.3788395904436861</v>
          </cell>
          <cell r="P233">
            <v>4.3107438016528929</v>
          </cell>
          <cell r="Q233">
            <v>5.9670658682634734</v>
          </cell>
          <cell r="R233">
            <v>5.9951923076923075</v>
          </cell>
          <cell r="S233">
            <v>7.6109913793103452</v>
          </cell>
        </row>
        <row r="285">
          <cell r="A285" t="str">
            <v>Aggregate Orders by Maker</v>
          </cell>
        </row>
        <row r="287">
          <cell r="C287" t="str">
            <v>Large Commercial Orders</v>
          </cell>
          <cell r="S287" t="str">
            <v>Net</v>
          </cell>
        </row>
        <row r="288">
          <cell r="B288">
            <v>1988</v>
          </cell>
          <cell r="C288">
            <v>1989</v>
          </cell>
          <cell r="D288">
            <v>1990</v>
          </cell>
          <cell r="E288">
            <v>1991</v>
          </cell>
          <cell r="F288">
            <v>1992</v>
          </cell>
          <cell r="G288">
            <v>1993</v>
          </cell>
          <cell r="H288">
            <v>1994</v>
          </cell>
          <cell r="I288">
            <v>1995</v>
          </cell>
          <cell r="J288">
            <v>1996</v>
          </cell>
          <cell r="K288">
            <v>1997</v>
          </cell>
          <cell r="L288">
            <v>1998</v>
          </cell>
          <cell r="M288">
            <v>1999</v>
          </cell>
          <cell r="N288">
            <v>2000</v>
          </cell>
          <cell r="O288">
            <v>2001</v>
          </cell>
          <cell r="P288">
            <v>2002</v>
          </cell>
          <cell r="Q288">
            <v>2003</v>
          </cell>
          <cell r="R288">
            <v>2004</v>
          </cell>
          <cell r="S288">
            <v>2005</v>
          </cell>
          <cell r="T288">
            <v>2006</v>
          </cell>
          <cell r="U288">
            <v>2007</v>
          </cell>
        </row>
        <row r="289">
          <cell r="A289" t="str">
            <v>Airbus</v>
          </cell>
          <cell r="B289">
            <v>163</v>
          </cell>
          <cell r="C289">
            <v>390</v>
          </cell>
          <cell r="D289">
            <v>287</v>
          </cell>
          <cell r="E289">
            <v>101</v>
          </cell>
          <cell r="F289">
            <v>136</v>
          </cell>
          <cell r="G289">
            <v>38</v>
          </cell>
          <cell r="H289">
            <v>125</v>
          </cell>
          <cell r="I289">
            <v>106</v>
          </cell>
          <cell r="J289">
            <v>428</v>
          </cell>
          <cell r="K289">
            <v>460</v>
          </cell>
          <cell r="L289">
            <v>556</v>
          </cell>
          <cell r="M289">
            <v>476</v>
          </cell>
          <cell r="N289">
            <v>524</v>
          </cell>
          <cell r="O289">
            <v>375</v>
          </cell>
          <cell r="P289">
            <v>300</v>
          </cell>
          <cell r="Q289">
            <v>284</v>
          </cell>
          <cell r="R289">
            <v>370</v>
          </cell>
          <cell r="S289">
            <v>1111</v>
          </cell>
          <cell r="T289">
            <v>824</v>
          </cell>
          <cell r="U289">
            <v>1341</v>
          </cell>
        </row>
        <row r="290">
          <cell r="A290" t="str">
            <v>Boeing</v>
          </cell>
          <cell r="B290">
            <v>638</v>
          </cell>
          <cell r="C290">
            <v>756</v>
          </cell>
          <cell r="D290">
            <v>651</v>
          </cell>
          <cell r="E290">
            <v>219</v>
          </cell>
          <cell r="F290">
            <v>279</v>
          </cell>
          <cell r="G290">
            <v>231</v>
          </cell>
          <cell r="H290">
            <v>122</v>
          </cell>
          <cell r="I290">
            <v>425</v>
          </cell>
          <cell r="J290">
            <v>596</v>
          </cell>
          <cell r="K290">
            <v>568</v>
          </cell>
          <cell r="L290">
            <v>656</v>
          </cell>
          <cell r="M290">
            <v>391</v>
          </cell>
          <cell r="N290">
            <v>611</v>
          </cell>
          <cell r="O290">
            <v>335</v>
          </cell>
          <cell r="P290">
            <v>251</v>
          </cell>
          <cell r="Q290">
            <v>250</v>
          </cell>
          <cell r="R290">
            <v>272</v>
          </cell>
          <cell r="S290">
            <v>1031</v>
          </cell>
          <cell r="T290">
            <v>1058</v>
          </cell>
          <cell r="U290">
            <v>1423</v>
          </cell>
        </row>
        <row r="291">
          <cell r="A291" t="str">
            <v>Total</v>
          </cell>
          <cell r="B291">
            <v>801</v>
          </cell>
          <cell r="C291">
            <v>1146</v>
          </cell>
          <cell r="D291">
            <v>938</v>
          </cell>
          <cell r="E291">
            <v>320</v>
          </cell>
          <cell r="F291">
            <v>415</v>
          </cell>
          <cell r="G291">
            <v>269</v>
          </cell>
          <cell r="H291">
            <v>247</v>
          </cell>
          <cell r="I291">
            <v>531</v>
          </cell>
          <cell r="J291">
            <v>1024</v>
          </cell>
          <cell r="K291">
            <v>1028</v>
          </cell>
          <cell r="L291">
            <v>1212</v>
          </cell>
          <cell r="M291">
            <v>867</v>
          </cell>
          <cell r="N291">
            <v>1135</v>
          </cell>
          <cell r="O291">
            <v>710</v>
          </cell>
          <cell r="P291">
            <v>551</v>
          </cell>
          <cell r="Q291">
            <v>534</v>
          </cell>
          <cell r="R291">
            <v>642</v>
          </cell>
          <cell r="S291">
            <v>2142</v>
          </cell>
          <cell r="T291">
            <v>1882</v>
          </cell>
          <cell r="U291">
            <v>2764</v>
          </cell>
        </row>
        <row r="292">
          <cell r="A292" t="str">
            <v>% ch y/y</v>
          </cell>
          <cell r="C292">
            <v>0.43071161048689133</v>
          </cell>
          <cell r="D292">
            <v>-0.18150087260034908</v>
          </cell>
          <cell r="E292">
            <v>-0.65884861407249473</v>
          </cell>
          <cell r="F292">
            <v>0.296875</v>
          </cell>
          <cell r="G292">
            <v>-0.35180722891566263</v>
          </cell>
          <cell r="H292">
            <v>-8.1784386617100413E-2</v>
          </cell>
          <cell r="I292">
            <v>1.1497975708502026</v>
          </cell>
          <cell r="J292">
            <v>0.92843691148775886</v>
          </cell>
          <cell r="K292">
            <v>3.90625E-3</v>
          </cell>
          <cell r="L292">
            <v>0.17898832684824906</v>
          </cell>
          <cell r="M292">
            <v>-0.28465346534653468</v>
          </cell>
          <cell r="N292">
            <v>0.3091118800461361</v>
          </cell>
          <cell r="O292">
            <v>-0.37444933920704848</v>
          </cell>
          <cell r="P292">
            <v>-0.22394366197183102</v>
          </cell>
          <cell r="Q292">
            <v>-3.0852994555353952E-2</v>
          </cell>
          <cell r="R292">
            <v>0.202247191011236</v>
          </cell>
          <cell r="S292">
            <v>2.3364485981308412</v>
          </cell>
          <cell r="T292">
            <v>-0.12138188608776845</v>
          </cell>
          <cell r="U292">
            <v>0.46865037194473969</v>
          </cell>
        </row>
        <row r="293">
          <cell r="A293" t="str">
            <v>% Airbus</v>
          </cell>
          <cell r="B293">
            <v>0.20349563046192259</v>
          </cell>
          <cell r="C293">
            <v>0.34031413612565448</v>
          </cell>
          <cell r="D293">
            <v>0.30597014925373134</v>
          </cell>
          <cell r="E293">
            <v>0.31562499999999999</v>
          </cell>
          <cell r="F293">
            <v>0.32771084337349399</v>
          </cell>
          <cell r="G293">
            <v>0.14126394052044611</v>
          </cell>
          <cell r="H293">
            <v>0.50607287449392713</v>
          </cell>
          <cell r="I293">
            <v>0.19962335216572505</v>
          </cell>
          <cell r="J293">
            <v>0.41796875</v>
          </cell>
          <cell r="K293">
            <v>0.44747081712062259</v>
          </cell>
          <cell r="L293">
            <v>0.45874587458745875</v>
          </cell>
          <cell r="M293">
            <v>0.5490196078431373</v>
          </cell>
          <cell r="N293">
            <v>0.46167400881057269</v>
          </cell>
          <cell r="O293">
            <v>0.528169014084507</v>
          </cell>
          <cell r="P293">
            <v>0.54446460980036293</v>
          </cell>
          <cell r="Q293">
            <v>0.53183520599250933</v>
          </cell>
          <cell r="R293">
            <v>0.57632398753894076</v>
          </cell>
          <cell r="S293">
            <v>0.51867413632119519</v>
          </cell>
          <cell r="T293">
            <v>0.43783209351753455</v>
          </cell>
          <cell r="U293">
            <v>0.48516642547033284</v>
          </cell>
        </row>
        <row r="294">
          <cell r="A294" t="str">
            <v>% Boeing</v>
          </cell>
          <cell r="B294">
            <v>0.79650436953807735</v>
          </cell>
          <cell r="C294">
            <v>0.65968586387434558</v>
          </cell>
          <cell r="D294">
            <v>0.69402985074626866</v>
          </cell>
          <cell r="E294">
            <v>0.68437499999999996</v>
          </cell>
          <cell r="F294">
            <v>0.67228915662650601</v>
          </cell>
          <cell r="G294">
            <v>0.85873605947955389</v>
          </cell>
          <cell r="H294">
            <v>0.49392712550607287</v>
          </cell>
          <cell r="I294">
            <v>0.80037664783427498</v>
          </cell>
          <cell r="J294">
            <v>0.58203125</v>
          </cell>
          <cell r="K294">
            <v>0.55252918287937747</v>
          </cell>
          <cell r="L294">
            <v>0.54125412541254125</v>
          </cell>
          <cell r="M294">
            <v>0.45098039215686275</v>
          </cell>
          <cell r="N294">
            <v>0.53832599118942737</v>
          </cell>
          <cell r="O294">
            <v>0.47183098591549294</v>
          </cell>
          <cell r="P294">
            <v>0.45553539019963701</v>
          </cell>
          <cell r="Q294">
            <v>0.46816479400749061</v>
          </cell>
          <cell r="R294">
            <v>0.42367601246105918</v>
          </cell>
          <cell r="S294">
            <v>0.48132586367880487</v>
          </cell>
          <cell r="T294">
            <v>0.56216790648246551</v>
          </cell>
          <cell r="U294">
            <v>0.51483357452966716</v>
          </cell>
        </row>
        <row r="320">
          <cell r="A320" t="str">
            <v>Aggregate Book:Bill</v>
          </cell>
        </row>
        <row r="322">
          <cell r="A322" t="str">
            <v>Book: Bill</v>
          </cell>
        </row>
        <row r="323">
          <cell r="B323">
            <v>1990</v>
          </cell>
          <cell r="C323">
            <v>1991</v>
          </cell>
          <cell r="D323" t="str">
            <v>1992</v>
          </cell>
          <cell r="E323" t="str">
            <v>1993</v>
          </cell>
          <cell r="F323" t="str">
            <v>1994</v>
          </cell>
          <cell r="G323" t="str">
            <v>1995</v>
          </cell>
          <cell r="H323" t="str">
            <v>1996</v>
          </cell>
          <cell r="I323" t="str">
            <v>1997</v>
          </cell>
          <cell r="J323" t="str">
            <v>1998</v>
          </cell>
          <cell r="K323">
            <v>1999</v>
          </cell>
          <cell r="L323">
            <v>2000</v>
          </cell>
          <cell r="M323">
            <v>2001</v>
          </cell>
          <cell r="N323">
            <v>2002</v>
          </cell>
          <cell r="O323">
            <v>2003</v>
          </cell>
          <cell r="P323">
            <v>2004</v>
          </cell>
          <cell r="Q323">
            <v>2005</v>
          </cell>
          <cell r="R323">
            <v>2006</v>
          </cell>
          <cell r="S323">
            <v>2007</v>
          </cell>
        </row>
        <row r="324">
          <cell r="A324" t="str">
            <v>Airbus</v>
          </cell>
          <cell r="B324">
            <v>3.0210526315789474</v>
          </cell>
          <cell r="C324">
            <v>0.61963190184049077</v>
          </cell>
          <cell r="D324">
            <v>0.86624203821656054</v>
          </cell>
          <cell r="E324">
            <v>0.27536231884057971</v>
          </cell>
          <cell r="F324">
            <v>0.99206349206349209</v>
          </cell>
          <cell r="G324">
            <v>0.87603305785123964</v>
          </cell>
          <cell r="H324">
            <v>3.3968253968253967</v>
          </cell>
          <cell r="I324">
            <v>2.5274725274725274</v>
          </cell>
          <cell r="J324">
            <v>2.427947598253275</v>
          </cell>
          <cell r="K324">
            <v>1.6190476190476191</v>
          </cell>
          <cell r="L324">
            <v>1.6903225806451614</v>
          </cell>
          <cell r="M324">
            <v>1.1538461538461537</v>
          </cell>
          <cell r="N324">
            <v>0.99009900990099009</v>
          </cell>
          <cell r="O324">
            <v>0.93114754098360653</v>
          </cell>
          <cell r="P324">
            <v>1.15625</v>
          </cell>
          <cell r="Q324">
            <v>2.9391534391534391</v>
          </cell>
          <cell r="R324">
            <v>1.8986175115207373</v>
          </cell>
          <cell r="S324">
            <v>2.9602649006622515</v>
          </cell>
        </row>
        <row r="325">
          <cell r="A325" t="str">
            <v>Boeing</v>
          </cell>
          <cell r="B325">
            <v>1.2352941176470589</v>
          </cell>
          <cell r="C325">
            <v>0.36138613861386137</v>
          </cell>
          <cell r="D325">
            <v>0.49206349206349204</v>
          </cell>
          <cell r="E325">
            <v>0.58186397984886651</v>
          </cell>
          <cell r="F325">
            <v>0.39482200647249188</v>
          </cell>
          <cell r="G325">
            <v>1.66015625</v>
          </cell>
          <cell r="H325">
            <v>2.2575757575757578</v>
          </cell>
          <cell r="I325">
            <v>1.5734072022160666</v>
          </cell>
          <cell r="J325">
            <v>1.1735241502683362</v>
          </cell>
          <cell r="K325">
            <v>0.63064516129032255</v>
          </cell>
          <cell r="L325">
            <v>1.2494887525562373</v>
          </cell>
          <cell r="M325">
            <v>0.635673624288425</v>
          </cell>
          <cell r="N325">
            <v>0.65879265091863515</v>
          </cell>
          <cell r="O325">
            <v>0.88967971530249113</v>
          </cell>
          <cell r="P325">
            <v>0.95438596491228067</v>
          </cell>
          <cell r="Q325">
            <v>3.5551724137931036</v>
          </cell>
          <cell r="R325">
            <v>2.658291457286432</v>
          </cell>
          <cell r="S325">
            <v>3.2267573696145124</v>
          </cell>
        </row>
        <row r="326">
          <cell r="A326" t="str">
            <v>YTD</v>
          </cell>
        </row>
        <row r="350">
          <cell r="R350" t="str">
            <v>Large Commercial OEs Order/Delivery History</v>
          </cell>
        </row>
        <row r="352">
          <cell r="S352">
            <v>2000</v>
          </cell>
          <cell r="T352">
            <v>2001</v>
          </cell>
          <cell r="U352">
            <v>2002</v>
          </cell>
          <cell r="V352">
            <v>2003</v>
          </cell>
          <cell r="W352">
            <v>2004</v>
          </cell>
          <cell r="X352">
            <v>2005</v>
          </cell>
          <cell r="Y352">
            <v>2006</v>
          </cell>
          <cell r="Z352">
            <v>2007</v>
          </cell>
          <cell r="AA352" t="str">
            <v>2008E</v>
          </cell>
        </row>
        <row r="353">
          <cell r="R353" t="str">
            <v>Orders</v>
          </cell>
          <cell r="S353">
            <v>1135</v>
          </cell>
          <cell r="T353">
            <v>710</v>
          </cell>
          <cell r="U353">
            <v>551</v>
          </cell>
          <cell r="V353">
            <v>534</v>
          </cell>
          <cell r="W353">
            <v>642</v>
          </cell>
          <cell r="X353">
            <v>2142</v>
          </cell>
          <cell r="Y353">
            <v>1882</v>
          </cell>
          <cell r="Z353">
            <v>2764</v>
          </cell>
          <cell r="AA353">
            <v>1600</v>
          </cell>
        </row>
        <row r="354">
          <cell r="R354" t="str">
            <v>Deliveries</v>
          </cell>
          <cell r="S354">
            <v>799</v>
          </cell>
          <cell r="T354">
            <v>852</v>
          </cell>
          <cell r="U354">
            <v>684</v>
          </cell>
          <cell r="V354">
            <v>586</v>
          </cell>
          <cell r="W354">
            <v>605</v>
          </cell>
          <cell r="X354">
            <v>668</v>
          </cell>
          <cell r="Y354">
            <v>832</v>
          </cell>
          <cell r="Z354">
            <v>894</v>
          </cell>
          <cell r="AA354">
            <v>1020</v>
          </cell>
        </row>
        <row r="355">
          <cell r="R355" t="str">
            <v>Book:Bill</v>
          </cell>
          <cell r="S355">
            <v>1.4205256570713392</v>
          </cell>
          <cell r="T355">
            <v>0.83333333333333337</v>
          </cell>
          <cell r="U355">
            <v>0.80555555555555558</v>
          </cell>
          <cell r="V355">
            <v>0.9112627986348123</v>
          </cell>
          <cell r="W355">
            <v>1.0611570247933884</v>
          </cell>
          <cell r="X355">
            <v>3.2065868263473054</v>
          </cell>
          <cell r="Y355">
            <v>2.2620192307692308</v>
          </cell>
          <cell r="Z355">
            <v>3.0917225950782998</v>
          </cell>
          <cell r="AA355">
            <v>1.5686274509803921</v>
          </cell>
        </row>
      </sheetData>
      <sheetData sheetId="21">
        <row r="4">
          <cell r="B4" t="str">
            <v>2005 Paris Air Show Orders</v>
          </cell>
        </row>
      </sheetData>
      <sheetData sheetId="22" refreshError="1"/>
      <sheetData sheetId="23" refreshError="1"/>
      <sheetData sheetId="24">
        <row r="2">
          <cell r="C2" t="str">
            <v>Boeing Farnborough 2008 Air Show Orders</v>
          </cell>
        </row>
      </sheetData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__FDSCACHE__"/>
      <sheetName val="TXT Tables"/>
      <sheetName val="Output"/>
      <sheetName val="TCFC Liquid analysis"/>
      <sheetName val="Fin, Output"/>
      <sheetName val="Debt"/>
      <sheetName val="Capital Raise"/>
      <sheetName val="Variance Analysis"/>
      <sheetName val="Quarterly P&amp;L"/>
      <sheetName val="Finance"/>
      <sheetName val="TFC Roll-Off Analysis"/>
      <sheetName val="Finance Senario Analysis"/>
      <sheetName val="Cessna"/>
      <sheetName val="Bell"/>
      <sheetName val="Industrial"/>
      <sheetName val="TXT Systems"/>
      <sheetName val="Valuation- Multiples (2)"/>
      <sheetName val="MWA RR"/>
      <sheetName val="Open Platform- Assumptions"/>
      <sheetName val="Covenant Checks"/>
      <sheetName val="Debt Schedule"/>
      <sheetName val="Valuation- Sum of Parts"/>
      <sheetName val="Valuation- Multiples"/>
      <sheetName val="DCF"/>
      <sheetName val="Key Ratios"/>
      <sheetName val="MW-Cache"/>
      <sheetName val="CessnaDetail"/>
      <sheetName val="Bell-Detail"/>
      <sheetName val="Revenue by Segment"/>
      <sheetName val="Backlog- Time to Fill"/>
      <sheetName val="Backlog- Govt. vs Commerical"/>
      <sheetName val="R&amp;D Spend"/>
      <sheetName val="Revs, Assets Per Employee"/>
      <sheetName val="Revs &amp; Manufacturing Space "/>
      <sheetName val="Historical"/>
      <sheetName val="Management"/>
      <sheetName val="mwareDates"/>
      <sheetName val="Roll off Speed"/>
      <sheetName val="Chart1"/>
      <sheetName val="Chart2"/>
      <sheetName val="Chart3"/>
      <sheetName val="Chart4"/>
      <sheetName val="Chart5"/>
      <sheetName val="SOTP Guidance"/>
      <sheetName val="SOTP Guidance (2)"/>
      <sheetName val="mwareSettings"/>
      <sheetName val="XOM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>
        <row r="12">
          <cell r="W12">
            <v>0.25</v>
          </cell>
          <cell r="X12">
            <v>1064</v>
          </cell>
        </row>
        <row r="13">
          <cell r="W13">
            <v>0.24</v>
          </cell>
        </row>
        <row r="14">
          <cell r="W14">
            <v>0.22999999999999998</v>
          </cell>
        </row>
        <row r="15">
          <cell r="W15">
            <v>0.21999999999999997</v>
          </cell>
        </row>
        <row r="16">
          <cell r="W16">
            <v>0.20999999999999996</v>
          </cell>
        </row>
        <row r="17">
          <cell r="W17">
            <v>0.19999999999999996</v>
          </cell>
        </row>
        <row r="18">
          <cell r="W18">
            <v>0.18999999999999995</v>
          </cell>
        </row>
        <row r="19">
          <cell r="W19">
            <v>0.17999999999999994</v>
          </cell>
        </row>
        <row r="20">
          <cell r="W20">
            <v>0.16999999999999993</v>
          </cell>
        </row>
        <row r="21">
          <cell r="W21">
            <v>0.15999999999999992</v>
          </cell>
        </row>
        <row r="22">
          <cell r="W22">
            <v>0.14999999999999991</v>
          </cell>
        </row>
        <row r="23">
          <cell r="W23">
            <v>0.1399999999999999</v>
          </cell>
        </row>
        <row r="24">
          <cell r="W24">
            <v>0.12999999999999989</v>
          </cell>
        </row>
        <row r="25">
          <cell r="W25">
            <v>0.1199999999999999</v>
          </cell>
        </row>
        <row r="26">
          <cell r="W26">
            <v>0.1099999999999999</v>
          </cell>
        </row>
        <row r="27">
          <cell r="W27">
            <v>9.9999999999999908E-2</v>
          </cell>
        </row>
        <row r="28">
          <cell r="W28">
            <v>8.9999999999999913E-2</v>
          </cell>
        </row>
        <row r="29">
          <cell r="W29">
            <v>7.9999999999999918E-2</v>
          </cell>
        </row>
        <row r="30">
          <cell r="W30">
            <v>6.9999999999999923E-2</v>
          </cell>
        </row>
        <row r="31">
          <cell r="W31">
            <v>5.9999999999999921E-2</v>
          </cell>
        </row>
        <row r="32">
          <cell r="W32">
            <v>4.999999999999992E-2</v>
          </cell>
        </row>
        <row r="33">
          <cell r="W33">
            <v>3.9999999999999918E-2</v>
          </cell>
        </row>
        <row r="34">
          <cell r="W34">
            <v>2.9999999999999916E-2</v>
          </cell>
        </row>
        <row r="35">
          <cell r="W35">
            <v>1.9999999999999914E-2</v>
          </cell>
        </row>
        <row r="36">
          <cell r="W36">
            <v>9.9999999999999135E-3</v>
          </cell>
        </row>
        <row r="37">
          <cell r="W37">
            <v>-8.6736173798840355E-17</v>
          </cell>
        </row>
        <row r="38">
          <cell r="W38">
            <v>-1.0000000000000087E-2</v>
          </cell>
        </row>
        <row r="39">
          <cell r="W39">
            <v>-2.0000000000000087E-2</v>
          </cell>
        </row>
        <row r="40">
          <cell r="W40">
            <v>-3.0000000000000089E-2</v>
          </cell>
        </row>
        <row r="41">
          <cell r="W41">
            <v>-4.0000000000000091E-2</v>
          </cell>
        </row>
        <row r="42">
          <cell r="W42">
            <v>-5.0000000000000093E-2</v>
          </cell>
        </row>
        <row r="43">
          <cell r="W43">
            <v>-6.0000000000000095E-2</v>
          </cell>
        </row>
        <row r="44">
          <cell r="W44">
            <v>-7.000000000000009E-2</v>
          </cell>
        </row>
        <row r="45">
          <cell r="W45">
            <v>-8.0000000000000085E-2</v>
          </cell>
        </row>
        <row r="46">
          <cell r="W46">
            <v>-9.000000000000008E-2</v>
          </cell>
        </row>
        <row r="47">
          <cell r="W47">
            <v>-0.10000000000000007</v>
          </cell>
        </row>
        <row r="48">
          <cell r="W48">
            <v>-0.11000000000000007</v>
          </cell>
        </row>
        <row r="49">
          <cell r="W49">
            <v>-0.12000000000000006</v>
          </cell>
        </row>
        <row r="50">
          <cell r="W50">
            <v>-0.13000000000000006</v>
          </cell>
        </row>
        <row r="51">
          <cell r="W51">
            <v>-0.14000000000000007</v>
          </cell>
        </row>
        <row r="52">
          <cell r="W52">
            <v>-0.15000000000000008</v>
          </cell>
        </row>
        <row r="53">
          <cell r="W53">
            <v>-0.16000000000000009</v>
          </cell>
        </row>
        <row r="54">
          <cell r="W54">
            <v>-0.1700000000000001</v>
          </cell>
        </row>
        <row r="55">
          <cell r="W55">
            <v>-0.1800000000000001</v>
          </cell>
        </row>
        <row r="56">
          <cell r="W56">
            <v>-0.19000000000000011</v>
          </cell>
        </row>
        <row r="57">
          <cell r="W57">
            <v>-0.20000000000000012</v>
          </cell>
        </row>
        <row r="58">
          <cell r="W58">
            <v>-0.21000000000000013</v>
          </cell>
        </row>
        <row r="59">
          <cell r="W59">
            <v>-0.22000000000000014</v>
          </cell>
        </row>
        <row r="60">
          <cell r="W60">
            <v>-0.23000000000000015</v>
          </cell>
        </row>
        <row r="61">
          <cell r="W61">
            <v>-0.24000000000000016</v>
          </cell>
        </row>
        <row r="62">
          <cell r="W62">
            <v>-0.25000000000000017</v>
          </cell>
        </row>
        <row r="63">
          <cell r="W63" t="b">
            <v>0</v>
          </cell>
        </row>
        <row r="64">
          <cell r="W64" t="b">
            <v>0</v>
          </cell>
        </row>
        <row r="65">
          <cell r="W65" t="b">
            <v>0</v>
          </cell>
        </row>
        <row r="66">
          <cell r="W66" t="b">
            <v>0</v>
          </cell>
        </row>
        <row r="67">
          <cell r="W67" t="b">
            <v>0</v>
          </cell>
        </row>
        <row r="68">
          <cell r="W68" t="b">
            <v>0</v>
          </cell>
        </row>
        <row r="69">
          <cell r="W69" t="b">
            <v>0</v>
          </cell>
        </row>
        <row r="70">
          <cell r="W70" t="b">
            <v>0</v>
          </cell>
        </row>
        <row r="71">
          <cell r="W71" t="b">
            <v>0</v>
          </cell>
        </row>
        <row r="72">
          <cell r="W72" t="b">
            <v>0</v>
          </cell>
        </row>
        <row r="73">
          <cell r="W73" t="b">
            <v>0</v>
          </cell>
        </row>
        <row r="74">
          <cell r="W74" t="b">
            <v>0</v>
          </cell>
        </row>
        <row r="75">
          <cell r="W75" t="b">
            <v>0</v>
          </cell>
        </row>
        <row r="76">
          <cell r="W76" t="b">
            <v>0</v>
          </cell>
        </row>
        <row r="77">
          <cell r="W77" t="b">
            <v>0</v>
          </cell>
        </row>
        <row r="78">
          <cell r="W78" t="b">
            <v>0</v>
          </cell>
        </row>
        <row r="79">
          <cell r="W79" t="b">
            <v>0</v>
          </cell>
        </row>
        <row r="80">
          <cell r="W80" t="b">
            <v>0</v>
          </cell>
        </row>
        <row r="81">
          <cell r="W81" t="b">
            <v>0</v>
          </cell>
        </row>
        <row r="82">
          <cell r="W82" t="b">
            <v>0</v>
          </cell>
        </row>
        <row r="83">
          <cell r="W83" t="b">
            <v>0</v>
          </cell>
        </row>
        <row r="84">
          <cell r="W84" t="b">
            <v>0</v>
          </cell>
        </row>
        <row r="85">
          <cell r="W85" t="b">
            <v>0</v>
          </cell>
        </row>
        <row r="86">
          <cell r="W86" t="b">
            <v>0</v>
          </cell>
        </row>
        <row r="87">
          <cell r="W87" t="b">
            <v>0</v>
          </cell>
        </row>
        <row r="88">
          <cell r="W88" t="b">
            <v>0</v>
          </cell>
        </row>
        <row r="89">
          <cell r="W89" t="b">
            <v>0</v>
          </cell>
        </row>
        <row r="90">
          <cell r="W90" t="b">
            <v>0</v>
          </cell>
        </row>
        <row r="91">
          <cell r="W91" t="b">
            <v>0</v>
          </cell>
        </row>
        <row r="92">
          <cell r="W92" t="b">
            <v>0</v>
          </cell>
        </row>
        <row r="93">
          <cell r="W93" t="b">
            <v>0</v>
          </cell>
        </row>
        <row r="94">
          <cell r="W94" t="b">
            <v>0</v>
          </cell>
        </row>
        <row r="95">
          <cell r="W95" t="b">
            <v>0</v>
          </cell>
        </row>
        <row r="96">
          <cell r="W96" t="b">
            <v>0</v>
          </cell>
        </row>
        <row r="97">
          <cell r="W97" t="b">
            <v>0</v>
          </cell>
        </row>
        <row r="98">
          <cell r="W98" t="b">
            <v>0</v>
          </cell>
        </row>
        <row r="99">
          <cell r="W99" t="b">
            <v>0</v>
          </cell>
        </row>
        <row r="100">
          <cell r="W100" t="b">
            <v>0</v>
          </cell>
        </row>
        <row r="101">
          <cell r="W101" t="b">
            <v>0</v>
          </cell>
        </row>
        <row r="102">
          <cell r="W102" t="b">
            <v>0</v>
          </cell>
        </row>
        <row r="103">
          <cell r="W103" t="b">
            <v>0</v>
          </cell>
        </row>
        <row r="104">
          <cell r="W104" t="b">
            <v>0</v>
          </cell>
        </row>
        <row r="105">
          <cell r="W105" t="b">
            <v>0</v>
          </cell>
        </row>
        <row r="106">
          <cell r="W106" t="b">
            <v>0</v>
          </cell>
        </row>
        <row r="107">
          <cell r="W107" t="b">
            <v>0</v>
          </cell>
        </row>
        <row r="108">
          <cell r="W108" t="b">
            <v>0</v>
          </cell>
        </row>
        <row r="109">
          <cell r="W109" t="b">
            <v>0</v>
          </cell>
        </row>
        <row r="110">
          <cell r="W110" t="b">
            <v>0</v>
          </cell>
        </row>
        <row r="111">
          <cell r="W111" t="b">
            <v>0</v>
          </cell>
        </row>
        <row r="112">
          <cell r="W112" t="b">
            <v>0</v>
          </cell>
        </row>
        <row r="113">
          <cell r="W113" t="b">
            <v>0</v>
          </cell>
        </row>
        <row r="114">
          <cell r="W114" t="b">
            <v>0</v>
          </cell>
        </row>
        <row r="115">
          <cell r="W115" t="b">
            <v>0</v>
          </cell>
        </row>
        <row r="116">
          <cell r="W116" t="b">
            <v>0</v>
          </cell>
        </row>
        <row r="117">
          <cell r="W117" t="b">
            <v>0</v>
          </cell>
        </row>
        <row r="118">
          <cell r="W118" t="b">
            <v>0</v>
          </cell>
        </row>
        <row r="119">
          <cell r="W119" t="b">
            <v>0</v>
          </cell>
        </row>
        <row r="120">
          <cell r="W120" t="b">
            <v>0</v>
          </cell>
        </row>
        <row r="121">
          <cell r="W121" t="b">
            <v>0</v>
          </cell>
        </row>
        <row r="122">
          <cell r="W122" t="b">
            <v>0</v>
          </cell>
        </row>
        <row r="123">
          <cell r="W123" t="b">
            <v>0</v>
          </cell>
        </row>
        <row r="124">
          <cell r="W124" t="b">
            <v>0</v>
          </cell>
        </row>
        <row r="125">
          <cell r="W125" t="b">
            <v>0</v>
          </cell>
        </row>
        <row r="126">
          <cell r="W126" t="b">
            <v>0</v>
          </cell>
        </row>
        <row r="127">
          <cell r="W127" t="b">
            <v>0</v>
          </cell>
        </row>
        <row r="128">
          <cell r="W128" t="b">
            <v>0</v>
          </cell>
        </row>
        <row r="129">
          <cell r="W129" t="b">
            <v>0</v>
          </cell>
        </row>
        <row r="130">
          <cell r="W130" t="b">
            <v>0</v>
          </cell>
        </row>
        <row r="131">
          <cell r="W131" t="b">
            <v>0</v>
          </cell>
        </row>
        <row r="132">
          <cell r="W132" t="b">
            <v>0</v>
          </cell>
        </row>
        <row r="133">
          <cell r="W133" t="b">
            <v>0</v>
          </cell>
        </row>
        <row r="134">
          <cell r="W134" t="b">
            <v>0</v>
          </cell>
        </row>
        <row r="135">
          <cell r="W135" t="b">
            <v>0</v>
          </cell>
        </row>
        <row r="136">
          <cell r="W136" t="b">
            <v>0</v>
          </cell>
        </row>
        <row r="137">
          <cell r="W137" t="b">
            <v>0</v>
          </cell>
        </row>
        <row r="138">
          <cell r="W138" t="b">
            <v>0</v>
          </cell>
        </row>
        <row r="139">
          <cell r="W139" t="b">
            <v>0</v>
          </cell>
        </row>
        <row r="140">
          <cell r="W140" t="b">
            <v>0</v>
          </cell>
        </row>
        <row r="141">
          <cell r="W141" t="b">
            <v>0</v>
          </cell>
        </row>
        <row r="142">
          <cell r="W142" t="b">
            <v>0</v>
          </cell>
        </row>
        <row r="143">
          <cell r="W143" t="b">
            <v>0</v>
          </cell>
        </row>
        <row r="144">
          <cell r="W144" t="b">
            <v>0</v>
          </cell>
        </row>
        <row r="145">
          <cell r="W145" t="b">
            <v>0</v>
          </cell>
        </row>
        <row r="146">
          <cell r="W146" t="b">
            <v>0</v>
          </cell>
        </row>
        <row r="147">
          <cell r="W147" t="b">
            <v>0</v>
          </cell>
        </row>
        <row r="148">
          <cell r="W148" t="b">
            <v>0</v>
          </cell>
        </row>
        <row r="149">
          <cell r="W149" t="b">
            <v>0</v>
          </cell>
        </row>
        <row r="150">
          <cell r="W150" t="b">
            <v>0</v>
          </cell>
        </row>
        <row r="151">
          <cell r="W151" t="b">
            <v>0</v>
          </cell>
        </row>
        <row r="152">
          <cell r="W152" t="b">
            <v>0</v>
          </cell>
        </row>
        <row r="153">
          <cell r="W153" t="b">
            <v>0</v>
          </cell>
        </row>
        <row r="154">
          <cell r="W154" t="b">
            <v>0</v>
          </cell>
        </row>
        <row r="155">
          <cell r="W155" t="b">
            <v>0</v>
          </cell>
        </row>
        <row r="156">
          <cell r="W156" t="b">
            <v>0</v>
          </cell>
        </row>
        <row r="157">
          <cell r="W157" t="b">
            <v>0</v>
          </cell>
        </row>
        <row r="158">
          <cell r="W158" t="b">
            <v>0</v>
          </cell>
        </row>
        <row r="159">
          <cell r="W159" t="b">
            <v>0</v>
          </cell>
        </row>
        <row r="160">
          <cell r="W160" t="b">
            <v>0</v>
          </cell>
        </row>
        <row r="161">
          <cell r="W161" t="b">
            <v>0</v>
          </cell>
        </row>
        <row r="162">
          <cell r="W162" t="b">
            <v>0</v>
          </cell>
        </row>
        <row r="163">
          <cell r="W163" t="b">
            <v>0</v>
          </cell>
        </row>
        <row r="164">
          <cell r="W164" t="b">
            <v>0</v>
          </cell>
        </row>
        <row r="165">
          <cell r="W165" t="b">
            <v>0</v>
          </cell>
        </row>
        <row r="166">
          <cell r="W166" t="b">
            <v>0</v>
          </cell>
        </row>
        <row r="167">
          <cell r="W167" t="b">
            <v>0</v>
          </cell>
        </row>
        <row r="168">
          <cell r="W168" t="b">
            <v>0</v>
          </cell>
        </row>
        <row r="169">
          <cell r="W169" t="b">
            <v>0</v>
          </cell>
        </row>
        <row r="170">
          <cell r="W170" t="b">
            <v>0</v>
          </cell>
        </row>
        <row r="171">
          <cell r="W171" t="b">
            <v>0</v>
          </cell>
        </row>
        <row r="172">
          <cell r="W172" t="b">
            <v>0</v>
          </cell>
        </row>
        <row r="173">
          <cell r="W173" t="b">
            <v>0</v>
          </cell>
        </row>
        <row r="174">
          <cell r="W174" t="b">
            <v>0</v>
          </cell>
        </row>
        <row r="175">
          <cell r="W175" t="b">
            <v>0</v>
          </cell>
        </row>
        <row r="176">
          <cell r="W176" t="b">
            <v>0</v>
          </cell>
        </row>
        <row r="177">
          <cell r="W177" t="b">
            <v>0</v>
          </cell>
        </row>
        <row r="178">
          <cell r="W178" t="b">
            <v>0</v>
          </cell>
        </row>
        <row r="179">
          <cell r="W179" t="b">
            <v>0</v>
          </cell>
        </row>
        <row r="180">
          <cell r="W180" t="b">
            <v>0</v>
          </cell>
        </row>
        <row r="181">
          <cell r="W181" t="b">
            <v>0</v>
          </cell>
        </row>
        <row r="182">
          <cell r="W182" t="b">
            <v>0</v>
          </cell>
        </row>
        <row r="183">
          <cell r="W183" t="b">
            <v>0</v>
          </cell>
        </row>
        <row r="184">
          <cell r="W184" t="b">
            <v>0</v>
          </cell>
        </row>
        <row r="185">
          <cell r="W185" t="b">
            <v>0</v>
          </cell>
        </row>
        <row r="186">
          <cell r="W186" t="b">
            <v>0</v>
          </cell>
        </row>
        <row r="187">
          <cell r="W187" t="b">
            <v>0</v>
          </cell>
        </row>
        <row r="188">
          <cell r="W188" t="b">
            <v>0</v>
          </cell>
        </row>
        <row r="189">
          <cell r="W189" t="b">
            <v>0</v>
          </cell>
        </row>
        <row r="190">
          <cell r="W190" t="b">
            <v>0</v>
          </cell>
        </row>
        <row r="191">
          <cell r="W191" t="b">
            <v>0</v>
          </cell>
        </row>
        <row r="192">
          <cell r="W192" t="b">
            <v>0</v>
          </cell>
        </row>
        <row r="193">
          <cell r="W193" t="b">
            <v>0</v>
          </cell>
        </row>
        <row r="194">
          <cell r="W194" t="b">
            <v>0</v>
          </cell>
        </row>
        <row r="195">
          <cell r="W195" t="b">
            <v>0</v>
          </cell>
        </row>
        <row r="196">
          <cell r="W196" t="b">
            <v>0</v>
          </cell>
        </row>
        <row r="197">
          <cell r="W197" t="b">
            <v>0</v>
          </cell>
        </row>
        <row r="198">
          <cell r="W198" t="b">
            <v>0</v>
          </cell>
        </row>
        <row r="199">
          <cell r="W199" t="b">
            <v>0</v>
          </cell>
        </row>
        <row r="200">
          <cell r="W200" t="b">
            <v>0</v>
          </cell>
        </row>
        <row r="201">
          <cell r="W201" t="b">
            <v>0</v>
          </cell>
        </row>
        <row r="202">
          <cell r="W202" t="b">
            <v>0</v>
          </cell>
        </row>
        <row r="203">
          <cell r="W203" t="b">
            <v>0</v>
          </cell>
        </row>
        <row r="204">
          <cell r="W204" t="b">
            <v>0</v>
          </cell>
        </row>
        <row r="205">
          <cell r="W205" t="b">
            <v>0</v>
          </cell>
        </row>
        <row r="206">
          <cell r="W206" t="b">
            <v>0</v>
          </cell>
        </row>
        <row r="207">
          <cell r="W207" t="b">
            <v>0</v>
          </cell>
        </row>
        <row r="208">
          <cell r="W208" t="b">
            <v>0</v>
          </cell>
        </row>
        <row r="209">
          <cell r="W209" t="b">
            <v>0</v>
          </cell>
        </row>
        <row r="210">
          <cell r="W210" t="b">
            <v>0</v>
          </cell>
        </row>
        <row r="211">
          <cell r="W211" t="b">
            <v>0</v>
          </cell>
        </row>
        <row r="212">
          <cell r="W212" t="b">
            <v>0</v>
          </cell>
        </row>
        <row r="213">
          <cell r="W213" t="b">
            <v>0</v>
          </cell>
        </row>
        <row r="214">
          <cell r="W214" t="b">
            <v>0</v>
          </cell>
        </row>
        <row r="215">
          <cell r="W215" t="b">
            <v>0</v>
          </cell>
        </row>
        <row r="216">
          <cell r="W216" t="b">
            <v>0</v>
          </cell>
        </row>
        <row r="217">
          <cell r="W217" t="b">
            <v>0</v>
          </cell>
        </row>
        <row r="218">
          <cell r="W218" t="b">
            <v>0</v>
          </cell>
        </row>
        <row r="219">
          <cell r="W219" t="b">
            <v>0</v>
          </cell>
        </row>
        <row r="220">
          <cell r="W220" t="b">
            <v>0</v>
          </cell>
        </row>
        <row r="221">
          <cell r="W221" t="b">
            <v>0</v>
          </cell>
        </row>
        <row r="222">
          <cell r="W222" t="b">
            <v>0</v>
          </cell>
        </row>
        <row r="223">
          <cell r="W223" t="b">
            <v>0</v>
          </cell>
        </row>
        <row r="224">
          <cell r="W224" t="b">
            <v>0</v>
          </cell>
        </row>
        <row r="225">
          <cell r="W225" t="b">
            <v>0</v>
          </cell>
        </row>
        <row r="226">
          <cell r="W226" t="b">
            <v>0</v>
          </cell>
        </row>
        <row r="227">
          <cell r="W227" t="b">
            <v>0</v>
          </cell>
        </row>
        <row r="228">
          <cell r="W228" t="b">
            <v>0</v>
          </cell>
        </row>
        <row r="229">
          <cell r="W229" t="b">
            <v>0</v>
          </cell>
        </row>
        <row r="230">
          <cell r="W230" t="b">
            <v>0</v>
          </cell>
        </row>
        <row r="231">
          <cell r="W231" t="b">
            <v>0</v>
          </cell>
        </row>
        <row r="232">
          <cell r="W232" t="b">
            <v>0</v>
          </cell>
        </row>
        <row r="233">
          <cell r="W233" t="b">
            <v>0</v>
          </cell>
        </row>
        <row r="234">
          <cell r="W234" t="b">
            <v>0</v>
          </cell>
        </row>
        <row r="235">
          <cell r="W235" t="b">
            <v>0</v>
          </cell>
        </row>
        <row r="236">
          <cell r="W236" t="b">
            <v>0</v>
          </cell>
        </row>
        <row r="237">
          <cell r="W237" t="b">
            <v>0</v>
          </cell>
        </row>
        <row r="238">
          <cell r="W238" t="b">
            <v>0</v>
          </cell>
        </row>
        <row r="239">
          <cell r="W239" t="b">
            <v>0</v>
          </cell>
        </row>
        <row r="240">
          <cell r="W240" t="b">
            <v>0</v>
          </cell>
        </row>
        <row r="241">
          <cell r="W241" t="b">
            <v>0</v>
          </cell>
        </row>
        <row r="242">
          <cell r="W242" t="b">
            <v>0</v>
          </cell>
        </row>
        <row r="243">
          <cell r="W243" t="b">
            <v>0</v>
          </cell>
        </row>
        <row r="244">
          <cell r="W244" t="b">
            <v>0</v>
          </cell>
        </row>
        <row r="245">
          <cell r="W245" t="b">
            <v>0</v>
          </cell>
        </row>
        <row r="246">
          <cell r="W246" t="b">
            <v>0</v>
          </cell>
        </row>
        <row r="247">
          <cell r="W247" t="b">
            <v>0</v>
          </cell>
        </row>
        <row r="248">
          <cell r="W248" t="b">
            <v>0</v>
          </cell>
        </row>
        <row r="249">
          <cell r="W249" t="b">
            <v>0</v>
          </cell>
        </row>
        <row r="250">
          <cell r="W250" t="b">
            <v>0</v>
          </cell>
        </row>
        <row r="251">
          <cell r="W251" t="b">
            <v>0</v>
          </cell>
        </row>
        <row r="252">
          <cell r="W252" t="b">
            <v>0</v>
          </cell>
        </row>
        <row r="253">
          <cell r="W253" t="b">
            <v>0</v>
          </cell>
        </row>
        <row r="254">
          <cell r="W254" t="b">
            <v>0</v>
          </cell>
        </row>
        <row r="255">
          <cell r="W255" t="b">
            <v>0</v>
          </cell>
        </row>
        <row r="256">
          <cell r="W256" t="b">
            <v>0</v>
          </cell>
        </row>
        <row r="257">
          <cell r="W257" t="b">
            <v>0</v>
          </cell>
        </row>
        <row r="258">
          <cell r="W258" t="b">
            <v>0</v>
          </cell>
        </row>
        <row r="259">
          <cell r="W259" t="b">
            <v>0</v>
          </cell>
        </row>
        <row r="260">
          <cell r="W260" t="b">
            <v>0</v>
          </cell>
        </row>
        <row r="261">
          <cell r="W261" t="b">
            <v>0</v>
          </cell>
        </row>
        <row r="262">
          <cell r="W262" t="b">
            <v>0</v>
          </cell>
        </row>
        <row r="263">
          <cell r="W263" t="b">
            <v>0</v>
          </cell>
        </row>
        <row r="264">
          <cell r="W264" t="b">
            <v>0</v>
          </cell>
        </row>
        <row r="265">
          <cell r="W265" t="b">
            <v>0</v>
          </cell>
        </row>
        <row r="266">
          <cell r="W266" t="b">
            <v>0</v>
          </cell>
        </row>
        <row r="267">
          <cell r="W267" t="b">
            <v>0</v>
          </cell>
        </row>
        <row r="268">
          <cell r="W268" t="b">
            <v>0</v>
          </cell>
        </row>
        <row r="269">
          <cell r="W269" t="b">
            <v>0</v>
          </cell>
        </row>
        <row r="270">
          <cell r="W270" t="b">
            <v>0</v>
          </cell>
        </row>
        <row r="271">
          <cell r="W271" t="b">
            <v>0</v>
          </cell>
        </row>
        <row r="272">
          <cell r="W272" t="b">
            <v>0</v>
          </cell>
        </row>
        <row r="273">
          <cell r="W273" t="b">
            <v>0</v>
          </cell>
        </row>
        <row r="274">
          <cell r="W274" t="b">
            <v>0</v>
          </cell>
        </row>
        <row r="275">
          <cell r="W275" t="b">
            <v>0</v>
          </cell>
        </row>
        <row r="276">
          <cell r="W276" t="b">
            <v>0</v>
          </cell>
        </row>
        <row r="277">
          <cell r="W277" t="b">
            <v>0</v>
          </cell>
        </row>
        <row r="278">
          <cell r="W278" t="b">
            <v>0</v>
          </cell>
        </row>
        <row r="279">
          <cell r="W279" t="b">
            <v>0</v>
          </cell>
        </row>
        <row r="280">
          <cell r="W280" t="b">
            <v>0</v>
          </cell>
        </row>
        <row r="281">
          <cell r="W281" t="b">
            <v>0</v>
          </cell>
        </row>
        <row r="282">
          <cell r="W282" t="b">
            <v>0</v>
          </cell>
        </row>
        <row r="283">
          <cell r="W283" t="b">
            <v>0</v>
          </cell>
        </row>
        <row r="284">
          <cell r="W284" t="b">
            <v>0</v>
          </cell>
        </row>
        <row r="285">
          <cell r="W285" t="b">
            <v>0</v>
          </cell>
        </row>
        <row r="286">
          <cell r="W286" t="b">
            <v>0</v>
          </cell>
        </row>
        <row r="287">
          <cell r="W287" t="b">
            <v>0</v>
          </cell>
        </row>
        <row r="288">
          <cell r="W288" t="b">
            <v>0</v>
          </cell>
        </row>
        <row r="289">
          <cell r="W289" t="b">
            <v>0</v>
          </cell>
        </row>
        <row r="290">
          <cell r="W290" t="b">
            <v>0</v>
          </cell>
        </row>
        <row r="291">
          <cell r="W291" t="b">
            <v>0</v>
          </cell>
        </row>
        <row r="292">
          <cell r="W292" t="b">
            <v>0</v>
          </cell>
        </row>
        <row r="293">
          <cell r="W293" t="b">
            <v>0</v>
          </cell>
        </row>
        <row r="294">
          <cell r="W294" t="b">
            <v>0</v>
          </cell>
        </row>
        <row r="295">
          <cell r="W295" t="b">
            <v>0</v>
          </cell>
        </row>
        <row r="296">
          <cell r="W296" t="b">
            <v>0</v>
          </cell>
        </row>
        <row r="297">
          <cell r="W297" t="b">
            <v>0</v>
          </cell>
        </row>
        <row r="298">
          <cell r="W298" t="b">
            <v>0</v>
          </cell>
        </row>
        <row r="299">
          <cell r="W299" t="b">
            <v>0</v>
          </cell>
        </row>
        <row r="300">
          <cell r="W300" t="b">
            <v>0</v>
          </cell>
        </row>
        <row r="301">
          <cell r="W301" t="b">
            <v>0</v>
          </cell>
        </row>
        <row r="302">
          <cell r="W302" t="b">
            <v>0</v>
          </cell>
        </row>
        <row r="303">
          <cell r="W303" t="b">
            <v>0</v>
          </cell>
        </row>
        <row r="304">
          <cell r="W304" t="b">
            <v>0</v>
          </cell>
        </row>
        <row r="305">
          <cell r="W305" t="b">
            <v>0</v>
          </cell>
        </row>
        <row r="306">
          <cell r="W306" t="b">
            <v>0</v>
          </cell>
        </row>
        <row r="307">
          <cell r="W307" t="b">
            <v>0</v>
          </cell>
        </row>
        <row r="308">
          <cell r="W308" t="b">
            <v>0</v>
          </cell>
        </row>
        <row r="309">
          <cell r="W309" t="b">
            <v>0</v>
          </cell>
        </row>
        <row r="310">
          <cell r="W310" t="b">
            <v>0</v>
          </cell>
        </row>
        <row r="311">
          <cell r="W311" t="b">
            <v>0</v>
          </cell>
        </row>
        <row r="312">
          <cell r="W312" t="b">
            <v>0</v>
          </cell>
        </row>
        <row r="313">
          <cell r="W313" t="b">
            <v>0</v>
          </cell>
        </row>
        <row r="314">
          <cell r="W314" t="b">
            <v>0</v>
          </cell>
        </row>
        <row r="315">
          <cell r="W315" t="b">
            <v>0</v>
          </cell>
        </row>
        <row r="316">
          <cell r="W316" t="b">
            <v>0</v>
          </cell>
        </row>
        <row r="317">
          <cell r="W317" t="b">
            <v>0</v>
          </cell>
        </row>
        <row r="318">
          <cell r="W318" t="b">
            <v>0</v>
          </cell>
        </row>
        <row r="319">
          <cell r="W319" t="b">
            <v>0</v>
          </cell>
        </row>
        <row r="320">
          <cell r="W320" t="b">
            <v>0</v>
          </cell>
        </row>
        <row r="321">
          <cell r="W321" t="b">
            <v>0</v>
          </cell>
        </row>
        <row r="322">
          <cell r="W322" t="b">
            <v>0</v>
          </cell>
        </row>
        <row r="323">
          <cell r="W323" t="b">
            <v>0</v>
          </cell>
        </row>
        <row r="324">
          <cell r="W324" t="b">
            <v>0</v>
          </cell>
        </row>
        <row r="325">
          <cell r="W325" t="b">
            <v>0</v>
          </cell>
        </row>
        <row r="326">
          <cell r="W326" t="b">
            <v>0</v>
          </cell>
        </row>
        <row r="327">
          <cell r="W327" t="b">
            <v>0</v>
          </cell>
        </row>
        <row r="328">
          <cell r="W328" t="b">
            <v>0</v>
          </cell>
        </row>
        <row r="329">
          <cell r="W329" t="b">
            <v>0</v>
          </cell>
        </row>
        <row r="330">
          <cell r="W330" t="b">
            <v>0</v>
          </cell>
        </row>
        <row r="331">
          <cell r="W331" t="b">
            <v>0</v>
          </cell>
        </row>
        <row r="332">
          <cell r="W332" t="b">
            <v>0</v>
          </cell>
        </row>
        <row r="333">
          <cell r="W333" t="b">
            <v>0</v>
          </cell>
        </row>
        <row r="334">
          <cell r="W334" t="b">
            <v>0</v>
          </cell>
        </row>
        <row r="335">
          <cell r="W335" t="b">
            <v>0</v>
          </cell>
        </row>
        <row r="336">
          <cell r="W336" t="b">
            <v>0</v>
          </cell>
        </row>
        <row r="337">
          <cell r="W337" t="b">
            <v>0</v>
          </cell>
        </row>
        <row r="338">
          <cell r="W338" t="b">
            <v>0</v>
          </cell>
        </row>
        <row r="339">
          <cell r="W339" t="b">
            <v>0</v>
          </cell>
        </row>
        <row r="340">
          <cell r="W340" t="b">
            <v>0</v>
          </cell>
        </row>
        <row r="341">
          <cell r="W341" t="b">
            <v>0</v>
          </cell>
        </row>
        <row r="342">
          <cell r="W342" t="b">
            <v>0</v>
          </cell>
        </row>
        <row r="343">
          <cell r="W343" t="b">
            <v>0</v>
          </cell>
        </row>
        <row r="344">
          <cell r="W344" t="b">
            <v>0</v>
          </cell>
        </row>
        <row r="345">
          <cell r="W345" t="b">
            <v>0</v>
          </cell>
        </row>
        <row r="346">
          <cell r="W346" t="b">
            <v>0</v>
          </cell>
        </row>
        <row r="347">
          <cell r="W347" t="b">
            <v>0</v>
          </cell>
        </row>
        <row r="348">
          <cell r="W348" t="b">
            <v>0</v>
          </cell>
        </row>
        <row r="349">
          <cell r="W349" t="b">
            <v>0</v>
          </cell>
        </row>
        <row r="350">
          <cell r="W350" t="b">
            <v>0</v>
          </cell>
        </row>
        <row r="351">
          <cell r="W351" t="b">
            <v>0</v>
          </cell>
        </row>
        <row r="352">
          <cell r="W352" t="b">
            <v>0</v>
          </cell>
        </row>
        <row r="353">
          <cell r="W353" t="b">
            <v>0</v>
          </cell>
        </row>
        <row r="354">
          <cell r="W354" t="b">
            <v>0</v>
          </cell>
        </row>
        <row r="355">
          <cell r="W355" t="b">
            <v>0</v>
          </cell>
        </row>
        <row r="356">
          <cell r="W356" t="b">
            <v>0</v>
          </cell>
        </row>
        <row r="357">
          <cell r="W357" t="b">
            <v>0</v>
          </cell>
        </row>
        <row r="358">
          <cell r="W358" t="b">
            <v>0</v>
          </cell>
        </row>
        <row r="359">
          <cell r="W359" t="b">
            <v>0</v>
          </cell>
        </row>
        <row r="360">
          <cell r="W360" t="b">
            <v>0</v>
          </cell>
        </row>
        <row r="361">
          <cell r="W361" t="b">
            <v>0</v>
          </cell>
        </row>
        <row r="362">
          <cell r="W362" t="b">
            <v>0</v>
          </cell>
        </row>
        <row r="363">
          <cell r="W363" t="b">
            <v>0</v>
          </cell>
        </row>
        <row r="364">
          <cell r="W364" t="b">
            <v>0</v>
          </cell>
        </row>
        <row r="365">
          <cell r="W365" t="b">
            <v>0</v>
          </cell>
        </row>
        <row r="366">
          <cell r="W366" t="b">
            <v>0</v>
          </cell>
        </row>
        <row r="367">
          <cell r="W367" t="b">
            <v>0</v>
          </cell>
        </row>
        <row r="368">
          <cell r="W368" t="b">
            <v>0</v>
          </cell>
        </row>
        <row r="369">
          <cell r="W369" t="b">
            <v>0</v>
          </cell>
        </row>
        <row r="370">
          <cell r="W370" t="b">
            <v>0</v>
          </cell>
        </row>
        <row r="371">
          <cell r="W371" t="b">
            <v>0</v>
          </cell>
        </row>
        <row r="372">
          <cell r="W372" t="b">
            <v>0</v>
          </cell>
        </row>
        <row r="373">
          <cell r="W373" t="b">
            <v>0</v>
          </cell>
        </row>
        <row r="374">
          <cell r="W374" t="b">
            <v>0</v>
          </cell>
        </row>
        <row r="375">
          <cell r="W375" t="b">
            <v>0</v>
          </cell>
        </row>
        <row r="376">
          <cell r="W376" t="b">
            <v>0</v>
          </cell>
        </row>
        <row r="377">
          <cell r="W377" t="b">
            <v>0</v>
          </cell>
        </row>
        <row r="378">
          <cell r="W378" t="b">
            <v>0</v>
          </cell>
        </row>
        <row r="379">
          <cell r="W379" t="b">
            <v>0</v>
          </cell>
        </row>
        <row r="380">
          <cell r="W380" t="b">
            <v>0</v>
          </cell>
        </row>
        <row r="381">
          <cell r="W381" t="b">
            <v>0</v>
          </cell>
        </row>
        <row r="382">
          <cell r="W382" t="b">
            <v>0</v>
          </cell>
        </row>
        <row r="383">
          <cell r="W383" t="b">
            <v>0</v>
          </cell>
        </row>
        <row r="384">
          <cell r="W384" t="b">
            <v>0</v>
          </cell>
        </row>
        <row r="385">
          <cell r="W385" t="b">
            <v>0</v>
          </cell>
        </row>
        <row r="386">
          <cell r="W386" t="b">
            <v>0</v>
          </cell>
        </row>
        <row r="387">
          <cell r="W387" t="b">
            <v>0</v>
          </cell>
        </row>
        <row r="388">
          <cell r="W388" t="b">
            <v>0</v>
          </cell>
        </row>
        <row r="389">
          <cell r="W389" t="b">
            <v>0</v>
          </cell>
        </row>
        <row r="390">
          <cell r="W390" t="b">
            <v>0</v>
          </cell>
        </row>
        <row r="391">
          <cell r="W391" t="b">
            <v>0</v>
          </cell>
        </row>
        <row r="392">
          <cell r="W392" t="b">
            <v>0</v>
          </cell>
        </row>
        <row r="393">
          <cell r="W393" t="b">
            <v>0</v>
          </cell>
        </row>
        <row r="394">
          <cell r="W394" t="b">
            <v>0</v>
          </cell>
        </row>
        <row r="395">
          <cell r="W395" t="b">
            <v>0</v>
          </cell>
        </row>
        <row r="396">
          <cell r="W396" t="b">
            <v>0</v>
          </cell>
        </row>
        <row r="397">
          <cell r="W397" t="b">
            <v>0</v>
          </cell>
        </row>
        <row r="398">
          <cell r="W398" t="b">
            <v>0</v>
          </cell>
        </row>
        <row r="399">
          <cell r="W399" t="b">
            <v>0</v>
          </cell>
        </row>
        <row r="400">
          <cell r="W400" t="b">
            <v>0</v>
          </cell>
        </row>
        <row r="401">
          <cell r="W401" t="b">
            <v>0</v>
          </cell>
        </row>
        <row r="402">
          <cell r="W402" t="b">
            <v>0</v>
          </cell>
        </row>
        <row r="403">
          <cell r="W403" t="b">
            <v>0</v>
          </cell>
        </row>
        <row r="404">
          <cell r="W404" t="b">
            <v>0</v>
          </cell>
        </row>
        <row r="405">
          <cell r="W405" t="b">
            <v>0</v>
          </cell>
        </row>
        <row r="406">
          <cell r="W406" t="b">
            <v>0</v>
          </cell>
        </row>
        <row r="407">
          <cell r="W407" t="b">
            <v>0</v>
          </cell>
        </row>
        <row r="408">
          <cell r="W408" t="b">
            <v>0</v>
          </cell>
        </row>
        <row r="409">
          <cell r="W409" t="b">
            <v>0</v>
          </cell>
        </row>
        <row r="410">
          <cell r="W410" t="b">
            <v>0</v>
          </cell>
        </row>
        <row r="411">
          <cell r="W411" t="b">
            <v>0</v>
          </cell>
        </row>
        <row r="412">
          <cell r="W412" t="b">
            <v>0</v>
          </cell>
        </row>
        <row r="413">
          <cell r="W413" t="b">
            <v>0</v>
          </cell>
        </row>
        <row r="414">
          <cell r="W414" t="b">
            <v>0</v>
          </cell>
        </row>
        <row r="415">
          <cell r="W415" t="b">
            <v>0</v>
          </cell>
        </row>
        <row r="416">
          <cell r="W416" t="b">
            <v>0</v>
          </cell>
        </row>
        <row r="417">
          <cell r="W417" t="b">
            <v>0</v>
          </cell>
        </row>
        <row r="418">
          <cell r="W418" t="b">
            <v>0</v>
          </cell>
        </row>
        <row r="419">
          <cell r="W419" t="b">
            <v>0</v>
          </cell>
        </row>
        <row r="420">
          <cell r="W420" t="b">
            <v>0</v>
          </cell>
        </row>
        <row r="421">
          <cell r="W421" t="b">
            <v>0</v>
          </cell>
        </row>
        <row r="422">
          <cell r="W422" t="b">
            <v>0</v>
          </cell>
        </row>
        <row r="423">
          <cell r="W423" t="b">
            <v>0</v>
          </cell>
        </row>
        <row r="424">
          <cell r="W424" t="b">
            <v>0</v>
          </cell>
        </row>
        <row r="425">
          <cell r="W425" t="b">
            <v>0</v>
          </cell>
        </row>
        <row r="426">
          <cell r="W426" t="b">
            <v>0</v>
          </cell>
        </row>
        <row r="427">
          <cell r="W427" t="b">
            <v>0</v>
          </cell>
        </row>
        <row r="428">
          <cell r="W428" t="b">
            <v>0</v>
          </cell>
        </row>
        <row r="429">
          <cell r="W429" t="b">
            <v>0</v>
          </cell>
        </row>
        <row r="430">
          <cell r="W430" t="b">
            <v>0</v>
          </cell>
        </row>
        <row r="431">
          <cell r="W431" t="b">
            <v>0</v>
          </cell>
        </row>
        <row r="432">
          <cell r="W432" t="b">
            <v>0</v>
          </cell>
        </row>
        <row r="433">
          <cell r="W433" t="b">
            <v>0</v>
          </cell>
        </row>
        <row r="434">
          <cell r="W434" t="b">
            <v>0</v>
          </cell>
        </row>
        <row r="435">
          <cell r="W435" t="b">
            <v>0</v>
          </cell>
        </row>
        <row r="436">
          <cell r="W436" t="b">
            <v>0</v>
          </cell>
        </row>
        <row r="437">
          <cell r="W437" t="b">
            <v>0</v>
          </cell>
        </row>
        <row r="438">
          <cell r="W438" t="b">
            <v>0</v>
          </cell>
        </row>
        <row r="439">
          <cell r="W439" t="b">
            <v>0</v>
          </cell>
        </row>
        <row r="440">
          <cell r="W440" t="b">
            <v>0</v>
          </cell>
        </row>
        <row r="441">
          <cell r="W441" t="b">
            <v>0</v>
          </cell>
        </row>
        <row r="442">
          <cell r="W442" t="b">
            <v>0</v>
          </cell>
        </row>
        <row r="443">
          <cell r="W443" t="b">
            <v>0</v>
          </cell>
        </row>
        <row r="444">
          <cell r="W444" t="b">
            <v>0</v>
          </cell>
        </row>
        <row r="445">
          <cell r="W445" t="b">
            <v>0</v>
          </cell>
        </row>
        <row r="446">
          <cell r="W446" t="b">
            <v>0</v>
          </cell>
        </row>
        <row r="447">
          <cell r="W447" t="b">
            <v>0</v>
          </cell>
        </row>
        <row r="448">
          <cell r="W448" t="b">
            <v>0</v>
          </cell>
        </row>
        <row r="449">
          <cell r="W449" t="b">
            <v>0</v>
          </cell>
        </row>
        <row r="450">
          <cell r="W450" t="b">
            <v>0</v>
          </cell>
        </row>
        <row r="451">
          <cell r="W451" t="b">
            <v>0</v>
          </cell>
        </row>
        <row r="452">
          <cell r="W452" t="b">
            <v>0</v>
          </cell>
        </row>
        <row r="453">
          <cell r="W453" t="b">
            <v>0</v>
          </cell>
        </row>
        <row r="454">
          <cell r="W454" t="b">
            <v>0</v>
          </cell>
        </row>
        <row r="455">
          <cell r="W455" t="b">
            <v>0</v>
          </cell>
        </row>
        <row r="456">
          <cell r="W456" t="b">
            <v>0</v>
          </cell>
        </row>
        <row r="457">
          <cell r="W457" t="b">
            <v>0</v>
          </cell>
        </row>
        <row r="458">
          <cell r="W458" t="b">
            <v>0</v>
          </cell>
        </row>
        <row r="459">
          <cell r="W459" t="b">
            <v>0</v>
          </cell>
        </row>
        <row r="460">
          <cell r="W460" t="b">
            <v>0</v>
          </cell>
        </row>
        <row r="461">
          <cell r="W461" t="b">
            <v>0</v>
          </cell>
        </row>
        <row r="462">
          <cell r="W462" t="b">
            <v>0</v>
          </cell>
        </row>
        <row r="463">
          <cell r="W463" t="b">
            <v>0</v>
          </cell>
        </row>
        <row r="464">
          <cell r="W464" t="b">
            <v>0</v>
          </cell>
        </row>
        <row r="465">
          <cell r="W465" t="b">
            <v>0</v>
          </cell>
        </row>
        <row r="466">
          <cell r="W466" t="b">
            <v>0</v>
          </cell>
        </row>
        <row r="467">
          <cell r="W467" t="b">
            <v>0</v>
          </cell>
        </row>
        <row r="468">
          <cell r="W468" t="b">
            <v>0</v>
          </cell>
        </row>
        <row r="469">
          <cell r="W469" t="b">
            <v>0</v>
          </cell>
        </row>
        <row r="470">
          <cell r="W470" t="b">
            <v>0</v>
          </cell>
        </row>
        <row r="471">
          <cell r="W471" t="b">
            <v>0</v>
          </cell>
        </row>
        <row r="472">
          <cell r="W472" t="b">
            <v>0</v>
          </cell>
        </row>
        <row r="473">
          <cell r="W473" t="b">
            <v>0</v>
          </cell>
        </row>
        <row r="474">
          <cell r="W474" t="b">
            <v>0</v>
          </cell>
        </row>
        <row r="475">
          <cell r="W475" t="b">
            <v>0</v>
          </cell>
        </row>
        <row r="476">
          <cell r="W476" t="b">
            <v>0</v>
          </cell>
        </row>
        <row r="477">
          <cell r="W477" t="b">
            <v>0</v>
          </cell>
        </row>
        <row r="478">
          <cell r="W478" t="b">
            <v>0</v>
          </cell>
        </row>
        <row r="479">
          <cell r="W479" t="b">
            <v>0</v>
          </cell>
        </row>
        <row r="480">
          <cell r="W480" t="b">
            <v>0</v>
          </cell>
        </row>
        <row r="481">
          <cell r="W481" t="b">
            <v>0</v>
          </cell>
        </row>
        <row r="482">
          <cell r="W482" t="b">
            <v>0</v>
          </cell>
        </row>
        <row r="483">
          <cell r="W483" t="b">
            <v>0</v>
          </cell>
        </row>
        <row r="484">
          <cell r="W484" t="b">
            <v>0</v>
          </cell>
        </row>
        <row r="485">
          <cell r="W485" t="b">
            <v>0</v>
          </cell>
        </row>
        <row r="486">
          <cell r="W486" t="b">
            <v>0</v>
          </cell>
        </row>
        <row r="487">
          <cell r="W487" t="b">
            <v>0</v>
          </cell>
        </row>
        <row r="488">
          <cell r="W488" t="b">
            <v>0</v>
          </cell>
        </row>
        <row r="489">
          <cell r="W489" t="b">
            <v>0</v>
          </cell>
        </row>
        <row r="490">
          <cell r="W490" t="b">
            <v>0</v>
          </cell>
        </row>
        <row r="491">
          <cell r="W491" t="b">
            <v>0</v>
          </cell>
        </row>
        <row r="492">
          <cell r="W492" t="b">
            <v>0</v>
          </cell>
        </row>
        <row r="493">
          <cell r="W493" t="b">
            <v>0</v>
          </cell>
        </row>
        <row r="494">
          <cell r="W494" t="b">
            <v>0</v>
          </cell>
        </row>
        <row r="495">
          <cell r="W495" t="b">
            <v>0</v>
          </cell>
        </row>
        <row r="496">
          <cell r="W496" t="b">
            <v>0</v>
          </cell>
        </row>
        <row r="497">
          <cell r="W497" t="b">
            <v>0</v>
          </cell>
        </row>
        <row r="498">
          <cell r="W498" t="b">
            <v>0</v>
          </cell>
        </row>
        <row r="499">
          <cell r="W499" t="b">
            <v>0</v>
          </cell>
        </row>
        <row r="500">
          <cell r="W500" t="b">
            <v>0</v>
          </cell>
        </row>
        <row r="501">
          <cell r="W501" t="b">
            <v>0</v>
          </cell>
        </row>
        <row r="502">
          <cell r="W502" t="b">
            <v>0</v>
          </cell>
        </row>
        <row r="503">
          <cell r="W503" t="b">
            <v>0</v>
          </cell>
        </row>
        <row r="504">
          <cell r="W504" t="b">
            <v>0</v>
          </cell>
        </row>
        <row r="505">
          <cell r="W505" t="b">
            <v>0</v>
          </cell>
        </row>
        <row r="506">
          <cell r="W506" t="b">
            <v>0</v>
          </cell>
        </row>
        <row r="507">
          <cell r="W507" t="b">
            <v>0</v>
          </cell>
        </row>
        <row r="508">
          <cell r="W508" t="b">
            <v>0</v>
          </cell>
        </row>
        <row r="509">
          <cell r="W509" t="b">
            <v>0</v>
          </cell>
        </row>
        <row r="510">
          <cell r="W510" t="b">
            <v>0</v>
          </cell>
        </row>
        <row r="511">
          <cell r="W511" t="b">
            <v>0</v>
          </cell>
        </row>
        <row r="512">
          <cell r="W512" t="b">
            <v>0</v>
          </cell>
        </row>
        <row r="513">
          <cell r="W513" t="b">
            <v>0</v>
          </cell>
        </row>
        <row r="514">
          <cell r="W514" t="b">
            <v>0</v>
          </cell>
        </row>
        <row r="515">
          <cell r="W515" t="b">
            <v>0</v>
          </cell>
        </row>
        <row r="516">
          <cell r="W516" t="b">
            <v>0</v>
          </cell>
        </row>
        <row r="517">
          <cell r="W517" t="b">
            <v>0</v>
          </cell>
        </row>
        <row r="518">
          <cell r="W518" t="b">
            <v>0</v>
          </cell>
        </row>
        <row r="519">
          <cell r="W519" t="b">
            <v>0</v>
          </cell>
        </row>
        <row r="520">
          <cell r="W520" t="b">
            <v>0</v>
          </cell>
        </row>
        <row r="521">
          <cell r="W521" t="b">
            <v>0</v>
          </cell>
        </row>
        <row r="522">
          <cell r="W522" t="b">
            <v>0</v>
          </cell>
        </row>
        <row r="523">
          <cell r="W523" t="b">
            <v>0</v>
          </cell>
        </row>
        <row r="524">
          <cell r="W524" t="b">
            <v>0</v>
          </cell>
        </row>
        <row r="525">
          <cell r="W525" t="b">
            <v>0</v>
          </cell>
        </row>
        <row r="526">
          <cell r="W526" t="b">
            <v>0</v>
          </cell>
        </row>
        <row r="527">
          <cell r="W527" t="b">
            <v>0</v>
          </cell>
        </row>
        <row r="528">
          <cell r="W528" t="b">
            <v>0</v>
          </cell>
        </row>
        <row r="529">
          <cell r="W529" t="b">
            <v>0</v>
          </cell>
        </row>
        <row r="530">
          <cell r="W530" t="b">
            <v>0</v>
          </cell>
        </row>
        <row r="531">
          <cell r="W531" t="b">
            <v>0</v>
          </cell>
        </row>
        <row r="532">
          <cell r="W532" t="b">
            <v>0</v>
          </cell>
        </row>
        <row r="533">
          <cell r="W533" t="b">
            <v>0</v>
          </cell>
        </row>
        <row r="534">
          <cell r="W534" t="b">
            <v>0</v>
          </cell>
        </row>
        <row r="535">
          <cell r="W535" t="b">
            <v>0</v>
          </cell>
        </row>
        <row r="536">
          <cell r="W536" t="b">
            <v>0</v>
          </cell>
        </row>
        <row r="537">
          <cell r="W537" t="b">
            <v>0</v>
          </cell>
        </row>
        <row r="538">
          <cell r="W538" t="b">
            <v>0</v>
          </cell>
        </row>
        <row r="539">
          <cell r="W539" t="b">
            <v>0</v>
          </cell>
        </row>
        <row r="540">
          <cell r="W540" t="b">
            <v>0</v>
          </cell>
        </row>
        <row r="541">
          <cell r="W541" t="b">
            <v>0</v>
          </cell>
        </row>
        <row r="542">
          <cell r="W542" t="b">
            <v>0</v>
          </cell>
        </row>
        <row r="543">
          <cell r="W543" t="b">
            <v>0</v>
          </cell>
        </row>
        <row r="544">
          <cell r="W544" t="b">
            <v>0</v>
          </cell>
        </row>
        <row r="545">
          <cell r="W545" t="b">
            <v>0</v>
          </cell>
        </row>
        <row r="546">
          <cell r="W546" t="b">
            <v>0</v>
          </cell>
        </row>
        <row r="547">
          <cell r="W547" t="b">
            <v>0</v>
          </cell>
        </row>
        <row r="548">
          <cell r="W548" t="b">
            <v>0</v>
          </cell>
        </row>
        <row r="549">
          <cell r="W549" t="b">
            <v>0</v>
          </cell>
        </row>
        <row r="550">
          <cell r="W550" t="b">
            <v>0</v>
          </cell>
        </row>
        <row r="551">
          <cell r="W551" t="b">
            <v>0</v>
          </cell>
        </row>
        <row r="552">
          <cell r="W552" t="b">
            <v>0</v>
          </cell>
        </row>
        <row r="553">
          <cell r="W553" t="b">
            <v>0</v>
          </cell>
        </row>
        <row r="554">
          <cell r="W554" t="b">
            <v>0</v>
          </cell>
        </row>
        <row r="555">
          <cell r="W555" t="b">
            <v>0</v>
          </cell>
        </row>
        <row r="556">
          <cell r="W556" t="b">
            <v>0</v>
          </cell>
        </row>
        <row r="557">
          <cell r="W557" t="b">
            <v>0</v>
          </cell>
        </row>
        <row r="558">
          <cell r="W558" t="b">
            <v>0</v>
          </cell>
        </row>
        <row r="559">
          <cell r="W559" t="b">
            <v>0</v>
          </cell>
        </row>
        <row r="560">
          <cell r="W560" t="b">
            <v>0</v>
          </cell>
        </row>
        <row r="561">
          <cell r="W561" t="b">
            <v>0</v>
          </cell>
        </row>
        <row r="562">
          <cell r="W562" t="b">
            <v>0</v>
          </cell>
        </row>
        <row r="563">
          <cell r="W563" t="b">
            <v>0</v>
          </cell>
        </row>
        <row r="564">
          <cell r="W564" t="b">
            <v>0</v>
          </cell>
        </row>
        <row r="565">
          <cell r="W565" t="b">
            <v>0</v>
          </cell>
        </row>
        <row r="566">
          <cell r="W566" t="b">
            <v>0</v>
          </cell>
        </row>
        <row r="567">
          <cell r="W567" t="b">
            <v>0</v>
          </cell>
        </row>
        <row r="568">
          <cell r="W568" t="b">
            <v>0</v>
          </cell>
        </row>
        <row r="569">
          <cell r="W569" t="b">
            <v>0</v>
          </cell>
        </row>
        <row r="570">
          <cell r="W570" t="b">
            <v>0</v>
          </cell>
        </row>
        <row r="571">
          <cell r="W571" t="b">
            <v>0</v>
          </cell>
        </row>
        <row r="572">
          <cell r="W572" t="b">
            <v>0</v>
          </cell>
        </row>
        <row r="573">
          <cell r="W573" t="b">
            <v>0</v>
          </cell>
        </row>
        <row r="574">
          <cell r="W574" t="b">
            <v>0</v>
          </cell>
        </row>
        <row r="575">
          <cell r="W575" t="b">
            <v>0</v>
          </cell>
        </row>
        <row r="576">
          <cell r="W576" t="b">
            <v>0</v>
          </cell>
        </row>
        <row r="577">
          <cell r="W577" t="b">
            <v>0</v>
          </cell>
        </row>
        <row r="578">
          <cell r="W578" t="b">
            <v>0</v>
          </cell>
        </row>
        <row r="579">
          <cell r="W579" t="b">
            <v>0</v>
          </cell>
        </row>
        <row r="580">
          <cell r="W580" t="b">
            <v>0</v>
          </cell>
        </row>
        <row r="581">
          <cell r="W581" t="b">
            <v>0</v>
          </cell>
        </row>
        <row r="582">
          <cell r="W582" t="b">
            <v>0</v>
          </cell>
        </row>
        <row r="583">
          <cell r="W583" t="b">
            <v>0</v>
          </cell>
        </row>
        <row r="584">
          <cell r="W584" t="b">
            <v>0</v>
          </cell>
        </row>
        <row r="585">
          <cell r="W585" t="b">
            <v>0</v>
          </cell>
        </row>
        <row r="586">
          <cell r="W586" t="b">
            <v>0</v>
          </cell>
        </row>
        <row r="587">
          <cell r="W587" t="b">
            <v>0</v>
          </cell>
        </row>
        <row r="588">
          <cell r="W588" t="b">
            <v>0</v>
          </cell>
        </row>
        <row r="589">
          <cell r="W589" t="b">
            <v>0</v>
          </cell>
        </row>
        <row r="590">
          <cell r="W590" t="b">
            <v>0</v>
          </cell>
        </row>
        <row r="591">
          <cell r="W591" t="b">
            <v>0</v>
          </cell>
        </row>
        <row r="592">
          <cell r="W592" t="b">
            <v>0</v>
          </cell>
        </row>
        <row r="593">
          <cell r="W593" t="b">
            <v>0</v>
          </cell>
        </row>
        <row r="594">
          <cell r="W594" t="b">
            <v>0</v>
          </cell>
        </row>
        <row r="595">
          <cell r="W595" t="b">
            <v>0</v>
          </cell>
        </row>
        <row r="596">
          <cell r="W596" t="b">
            <v>0</v>
          </cell>
        </row>
        <row r="597">
          <cell r="W597" t="b">
            <v>0</v>
          </cell>
        </row>
        <row r="598">
          <cell r="W598" t="b">
            <v>0</v>
          </cell>
        </row>
        <row r="599">
          <cell r="W599" t="b">
            <v>0</v>
          </cell>
        </row>
        <row r="600">
          <cell r="W600" t="b">
            <v>0</v>
          </cell>
        </row>
        <row r="601">
          <cell r="W601" t="b">
            <v>0</v>
          </cell>
        </row>
        <row r="602">
          <cell r="W602" t="b">
            <v>0</v>
          </cell>
        </row>
        <row r="603">
          <cell r="W603" t="b">
            <v>0</v>
          </cell>
        </row>
        <row r="604">
          <cell r="W604" t="b">
            <v>0</v>
          </cell>
        </row>
        <row r="605">
          <cell r="W605" t="b">
            <v>0</v>
          </cell>
        </row>
        <row r="606">
          <cell r="W606" t="b">
            <v>0</v>
          </cell>
        </row>
        <row r="607">
          <cell r="W607" t="b">
            <v>0</v>
          </cell>
        </row>
        <row r="608">
          <cell r="W608" t="b">
            <v>0</v>
          </cell>
        </row>
        <row r="609">
          <cell r="W609" t="b">
            <v>0</v>
          </cell>
        </row>
        <row r="610">
          <cell r="W610" t="b">
            <v>0</v>
          </cell>
        </row>
        <row r="611">
          <cell r="W611" t="b">
            <v>0</v>
          </cell>
        </row>
        <row r="612">
          <cell r="W612" t="b">
            <v>0</v>
          </cell>
        </row>
        <row r="613">
          <cell r="W613" t="b">
            <v>0</v>
          </cell>
        </row>
        <row r="614">
          <cell r="W614" t="b">
            <v>0</v>
          </cell>
        </row>
        <row r="615">
          <cell r="W615" t="b">
            <v>0</v>
          </cell>
        </row>
        <row r="616">
          <cell r="W616" t="b">
            <v>0</v>
          </cell>
        </row>
        <row r="617">
          <cell r="W617" t="b">
            <v>0</v>
          </cell>
        </row>
        <row r="618">
          <cell r="W618" t="b">
            <v>0</v>
          </cell>
        </row>
        <row r="619">
          <cell r="W619" t="b">
            <v>0</v>
          </cell>
        </row>
        <row r="620">
          <cell r="W620" t="b">
            <v>0</v>
          </cell>
        </row>
        <row r="621">
          <cell r="W621" t="b">
            <v>0</v>
          </cell>
        </row>
        <row r="622">
          <cell r="W622" t="b">
            <v>0</v>
          </cell>
        </row>
        <row r="623">
          <cell r="W623" t="b">
            <v>0</v>
          </cell>
        </row>
        <row r="624">
          <cell r="W624" t="b">
            <v>0</v>
          </cell>
        </row>
        <row r="625">
          <cell r="W625" t="b">
            <v>0</v>
          </cell>
        </row>
        <row r="626">
          <cell r="W626" t="b">
            <v>0</v>
          </cell>
        </row>
        <row r="627">
          <cell r="W627" t="b">
            <v>0</v>
          </cell>
        </row>
        <row r="628">
          <cell r="W628" t="b">
            <v>0</v>
          </cell>
        </row>
        <row r="629">
          <cell r="W629" t="b">
            <v>0</v>
          </cell>
        </row>
        <row r="630">
          <cell r="W630" t="b">
            <v>0</v>
          </cell>
        </row>
        <row r="631">
          <cell r="W631" t="b">
            <v>0</v>
          </cell>
        </row>
        <row r="632">
          <cell r="W632" t="b">
            <v>0</v>
          </cell>
        </row>
        <row r="633">
          <cell r="W633" t="b">
            <v>0</v>
          </cell>
        </row>
        <row r="634">
          <cell r="W634" t="b">
            <v>0</v>
          </cell>
        </row>
        <row r="635">
          <cell r="W635" t="b">
            <v>0</v>
          </cell>
        </row>
        <row r="636">
          <cell r="W636" t="b">
            <v>0</v>
          </cell>
        </row>
        <row r="637">
          <cell r="W637" t="b">
            <v>0</v>
          </cell>
        </row>
        <row r="638">
          <cell r="W638" t="b">
            <v>0</v>
          </cell>
        </row>
        <row r="639">
          <cell r="W639" t="b">
            <v>0</v>
          </cell>
        </row>
        <row r="640">
          <cell r="W640" t="b">
            <v>0</v>
          </cell>
        </row>
        <row r="641">
          <cell r="W641" t="b">
            <v>0</v>
          </cell>
        </row>
        <row r="642">
          <cell r="W642" t="b">
            <v>0</v>
          </cell>
        </row>
        <row r="643">
          <cell r="W643" t="b">
            <v>0</v>
          </cell>
        </row>
        <row r="644">
          <cell r="W644" t="b">
            <v>0</v>
          </cell>
        </row>
        <row r="645">
          <cell r="W645" t="b">
            <v>0</v>
          </cell>
        </row>
        <row r="646">
          <cell r="W646" t="b">
            <v>0</v>
          </cell>
        </row>
        <row r="647">
          <cell r="W647" t="b">
            <v>0</v>
          </cell>
        </row>
        <row r="648">
          <cell r="W648" t="b">
            <v>0</v>
          </cell>
        </row>
        <row r="649">
          <cell r="W649" t="b">
            <v>0</v>
          </cell>
        </row>
        <row r="650">
          <cell r="W650" t="b">
            <v>0</v>
          </cell>
        </row>
        <row r="651">
          <cell r="W651" t="b">
            <v>0</v>
          </cell>
        </row>
        <row r="652">
          <cell r="W652" t="b">
            <v>0</v>
          </cell>
        </row>
        <row r="653">
          <cell r="W653" t="b">
            <v>0</v>
          </cell>
        </row>
        <row r="654">
          <cell r="W654" t="b">
            <v>0</v>
          </cell>
        </row>
        <row r="655">
          <cell r="W655" t="b">
            <v>0</v>
          </cell>
        </row>
        <row r="656">
          <cell r="W656" t="b">
            <v>0</v>
          </cell>
        </row>
        <row r="657">
          <cell r="W657" t="b">
            <v>0</v>
          </cell>
        </row>
        <row r="658">
          <cell r="W658" t="b">
            <v>0</v>
          </cell>
        </row>
        <row r="659">
          <cell r="W659" t="b">
            <v>0</v>
          </cell>
        </row>
        <row r="660">
          <cell r="W660" t="b">
            <v>0</v>
          </cell>
        </row>
        <row r="661">
          <cell r="W661" t="b">
            <v>0</v>
          </cell>
        </row>
        <row r="662">
          <cell r="W662" t="b">
            <v>0</v>
          </cell>
        </row>
        <row r="663">
          <cell r="W663" t="b">
            <v>0</v>
          </cell>
        </row>
        <row r="664">
          <cell r="W664" t="b">
            <v>0</v>
          </cell>
        </row>
        <row r="665">
          <cell r="W665" t="b">
            <v>0</v>
          </cell>
        </row>
        <row r="666">
          <cell r="W666" t="b">
            <v>0</v>
          </cell>
        </row>
        <row r="667">
          <cell r="W667" t="b">
            <v>0</v>
          </cell>
        </row>
        <row r="668">
          <cell r="W668" t="b">
            <v>0</v>
          </cell>
        </row>
        <row r="669">
          <cell r="W669" t="b">
            <v>0</v>
          </cell>
        </row>
        <row r="670">
          <cell r="W670" t="b">
            <v>0</v>
          </cell>
        </row>
        <row r="671">
          <cell r="W671" t="b">
            <v>0</v>
          </cell>
        </row>
        <row r="672">
          <cell r="W672" t="b">
            <v>0</v>
          </cell>
        </row>
        <row r="673">
          <cell r="W673" t="b">
            <v>0</v>
          </cell>
        </row>
        <row r="674">
          <cell r="W674" t="b">
            <v>0</v>
          </cell>
        </row>
        <row r="675">
          <cell r="W675" t="b">
            <v>0</v>
          </cell>
        </row>
        <row r="676">
          <cell r="W676" t="b">
            <v>0</v>
          </cell>
        </row>
        <row r="677">
          <cell r="W677" t="b">
            <v>0</v>
          </cell>
        </row>
        <row r="678">
          <cell r="W678" t="b">
            <v>0</v>
          </cell>
        </row>
        <row r="679">
          <cell r="W679" t="b">
            <v>0</v>
          </cell>
        </row>
        <row r="680">
          <cell r="W680" t="b">
            <v>0</v>
          </cell>
        </row>
        <row r="681">
          <cell r="W681" t="b">
            <v>0</v>
          </cell>
        </row>
        <row r="682">
          <cell r="W682" t="b">
            <v>0</v>
          </cell>
        </row>
        <row r="683">
          <cell r="W683" t="b">
            <v>0</v>
          </cell>
        </row>
        <row r="684">
          <cell r="W684" t="b">
            <v>0</v>
          </cell>
        </row>
        <row r="685">
          <cell r="W685" t="b">
            <v>0</v>
          </cell>
        </row>
        <row r="686">
          <cell r="W686" t="b">
            <v>0</v>
          </cell>
        </row>
        <row r="687">
          <cell r="W687" t="b">
            <v>0</v>
          </cell>
        </row>
        <row r="688">
          <cell r="W688" t="b">
            <v>0</v>
          </cell>
        </row>
        <row r="689">
          <cell r="W689" t="b">
            <v>0</v>
          </cell>
        </row>
        <row r="690">
          <cell r="W690" t="b">
            <v>0</v>
          </cell>
        </row>
        <row r="691">
          <cell r="W691" t="b">
            <v>0</v>
          </cell>
        </row>
        <row r="692">
          <cell r="W692" t="b">
            <v>0</v>
          </cell>
        </row>
        <row r="693">
          <cell r="W693" t="b">
            <v>0</v>
          </cell>
        </row>
        <row r="694">
          <cell r="W694" t="b">
            <v>0</v>
          </cell>
        </row>
        <row r="695">
          <cell r="W695" t="b">
            <v>0</v>
          </cell>
        </row>
        <row r="696">
          <cell r="W696" t="b">
            <v>0</v>
          </cell>
        </row>
        <row r="697">
          <cell r="W697" t="b">
            <v>0</v>
          </cell>
        </row>
        <row r="698">
          <cell r="W698" t="b">
            <v>0</v>
          </cell>
        </row>
        <row r="699">
          <cell r="W699" t="b">
            <v>0</v>
          </cell>
        </row>
        <row r="700">
          <cell r="W700" t="b">
            <v>0</v>
          </cell>
        </row>
        <row r="701">
          <cell r="W701" t="b">
            <v>0</v>
          </cell>
        </row>
        <row r="702">
          <cell r="W702" t="b">
            <v>0</v>
          </cell>
        </row>
        <row r="703">
          <cell r="W703" t="b">
            <v>0</v>
          </cell>
        </row>
        <row r="704">
          <cell r="W704" t="b">
            <v>0</v>
          </cell>
        </row>
        <row r="705">
          <cell r="W705" t="b">
            <v>0</v>
          </cell>
        </row>
        <row r="706">
          <cell r="W706" t="b">
            <v>0</v>
          </cell>
        </row>
        <row r="707">
          <cell r="W707" t="b">
            <v>0</v>
          </cell>
        </row>
        <row r="708">
          <cell r="W708" t="b">
            <v>0</v>
          </cell>
        </row>
        <row r="709">
          <cell r="W709" t="b">
            <v>0</v>
          </cell>
        </row>
        <row r="710">
          <cell r="W710" t="b">
            <v>0</v>
          </cell>
        </row>
        <row r="711">
          <cell r="W711" t="b">
            <v>0</v>
          </cell>
        </row>
        <row r="712">
          <cell r="W712" t="b">
            <v>0</v>
          </cell>
        </row>
        <row r="713">
          <cell r="W713" t="b">
            <v>0</v>
          </cell>
        </row>
        <row r="714">
          <cell r="W714" t="b">
            <v>0</v>
          </cell>
        </row>
        <row r="715">
          <cell r="W715" t="b">
            <v>0</v>
          </cell>
        </row>
        <row r="716">
          <cell r="W716" t="b">
            <v>0</v>
          </cell>
        </row>
        <row r="717">
          <cell r="W717" t="b">
            <v>0</v>
          </cell>
        </row>
        <row r="718">
          <cell r="W718" t="b">
            <v>0</v>
          </cell>
        </row>
        <row r="719">
          <cell r="W719" t="b">
            <v>0</v>
          </cell>
        </row>
        <row r="720">
          <cell r="W720" t="b">
            <v>0</v>
          </cell>
        </row>
        <row r="721">
          <cell r="W721" t="b">
            <v>0</v>
          </cell>
        </row>
        <row r="722">
          <cell r="W722" t="b">
            <v>0</v>
          </cell>
        </row>
        <row r="723">
          <cell r="W723" t="b">
            <v>0</v>
          </cell>
        </row>
        <row r="724">
          <cell r="W724" t="b">
            <v>0</v>
          </cell>
        </row>
        <row r="725">
          <cell r="W725" t="b">
            <v>0</v>
          </cell>
        </row>
        <row r="726">
          <cell r="W726" t="b">
            <v>0</v>
          </cell>
        </row>
        <row r="727">
          <cell r="W727" t="b">
            <v>0</v>
          </cell>
        </row>
        <row r="728">
          <cell r="W728" t="b">
            <v>0</v>
          </cell>
        </row>
        <row r="729">
          <cell r="W729" t="b">
            <v>0</v>
          </cell>
        </row>
        <row r="730">
          <cell r="W730" t="b">
            <v>0</v>
          </cell>
        </row>
        <row r="731">
          <cell r="W731" t="b">
            <v>0</v>
          </cell>
        </row>
        <row r="732">
          <cell r="W732" t="b">
            <v>0</v>
          </cell>
        </row>
        <row r="733">
          <cell r="W733" t="b">
            <v>0</v>
          </cell>
        </row>
        <row r="734">
          <cell r="W734" t="b">
            <v>0</v>
          </cell>
        </row>
        <row r="735">
          <cell r="W735" t="b">
            <v>0</v>
          </cell>
        </row>
        <row r="736">
          <cell r="W736" t="b">
            <v>0</v>
          </cell>
        </row>
        <row r="737">
          <cell r="W737" t="b">
            <v>0</v>
          </cell>
        </row>
        <row r="738">
          <cell r="W738" t="b">
            <v>0</v>
          </cell>
        </row>
        <row r="739">
          <cell r="W739" t="b">
            <v>0</v>
          </cell>
        </row>
        <row r="740">
          <cell r="W740" t="b">
            <v>0</v>
          </cell>
        </row>
        <row r="741">
          <cell r="W741" t="b">
            <v>0</v>
          </cell>
        </row>
        <row r="742">
          <cell r="W742" t="b">
            <v>0</v>
          </cell>
        </row>
        <row r="743">
          <cell r="W743" t="b">
            <v>0</v>
          </cell>
        </row>
        <row r="744">
          <cell r="W744" t="b">
            <v>0</v>
          </cell>
        </row>
        <row r="745">
          <cell r="W745" t="b">
            <v>0</v>
          </cell>
        </row>
        <row r="746">
          <cell r="W746" t="b">
            <v>0</v>
          </cell>
        </row>
        <row r="747">
          <cell r="W747" t="b">
            <v>0</v>
          </cell>
        </row>
        <row r="748">
          <cell r="W748" t="b">
            <v>0</v>
          </cell>
        </row>
        <row r="749">
          <cell r="W749" t="b">
            <v>0</v>
          </cell>
        </row>
        <row r="750">
          <cell r="W750" t="b">
            <v>0</v>
          </cell>
        </row>
        <row r="751">
          <cell r="W751" t="b">
            <v>0</v>
          </cell>
        </row>
        <row r="752">
          <cell r="W752" t="b">
            <v>0</v>
          </cell>
        </row>
        <row r="753">
          <cell r="W753" t="b">
            <v>0</v>
          </cell>
        </row>
        <row r="754">
          <cell r="W754" t="b">
            <v>0</v>
          </cell>
        </row>
        <row r="755">
          <cell r="W755" t="b">
            <v>0</v>
          </cell>
        </row>
        <row r="756">
          <cell r="W756" t="b">
            <v>0</v>
          </cell>
        </row>
        <row r="757">
          <cell r="W757" t="b">
            <v>0</v>
          </cell>
        </row>
        <row r="758">
          <cell r="W758" t="b">
            <v>0</v>
          </cell>
        </row>
        <row r="759">
          <cell r="W759" t="b">
            <v>0</v>
          </cell>
        </row>
        <row r="760">
          <cell r="W760" t="b">
            <v>0</v>
          </cell>
        </row>
        <row r="761">
          <cell r="W761" t="b">
            <v>0</v>
          </cell>
        </row>
        <row r="762">
          <cell r="W762" t="b">
            <v>0</v>
          </cell>
        </row>
        <row r="763">
          <cell r="W763" t="b">
            <v>0</v>
          </cell>
        </row>
        <row r="764">
          <cell r="W764" t="b">
            <v>0</v>
          </cell>
        </row>
        <row r="765">
          <cell r="W765" t="b">
            <v>0</v>
          </cell>
        </row>
        <row r="766">
          <cell r="W766" t="b">
            <v>0</v>
          </cell>
        </row>
        <row r="767">
          <cell r="W767" t="b">
            <v>0</v>
          </cell>
        </row>
        <row r="768">
          <cell r="W768" t="b">
            <v>0</v>
          </cell>
        </row>
        <row r="769">
          <cell r="W769" t="b">
            <v>0</v>
          </cell>
        </row>
        <row r="770">
          <cell r="W770" t="b">
            <v>0</v>
          </cell>
        </row>
        <row r="771">
          <cell r="W771" t="b">
            <v>0</v>
          </cell>
        </row>
        <row r="772">
          <cell r="W772" t="b">
            <v>0</v>
          </cell>
        </row>
        <row r="773">
          <cell r="W773" t="b">
            <v>0</v>
          </cell>
        </row>
        <row r="774">
          <cell r="W774" t="b">
            <v>0</v>
          </cell>
        </row>
        <row r="775">
          <cell r="W775" t="b">
            <v>0</v>
          </cell>
        </row>
        <row r="776">
          <cell r="W776" t="b">
            <v>0</v>
          </cell>
        </row>
        <row r="777">
          <cell r="W777" t="b">
            <v>0</v>
          </cell>
        </row>
        <row r="778">
          <cell r="W778" t="b">
            <v>0</v>
          </cell>
        </row>
        <row r="779">
          <cell r="W779" t="b">
            <v>0</v>
          </cell>
        </row>
        <row r="780">
          <cell r="W780" t="b">
            <v>0</v>
          </cell>
        </row>
        <row r="781">
          <cell r="W781" t="b">
            <v>0</v>
          </cell>
        </row>
        <row r="782">
          <cell r="W782" t="b">
            <v>0</v>
          </cell>
        </row>
        <row r="783">
          <cell r="W783" t="b">
            <v>0</v>
          </cell>
        </row>
        <row r="784">
          <cell r="W784" t="b">
            <v>0</v>
          </cell>
        </row>
        <row r="785">
          <cell r="W785" t="b">
            <v>0</v>
          </cell>
        </row>
        <row r="786">
          <cell r="W786" t="b">
            <v>0</v>
          </cell>
        </row>
        <row r="787">
          <cell r="W787" t="b">
            <v>0</v>
          </cell>
        </row>
        <row r="788">
          <cell r="W788" t="b">
            <v>0</v>
          </cell>
        </row>
        <row r="789">
          <cell r="W789" t="b">
            <v>0</v>
          </cell>
        </row>
        <row r="790">
          <cell r="W790" t="b">
            <v>0</v>
          </cell>
        </row>
        <row r="791">
          <cell r="W791" t="b">
            <v>0</v>
          </cell>
        </row>
        <row r="792">
          <cell r="W792" t="b">
            <v>0</v>
          </cell>
        </row>
        <row r="793">
          <cell r="W793" t="b">
            <v>0</v>
          </cell>
        </row>
        <row r="794">
          <cell r="W794" t="b">
            <v>0</v>
          </cell>
        </row>
        <row r="795">
          <cell r="W795" t="b">
            <v>0</v>
          </cell>
        </row>
        <row r="796">
          <cell r="W796" t="b">
            <v>0</v>
          </cell>
        </row>
        <row r="797">
          <cell r="W797" t="b">
            <v>0</v>
          </cell>
        </row>
        <row r="798">
          <cell r="W798" t="b">
            <v>0</v>
          </cell>
        </row>
        <row r="799">
          <cell r="W799" t="b">
            <v>0</v>
          </cell>
        </row>
        <row r="800">
          <cell r="W800" t="b">
            <v>0</v>
          </cell>
        </row>
        <row r="801">
          <cell r="W801" t="b">
            <v>0</v>
          </cell>
        </row>
        <row r="802">
          <cell r="W802" t="b">
            <v>0</v>
          </cell>
        </row>
        <row r="803">
          <cell r="W803" t="b">
            <v>0</v>
          </cell>
        </row>
        <row r="804">
          <cell r="W804" t="b">
            <v>0</v>
          </cell>
        </row>
        <row r="805">
          <cell r="W805" t="b">
            <v>0</v>
          </cell>
        </row>
        <row r="806">
          <cell r="W806" t="b">
            <v>0</v>
          </cell>
        </row>
        <row r="807">
          <cell r="W807" t="b">
            <v>0</v>
          </cell>
        </row>
        <row r="808">
          <cell r="W808" t="b">
            <v>0</v>
          </cell>
        </row>
        <row r="809">
          <cell r="W809" t="b">
            <v>0</v>
          </cell>
        </row>
        <row r="810">
          <cell r="W810" t="b">
            <v>0</v>
          </cell>
        </row>
        <row r="811">
          <cell r="W811" t="b">
            <v>0</v>
          </cell>
        </row>
        <row r="812">
          <cell r="W812" t="b">
            <v>0</v>
          </cell>
        </row>
        <row r="813">
          <cell r="W813" t="b">
            <v>0</v>
          </cell>
        </row>
        <row r="814">
          <cell r="W814" t="b">
            <v>0</v>
          </cell>
        </row>
        <row r="815">
          <cell r="W815" t="b">
            <v>0</v>
          </cell>
        </row>
        <row r="816">
          <cell r="W816" t="b">
            <v>0</v>
          </cell>
        </row>
        <row r="817">
          <cell r="W817" t="b">
            <v>0</v>
          </cell>
        </row>
        <row r="818">
          <cell r="W818" t="b">
            <v>0</v>
          </cell>
        </row>
        <row r="819">
          <cell r="W819" t="b">
            <v>0</v>
          </cell>
        </row>
        <row r="820">
          <cell r="W820" t="b">
            <v>0</v>
          </cell>
        </row>
        <row r="821">
          <cell r="W821" t="b">
            <v>0</v>
          </cell>
        </row>
        <row r="822">
          <cell r="W822" t="b">
            <v>0</v>
          </cell>
        </row>
        <row r="823">
          <cell r="W823" t="b">
            <v>0</v>
          </cell>
        </row>
        <row r="824">
          <cell r="W824" t="b">
            <v>0</v>
          </cell>
        </row>
        <row r="825">
          <cell r="W825" t="b">
            <v>0</v>
          </cell>
        </row>
        <row r="826">
          <cell r="W826" t="b">
            <v>0</v>
          </cell>
        </row>
        <row r="827">
          <cell r="W827" t="b">
            <v>0</v>
          </cell>
        </row>
        <row r="828">
          <cell r="W828" t="b">
            <v>0</v>
          </cell>
        </row>
        <row r="829">
          <cell r="W829" t="b">
            <v>0</v>
          </cell>
        </row>
        <row r="830">
          <cell r="W830" t="b">
            <v>0</v>
          </cell>
        </row>
        <row r="831">
          <cell r="W831" t="b">
            <v>0</v>
          </cell>
        </row>
        <row r="832">
          <cell r="W832" t="b">
            <v>0</v>
          </cell>
        </row>
        <row r="833">
          <cell r="W833" t="b">
            <v>0</v>
          </cell>
        </row>
        <row r="834">
          <cell r="W834" t="b">
            <v>0</v>
          </cell>
        </row>
        <row r="835">
          <cell r="W835" t="b">
            <v>0</v>
          </cell>
        </row>
        <row r="836">
          <cell r="W836" t="b">
            <v>0</v>
          </cell>
        </row>
        <row r="837">
          <cell r="W837" t="b">
            <v>0</v>
          </cell>
        </row>
        <row r="838">
          <cell r="W838" t="b">
            <v>0</v>
          </cell>
        </row>
        <row r="839">
          <cell r="W839" t="b">
            <v>0</v>
          </cell>
        </row>
        <row r="840">
          <cell r="W840" t="b">
            <v>0</v>
          </cell>
        </row>
        <row r="841">
          <cell r="W841" t="b">
            <v>0</v>
          </cell>
        </row>
        <row r="842">
          <cell r="W842" t="b">
            <v>0</v>
          </cell>
        </row>
        <row r="843">
          <cell r="W843" t="b">
            <v>0</v>
          </cell>
        </row>
        <row r="844">
          <cell r="W844" t="b">
            <v>0</v>
          </cell>
        </row>
        <row r="845">
          <cell r="W845" t="b">
            <v>0</v>
          </cell>
        </row>
        <row r="846">
          <cell r="W846" t="b">
            <v>0</v>
          </cell>
        </row>
        <row r="847">
          <cell r="W847" t="b">
            <v>0</v>
          </cell>
        </row>
        <row r="848">
          <cell r="W848" t="b">
            <v>0</v>
          </cell>
        </row>
        <row r="849">
          <cell r="W849" t="b">
            <v>0</v>
          </cell>
        </row>
        <row r="850">
          <cell r="W850" t="b">
            <v>0</v>
          </cell>
        </row>
        <row r="851">
          <cell r="W851" t="b">
            <v>0</v>
          </cell>
        </row>
        <row r="852">
          <cell r="W852" t="b">
            <v>0</v>
          </cell>
        </row>
        <row r="853">
          <cell r="W853" t="b">
            <v>0</v>
          </cell>
        </row>
        <row r="854">
          <cell r="W854" t="b">
            <v>0</v>
          </cell>
        </row>
        <row r="855">
          <cell r="W855" t="b">
            <v>0</v>
          </cell>
        </row>
        <row r="856">
          <cell r="W856" t="b">
            <v>0</v>
          </cell>
        </row>
        <row r="857">
          <cell r="W857" t="b">
            <v>0</v>
          </cell>
        </row>
        <row r="858">
          <cell r="W858" t="b">
            <v>0</v>
          </cell>
        </row>
        <row r="859">
          <cell r="W859" t="b">
            <v>0</v>
          </cell>
        </row>
        <row r="860">
          <cell r="W860" t="b">
            <v>0</v>
          </cell>
        </row>
        <row r="861">
          <cell r="W861" t="b">
            <v>0</v>
          </cell>
        </row>
        <row r="862">
          <cell r="W862" t="b">
            <v>0</v>
          </cell>
        </row>
        <row r="863">
          <cell r="W863" t="b">
            <v>0</v>
          </cell>
        </row>
        <row r="864">
          <cell r="W864" t="b">
            <v>0</v>
          </cell>
        </row>
        <row r="865">
          <cell r="W865" t="b">
            <v>0</v>
          </cell>
        </row>
        <row r="866">
          <cell r="W866" t="b">
            <v>0</v>
          </cell>
        </row>
        <row r="867">
          <cell r="W867" t="b">
            <v>0</v>
          </cell>
        </row>
        <row r="868">
          <cell r="W868" t="b">
            <v>0</v>
          </cell>
        </row>
        <row r="869">
          <cell r="W869" t="b">
            <v>0</v>
          </cell>
        </row>
        <row r="870">
          <cell r="W870" t="b">
            <v>0</v>
          </cell>
        </row>
        <row r="871">
          <cell r="W871" t="b">
            <v>0</v>
          </cell>
        </row>
        <row r="872">
          <cell r="W872" t="b">
            <v>0</v>
          </cell>
        </row>
        <row r="873">
          <cell r="W873" t="b">
            <v>0</v>
          </cell>
        </row>
        <row r="874">
          <cell r="W874" t="b">
            <v>0</v>
          </cell>
        </row>
        <row r="875">
          <cell r="W875" t="b">
            <v>0</v>
          </cell>
        </row>
        <row r="876">
          <cell r="W876" t="b">
            <v>0</v>
          </cell>
        </row>
        <row r="877">
          <cell r="W877" t="b">
            <v>0</v>
          </cell>
        </row>
        <row r="878">
          <cell r="W878" t="b">
            <v>0</v>
          </cell>
        </row>
        <row r="879">
          <cell r="W879" t="b">
            <v>0</v>
          </cell>
        </row>
        <row r="880">
          <cell r="W880" t="b">
            <v>0</v>
          </cell>
        </row>
        <row r="881">
          <cell r="W881" t="b">
            <v>0</v>
          </cell>
        </row>
        <row r="882">
          <cell r="W882" t="b">
            <v>0</v>
          </cell>
        </row>
        <row r="883">
          <cell r="W883" t="b">
            <v>0</v>
          </cell>
        </row>
        <row r="884">
          <cell r="W884" t="b">
            <v>0</v>
          </cell>
        </row>
        <row r="885">
          <cell r="W885" t="b">
            <v>0</v>
          </cell>
        </row>
        <row r="886">
          <cell r="W886" t="b">
            <v>0</v>
          </cell>
        </row>
        <row r="887">
          <cell r="W887" t="b">
            <v>0</v>
          </cell>
        </row>
        <row r="888">
          <cell r="W888" t="b">
            <v>0</v>
          </cell>
        </row>
        <row r="889">
          <cell r="W889" t="b">
            <v>0</v>
          </cell>
        </row>
        <row r="890">
          <cell r="W890" t="b">
            <v>0</v>
          </cell>
        </row>
        <row r="891">
          <cell r="W891" t="b">
            <v>0</v>
          </cell>
        </row>
        <row r="892">
          <cell r="W892" t="b">
            <v>0</v>
          </cell>
        </row>
        <row r="893">
          <cell r="W893" t="b">
            <v>0</v>
          </cell>
        </row>
        <row r="894">
          <cell r="W894" t="b">
            <v>0</v>
          </cell>
        </row>
        <row r="895">
          <cell r="W895" t="b">
            <v>0</v>
          </cell>
        </row>
        <row r="896">
          <cell r="W896" t="b">
            <v>0</v>
          </cell>
        </row>
        <row r="897">
          <cell r="W897" t="b">
            <v>0</v>
          </cell>
        </row>
        <row r="898">
          <cell r="W898" t="b">
            <v>0</v>
          </cell>
        </row>
        <row r="899">
          <cell r="W899" t="b">
            <v>0</v>
          </cell>
        </row>
        <row r="900">
          <cell r="W900" t="b">
            <v>0</v>
          </cell>
        </row>
        <row r="901">
          <cell r="W901" t="b">
            <v>0</v>
          </cell>
        </row>
        <row r="902">
          <cell r="W902" t="b">
            <v>0</v>
          </cell>
        </row>
        <row r="903">
          <cell r="W903" t="b">
            <v>0</v>
          </cell>
        </row>
        <row r="904">
          <cell r="W904" t="b">
            <v>0</v>
          </cell>
        </row>
        <row r="905">
          <cell r="W905" t="b">
            <v>0</v>
          </cell>
        </row>
        <row r="906">
          <cell r="W906" t="b">
            <v>0</v>
          </cell>
        </row>
        <row r="907">
          <cell r="W907" t="b">
            <v>0</v>
          </cell>
        </row>
        <row r="908">
          <cell r="W908" t="b">
            <v>0</v>
          </cell>
        </row>
        <row r="909">
          <cell r="W909" t="b">
            <v>0</v>
          </cell>
        </row>
        <row r="910">
          <cell r="W910" t="b">
            <v>0</v>
          </cell>
        </row>
        <row r="911">
          <cell r="W911" t="b">
            <v>0</v>
          </cell>
        </row>
        <row r="912">
          <cell r="W912" t="b">
            <v>0</v>
          </cell>
        </row>
        <row r="913">
          <cell r="W913" t="b">
            <v>0</v>
          </cell>
        </row>
        <row r="914">
          <cell r="W914" t="b">
            <v>0</v>
          </cell>
        </row>
        <row r="915">
          <cell r="W915" t="b">
            <v>0</v>
          </cell>
        </row>
        <row r="916">
          <cell r="W916" t="b">
            <v>0</v>
          </cell>
        </row>
        <row r="917">
          <cell r="W917" t="b">
            <v>0</v>
          </cell>
        </row>
        <row r="918">
          <cell r="W918" t="b">
            <v>0</v>
          </cell>
        </row>
        <row r="919">
          <cell r="W919" t="b">
            <v>0</v>
          </cell>
        </row>
        <row r="920">
          <cell r="W920" t="b">
            <v>0</v>
          </cell>
        </row>
        <row r="921">
          <cell r="W921" t="b">
            <v>0</v>
          </cell>
        </row>
        <row r="922">
          <cell r="W922" t="b">
            <v>0</v>
          </cell>
        </row>
        <row r="923">
          <cell r="W923" t="b">
            <v>0</v>
          </cell>
        </row>
        <row r="924">
          <cell r="W924" t="b">
            <v>0</v>
          </cell>
        </row>
        <row r="925">
          <cell r="W925" t="b">
            <v>0</v>
          </cell>
        </row>
        <row r="926">
          <cell r="W926" t="b">
            <v>0</v>
          </cell>
        </row>
        <row r="927">
          <cell r="W927" t="b">
            <v>0</v>
          </cell>
        </row>
        <row r="928">
          <cell r="W928" t="b">
            <v>0</v>
          </cell>
        </row>
        <row r="929">
          <cell r="W929" t="b">
            <v>0</v>
          </cell>
        </row>
        <row r="930">
          <cell r="W930" t="b">
            <v>0</v>
          </cell>
        </row>
        <row r="931">
          <cell r="W931" t="b">
            <v>0</v>
          </cell>
        </row>
        <row r="932">
          <cell r="W932" t="b">
            <v>0</v>
          </cell>
        </row>
        <row r="933">
          <cell r="W933" t="b">
            <v>0</v>
          </cell>
        </row>
        <row r="934">
          <cell r="W934" t="b">
            <v>0</v>
          </cell>
        </row>
        <row r="935">
          <cell r="W935" t="b">
            <v>0</v>
          </cell>
        </row>
        <row r="936">
          <cell r="W936" t="b">
            <v>0</v>
          </cell>
        </row>
        <row r="937">
          <cell r="W937" t="b">
            <v>0</v>
          </cell>
        </row>
        <row r="938">
          <cell r="W938" t="b">
            <v>0</v>
          </cell>
        </row>
        <row r="939">
          <cell r="W939" t="b">
            <v>0</v>
          </cell>
        </row>
        <row r="940">
          <cell r="W940" t="b">
            <v>0</v>
          </cell>
        </row>
        <row r="941">
          <cell r="W941" t="b">
            <v>0</v>
          </cell>
        </row>
        <row r="942">
          <cell r="W942" t="b">
            <v>0</v>
          </cell>
        </row>
        <row r="943">
          <cell r="W943" t="b">
            <v>0</v>
          </cell>
        </row>
        <row r="944">
          <cell r="W944" t="b">
            <v>0</v>
          </cell>
        </row>
        <row r="945">
          <cell r="W945" t="b">
            <v>0</v>
          </cell>
        </row>
        <row r="946">
          <cell r="W946" t="b">
            <v>0</v>
          </cell>
        </row>
        <row r="947">
          <cell r="W947" t="b">
            <v>0</v>
          </cell>
        </row>
        <row r="948">
          <cell r="W948" t="b">
            <v>0</v>
          </cell>
        </row>
        <row r="949">
          <cell r="W949" t="b">
            <v>0</v>
          </cell>
        </row>
        <row r="950">
          <cell r="W950" t="b">
            <v>0</v>
          </cell>
        </row>
        <row r="951">
          <cell r="W951" t="b">
            <v>0</v>
          </cell>
        </row>
        <row r="952">
          <cell r="W952" t="b">
            <v>0</v>
          </cell>
        </row>
        <row r="953">
          <cell r="W953" t="b">
            <v>0</v>
          </cell>
        </row>
        <row r="954">
          <cell r="W954" t="b">
            <v>0</v>
          </cell>
        </row>
        <row r="955">
          <cell r="W955" t="b">
            <v>0</v>
          </cell>
        </row>
        <row r="956">
          <cell r="W956" t="b">
            <v>0</v>
          </cell>
        </row>
        <row r="957">
          <cell r="W957" t="b">
            <v>0</v>
          </cell>
        </row>
        <row r="958">
          <cell r="W958" t="b">
            <v>0</v>
          </cell>
        </row>
        <row r="959">
          <cell r="W959" t="b">
            <v>0</v>
          </cell>
        </row>
        <row r="960">
          <cell r="W960" t="b">
            <v>0</v>
          </cell>
        </row>
        <row r="961">
          <cell r="W961" t="b">
            <v>0</v>
          </cell>
        </row>
        <row r="962">
          <cell r="W962" t="b">
            <v>0</v>
          </cell>
        </row>
        <row r="963">
          <cell r="W963" t="b">
            <v>0</v>
          </cell>
        </row>
        <row r="964">
          <cell r="W964" t="b">
            <v>0</v>
          </cell>
        </row>
        <row r="965">
          <cell r="W965" t="b">
            <v>0</v>
          </cell>
        </row>
        <row r="966">
          <cell r="W966" t="b">
            <v>0</v>
          </cell>
        </row>
        <row r="967">
          <cell r="W967" t="b">
            <v>0</v>
          </cell>
        </row>
        <row r="968">
          <cell r="W968" t="b">
            <v>0</v>
          </cell>
        </row>
        <row r="969">
          <cell r="W969" t="b">
            <v>0</v>
          </cell>
        </row>
        <row r="970">
          <cell r="W970" t="b">
            <v>0</v>
          </cell>
        </row>
        <row r="971">
          <cell r="W971" t="b">
            <v>0</v>
          </cell>
        </row>
        <row r="972">
          <cell r="W972" t="b">
            <v>0</v>
          </cell>
        </row>
        <row r="973">
          <cell r="W973" t="b">
            <v>0</v>
          </cell>
        </row>
        <row r="974">
          <cell r="W974" t="b">
            <v>0</v>
          </cell>
        </row>
        <row r="975">
          <cell r="W975" t="b">
            <v>0</v>
          </cell>
        </row>
        <row r="976">
          <cell r="W976" t="b">
            <v>0</v>
          </cell>
        </row>
        <row r="977">
          <cell r="W977" t="b">
            <v>0</v>
          </cell>
        </row>
        <row r="978">
          <cell r="W978" t="b">
            <v>0</v>
          </cell>
        </row>
        <row r="979">
          <cell r="W979" t="b">
            <v>0</v>
          </cell>
        </row>
        <row r="980">
          <cell r="W980" t="b">
            <v>0</v>
          </cell>
        </row>
        <row r="981">
          <cell r="W981" t="b">
            <v>0</v>
          </cell>
        </row>
        <row r="982">
          <cell r="W982" t="b">
            <v>0</v>
          </cell>
        </row>
        <row r="983">
          <cell r="W983" t="b">
            <v>0</v>
          </cell>
        </row>
        <row r="984">
          <cell r="W984" t="b">
            <v>0</v>
          </cell>
        </row>
        <row r="985">
          <cell r="W985" t="b">
            <v>0</v>
          </cell>
        </row>
        <row r="986">
          <cell r="W986" t="b">
            <v>0</v>
          </cell>
        </row>
        <row r="987">
          <cell r="W987" t="b">
            <v>0</v>
          </cell>
        </row>
        <row r="988">
          <cell r="W988" t="b">
            <v>0</v>
          </cell>
        </row>
        <row r="989">
          <cell r="W989" t="b">
            <v>0</v>
          </cell>
        </row>
        <row r="990">
          <cell r="W990" t="b">
            <v>0</v>
          </cell>
        </row>
        <row r="991">
          <cell r="W991" t="b">
            <v>0</v>
          </cell>
        </row>
        <row r="992">
          <cell r="W992" t="b">
            <v>0</v>
          </cell>
        </row>
        <row r="993">
          <cell r="W993" t="b">
            <v>0</v>
          </cell>
        </row>
        <row r="994">
          <cell r="W994" t="b">
            <v>0</v>
          </cell>
        </row>
        <row r="995">
          <cell r="W995" t="b">
            <v>0</v>
          </cell>
        </row>
        <row r="996">
          <cell r="W996" t="b">
            <v>0</v>
          </cell>
        </row>
        <row r="997">
          <cell r="W997" t="b">
            <v>0</v>
          </cell>
        </row>
        <row r="998">
          <cell r="W998" t="b">
            <v>0</v>
          </cell>
        </row>
        <row r="999">
          <cell r="W999" t="b">
            <v>0</v>
          </cell>
        </row>
        <row r="1000">
          <cell r="W1000" t="b">
            <v>0</v>
          </cell>
        </row>
        <row r="1001">
          <cell r="W1001" t="b">
            <v>0</v>
          </cell>
        </row>
        <row r="1002">
          <cell r="W1002" t="b">
            <v>0</v>
          </cell>
        </row>
        <row r="1003">
          <cell r="W1003" t="b">
            <v>0</v>
          </cell>
        </row>
        <row r="1004">
          <cell r="W1004" t="b">
            <v>0</v>
          </cell>
        </row>
        <row r="1005">
          <cell r="W1005" t="b">
            <v>0</v>
          </cell>
        </row>
        <row r="1006">
          <cell r="W1006" t="b">
            <v>0</v>
          </cell>
        </row>
        <row r="1007">
          <cell r="W1007" t="b">
            <v>0</v>
          </cell>
        </row>
        <row r="1008">
          <cell r="W1008" t="b">
            <v>0</v>
          </cell>
        </row>
        <row r="1009">
          <cell r="W1009" t="b">
            <v>0</v>
          </cell>
        </row>
        <row r="1010">
          <cell r="W1010" t="b">
            <v>0</v>
          </cell>
        </row>
        <row r="1011">
          <cell r="W1011" t="b">
            <v>0</v>
          </cell>
        </row>
        <row r="1012">
          <cell r="W1012" t="b">
            <v>0</v>
          </cell>
        </row>
        <row r="1013">
          <cell r="W1013" t="b">
            <v>0</v>
          </cell>
        </row>
        <row r="1014">
          <cell r="W1014" t="b">
            <v>0</v>
          </cell>
        </row>
        <row r="1015">
          <cell r="W1015" t="b">
            <v>0</v>
          </cell>
        </row>
        <row r="1016">
          <cell r="W1016" t="b">
            <v>0</v>
          </cell>
        </row>
        <row r="1017">
          <cell r="W1017" t="b">
            <v>0</v>
          </cell>
        </row>
        <row r="1018">
          <cell r="W1018" t="b">
            <v>0</v>
          </cell>
        </row>
        <row r="1019">
          <cell r="W1019" t="b">
            <v>0</v>
          </cell>
        </row>
        <row r="1020">
          <cell r="W1020" t="b">
            <v>0</v>
          </cell>
        </row>
        <row r="1021">
          <cell r="W1021" t="b">
            <v>0</v>
          </cell>
        </row>
        <row r="1022">
          <cell r="W1022" t="b">
            <v>0</v>
          </cell>
        </row>
        <row r="1023">
          <cell r="W1023" t="b">
            <v>0</v>
          </cell>
        </row>
        <row r="1024">
          <cell r="W1024" t="b">
            <v>0</v>
          </cell>
        </row>
        <row r="1025">
          <cell r="W1025" t="b">
            <v>0</v>
          </cell>
        </row>
        <row r="1026">
          <cell r="W1026" t="b">
            <v>0</v>
          </cell>
        </row>
        <row r="1027">
          <cell r="W1027" t="b">
            <v>0</v>
          </cell>
        </row>
        <row r="1028">
          <cell r="W1028" t="b">
            <v>0</v>
          </cell>
        </row>
        <row r="1029">
          <cell r="W1029" t="b">
            <v>0</v>
          </cell>
        </row>
        <row r="1030">
          <cell r="W1030" t="b">
            <v>0</v>
          </cell>
        </row>
        <row r="1031">
          <cell r="W1031" t="b">
            <v>0</v>
          </cell>
        </row>
        <row r="1032">
          <cell r="W1032" t="b">
            <v>0</v>
          </cell>
        </row>
        <row r="1033">
          <cell r="W1033" t="b">
            <v>0</v>
          </cell>
        </row>
        <row r="1034">
          <cell r="W1034" t="b">
            <v>0</v>
          </cell>
        </row>
        <row r="1035">
          <cell r="W1035" t="b">
            <v>0</v>
          </cell>
        </row>
        <row r="1036">
          <cell r="W1036" t="b">
            <v>0</v>
          </cell>
        </row>
        <row r="1037">
          <cell r="W1037" t="b">
            <v>0</v>
          </cell>
        </row>
        <row r="1038">
          <cell r="W1038" t="b">
            <v>0</v>
          </cell>
        </row>
        <row r="1039">
          <cell r="W1039" t="b">
            <v>0</v>
          </cell>
        </row>
        <row r="1040">
          <cell r="W1040" t="b">
            <v>0</v>
          </cell>
        </row>
        <row r="1041">
          <cell r="W1041" t="b">
            <v>0</v>
          </cell>
        </row>
        <row r="1042">
          <cell r="W1042" t="b">
            <v>0</v>
          </cell>
        </row>
        <row r="1043">
          <cell r="W1043" t="b">
            <v>0</v>
          </cell>
        </row>
        <row r="1044">
          <cell r="W1044" t="b">
            <v>0</v>
          </cell>
        </row>
        <row r="1045">
          <cell r="W1045" t="b">
            <v>0</v>
          </cell>
        </row>
        <row r="1046">
          <cell r="W1046" t="b">
            <v>0</v>
          </cell>
        </row>
        <row r="1047">
          <cell r="W1047" t="b">
            <v>0</v>
          </cell>
        </row>
        <row r="1048">
          <cell r="W1048" t="b">
            <v>0</v>
          </cell>
        </row>
        <row r="1049">
          <cell r="W1049" t="b">
            <v>0</v>
          </cell>
        </row>
        <row r="1050">
          <cell r="W1050" t="b">
            <v>0</v>
          </cell>
        </row>
        <row r="1051">
          <cell r="W1051" t="b">
            <v>0</v>
          </cell>
        </row>
        <row r="1052">
          <cell r="W1052" t="b">
            <v>0</v>
          </cell>
        </row>
        <row r="1053">
          <cell r="W1053" t="b">
            <v>0</v>
          </cell>
        </row>
        <row r="1054">
          <cell r="W1054" t="b">
            <v>0</v>
          </cell>
        </row>
        <row r="1055">
          <cell r="W1055" t="b">
            <v>0</v>
          </cell>
        </row>
        <row r="1056">
          <cell r="W1056" t="b">
            <v>0</v>
          </cell>
        </row>
        <row r="1057">
          <cell r="W1057" t="b">
            <v>0</v>
          </cell>
        </row>
        <row r="1058">
          <cell r="W1058" t="b">
            <v>0</v>
          </cell>
        </row>
        <row r="1059">
          <cell r="W1059" t="b">
            <v>0</v>
          </cell>
        </row>
        <row r="1060">
          <cell r="W1060" t="b">
            <v>0</v>
          </cell>
        </row>
        <row r="1061">
          <cell r="W1061" t="b">
            <v>0</v>
          </cell>
        </row>
        <row r="1062">
          <cell r="W1062" t="b">
            <v>0</v>
          </cell>
        </row>
        <row r="1063">
          <cell r="W1063" t="b">
            <v>0</v>
          </cell>
        </row>
        <row r="1064">
          <cell r="W1064" t="b">
            <v>0</v>
          </cell>
        </row>
        <row r="1065">
          <cell r="W1065" t="b">
            <v>0</v>
          </cell>
        </row>
        <row r="1066">
          <cell r="W1066" t="b">
            <v>0</v>
          </cell>
        </row>
        <row r="1067">
          <cell r="W1067" t="b">
            <v>0</v>
          </cell>
        </row>
        <row r="1068">
          <cell r="W1068" t="b">
            <v>0</v>
          </cell>
        </row>
        <row r="1069">
          <cell r="W1069" t="b">
            <v>0</v>
          </cell>
        </row>
        <row r="1070">
          <cell r="W1070" t="b">
            <v>0</v>
          </cell>
        </row>
        <row r="1071">
          <cell r="W1071" t="b">
            <v>0</v>
          </cell>
        </row>
        <row r="1072">
          <cell r="W1072" t="b">
            <v>0</v>
          </cell>
        </row>
        <row r="1073">
          <cell r="W1073" t="b">
            <v>0</v>
          </cell>
        </row>
        <row r="1074">
          <cell r="W1074" t="b">
            <v>0</v>
          </cell>
        </row>
        <row r="1075">
          <cell r="W1075" t="b">
            <v>0</v>
          </cell>
        </row>
        <row r="1076">
          <cell r="W1076" t="b">
            <v>0</v>
          </cell>
        </row>
        <row r="1077">
          <cell r="W1077" t="b">
            <v>0</v>
          </cell>
        </row>
        <row r="1078">
          <cell r="W1078" t="b">
            <v>0</v>
          </cell>
        </row>
        <row r="1079">
          <cell r="W1079" t="b">
            <v>0</v>
          </cell>
        </row>
        <row r="1080">
          <cell r="W1080" t="b">
            <v>0</v>
          </cell>
        </row>
        <row r="1081">
          <cell r="W1081" t="b">
            <v>0</v>
          </cell>
        </row>
        <row r="1082">
          <cell r="W1082" t="b">
            <v>0</v>
          </cell>
        </row>
        <row r="1083">
          <cell r="W1083" t="b">
            <v>0</v>
          </cell>
        </row>
        <row r="1084">
          <cell r="W1084" t="b">
            <v>0</v>
          </cell>
        </row>
        <row r="1085">
          <cell r="W1085" t="b">
            <v>0</v>
          </cell>
        </row>
        <row r="1086">
          <cell r="W1086" t="b">
            <v>0</v>
          </cell>
        </row>
        <row r="1087">
          <cell r="W1087" t="b">
            <v>0</v>
          </cell>
        </row>
        <row r="1088">
          <cell r="W1088" t="b">
            <v>0</v>
          </cell>
        </row>
        <row r="1089">
          <cell r="W1089" t="b">
            <v>0</v>
          </cell>
        </row>
        <row r="1090">
          <cell r="W1090" t="b">
            <v>0</v>
          </cell>
        </row>
        <row r="1091">
          <cell r="W1091" t="b">
            <v>0</v>
          </cell>
        </row>
        <row r="1092">
          <cell r="W1092" t="b">
            <v>0</v>
          </cell>
        </row>
        <row r="1093">
          <cell r="W1093" t="b">
            <v>0</v>
          </cell>
        </row>
        <row r="1094">
          <cell r="W1094" t="b">
            <v>0</v>
          </cell>
        </row>
        <row r="1095">
          <cell r="W1095" t="b">
            <v>0</v>
          </cell>
        </row>
        <row r="1096">
          <cell r="W1096" t="b">
            <v>0</v>
          </cell>
        </row>
        <row r="1097">
          <cell r="W1097" t="b">
            <v>0</v>
          </cell>
        </row>
        <row r="1098">
          <cell r="W1098" t="b">
            <v>0</v>
          </cell>
        </row>
        <row r="1099">
          <cell r="W1099" t="b">
            <v>0</v>
          </cell>
        </row>
        <row r="1100">
          <cell r="W1100" t="b">
            <v>0</v>
          </cell>
        </row>
        <row r="1101">
          <cell r="W1101" t="b">
            <v>0</v>
          </cell>
        </row>
        <row r="1102">
          <cell r="W1102" t="b">
            <v>0</v>
          </cell>
        </row>
        <row r="1103">
          <cell r="W1103" t="b">
            <v>0</v>
          </cell>
        </row>
        <row r="1104">
          <cell r="W1104" t="b">
            <v>0</v>
          </cell>
        </row>
        <row r="1105">
          <cell r="W1105" t="b">
            <v>0</v>
          </cell>
        </row>
        <row r="1106">
          <cell r="W1106" t="b">
            <v>0</v>
          </cell>
        </row>
        <row r="1107">
          <cell r="W1107" t="b">
            <v>0</v>
          </cell>
        </row>
        <row r="1108">
          <cell r="W1108" t="b">
            <v>0</v>
          </cell>
        </row>
        <row r="1109">
          <cell r="W1109" t="b">
            <v>0</v>
          </cell>
        </row>
        <row r="1110">
          <cell r="W1110" t="b">
            <v>0</v>
          </cell>
        </row>
        <row r="1111">
          <cell r="W1111" t="b">
            <v>0</v>
          </cell>
        </row>
        <row r="1112">
          <cell r="W1112" t="b">
            <v>0</v>
          </cell>
        </row>
        <row r="1113">
          <cell r="W1113" t="b">
            <v>0</v>
          </cell>
        </row>
        <row r="1114">
          <cell r="W1114" t="b">
            <v>0</v>
          </cell>
        </row>
        <row r="1115">
          <cell r="W1115" t="b">
            <v>0</v>
          </cell>
        </row>
        <row r="1116">
          <cell r="W1116" t="b">
            <v>0</v>
          </cell>
        </row>
        <row r="1117">
          <cell r="W1117" t="b">
            <v>0</v>
          </cell>
        </row>
        <row r="1118">
          <cell r="W1118" t="b">
            <v>0</v>
          </cell>
        </row>
        <row r="1119">
          <cell r="W1119" t="b">
            <v>0</v>
          </cell>
        </row>
        <row r="1120">
          <cell r="W1120" t="b">
            <v>0</v>
          </cell>
        </row>
        <row r="1121">
          <cell r="W1121" t="b">
            <v>0</v>
          </cell>
        </row>
        <row r="1122">
          <cell r="W1122" t="b">
            <v>0</v>
          </cell>
        </row>
        <row r="1123">
          <cell r="W1123" t="b">
            <v>0</v>
          </cell>
        </row>
        <row r="1124">
          <cell r="W1124" t="b">
            <v>0</v>
          </cell>
        </row>
        <row r="1125">
          <cell r="W1125" t="b">
            <v>0</v>
          </cell>
        </row>
        <row r="1126">
          <cell r="W1126" t="b">
            <v>0</v>
          </cell>
        </row>
        <row r="1127">
          <cell r="W1127" t="b">
            <v>0</v>
          </cell>
        </row>
        <row r="1128">
          <cell r="W1128" t="b">
            <v>0</v>
          </cell>
        </row>
        <row r="1129">
          <cell r="W1129" t="b">
            <v>0</v>
          </cell>
        </row>
        <row r="1130">
          <cell r="W1130" t="b">
            <v>0</v>
          </cell>
        </row>
        <row r="1131">
          <cell r="W1131" t="b">
            <v>0</v>
          </cell>
        </row>
        <row r="1132">
          <cell r="W1132" t="b">
            <v>0</v>
          </cell>
        </row>
        <row r="1133">
          <cell r="W1133" t="b">
            <v>0</v>
          </cell>
        </row>
        <row r="1134">
          <cell r="W1134" t="b">
            <v>0</v>
          </cell>
        </row>
        <row r="1135">
          <cell r="W1135" t="b">
            <v>0</v>
          </cell>
        </row>
        <row r="1136">
          <cell r="W1136" t="b">
            <v>0</v>
          </cell>
        </row>
        <row r="1137">
          <cell r="W1137" t="b">
            <v>0</v>
          </cell>
        </row>
        <row r="1138">
          <cell r="W1138" t="b">
            <v>0</v>
          </cell>
        </row>
        <row r="1139">
          <cell r="W1139" t="b">
            <v>0</v>
          </cell>
        </row>
        <row r="1140">
          <cell r="W1140" t="b">
            <v>0</v>
          </cell>
        </row>
        <row r="1141">
          <cell r="W1141" t="b">
            <v>0</v>
          </cell>
        </row>
        <row r="1142">
          <cell r="W1142" t="b">
            <v>0</v>
          </cell>
        </row>
        <row r="1143">
          <cell r="W1143" t="b">
            <v>0</v>
          </cell>
        </row>
        <row r="1144">
          <cell r="W1144" t="b">
            <v>0</v>
          </cell>
        </row>
        <row r="1145">
          <cell r="W1145" t="b">
            <v>0</v>
          </cell>
        </row>
        <row r="1146">
          <cell r="W1146" t="b">
            <v>0</v>
          </cell>
        </row>
        <row r="1147">
          <cell r="W1147" t="b">
            <v>0</v>
          </cell>
        </row>
        <row r="1148">
          <cell r="W1148" t="b">
            <v>0</v>
          </cell>
        </row>
        <row r="1149">
          <cell r="W1149" t="b">
            <v>0</v>
          </cell>
        </row>
        <row r="1150">
          <cell r="W1150" t="b">
            <v>0</v>
          </cell>
        </row>
        <row r="1151">
          <cell r="W1151" t="b">
            <v>0</v>
          </cell>
        </row>
        <row r="1152">
          <cell r="W1152" t="b">
            <v>0</v>
          </cell>
        </row>
        <row r="1153">
          <cell r="W1153" t="b">
            <v>0</v>
          </cell>
        </row>
        <row r="1154">
          <cell r="W1154" t="b">
            <v>0</v>
          </cell>
        </row>
        <row r="1155">
          <cell r="W1155" t="b">
            <v>0</v>
          </cell>
        </row>
        <row r="1156">
          <cell r="W1156" t="b">
            <v>0</v>
          </cell>
        </row>
        <row r="1157">
          <cell r="W1157" t="b">
            <v>0</v>
          </cell>
        </row>
        <row r="1158">
          <cell r="W1158" t="b">
            <v>0</v>
          </cell>
        </row>
        <row r="1159">
          <cell r="W1159" t="b">
            <v>0</v>
          </cell>
        </row>
        <row r="1160">
          <cell r="W1160" t="b">
            <v>0</v>
          </cell>
        </row>
        <row r="1161">
          <cell r="W1161" t="b">
            <v>0</v>
          </cell>
        </row>
        <row r="1162">
          <cell r="W1162" t="b">
            <v>0</v>
          </cell>
        </row>
        <row r="1163">
          <cell r="W1163" t="b">
            <v>0</v>
          </cell>
        </row>
        <row r="1164">
          <cell r="W1164" t="b">
            <v>0</v>
          </cell>
        </row>
        <row r="1165">
          <cell r="W1165" t="b">
            <v>0</v>
          </cell>
        </row>
        <row r="1166">
          <cell r="W1166" t="b">
            <v>0</v>
          </cell>
        </row>
        <row r="1167">
          <cell r="W1167" t="b">
            <v>0</v>
          </cell>
        </row>
        <row r="1168">
          <cell r="W1168" t="b">
            <v>0</v>
          </cell>
        </row>
        <row r="1169">
          <cell r="W1169" t="b">
            <v>0</v>
          </cell>
        </row>
        <row r="1170">
          <cell r="W1170" t="b">
            <v>0</v>
          </cell>
        </row>
        <row r="1171">
          <cell r="W1171" t="b">
            <v>0</v>
          </cell>
        </row>
        <row r="1172">
          <cell r="W1172" t="b">
            <v>0</v>
          </cell>
        </row>
        <row r="1173">
          <cell r="W1173" t="b">
            <v>0</v>
          </cell>
        </row>
        <row r="1174">
          <cell r="W1174" t="b">
            <v>0</v>
          </cell>
        </row>
        <row r="1175">
          <cell r="W1175" t="b">
            <v>0</v>
          </cell>
        </row>
        <row r="1176">
          <cell r="W1176" t="b">
            <v>0</v>
          </cell>
        </row>
        <row r="1177">
          <cell r="W1177" t="b">
            <v>0</v>
          </cell>
        </row>
        <row r="1178">
          <cell r="W1178" t="b">
            <v>0</v>
          </cell>
        </row>
        <row r="1179">
          <cell r="W1179" t="b">
            <v>0</v>
          </cell>
        </row>
        <row r="1180">
          <cell r="W1180" t="b">
            <v>0</v>
          </cell>
        </row>
        <row r="1181">
          <cell r="W1181" t="b">
            <v>0</v>
          </cell>
        </row>
        <row r="1182">
          <cell r="W1182" t="b">
            <v>0</v>
          </cell>
        </row>
        <row r="1183">
          <cell r="W1183" t="b">
            <v>0</v>
          </cell>
        </row>
        <row r="1184">
          <cell r="W1184" t="b">
            <v>0</v>
          </cell>
        </row>
        <row r="1185">
          <cell r="W1185" t="b">
            <v>0</v>
          </cell>
        </row>
        <row r="1186">
          <cell r="W1186" t="b">
            <v>0</v>
          </cell>
        </row>
        <row r="1187">
          <cell r="W1187" t="b">
            <v>0</v>
          </cell>
        </row>
        <row r="1188">
          <cell r="W1188" t="b">
            <v>0</v>
          </cell>
        </row>
        <row r="1189">
          <cell r="W1189" t="b">
            <v>0</v>
          </cell>
        </row>
        <row r="1190">
          <cell r="W1190" t="b">
            <v>0</v>
          </cell>
        </row>
        <row r="1191">
          <cell r="W1191" t="b">
            <v>0</v>
          </cell>
        </row>
        <row r="1192">
          <cell r="W1192" t="b">
            <v>0</v>
          </cell>
        </row>
        <row r="1193">
          <cell r="W1193" t="b">
            <v>0</v>
          </cell>
        </row>
        <row r="1194">
          <cell r="W1194" t="b">
            <v>0</v>
          </cell>
        </row>
        <row r="1195">
          <cell r="W1195" t="b">
            <v>0</v>
          </cell>
        </row>
        <row r="1196">
          <cell r="W1196" t="b">
            <v>0</v>
          </cell>
        </row>
        <row r="1197">
          <cell r="W1197" t="b">
            <v>0</v>
          </cell>
        </row>
        <row r="1198">
          <cell r="W1198" t="b">
            <v>0</v>
          </cell>
        </row>
        <row r="1199">
          <cell r="W1199" t="b">
            <v>0</v>
          </cell>
        </row>
        <row r="1200">
          <cell r="W1200" t="b">
            <v>0</v>
          </cell>
        </row>
        <row r="1201">
          <cell r="W1201" t="b">
            <v>0</v>
          </cell>
        </row>
        <row r="1202">
          <cell r="W1202" t="b">
            <v>0</v>
          </cell>
        </row>
        <row r="1203">
          <cell r="W1203" t="b">
            <v>0</v>
          </cell>
        </row>
        <row r="1204">
          <cell r="W1204" t="b">
            <v>0</v>
          </cell>
        </row>
        <row r="1205">
          <cell r="W1205" t="b">
            <v>0</v>
          </cell>
        </row>
        <row r="1206">
          <cell r="W1206" t="b">
            <v>0</v>
          </cell>
        </row>
        <row r="1207">
          <cell r="W1207" t="b">
            <v>0</v>
          </cell>
        </row>
        <row r="1208">
          <cell r="W1208" t="b">
            <v>0</v>
          </cell>
        </row>
        <row r="1209">
          <cell r="W1209" t="b">
            <v>0</v>
          </cell>
        </row>
        <row r="1210">
          <cell r="W1210" t="b">
            <v>0</v>
          </cell>
        </row>
        <row r="1211">
          <cell r="W1211" t="b">
            <v>0</v>
          </cell>
        </row>
        <row r="1212">
          <cell r="W1212" t="b">
            <v>0</v>
          </cell>
        </row>
        <row r="1213">
          <cell r="W1213" t="b">
            <v>0</v>
          </cell>
        </row>
        <row r="1214">
          <cell r="W1214" t="b">
            <v>0</v>
          </cell>
        </row>
        <row r="1215">
          <cell r="W1215" t="b">
            <v>0</v>
          </cell>
        </row>
        <row r="1216">
          <cell r="W1216" t="b">
            <v>0</v>
          </cell>
        </row>
        <row r="1217">
          <cell r="W1217" t="b">
            <v>0</v>
          </cell>
        </row>
        <row r="1218">
          <cell r="W1218" t="b">
            <v>0</v>
          </cell>
        </row>
        <row r="1219">
          <cell r="W1219" t="b">
            <v>0</v>
          </cell>
        </row>
        <row r="1220">
          <cell r="W1220" t="b">
            <v>0</v>
          </cell>
        </row>
        <row r="1221">
          <cell r="W1221" t="b">
            <v>0</v>
          </cell>
        </row>
        <row r="1222">
          <cell r="W1222" t="b">
            <v>0</v>
          </cell>
        </row>
        <row r="1223">
          <cell r="W1223" t="b">
            <v>0</v>
          </cell>
        </row>
        <row r="1224">
          <cell r="W1224" t="b">
            <v>0</v>
          </cell>
        </row>
        <row r="1225">
          <cell r="W1225" t="b">
            <v>0</v>
          </cell>
        </row>
        <row r="1226">
          <cell r="W1226" t="b">
            <v>0</v>
          </cell>
        </row>
        <row r="1227">
          <cell r="W1227" t="b">
            <v>0</v>
          </cell>
        </row>
        <row r="1228">
          <cell r="W1228" t="b">
            <v>0</v>
          </cell>
        </row>
        <row r="1229">
          <cell r="W1229" t="b">
            <v>0</v>
          </cell>
        </row>
        <row r="1230">
          <cell r="W1230" t="b">
            <v>0</v>
          </cell>
        </row>
        <row r="1231">
          <cell r="W1231" t="b">
            <v>0</v>
          </cell>
        </row>
      </sheetData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sh Flow (2)"/>
      <sheetName val="#REF"/>
      <sheetName val="DCF"/>
      <sheetName val="C1500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China"/>
      <sheetName val="Corp Profits"/>
      <sheetName val="Backlogs"/>
      <sheetName val="Plane Models"/>
      <sheetName val="Biz Jets Takeoffs Landings&gt;&gt;"/>
      <sheetName val="Sheet1"/>
      <sheetName val="GAMA Annual Data"/>
      <sheetName val="Delivs Condensed"/>
      <sheetName val="Deliveries"/>
      <sheetName val="BizJet Deliveries"/>
      <sheetName val="Biz Jet Output Data"/>
      <sheetName val="Quart. &amp; Annual Summary"/>
      <sheetName val="Sheet2"/>
      <sheetName val="BJs charts"/>
      <sheetName val="__FDSCACHE__"/>
      <sheetName val="BBD Data"/>
      <sheetName val="AFOSHEET"/>
      <sheetName val="Source Data All Biz Jets"/>
      <sheetName val="Source Data Gulfstream "/>
      <sheetName val="Source Data Cessna"/>
      <sheetName val="Source Data Bombardier"/>
      <sheetName val="Source Data Embraer"/>
      <sheetName val="Source Data Hawker-Beechcraft"/>
      <sheetName val="Amstat Inventories"/>
      <sheetName val="Delivs by Regions"/>
      <sheetName val="Feb"/>
      <sheetName val="mwareDates"/>
      <sheetName val="Model"/>
      <sheetName val="Exclusion Li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A1" t="str">
            <v>Annual Deliveries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ultipleSecurities"/>
      <sheetName val="Model_Template"/>
      <sheetName val="Q&amp;A"/>
      <sheetName val="mwareDates"/>
      <sheetName val="mwareSettings"/>
      <sheetName val="INPUT"/>
      <sheetName val="Val"/>
      <sheetName val="PRINT SHEET"/>
      <sheetName val="Key Metrics"/>
      <sheetName val="Profile"/>
      <sheetName val="STA GRAPHS"/>
      <sheetName val="RESIDUAL INCOME"/>
      <sheetName val="Employee"/>
      <sheetName val="Individual"/>
      <sheetName val="Assumptions"/>
      <sheetName val="BS"/>
      <sheetName val="UPS-GAS"/>
      <sheetName val="Quarterly"/>
      <sheetName val="Combo Box"/>
      <sheetName val="MMD"/>
      <sheetName val="Model"/>
      <sheetName val="MATQTRS"/>
      <sheetName val="UNIV-EBS DATA"/>
      <sheetName val="Ratios"/>
      <sheetName val="MATINC"/>
      <sheetName val="MATBAL"/>
      <sheetName val="Macro1"/>
      <sheetName val="Macro2"/>
      <sheetName val="Valuation"/>
      <sheetName val="yearly"/>
      <sheetName val="OnAir"/>
      <sheetName val="Analysis"/>
      <sheetName val="MACRS"/>
      <sheetName val="FutureAcq"/>
      <sheetName val="Credit Output"/>
      <sheetName val="CalcsMO"/>
      <sheetName val=" Capital"/>
      <sheetName val="New Business"/>
      <sheetName val="LXK"/>
      <sheetName val="RELPE"/>
      <sheetName val="SALESCAT"/>
      <sheetName val="MATCASH"/>
      <sheetName val="FinSum"/>
      <sheetName val="Scenario"/>
      <sheetName val="Aladdin Macro1"/>
      <sheetName val="DATA"/>
      <sheetName val="Gas"/>
      <sheetName val="Off Peak"/>
      <sheetName val="Peak"/>
      <sheetName val="WY"/>
      <sheetName val="changes in EST"/>
      <sheetName val="US peers EBIT Margins"/>
      <sheetName val="Sheet7"/>
      <sheetName val="Model (Euro)"/>
      <sheetName val="Monthly Spot"/>
      <sheetName val="NKEBALST"/>
      <sheetName val="NKEQTRIN"/>
      <sheetName val="main"/>
      <sheetName val="Sheet1"/>
      <sheetName val="premium detail - P&amp;C"/>
      <sheetName val="DMK"/>
      <sheetName val="Monthly figures"/>
      <sheetName val="Cashflow Mode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ssues Sheet"/>
      <sheetName val="#REF"/>
      <sheetName val="MultipleSecurities"/>
      <sheetName val="XOM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35 Analysis"/>
      <sheetName val="Exclusion List"/>
    </sheetNames>
    <sheetDataSet>
      <sheetData sheetId="0">
        <row r="1">
          <cell r="A1" t="str">
            <v>Lockheed Martin Corp.</v>
          </cell>
        </row>
      </sheetData>
      <sheetData sheetId="1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claimer"/>
      <sheetName val="TOS"/>
      <sheetName val="BS"/>
      <sheetName val="Nymex"/>
      <sheetName val="Stats"/>
      <sheetName val="Variance"/>
      <sheetName val="quarterly"/>
      <sheetName val="ROCE"/>
      <sheetName val="XON Acq."/>
      <sheetName val="Wood R. Avon"/>
      <sheetName val="Alliance"/>
      <sheetName val="Cork"/>
      <sheetName val="INPC-Whitegate"/>
      <sheetName val="Retail"/>
      <sheetName val="WACC"/>
      <sheetName val="Book Value"/>
      <sheetName val="Chart"/>
      <sheetName val="E PWR"/>
      <sheetName val="Acq."/>
      <sheetName val="UCL"/>
      <sheetName val="Notes"/>
      <sheetName val="Old - Refineries"/>
      <sheetName val="Debt"/>
      <sheetName val="Data"/>
      <sheetName val="GE Data"/>
      <sheetName val="IndexInformation"/>
      <sheetName val="MainCode"/>
      <sheetName val="NY UPLOAD.bak"/>
      <sheetName val="NY UPLOAD Shadow.bak"/>
      <sheetName val="NY UPLOAD"/>
      <sheetName val="NY UPLOAD Shadow"/>
      <sheetName val="P"/>
      <sheetName val="DCF + ROCE"/>
      <sheetName val="Report Stats"/>
      <sheetName val="Report CFBS"/>
      <sheetName val="VLOVAL"/>
      <sheetName val="R-Stats1"/>
      <sheetName val="Diffs"/>
      <sheetName val="NEWREF"/>
      <sheetName val="REPLCOST"/>
      <sheetName val="PBook"/>
      <sheetName val="CAPEX"/>
      <sheetName val="VLOVAL1"/>
      <sheetName val="VLO"/>
      <sheetName val="Front Page"/>
      <sheetName val="Report Income Statement"/>
      <sheetName val="Divisional Comps"/>
    </sheetNames>
    <definedNames>
      <definedName name="Update_This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 refreshError="1"/>
      <sheetData sheetId="27"/>
      <sheetData sheetId="28"/>
      <sheetData sheetId="29"/>
      <sheetData sheetId="30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
<Relationships xmlns="http://schemas.openxmlformats.org/package/2006/relationships">
<Relationship Id="rId1" Target="../printerSettings/printerSettings1.bin" Type="http://schemas.openxmlformats.org/officeDocument/2006/relationships/printerSettings"/>
</Relationships>

</file>

<file path=xl/worksheets/_rels/sheet2.xml.rels><?xml version="1.0" encoding="UTF-8" standalone="yes"?>
<Relationships xmlns="http://schemas.openxmlformats.org/package/2006/relationships">
<Relationship Id="rId1" Target="../printerSettings/printerSettings2.bin" Type="http://schemas.openxmlformats.org/officeDocument/2006/relationships/printerSettings"/>
<Relationship Id="rId2" Target="../drawings/vmlDrawing1.vml" Type="http://schemas.openxmlformats.org/officeDocument/2006/relationships/vmlDrawing"/>
<Relationship Id="rId3" Target="../comments1.xml" Type="http://schemas.openxmlformats.org/officeDocument/2006/relationships/comments"/>
</Relationships>

</file>

<file path=xl/worksheets/_rels/sheet3.xml.rels><?xml version="1.0" encoding="UTF-8" standalone="yes"?>
<Relationships xmlns="http://schemas.openxmlformats.org/package/2006/relationships">
<Relationship Id="rId1" Target="../printerSettings/printerSettings3.bin" Type="http://schemas.openxmlformats.org/officeDocument/2006/relationships/printerSettings"/>
<Relationship Id="rId2" Target="../drawings/drawing1.xml" Type="http://schemas.openxmlformats.org/officeDocument/2006/relationships/drawing"/>
</Relationships>

</file>

<file path=xl/worksheets/_rels/sheet4.xml.rels><?xml version="1.0" encoding="UTF-8" standalone="yes"?>
<Relationships xmlns="http://schemas.openxmlformats.org/package/2006/relationships">
<Relationship Id="rId1" Target="../printerSettings/printerSettings4.bin" Type="http://schemas.openxmlformats.org/officeDocument/2006/relationships/printerSettings"/>
</Relationships>

</file>

<file path=xl/worksheets/_rels/sheet5.xml.rels><?xml version="1.0" encoding="UTF-8" standalone="yes"?>
<Relationships xmlns="http://schemas.openxmlformats.org/package/2006/relationships">
<Relationship Id="rId1" Target="../printerSettings/printerSettings5.bin" Type="http://schemas.openxmlformats.org/officeDocument/2006/relationships/printerSettings"/>
</Relationships>

</file>

<file path=xl/worksheets/_rels/sheet6.xml.rels><?xml version="1.0" encoding="UTF-8" standalone="yes"?>
<Relationships xmlns="http://schemas.openxmlformats.org/package/2006/relationships">
<Relationship Id="rId1" Target="../printerSettings/printerSettings6.bin" Type="http://schemas.openxmlformats.org/officeDocument/2006/relationships/printerSettings"/>
<Relationship Id="rId2" Target="../drawings/vmlDrawing2.vml" Type="http://schemas.openxmlformats.org/officeDocument/2006/relationships/vmlDrawing"/>
<Relationship Id="rId3" Target="../comments2.xml" Type="http://schemas.openxmlformats.org/officeDocument/2006/relationships/comments"/>
</Relationships>

</file>

<file path=xl/worksheets/_rels/sheet7.xml.rels><?xml version="1.0" encoding="UTF-8" standalone="yes"?>
<Relationships xmlns="http://schemas.openxmlformats.org/package/2006/relationships">
<Relationship Id="rId1" Target="../printerSettings/printerSettings7.bin" Type="http://schemas.openxmlformats.org/officeDocument/2006/relationships/printerSettings"/>
</Relationships>

</file>

<file path=xl/worksheets/_rels/sheet9.xml.rels><?xml version="1.0" encoding="UTF-8" standalone="yes"?>
<Relationships xmlns="http://schemas.openxmlformats.org/package/2006/relationships">
<Relationship Id="rId1" Target="../printerSettings/printerSettings8.bin" Type="http://schemas.openxmlformats.org/officeDocument/2006/relationships/printerSettings"/>
</Relationships>

</file>

<file path=xl/worksheets/_rels/sheet10.xml.rels><?xml version="1.0" encoding="UTF-8" standalone="yes"?>
<Relationships xmlns="http://schemas.openxmlformats.org/package/2006/relationships">
<Relationship Id="rId1" Target="../printerSettings/printerSettings9.bin" Type="http://schemas.openxmlformats.org/officeDocument/2006/relationships/printerSettings"/>
<Relationship Id="rId2" Target="../customProperty1.bin" Type="http://schemas.openxmlformats.org/officeDocument/2006/relationships/customProperty"/>
</Relationships>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workbookViewId="0"/>
  </sheetViews>
  <sheetFormatPr defaultRowHeight="12.75"/>
  <sheetData>
    <row r="1" spans="1:1">
      <c r="A1" s="5"/>
    </row>
  </sheetData>
  <phoneticPr fontId="3" type="noConversion"/>
  <pageMargins left="0.75" right="0.75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1"/>
  <sheetViews>
    <sheetView workbookViewId="0"/>
  </sheetViews>
  <sheetFormatPr defaultRowHeight="12.75"/>
  <sheetData>
    <row r="1" spans="1:2">
      <c r="B1" t="s">
        <v>27</v>
      </c>
    </row>
  </sheetData>
  <phoneticPr fontId="3" type="noConversion"/>
  <pageMargins left="0.75" right="0.75" top="1" bottom="1" header="0.5" footer="0.5"/>
  <pageSetup orientation="landscape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97"/>
  <sheetViews>
    <sheetView showGridLines="0" tabSelected="1" topLeftCell="A63" workbookViewId="0">
      <selection activeCell="K92" sqref="K92"/>
    </sheetView>
  </sheetViews>
  <sheetFormatPr defaultRowHeight="12.75"/>
  <cols>
    <col min="1" max="1" width="25.7109375" style="1080" customWidth="1"/>
    <col min="2" max="5" width="9.140625" style="1080"/>
    <col min="6" max="6" width="18.7109375" style="1080" customWidth="1"/>
    <col min="7" max="256" width="9.140625" style="1080"/>
    <col min="257" max="257" width="100.7109375" style="1080" customWidth="1"/>
    <col min="258" max="512" width="9.140625" style="1080"/>
    <col min="513" max="513" width="100.7109375" style="1080" customWidth="1"/>
    <col min="514" max="768" width="9.140625" style="1080"/>
    <col min="769" max="769" width="100.7109375" style="1080" customWidth="1"/>
    <col min="770" max="1024" width="9.140625" style="1080"/>
    <col min="1025" max="1025" width="100.7109375" style="1080" customWidth="1"/>
    <col min="1026" max="1280" width="9.140625" style="1080"/>
    <col min="1281" max="1281" width="100.7109375" style="1080" customWidth="1"/>
    <col min="1282" max="1536" width="9.140625" style="1080"/>
    <col min="1537" max="1537" width="100.7109375" style="1080" customWidth="1"/>
    <col min="1538" max="1792" width="9.140625" style="1080"/>
    <col min="1793" max="1793" width="100.7109375" style="1080" customWidth="1"/>
    <col min="1794" max="2048" width="9.140625" style="1080"/>
    <col min="2049" max="2049" width="100.7109375" style="1080" customWidth="1"/>
    <col min="2050" max="2304" width="9.140625" style="1080"/>
    <col min="2305" max="2305" width="100.7109375" style="1080" customWidth="1"/>
    <col min="2306" max="2560" width="9.140625" style="1080"/>
    <col min="2561" max="2561" width="100.7109375" style="1080" customWidth="1"/>
    <col min="2562" max="2816" width="9.140625" style="1080"/>
    <col min="2817" max="2817" width="100.7109375" style="1080" customWidth="1"/>
    <col min="2818" max="3072" width="9.140625" style="1080"/>
    <col min="3073" max="3073" width="100.7109375" style="1080" customWidth="1"/>
    <col min="3074" max="3328" width="9.140625" style="1080"/>
    <col min="3329" max="3329" width="100.7109375" style="1080" customWidth="1"/>
    <col min="3330" max="3584" width="9.140625" style="1080"/>
    <col min="3585" max="3585" width="100.7109375" style="1080" customWidth="1"/>
    <col min="3586" max="3840" width="9.140625" style="1080"/>
    <col min="3841" max="3841" width="100.7109375" style="1080" customWidth="1"/>
    <col min="3842" max="4096" width="9.140625" style="1080"/>
    <col min="4097" max="4097" width="100.7109375" style="1080" customWidth="1"/>
    <col min="4098" max="4352" width="9.140625" style="1080"/>
    <col min="4353" max="4353" width="100.7109375" style="1080" customWidth="1"/>
    <col min="4354" max="4608" width="9.140625" style="1080"/>
    <col min="4609" max="4609" width="100.7109375" style="1080" customWidth="1"/>
    <col min="4610" max="4864" width="9.140625" style="1080"/>
    <col min="4865" max="4865" width="100.7109375" style="1080" customWidth="1"/>
    <col min="4866" max="5120" width="9.140625" style="1080"/>
    <col min="5121" max="5121" width="100.7109375" style="1080" customWidth="1"/>
    <col min="5122" max="5376" width="9.140625" style="1080"/>
    <col min="5377" max="5377" width="100.7109375" style="1080" customWidth="1"/>
    <col min="5378" max="5632" width="9.140625" style="1080"/>
    <col min="5633" max="5633" width="100.7109375" style="1080" customWidth="1"/>
    <col min="5634" max="5888" width="9.140625" style="1080"/>
    <col min="5889" max="5889" width="100.7109375" style="1080" customWidth="1"/>
    <col min="5890" max="6144" width="9.140625" style="1080"/>
    <col min="6145" max="6145" width="100.7109375" style="1080" customWidth="1"/>
    <col min="6146" max="6400" width="9.140625" style="1080"/>
    <col min="6401" max="6401" width="100.7109375" style="1080" customWidth="1"/>
    <col min="6402" max="6656" width="9.140625" style="1080"/>
    <col min="6657" max="6657" width="100.7109375" style="1080" customWidth="1"/>
    <col min="6658" max="6912" width="9.140625" style="1080"/>
    <col min="6913" max="6913" width="100.7109375" style="1080" customWidth="1"/>
    <col min="6914" max="7168" width="9.140625" style="1080"/>
    <col min="7169" max="7169" width="100.7109375" style="1080" customWidth="1"/>
    <col min="7170" max="7424" width="9.140625" style="1080"/>
    <col min="7425" max="7425" width="100.7109375" style="1080" customWidth="1"/>
    <col min="7426" max="7680" width="9.140625" style="1080"/>
    <col min="7681" max="7681" width="100.7109375" style="1080" customWidth="1"/>
    <col min="7682" max="7936" width="9.140625" style="1080"/>
    <col min="7937" max="7937" width="100.7109375" style="1080" customWidth="1"/>
    <col min="7938" max="8192" width="9.140625" style="1080"/>
    <col min="8193" max="8193" width="100.7109375" style="1080" customWidth="1"/>
    <col min="8194" max="8448" width="9.140625" style="1080"/>
    <col min="8449" max="8449" width="100.7109375" style="1080" customWidth="1"/>
    <col min="8450" max="8704" width="9.140625" style="1080"/>
    <col min="8705" max="8705" width="100.7109375" style="1080" customWidth="1"/>
    <col min="8706" max="8960" width="9.140625" style="1080"/>
    <col min="8961" max="8961" width="100.7109375" style="1080" customWidth="1"/>
    <col min="8962" max="9216" width="9.140625" style="1080"/>
    <col min="9217" max="9217" width="100.7109375" style="1080" customWidth="1"/>
    <col min="9218" max="9472" width="9.140625" style="1080"/>
    <col min="9473" max="9473" width="100.7109375" style="1080" customWidth="1"/>
    <col min="9474" max="9728" width="9.140625" style="1080"/>
    <col min="9729" max="9729" width="100.7109375" style="1080" customWidth="1"/>
    <col min="9730" max="9984" width="9.140625" style="1080"/>
    <col min="9985" max="9985" width="100.7109375" style="1080" customWidth="1"/>
    <col min="9986" max="10240" width="9.140625" style="1080"/>
    <col min="10241" max="10241" width="100.7109375" style="1080" customWidth="1"/>
    <col min="10242" max="10496" width="9.140625" style="1080"/>
    <col min="10497" max="10497" width="100.7109375" style="1080" customWidth="1"/>
    <col min="10498" max="10752" width="9.140625" style="1080"/>
    <col min="10753" max="10753" width="100.7109375" style="1080" customWidth="1"/>
    <col min="10754" max="11008" width="9.140625" style="1080"/>
    <col min="11009" max="11009" width="100.7109375" style="1080" customWidth="1"/>
    <col min="11010" max="11264" width="9.140625" style="1080"/>
    <col min="11265" max="11265" width="100.7109375" style="1080" customWidth="1"/>
    <col min="11266" max="11520" width="9.140625" style="1080"/>
    <col min="11521" max="11521" width="100.7109375" style="1080" customWidth="1"/>
    <col min="11522" max="11776" width="9.140625" style="1080"/>
    <col min="11777" max="11777" width="100.7109375" style="1080" customWidth="1"/>
    <col min="11778" max="12032" width="9.140625" style="1080"/>
    <col min="12033" max="12033" width="100.7109375" style="1080" customWidth="1"/>
    <col min="12034" max="12288" width="9.140625" style="1080"/>
    <col min="12289" max="12289" width="100.7109375" style="1080" customWidth="1"/>
    <col min="12290" max="12544" width="9.140625" style="1080"/>
    <col min="12545" max="12545" width="100.7109375" style="1080" customWidth="1"/>
    <col min="12546" max="12800" width="9.140625" style="1080"/>
    <col min="12801" max="12801" width="100.7109375" style="1080" customWidth="1"/>
    <col min="12802" max="13056" width="9.140625" style="1080"/>
    <col min="13057" max="13057" width="100.7109375" style="1080" customWidth="1"/>
    <col min="13058" max="13312" width="9.140625" style="1080"/>
    <col min="13313" max="13313" width="100.7109375" style="1080" customWidth="1"/>
    <col min="13314" max="13568" width="9.140625" style="1080"/>
    <col min="13569" max="13569" width="100.7109375" style="1080" customWidth="1"/>
    <col min="13570" max="13824" width="9.140625" style="1080"/>
    <col min="13825" max="13825" width="100.7109375" style="1080" customWidth="1"/>
    <col min="13826" max="14080" width="9.140625" style="1080"/>
    <col min="14081" max="14081" width="100.7109375" style="1080" customWidth="1"/>
    <col min="14082" max="14336" width="9.140625" style="1080"/>
    <col min="14337" max="14337" width="100.7109375" style="1080" customWidth="1"/>
    <col min="14338" max="14592" width="9.140625" style="1080"/>
    <col min="14593" max="14593" width="100.7109375" style="1080" customWidth="1"/>
    <col min="14594" max="14848" width="9.140625" style="1080"/>
    <col min="14849" max="14849" width="100.7109375" style="1080" customWidth="1"/>
    <col min="14850" max="15104" width="9.140625" style="1080"/>
    <col min="15105" max="15105" width="100.7109375" style="1080" customWidth="1"/>
    <col min="15106" max="15360" width="9.140625" style="1080"/>
    <col min="15361" max="15361" width="100.7109375" style="1080" customWidth="1"/>
    <col min="15362" max="15616" width="9.140625" style="1080"/>
    <col min="15617" max="15617" width="100.7109375" style="1080" customWidth="1"/>
    <col min="15618" max="15872" width="9.140625" style="1080"/>
    <col min="15873" max="15873" width="100.7109375" style="1080" customWidth="1"/>
    <col min="15874" max="16128" width="9.140625" style="1080"/>
    <col min="16129" max="16129" width="100.7109375" style="1080" customWidth="1"/>
    <col min="16130" max="16384" width="9.140625" style="1080"/>
  </cols>
  <sheetData>
    <row r="1" spans="1:8" ht="30" customHeight="1">
      <c r="A1" s="1078"/>
      <c r="B1" s="1079"/>
      <c r="C1" s="1079"/>
      <c r="D1" s="1079"/>
      <c r="E1" s="1079"/>
      <c r="F1" s="1079"/>
      <c r="G1" s="1079"/>
      <c r="H1" s="1079"/>
    </row>
    <row r="2" spans="1:8" ht="14.25">
      <c r="A2" s="1081" t="s">
        <v>377</v>
      </c>
      <c r="B2" s="1079"/>
      <c r="C2" s="1079"/>
      <c r="D2" s="1079"/>
      <c r="E2" s="1079"/>
      <c r="F2" s="1079"/>
      <c r="G2" s="1079"/>
      <c r="H2" s="1079"/>
    </row>
    <row r="3" spans="1:8" ht="14.25">
      <c r="A3" s="1081" t="s">
        <v>378</v>
      </c>
      <c r="B3" s="1079"/>
      <c r="C3" s="1079"/>
      <c r="D3" s="1079"/>
      <c r="E3" s="1079"/>
      <c r="F3" s="1079"/>
      <c r="G3" s="1079"/>
      <c r="H3" s="1079"/>
    </row>
    <row r="4" spans="1:8" ht="14.25">
      <c r="A4" s="1081" t="s">
        <v>379</v>
      </c>
      <c r="B4" s="1079"/>
      <c r="C4" s="1079"/>
      <c r="D4" s="1079"/>
      <c r="E4" s="1079"/>
      <c r="F4" s="1079"/>
      <c r="G4" s="1079"/>
      <c r="H4" s="1079"/>
    </row>
    <row r="5" spans="1:8" ht="14.25">
      <c r="A5" s="1081" t="s">
        <v>380</v>
      </c>
      <c r="B5" s="1079"/>
      <c r="C5" s="1079"/>
      <c r="D5" s="1079"/>
      <c r="E5" s="1079"/>
      <c r="F5" s="1079"/>
      <c r="G5" s="1079"/>
      <c r="H5" s="1079"/>
    </row>
    <row r="6" spans="1:8" ht="14.25">
      <c r="A6" s="1081"/>
      <c r="B6" s="1079"/>
      <c r="C6" s="1079"/>
      <c r="D6" s="1079"/>
      <c r="E6" s="1079"/>
      <c r="F6" s="1079"/>
      <c r="G6" s="1079"/>
      <c r="H6" s="1079"/>
    </row>
    <row r="7" spans="1:8">
      <c r="A7" s="1078" t="s">
        <v>381</v>
      </c>
      <c r="B7" s="1079"/>
      <c r="C7" s="1079"/>
      <c r="D7" s="1079"/>
      <c r="E7" s="1079"/>
      <c r="F7" s="1079"/>
      <c r="G7" s="1079"/>
      <c r="H7" s="1079"/>
    </row>
    <row r="8" spans="1:8">
      <c r="A8" s="1078" t="s">
        <v>382</v>
      </c>
      <c r="B8" s="1079"/>
      <c r="C8" s="1079"/>
      <c r="D8" s="1079"/>
      <c r="E8" s="1079"/>
      <c r="F8" s="1079"/>
      <c r="G8" s="1079"/>
      <c r="H8" s="1079"/>
    </row>
    <row r="9" spans="1:8">
      <c r="A9" s="1078"/>
      <c r="B9" s="1079"/>
      <c r="C9" s="1079"/>
      <c r="D9" s="1079"/>
      <c r="E9" s="1079"/>
      <c r="F9" s="1079"/>
      <c r="G9" s="1079"/>
      <c r="H9" s="1079"/>
    </row>
    <row r="10" spans="1:8">
      <c r="A10" s="1082" t="s">
        <v>383</v>
      </c>
      <c r="B10" s="1079"/>
      <c r="C10" s="1079"/>
      <c r="D10" s="1079"/>
      <c r="E10" s="1079"/>
      <c r="F10" s="1079"/>
      <c r="G10" s="1079"/>
      <c r="H10" s="1079"/>
    </row>
    <row r="11" spans="1:8">
      <c r="A11" s="1082" t="s">
        <v>384</v>
      </c>
      <c r="B11" s="1079"/>
      <c r="C11" s="1079"/>
      <c r="D11" s="1079"/>
      <c r="E11" s="1079"/>
      <c r="F11" s="1079"/>
      <c r="G11" s="1079"/>
      <c r="H11" s="1079"/>
    </row>
    <row r="12" spans="1:8">
      <c r="A12" s="1082" t="s">
        <v>385</v>
      </c>
      <c r="B12" s="1079"/>
      <c r="C12" s="1079"/>
      <c r="D12" s="1079"/>
      <c r="E12" s="1079"/>
      <c r="F12" s="1079"/>
      <c r="G12" s="1079"/>
      <c r="H12" s="1079"/>
    </row>
    <row r="13" spans="1:8">
      <c r="A13" s="1082" t="s">
        <v>386</v>
      </c>
      <c r="B13" s="1079"/>
      <c r="C13" s="1079"/>
      <c r="D13" s="1079"/>
      <c r="E13" s="1079"/>
      <c r="F13" s="1079"/>
      <c r="G13" s="1079"/>
      <c r="H13" s="1079"/>
    </row>
    <row r="14" spans="1:8">
      <c r="A14" s="1082" t="s">
        <v>387</v>
      </c>
      <c r="B14" s="1079"/>
      <c r="C14" s="1079"/>
      <c r="D14" s="1079"/>
      <c r="E14" s="1079"/>
      <c r="F14" s="1079"/>
      <c r="G14" s="1079"/>
      <c r="H14" s="1079"/>
    </row>
    <row r="15" spans="1:8">
      <c r="A15" s="1082" t="s">
        <v>388</v>
      </c>
      <c r="B15" s="1079"/>
      <c r="C15" s="1079"/>
      <c r="D15" s="1079"/>
      <c r="E15" s="1079"/>
      <c r="F15" s="1079"/>
      <c r="G15" s="1079"/>
      <c r="H15" s="1079"/>
    </row>
    <row r="16" spans="1:8">
      <c r="A16" s="1082"/>
      <c r="B16" s="1079"/>
      <c r="C16" s="1079"/>
      <c r="D16" s="1079"/>
      <c r="E16" s="1079"/>
      <c r="F16" s="1079"/>
      <c r="G16" s="1079"/>
      <c r="H16" s="1079"/>
    </row>
    <row r="17" spans="1:8">
      <c r="A17" s="1082" t="s">
        <v>374</v>
      </c>
      <c r="B17" s="1079"/>
      <c r="C17" s="1079"/>
      <c r="D17" s="1079"/>
      <c r="E17" s="1079"/>
      <c r="F17" s="1079"/>
      <c r="G17" s="1079"/>
      <c r="H17" s="1079"/>
    </row>
    <row r="18" spans="1:8">
      <c r="A18" s="1082"/>
      <c r="B18" s="1079"/>
      <c r="C18" s="1079"/>
      <c r="D18" s="1079"/>
      <c r="E18" s="1079"/>
      <c r="F18" s="1079"/>
      <c r="G18" s="1079"/>
      <c r="H18" s="1079"/>
    </row>
    <row r="19" spans="1:8">
      <c r="A19" s="1082" t="s">
        <v>375</v>
      </c>
      <c r="B19" s="1079"/>
      <c r="C19" s="1079"/>
      <c r="D19" s="1079"/>
      <c r="E19" s="1079"/>
      <c r="F19" s="1079"/>
      <c r="G19" s="1079"/>
      <c r="H19" s="1079"/>
    </row>
    <row r="20" spans="1:8">
      <c r="A20" s="1078"/>
      <c r="B20" s="1079"/>
      <c r="C20" s="1079"/>
      <c r="D20" s="1079"/>
      <c r="E20" s="1079"/>
      <c r="F20" s="1079"/>
      <c r="G20" s="1079"/>
      <c r="H20" s="1079"/>
    </row>
    <row r="21" spans="1:8">
      <c r="A21" s="1083" t="s">
        <v>376</v>
      </c>
      <c r="B21" s="1079"/>
      <c r="C21" s="1079"/>
      <c r="D21" s="1079"/>
      <c r="E21" s="1079"/>
      <c r="F21" s="1079"/>
      <c r="G21" s="1079"/>
      <c r="H21" s="1079"/>
    </row>
    <row r="22" spans="1:8">
      <c r="A22" s="1084"/>
      <c r="B22" s="1084"/>
      <c r="C22" s="1084"/>
      <c r="D22" s="1084"/>
      <c r="E22" s="1084"/>
      <c r="F22" s="1084"/>
      <c r="G22" s="1084"/>
      <c r="H22" s="1084"/>
    </row>
    <row r="23" spans="1:8">
      <c r="A23" s="1085" t="s">
        <v>669</v>
      </c>
      <c r="B23" s="1084"/>
      <c r="C23" s="1084"/>
      <c r="D23" s="1084"/>
      <c r="E23" s="1084"/>
      <c r="F23" s="1084"/>
      <c r="G23" s="1084"/>
      <c r="H23" s="1084"/>
    </row>
    <row r="24" spans="1:8">
      <c r="A24" s="1085" t="s">
        <v>670</v>
      </c>
      <c r="B24" s="1084"/>
      <c r="C24" s="1084"/>
      <c r="D24" s="1084"/>
      <c r="E24" s="1084"/>
      <c r="F24" s="1084"/>
      <c r="G24" s="1084"/>
      <c r="H24" s="1084"/>
    </row>
    <row r="25" spans="1:8">
      <c r="A25" s="1085" t="s">
        <v>671</v>
      </c>
      <c r="B25" s="1084"/>
      <c r="C25" s="1084"/>
      <c r="D25" s="1084"/>
      <c r="E25" s="1084"/>
      <c r="F25" s="1084"/>
      <c r="G25" s="1084"/>
      <c r="H25" s="1084"/>
    </row>
    <row r="26" spans="1:8">
      <c r="A26" s="1085" t="s">
        <v>672</v>
      </c>
      <c r="B26" s="1084"/>
      <c r="C26" s="1084"/>
      <c r="D26" s="1084"/>
      <c r="E26" s="1084"/>
      <c r="F26" s="1084"/>
      <c r="G26" s="1084"/>
      <c r="H26" s="1084"/>
    </row>
    <row r="27" spans="1:8">
      <c r="A27" s="1084"/>
      <c r="B27" s="1084"/>
      <c r="C27" s="1084"/>
      <c r="D27" s="1084"/>
      <c r="E27" s="1084"/>
      <c r="F27" s="1084"/>
      <c r="G27" s="1084"/>
      <c r="H27" s="1084"/>
    </row>
    <row r="28" spans="1:8">
      <c r="A28" s="1084"/>
      <c r="B28" s="1084"/>
      <c r="C28" s="1084"/>
      <c r="D28" s="1084"/>
      <c r="E28" s="1084"/>
      <c r="F28" s="1084"/>
      <c r="G28" s="1084"/>
      <c r="H28" s="1084"/>
    </row>
    <row r="29" spans="1:8">
      <c r="A29" s="1085" t="s">
        <v>664</v>
      </c>
      <c r="B29" s="1084"/>
      <c r="C29" s="1084"/>
      <c r="D29" s="1084"/>
      <c r="E29" s="1084"/>
      <c r="F29" s="1084"/>
      <c r="G29" s="1084"/>
      <c r="H29" s="1084"/>
    </row>
    <row r="30" spans="1:8">
      <c r="A30" s="1085" t="s">
        <v>665</v>
      </c>
      <c r="B30" s="1084"/>
      <c r="C30" s="1084"/>
      <c r="D30" s="1084"/>
      <c r="E30" s="1084"/>
      <c r="F30" s="1084"/>
      <c r="G30" s="1084"/>
      <c r="H30" s="1084"/>
    </row>
    <row r="31" spans="1:8">
      <c r="A31" s="1085" t="s">
        <v>666</v>
      </c>
      <c r="B31" s="1084"/>
      <c r="C31" s="1084"/>
      <c r="D31" s="1084"/>
      <c r="E31" s="1084"/>
      <c r="F31" s="1084"/>
      <c r="G31" s="1084"/>
      <c r="H31" s="1084"/>
    </row>
    <row r="32" spans="1:8">
      <c r="A32" s="1085" t="s">
        <v>667</v>
      </c>
      <c r="B32" s="1084"/>
      <c r="C32" s="1084"/>
      <c r="D32" s="1084"/>
      <c r="E32" s="1084"/>
      <c r="F32" s="1084"/>
      <c r="G32" s="1084"/>
      <c r="H32" s="1084"/>
    </row>
    <row r="33" spans="1:8">
      <c r="A33" s="1085" t="s">
        <v>668</v>
      </c>
      <c r="B33" s="1084"/>
      <c r="C33" s="1084"/>
      <c r="D33" s="1084"/>
      <c r="E33" s="1084"/>
      <c r="F33" s="1084"/>
      <c r="G33" s="1084"/>
      <c r="H33" s="1084"/>
    </row>
    <row r="34" spans="1:8">
      <c r="A34" s="1084"/>
      <c r="B34" s="1084"/>
      <c r="C34" s="1084"/>
      <c r="D34" s="1084"/>
      <c r="E34" s="1084"/>
      <c r="F34" s="1084"/>
      <c r="G34" s="1084"/>
      <c r="H34" s="1084"/>
    </row>
    <row r="35" spans="1:8">
      <c r="A35" s="1085" t="s">
        <v>660</v>
      </c>
      <c r="B35" s="1084"/>
      <c r="C35" s="1084"/>
      <c r="D35" s="1084"/>
      <c r="E35" s="1084"/>
      <c r="F35" s="1084"/>
      <c r="G35" s="1084"/>
      <c r="H35" s="1084"/>
    </row>
    <row r="36" spans="1:8">
      <c r="A36" s="1085" t="s">
        <v>661</v>
      </c>
      <c r="B36" s="1084"/>
      <c r="C36" s="1084"/>
      <c r="D36" s="1084"/>
      <c r="E36" s="1084"/>
      <c r="F36" s="1084"/>
      <c r="G36" s="1084"/>
      <c r="H36" s="1084"/>
    </row>
    <row r="37" spans="1:8">
      <c r="A37" s="1085" t="s">
        <v>662</v>
      </c>
      <c r="B37" s="1084"/>
      <c r="C37" s="1084"/>
      <c r="D37" s="1084"/>
      <c r="E37" s="1084"/>
      <c r="F37" s="1084"/>
      <c r="G37" s="1084"/>
      <c r="H37" s="1084"/>
    </row>
    <row r="38" spans="1:8">
      <c r="A38" s="1085" t="s">
        <v>663</v>
      </c>
      <c r="B38" s="1084"/>
      <c r="C38" s="1084"/>
      <c r="D38" s="1084"/>
      <c r="E38" s="1084"/>
      <c r="F38" s="1084"/>
      <c r="G38" s="1084"/>
      <c r="H38" s="1084"/>
    </row>
    <row r="39" spans="1:8">
      <c r="A39" s="1084"/>
      <c r="B39" s="1084"/>
      <c r="C39" s="1084"/>
      <c r="D39" s="1084"/>
      <c r="E39" s="1084"/>
      <c r="F39" s="1084"/>
      <c r="G39" s="1084"/>
      <c r="H39" s="1084"/>
    </row>
    <row r="40" spans="1:8">
      <c r="A40" s="1085" t="s">
        <v>654</v>
      </c>
      <c r="B40" s="1084"/>
      <c r="C40" s="1084"/>
      <c r="D40" s="1084"/>
      <c r="E40" s="1084"/>
      <c r="F40" s="1084"/>
      <c r="G40" s="1084"/>
      <c r="H40" s="1084"/>
    </row>
    <row r="41" spans="1:8">
      <c r="A41" s="1085" t="s">
        <v>655</v>
      </c>
      <c r="B41" s="1084"/>
      <c r="C41" s="1084"/>
      <c r="D41" s="1084"/>
      <c r="E41" s="1084"/>
      <c r="F41" s="1084"/>
      <c r="G41" s="1084"/>
      <c r="H41" s="1084"/>
    </row>
    <row r="42" spans="1:8">
      <c r="A42" s="1085" t="s">
        <v>656</v>
      </c>
      <c r="B42" s="1084"/>
      <c r="C42" s="1084"/>
      <c r="D42" s="1084"/>
      <c r="E42" s="1084"/>
      <c r="F42" s="1084"/>
      <c r="G42" s="1084"/>
      <c r="H42" s="1084"/>
    </row>
    <row r="43" spans="1:8">
      <c r="A43" s="1085" t="s">
        <v>657</v>
      </c>
      <c r="B43" s="1084"/>
      <c r="C43" s="1084"/>
      <c r="D43" s="1084"/>
      <c r="E43" s="1084"/>
      <c r="F43" s="1084"/>
      <c r="G43" s="1084"/>
      <c r="H43" s="1084"/>
    </row>
    <row r="44" spans="1:8">
      <c r="A44" s="1085" t="s">
        <v>658</v>
      </c>
      <c r="B44" s="1084"/>
      <c r="C44" s="1084"/>
      <c r="D44" s="1084"/>
      <c r="E44" s="1084"/>
      <c r="F44" s="1084"/>
      <c r="G44" s="1084"/>
      <c r="H44" s="1084"/>
    </row>
    <row r="45" spans="1:8">
      <c r="A45" s="1085" t="s">
        <v>659</v>
      </c>
      <c r="B45" s="1084"/>
      <c r="C45" s="1084"/>
      <c r="D45" s="1084"/>
      <c r="E45" s="1084"/>
      <c r="F45" s="1084"/>
      <c r="G45" s="1084"/>
      <c r="H45" s="1084"/>
    </row>
    <row r="46" spans="1:8">
      <c r="A46" s="1084"/>
      <c r="B46" s="1084"/>
      <c r="C46" s="1084"/>
      <c r="D46" s="1084"/>
      <c r="E46" s="1084"/>
      <c r="F46" s="1084"/>
      <c r="G46" s="1084"/>
      <c r="H46" s="1084"/>
    </row>
    <row r="47" spans="1:8" ht="15.75">
      <c r="A47" s="1086" t="s">
        <v>389</v>
      </c>
      <c r="B47" s="1084"/>
      <c r="C47" s="1084"/>
      <c r="D47" s="1084"/>
      <c r="E47" s="1084"/>
      <c r="F47" s="1084"/>
      <c r="G47" s="1084"/>
      <c r="H47" s="1084"/>
    </row>
    <row r="48" spans="1:8">
      <c r="A48" s="1084"/>
      <c r="B48" s="1084"/>
      <c r="C48" s="1084"/>
      <c r="D48" s="1084"/>
      <c r="E48" s="1084"/>
      <c r="F48" s="1084"/>
      <c r="G48" s="1084"/>
      <c r="H48" s="1084"/>
    </row>
    <row r="49" spans="1:8">
      <c r="A49" s="1085" t="s">
        <v>650</v>
      </c>
      <c r="B49" s="1084"/>
      <c r="C49" s="1084"/>
      <c r="D49" s="1084"/>
      <c r="E49" s="1084"/>
      <c r="F49" s="1084"/>
      <c r="G49" s="1084"/>
      <c r="H49" s="1084"/>
    </row>
    <row r="50" spans="1:8">
      <c r="A50" s="1085" t="s">
        <v>651</v>
      </c>
      <c r="B50" s="1084"/>
      <c r="C50" s="1084"/>
      <c r="D50" s="1084"/>
      <c r="E50" s="1084"/>
      <c r="F50" s="1084"/>
      <c r="G50" s="1084"/>
      <c r="H50" s="1084"/>
    </row>
    <row r="51" spans="1:8">
      <c r="A51" s="1085" t="s">
        <v>652</v>
      </c>
      <c r="B51" s="1084"/>
      <c r="C51" s="1084"/>
      <c r="D51" s="1084"/>
      <c r="E51" s="1084"/>
      <c r="F51" s="1084"/>
      <c r="G51" s="1084"/>
      <c r="H51" s="1084"/>
    </row>
    <row r="52" spans="1:8">
      <c r="A52" s="1085" t="s">
        <v>653</v>
      </c>
      <c r="B52" s="1084"/>
      <c r="C52" s="1084"/>
      <c r="D52" s="1084"/>
      <c r="E52" s="1084"/>
      <c r="F52" s="1084"/>
      <c r="G52" s="1084"/>
      <c r="H52" s="1084"/>
    </row>
    <row r="53" spans="1:8">
      <c r="A53" s="1084"/>
      <c r="B53" s="1084"/>
      <c r="C53" s="1084"/>
      <c r="D53" s="1084"/>
      <c r="E53" s="1084"/>
      <c r="F53" s="1084"/>
      <c r="G53" s="1084"/>
      <c r="H53" s="1084"/>
    </row>
    <row r="54" spans="1:8">
      <c r="A54" s="1085" t="s">
        <v>390</v>
      </c>
      <c r="B54" s="1084"/>
      <c r="C54" s="1084"/>
      <c r="D54" s="1084"/>
      <c r="E54" s="1084"/>
      <c r="F54" s="1084"/>
      <c r="G54" s="1084"/>
      <c r="H54" s="1084"/>
    </row>
    <row r="55" spans="1:8">
      <c r="A55" s="1084"/>
      <c r="B55" s="1084"/>
      <c r="C55" s="1084"/>
      <c r="D55" s="1084"/>
      <c r="E55" s="1084"/>
      <c r="F55" s="1084"/>
      <c r="G55" s="1084"/>
      <c r="H55" s="1084"/>
    </row>
    <row r="56" spans="1:8" ht="15.75">
      <c r="A56" s="1086" t="s">
        <v>391</v>
      </c>
      <c r="B56" s="1084"/>
      <c r="C56" s="1084"/>
      <c r="D56" s="1084"/>
      <c r="E56" s="1084"/>
      <c r="F56" s="1084"/>
      <c r="G56" s="1084"/>
      <c r="H56" s="1084"/>
    </row>
    <row r="57" spans="1:8">
      <c r="A57" s="1084"/>
      <c r="B57" s="1084"/>
      <c r="C57" s="1084"/>
      <c r="D57" s="1084"/>
      <c r="E57" s="1084"/>
      <c r="F57" s="1084"/>
      <c r="G57" s="1084"/>
      <c r="H57" s="1084"/>
    </row>
    <row r="58" spans="1:8">
      <c r="A58" s="1085" t="s">
        <v>648</v>
      </c>
      <c r="B58" s="1084"/>
      <c r="C58" s="1084"/>
      <c r="D58" s="1084"/>
      <c r="E58" s="1084"/>
      <c r="F58" s="1084"/>
      <c r="G58" s="1084"/>
      <c r="H58" s="1084"/>
    </row>
    <row r="59" spans="1:8">
      <c r="A59" s="1085" t="s">
        <v>649</v>
      </c>
      <c r="B59" s="1084"/>
      <c r="C59" s="1084"/>
      <c r="D59" s="1084"/>
      <c r="E59" s="1084"/>
      <c r="F59" s="1084"/>
      <c r="G59" s="1084"/>
      <c r="H59" s="1084"/>
    </row>
    <row r="60" spans="1:8">
      <c r="A60" s="1084"/>
      <c r="B60" s="1084"/>
      <c r="C60" s="1084"/>
      <c r="D60" s="1084"/>
      <c r="E60" s="1084"/>
      <c r="F60" s="1084"/>
      <c r="G60" s="1084"/>
      <c r="H60" s="1084"/>
    </row>
    <row r="61" spans="1:8" ht="15.75">
      <c r="A61" s="1086" t="s">
        <v>392</v>
      </c>
      <c r="B61" s="1084"/>
      <c r="C61" s="1084"/>
      <c r="D61" s="1084"/>
      <c r="E61" s="1084"/>
      <c r="F61" s="1084"/>
      <c r="G61" s="1084"/>
      <c r="H61" s="1084"/>
    </row>
    <row r="62" spans="1:8">
      <c r="A62" s="1084"/>
      <c r="B62" s="1084"/>
      <c r="C62" s="1084"/>
      <c r="D62" s="1084"/>
      <c r="E62" s="1084"/>
      <c r="F62" s="1084"/>
      <c r="G62" s="1084"/>
      <c r="H62" s="1084"/>
    </row>
    <row r="63" spans="1:8">
      <c r="A63" s="1085" t="s">
        <v>646</v>
      </c>
      <c r="B63" s="1084"/>
      <c r="C63" s="1084"/>
      <c r="D63" s="1084"/>
      <c r="E63" s="1084"/>
      <c r="F63" s="1084"/>
      <c r="G63" s="1084"/>
      <c r="H63" s="1084"/>
    </row>
    <row r="64" spans="1:8">
      <c r="A64" s="1085" t="s">
        <v>647</v>
      </c>
      <c r="B64" s="1084"/>
      <c r="C64" s="1084"/>
      <c r="D64" s="1084"/>
      <c r="E64" s="1084"/>
      <c r="F64" s="1084"/>
      <c r="G64" s="1084"/>
      <c r="H64" s="1084"/>
    </row>
    <row r="65" spans="1:8">
      <c r="A65" s="1084"/>
      <c r="B65" s="1084"/>
      <c r="C65" s="1084"/>
      <c r="D65" s="1084"/>
      <c r="E65" s="1084"/>
      <c r="F65" s="1084"/>
      <c r="G65" s="1084"/>
      <c r="H65" s="1084"/>
    </row>
    <row r="66" spans="1:8">
      <c r="A66" s="1085" t="s">
        <v>644</v>
      </c>
      <c r="B66" s="1084"/>
      <c r="C66" s="1084"/>
      <c r="D66" s="1084"/>
      <c r="E66" s="1084"/>
      <c r="F66" s="1084"/>
      <c r="G66" s="1084"/>
      <c r="H66" s="1084"/>
    </row>
    <row r="67" spans="1:8">
      <c r="A67" s="1085" t="s">
        <v>645</v>
      </c>
      <c r="B67" s="1084"/>
      <c r="C67" s="1084"/>
      <c r="D67" s="1084"/>
      <c r="E67" s="1084"/>
      <c r="F67" s="1084"/>
      <c r="G67" s="1084"/>
      <c r="H67" s="1084"/>
    </row>
    <row r="68" spans="1:8">
      <c r="A68" s="1084"/>
      <c r="B68" s="1084"/>
      <c r="C68" s="1084"/>
      <c r="D68" s="1084"/>
      <c r="E68" s="1084"/>
      <c r="F68" s="1084"/>
      <c r="G68" s="1084"/>
      <c r="H68" s="1084"/>
    </row>
    <row r="69" spans="1:8">
      <c r="A69" s="1085" t="s">
        <v>642</v>
      </c>
      <c r="B69" s="1084"/>
      <c r="C69" s="1084"/>
      <c r="D69" s="1084"/>
      <c r="E69" s="1084"/>
      <c r="F69" s="1084"/>
      <c r="G69" s="1084"/>
      <c r="H69" s="1084"/>
    </row>
    <row r="70" spans="1:8">
      <c r="A70" s="1085" t="s">
        <v>643</v>
      </c>
      <c r="B70" s="1084"/>
      <c r="C70" s="1084"/>
      <c r="D70" s="1084"/>
      <c r="E70" s="1084"/>
      <c r="F70" s="1084"/>
      <c r="G70" s="1084"/>
      <c r="H70" s="1084"/>
    </row>
    <row r="71" spans="1:8">
      <c r="A71" s="1084"/>
      <c r="B71" s="1084"/>
      <c r="C71" s="1084"/>
      <c r="D71" s="1084"/>
      <c r="E71" s="1084"/>
      <c r="F71" s="1084"/>
      <c r="G71" s="1084"/>
      <c r="H71" s="1084"/>
    </row>
    <row r="72" spans="1:8">
      <c r="A72" s="1085" t="s">
        <v>640</v>
      </c>
      <c r="B72" s="1084"/>
      <c r="C72" s="1084"/>
      <c r="D72" s="1084"/>
      <c r="E72" s="1084"/>
      <c r="F72" s="1084"/>
      <c r="G72" s="1084"/>
      <c r="H72" s="1084"/>
    </row>
    <row r="73" spans="1:8">
      <c r="A73" s="1085" t="s">
        <v>641</v>
      </c>
      <c r="B73" s="1084"/>
      <c r="C73" s="1084"/>
      <c r="D73" s="1084"/>
      <c r="E73" s="1084"/>
      <c r="F73" s="1084"/>
      <c r="G73" s="1084"/>
      <c r="H73" s="1084"/>
    </row>
    <row r="74" spans="1:8">
      <c r="A74" s="1084"/>
      <c r="B74" s="1084"/>
      <c r="C74" s="1084"/>
      <c r="D74" s="1084"/>
      <c r="E74" s="1084"/>
      <c r="F74" s="1084"/>
      <c r="G74" s="1084"/>
      <c r="H74" s="1084"/>
    </row>
    <row r="75" spans="1:8">
      <c r="A75" s="1085" t="s">
        <v>637</v>
      </c>
      <c r="B75" s="1084"/>
      <c r="C75" s="1084"/>
      <c r="D75" s="1084"/>
      <c r="E75" s="1084"/>
      <c r="F75" s="1084"/>
      <c r="G75" s="1084"/>
      <c r="H75" s="1084"/>
    </row>
    <row r="76" spans="1:8">
      <c r="A76" s="1085" t="s">
        <v>638</v>
      </c>
      <c r="B76" s="1084"/>
      <c r="C76" s="1084"/>
      <c r="D76" s="1084"/>
      <c r="E76" s="1084"/>
      <c r="F76" s="1084"/>
      <c r="G76" s="1084"/>
      <c r="H76" s="1084"/>
    </row>
    <row r="77" spans="1:8">
      <c r="A77" s="1085" t="s">
        <v>639</v>
      </c>
      <c r="B77" s="1084"/>
      <c r="C77" s="1084"/>
      <c r="D77" s="1084"/>
      <c r="E77" s="1084"/>
      <c r="F77" s="1084"/>
      <c r="G77" s="1084"/>
      <c r="H77" s="1084"/>
    </row>
    <row r="78" spans="1:8">
      <c r="A78" s="1084"/>
      <c r="B78" s="1084"/>
      <c r="C78" s="1084"/>
      <c r="D78" s="1084"/>
      <c r="E78" s="1084"/>
      <c r="F78" s="1084"/>
      <c r="G78" s="1084"/>
      <c r="H78" s="1084"/>
    </row>
    <row r="79" spans="1:8">
      <c r="A79" s="1085" t="s">
        <v>393</v>
      </c>
      <c r="B79" s="1084"/>
      <c r="C79" s="1084"/>
      <c r="D79" s="1084"/>
      <c r="E79" s="1084"/>
      <c r="F79" s="1084"/>
      <c r="G79" s="1084"/>
      <c r="H79" s="1084"/>
    </row>
    <row r="80" spans="1:8">
      <c r="A80" s="1084"/>
      <c r="B80" s="1084"/>
      <c r="C80" s="1084"/>
      <c r="D80" s="1084"/>
      <c r="E80" s="1084"/>
      <c r="F80" s="1084"/>
      <c r="G80" s="1084"/>
      <c r="H80" s="1084"/>
    </row>
    <row r="81" spans="1:8">
      <c r="A81" s="1085" t="s">
        <v>632</v>
      </c>
      <c r="B81" s="1084"/>
      <c r="C81" s="1084"/>
      <c r="D81" s="1084"/>
      <c r="E81" s="1084"/>
      <c r="F81" s="1084"/>
      <c r="G81" s="1084"/>
      <c r="H81" s="1084"/>
    </row>
    <row r="82" spans="1:8">
      <c r="A82" s="1085" t="s">
        <v>633</v>
      </c>
      <c r="B82" s="1084"/>
      <c r="C82" s="1084"/>
      <c r="D82" s="1084"/>
      <c r="E82" s="1084"/>
      <c r="F82" s="1084"/>
      <c r="G82" s="1084"/>
      <c r="H82" s="1084"/>
    </row>
    <row r="83" spans="1:8">
      <c r="A83" s="1085" t="s">
        <v>634</v>
      </c>
      <c r="B83" s="1084"/>
      <c r="C83" s="1084"/>
      <c r="D83" s="1084"/>
      <c r="E83" s="1084"/>
      <c r="F83" s="1084"/>
      <c r="G83" s="1084"/>
      <c r="H83" s="1084"/>
    </row>
    <row r="84" spans="1:8">
      <c r="A84" s="1085" t="s">
        <v>635</v>
      </c>
      <c r="B84" s="1084"/>
      <c r="C84" s="1084"/>
      <c r="D84" s="1084"/>
      <c r="E84" s="1084"/>
      <c r="F84" s="1084"/>
      <c r="G84" s="1084"/>
      <c r="H84" s="1084"/>
    </row>
    <row r="85" spans="1:8">
      <c r="A85" s="1085" t="s">
        <v>636</v>
      </c>
      <c r="B85" s="1084"/>
      <c r="C85" s="1084"/>
      <c r="D85" s="1084"/>
      <c r="E85" s="1084"/>
      <c r="F85" s="1084"/>
      <c r="G85" s="1084"/>
      <c r="H85" s="1084"/>
    </row>
    <row r="86" spans="1:8">
      <c r="A86" s="1085" t="s">
        <v>519</v>
      </c>
      <c r="B86" s="1084"/>
      <c r="C86" s="1084"/>
      <c r="D86" s="1084"/>
      <c r="E86" s="1084"/>
      <c r="F86" s="1084"/>
      <c r="G86" s="1084"/>
      <c r="H86" s="1084"/>
    </row>
    <row r="87" spans="1:8">
      <c r="A87" s="1084"/>
      <c r="B87" s="1084"/>
      <c r="C87" s="1084"/>
      <c r="D87" s="1084"/>
      <c r="E87" s="1084"/>
      <c r="F87" s="1084"/>
      <c r="G87" s="1084"/>
      <c r="H87" s="1084"/>
    </row>
    <row r="88" spans="1:8">
      <c r="A88" s="1085" t="s">
        <v>625</v>
      </c>
      <c r="B88" s="1084"/>
      <c r="C88" s="1084"/>
      <c r="D88" s="1084"/>
      <c r="E88" s="1084"/>
      <c r="F88" s="1084"/>
      <c r="G88" s="1084"/>
      <c r="H88" s="1084"/>
    </row>
    <row r="89" spans="1:8">
      <c r="A89" s="1085" t="s">
        <v>626</v>
      </c>
      <c r="B89" s="1084"/>
      <c r="C89" s="1084"/>
      <c r="D89" s="1084"/>
      <c r="E89" s="1084"/>
      <c r="F89" s="1084"/>
      <c r="G89" s="1084"/>
      <c r="H89" s="1084"/>
    </row>
    <row r="90" spans="1:8">
      <c r="A90" s="1085" t="s">
        <v>627</v>
      </c>
      <c r="B90" s="1084"/>
      <c r="C90" s="1084"/>
      <c r="D90" s="1084"/>
      <c r="E90" s="1084"/>
      <c r="F90" s="1084"/>
      <c r="G90" s="1084"/>
      <c r="H90" s="1084"/>
    </row>
    <row r="91" spans="1:8">
      <c r="A91" s="1085" t="s">
        <v>628</v>
      </c>
      <c r="B91" s="1084"/>
      <c r="C91" s="1084"/>
      <c r="D91" s="1084"/>
      <c r="E91" s="1084"/>
      <c r="F91" s="1084"/>
      <c r="G91" s="1084"/>
      <c r="H91" s="1084"/>
    </row>
    <row r="92" spans="1:8">
      <c r="A92" s="1085" t="s">
        <v>629</v>
      </c>
      <c r="B92" s="1084"/>
      <c r="C92" s="1084"/>
      <c r="D92" s="1084"/>
      <c r="E92" s="1084"/>
      <c r="F92" s="1084"/>
      <c r="G92" s="1084"/>
      <c r="H92" s="1084"/>
    </row>
    <row r="93" spans="1:8">
      <c r="A93" s="1085" t="s">
        <v>630</v>
      </c>
      <c r="B93" s="1084"/>
      <c r="C93" s="1084"/>
      <c r="D93" s="1084"/>
      <c r="E93" s="1084"/>
      <c r="F93" s="1084"/>
      <c r="G93" s="1084"/>
      <c r="H93" s="1084"/>
    </row>
    <row r="94" spans="1:8">
      <c r="A94" s="1085" t="s">
        <v>631</v>
      </c>
      <c r="B94" s="1084"/>
      <c r="C94" s="1084"/>
      <c r="D94" s="1084"/>
      <c r="E94" s="1084"/>
      <c r="F94" s="1084"/>
      <c r="G94" s="1084"/>
      <c r="H94" s="1084"/>
    </row>
    <row r="95" spans="1:8">
      <c r="A95" s="1087"/>
      <c r="B95" s="1088"/>
      <c r="C95" s="1088"/>
      <c r="D95" s="1088"/>
      <c r="E95" s="1088"/>
      <c r="F95" s="1088"/>
      <c r="G95" s="1088"/>
      <c r="H95" s="1088"/>
    </row>
    <row r="96" spans="1:8">
      <c r="A96" s="1106" t="s">
        <v>741</v>
      </c>
      <c r="B96" s="1088"/>
      <c r="C96" s="1088"/>
      <c r="D96" s="1088"/>
      <c r="E96" s="1088"/>
      <c r="F96" s="1088"/>
      <c r="G96" s="1088"/>
      <c r="H96" s="1088"/>
    </row>
    <row r="97" spans="1:8">
      <c r="A97" s="1106" t="s">
        <v>742</v>
      </c>
      <c r="B97" s="1088"/>
      <c r="C97" s="1088"/>
      <c r="D97" s="1088"/>
      <c r="E97" s="1088"/>
      <c r="F97" s="1088"/>
      <c r="G97" s="1088"/>
      <c r="H97" s="1088"/>
    </row>
    <row r="98" spans="1:8">
      <c r="A98" s="1088"/>
      <c r="B98" s="1084"/>
      <c r="C98" s="1084"/>
      <c r="D98" s="1084"/>
      <c r="E98" s="1084"/>
      <c r="F98" s="1084"/>
      <c r="G98" s="1084"/>
      <c r="H98" s="1084"/>
    </row>
    <row r="99" spans="1:8">
      <c r="A99" s="1085" t="s">
        <v>623</v>
      </c>
      <c r="B99" s="1084"/>
      <c r="C99" s="1084"/>
      <c r="D99" s="1084"/>
      <c r="E99" s="1084"/>
      <c r="F99" s="1084"/>
      <c r="G99" s="1084"/>
      <c r="H99" s="1084"/>
    </row>
    <row r="100" spans="1:8">
      <c r="A100" s="1085" t="s">
        <v>624</v>
      </c>
      <c r="B100" s="1084"/>
      <c r="C100" s="1084"/>
      <c r="D100" s="1084"/>
      <c r="E100" s="1084"/>
      <c r="F100" s="1084"/>
      <c r="G100" s="1084"/>
      <c r="H100" s="1084"/>
    </row>
    <row r="101" spans="1:8">
      <c r="A101" s="1084"/>
      <c r="B101" s="1084"/>
      <c r="C101" s="1084"/>
      <c r="D101" s="1084"/>
      <c r="E101" s="1084"/>
      <c r="F101" s="1084"/>
      <c r="G101" s="1084"/>
      <c r="H101" s="1084"/>
    </row>
    <row r="102" spans="1:8" ht="15.75">
      <c r="A102" s="1086" t="s">
        <v>394</v>
      </c>
      <c r="B102" s="1084"/>
      <c r="C102" s="1084"/>
      <c r="D102" s="1084"/>
      <c r="E102" s="1084"/>
      <c r="F102" s="1084"/>
      <c r="G102" s="1084"/>
      <c r="H102" s="1084"/>
    </row>
    <row r="103" spans="1:8">
      <c r="A103" s="1084"/>
      <c r="B103" s="1084"/>
      <c r="C103" s="1084"/>
      <c r="D103" s="1084"/>
      <c r="E103" s="1084"/>
      <c r="F103" s="1084"/>
      <c r="G103" s="1084"/>
      <c r="H103" s="1084"/>
    </row>
    <row r="104" spans="1:8">
      <c r="A104" s="1085" t="s">
        <v>614</v>
      </c>
      <c r="B104" s="1084"/>
      <c r="C104" s="1084"/>
      <c r="D104" s="1084"/>
      <c r="E104" s="1084"/>
      <c r="F104" s="1084"/>
      <c r="G104" s="1084"/>
      <c r="H104" s="1084"/>
    </row>
    <row r="105" spans="1:8">
      <c r="A105" s="1085" t="s">
        <v>615</v>
      </c>
      <c r="B105" s="1084"/>
      <c r="C105" s="1084"/>
      <c r="D105" s="1084"/>
      <c r="E105" s="1084"/>
      <c r="F105" s="1084"/>
      <c r="G105" s="1084"/>
      <c r="H105" s="1084"/>
    </row>
    <row r="106" spans="1:8">
      <c r="A106" s="1085" t="s">
        <v>616</v>
      </c>
      <c r="B106" s="1084"/>
      <c r="C106" s="1084"/>
      <c r="D106" s="1084"/>
      <c r="E106" s="1084"/>
      <c r="F106" s="1084"/>
      <c r="G106" s="1084"/>
      <c r="H106" s="1084"/>
    </row>
    <row r="107" spans="1:8">
      <c r="A107" s="1085" t="s">
        <v>617</v>
      </c>
      <c r="B107" s="1084"/>
      <c r="C107" s="1084"/>
      <c r="D107" s="1084"/>
      <c r="E107" s="1084"/>
      <c r="F107" s="1084"/>
      <c r="G107" s="1084"/>
      <c r="H107" s="1084"/>
    </row>
    <row r="108" spans="1:8">
      <c r="A108" s="1085" t="s">
        <v>618</v>
      </c>
      <c r="B108" s="1084"/>
      <c r="C108" s="1084"/>
      <c r="D108" s="1084"/>
      <c r="E108" s="1084"/>
      <c r="F108" s="1084"/>
      <c r="G108" s="1084"/>
      <c r="H108" s="1084"/>
    </row>
    <row r="109" spans="1:8">
      <c r="A109" s="1085" t="s">
        <v>619</v>
      </c>
      <c r="B109" s="1084"/>
      <c r="C109" s="1084"/>
      <c r="D109" s="1084"/>
      <c r="E109" s="1084"/>
      <c r="F109" s="1084"/>
      <c r="G109" s="1084"/>
      <c r="H109" s="1084"/>
    </row>
    <row r="110" spans="1:8">
      <c r="A110" s="1085" t="s">
        <v>620</v>
      </c>
      <c r="B110" s="1084"/>
      <c r="C110" s="1084"/>
      <c r="D110" s="1084"/>
      <c r="E110" s="1084"/>
      <c r="F110" s="1084"/>
      <c r="G110" s="1084"/>
      <c r="H110" s="1084"/>
    </row>
    <row r="111" spans="1:8">
      <c r="A111" s="1085" t="s">
        <v>621</v>
      </c>
      <c r="B111" s="1084"/>
      <c r="C111" s="1084"/>
      <c r="D111" s="1084"/>
      <c r="E111" s="1084"/>
      <c r="F111" s="1084"/>
      <c r="G111" s="1084"/>
      <c r="H111" s="1084"/>
    </row>
    <row r="112" spans="1:8">
      <c r="A112" s="1085" t="s">
        <v>622</v>
      </c>
      <c r="B112" s="1084"/>
      <c r="C112" s="1084"/>
      <c r="D112" s="1084"/>
      <c r="E112" s="1084"/>
      <c r="F112" s="1084"/>
      <c r="G112" s="1084"/>
      <c r="H112" s="1084"/>
    </row>
    <row r="113" spans="1:8">
      <c r="A113" s="1084"/>
      <c r="B113" s="1084"/>
      <c r="C113" s="1084"/>
      <c r="D113" s="1084"/>
      <c r="E113" s="1084"/>
      <c r="F113" s="1084"/>
      <c r="G113" s="1084"/>
      <c r="H113" s="1084"/>
    </row>
    <row r="114" spans="1:8" ht="15.75">
      <c r="A114" s="1103" t="s">
        <v>395</v>
      </c>
      <c r="B114" s="1103"/>
      <c r="C114" s="1103"/>
      <c r="D114" s="1103"/>
      <c r="E114" s="1103"/>
      <c r="F114" s="1103"/>
      <c r="G114" s="1103"/>
      <c r="H114" s="1103"/>
    </row>
    <row r="115" spans="1:8">
      <c r="A115" s="1099" t="s">
        <v>396</v>
      </c>
      <c r="B115" s="1099"/>
      <c r="C115" s="1099"/>
      <c r="D115" s="1099"/>
      <c r="E115" s="1099"/>
      <c r="F115" s="1099"/>
      <c r="G115" s="1099"/>
      <c r="H115" s="1099"/>
    </row>
    <row r="116" spans="1:8">
      <c r="A116" s="1104"/>
      <c r="B116" s="1104"/>
      <c r="C116" s="1104"/>
      <c r="D116" s="1104"/>
      <c r="E116" s="1104"/>
      <c r="F116" s="1104"/>
      <c r="G116" s="1104"/>
      <c r="H116" s="1104"/>
    </row>
    <row r="117" spans="1:8">
      <c r="A117" s="1099" t="s">
        <v>612</v>
      </c>
      <c r="B117" s="1099"/>
      <c r="C117" s="1099"/>
      <c r="D117" s="1099"/>
      <c r="E117" s="1099"/>
      <c r="F117" s="1099"/>
      <c r="G117" s="1099"/>
      <c r="H117" s="1099"/>
    </row>
    <row r="118" spans="1:8">
      <c r="A118" s="1085" t="s">
        <v>613</v>
      </c>
      <c r="B118" s="1085"/>
      <c r="C118" s="1085"/>
      <c r="D118" s="1085"/>
      <c r="E118" s="1085"/>
      <c r="F118" s="1085"/>
      <c r="G118" s="1085"/>
      <c r="H118" s="1085"/>
    </row>
    <row r="119" spans="1:8">
      <c r="A119" s="1104"/>
      <c r="B119" s="1104"/>
      <c r="C119" s="1104"/>
      <c r="D119" s="1104"/>
      <c r="E119" s="1104"/>
      <c r="F119" s="1104"/>
      <c r="G119" s="1104"/>
      <c r="H119" s="1104"/>
    </row>
    <row r="120" spans="1:8">
      <c r="A120" s="1099" t="s">
        <v>605</v>
      </c>
      <c r="B120" s="1099"/>
      <c r="C120" s="1099"/>
      <c r="D120" s="1099"/>
      <c r="E120" s="1099"/>
      <c r="F120" s="1099"/>
      <c r="G120" s="1099"/>
      <c r="H120" s="1099"/>
    </row>
    <row r="121" spans="1:8">
      <c r="A121" s="1085" t="s">
        <v>606</v>
      </c>
      <c r="B121" s="1085"/>
      <c r="C121" s="1085"/>
      <c r="D121" s="1085"/>
      <c r="E121" s="1085"/>
      <c r="F121" s="1085"/>
      <c r="G121" s="1085"/>
      <c r="H121" s="1085"/>
    </row>
    <row r="122" spans="1:8">
      <c r="A122" s="1085" t="s">
        <v>607</v>
      </c>
      <c r="B122" s="1085"/>
      <c r="C122" s="1085"/>
      <c r="D122" s="1085"/>
      <c r="E122" s="1085"/>
      <c r="F122" s="1085"/>
      <c r="G122" s="1085"/>
      <c r="H122" s="1085"/>
    </row>
    <row r="123" spans="1:8">
      <c r="A123" s="1085" t="s">
        <v>608</v>
      </c>
      <c r="B123" s="1085"/>
      <c r="C123" s="1085"/>
      <c r="D123" s="1085"/>
      <c r="E123" s="1085"/>
      <c r="F123" s="1085"/>
      <c r="G123" s="1085"/>
      <c r="H123" s="1085"/>
    </row>
    <row r="124" spans="1:8">
      <c r="A124" s="1085" t="s">
        <v>609</v>
      </c>
      <c r="B124" s="1085"/>
      <c r="C124" s="1085"/>
      <c r="D124" s="1085"/>
      <c r="E124" s="1085"/>
      <c r="F124" s="1085"/>
      <c r="G124" s="1085"/>
      <c r="H124" s="1085"/>
    </row>
    <row r="125" spans="1:8">
      <c r="A125" s="1085" t="s">
        <v>610</v>
      </c>
      <c r="B125" s="1085"/>
      <c r="C125" s="1085"/>
      <c r="D125" s="1085"/>
      <c r="E125" s="1085"/>
      <c r="F125" s="1085"/>
      <c r="G125" s="1085"/>
      <c r="H125" s="1085"/>
    </row>
    <row r="126" spans="1:8">
      <c r="A126" s="1085" t="s">
        <v>611</v>
      </c>
      <c r="B126" s="1085"/>
      <c r="C126" s="1085"/>
      <c r="D126" s="1085"/>
      <c r="E126" s="1085"/>
      <c r="F126" s="1085"/>
      <c r="G126" s="1085"/>
      <c r="H126" s="1085"/>
    </row>
    <row r="127" spans="1:8">
      <c r="A127" s="1105"/>
      <c r="B127" s="1105"/>
      <c r="C127" s="1105"/>
      <c r="D127" s="1105"/>
      <c r="E127" s="1105"/>
      <c r="F127" s="1105"/>
      <c r="G127" s="1105"/>
      <c r="H127" s="1105"/>
    </row>
    <row r="128" spans="1:8">
      <c r="A128" s="1089"/>
      <c r="B128" s="1100" t="s">
        <v>397</v>
      </c>
      <c r="C128" s="1101"/>
      <c r="D128" s="1100" t="s">
        <v>398</v>
      </c>
      <c r="E128" s="1102"/>
      <c r="F128" s="1101"/>
      <c r="G128" s="1100" t="s">
        <v>399</v>
      </c>
      <c r="H128" s="1101"/>
    </row>
    <row r="129" spans="1:8">
      <c r="A129" s="1089" t="s">
        <v>400</v>
      </c>
      <c r="B129" s="1089" t="s">
        <v>9</v>
      </c>
      <c r="C129" s="1089" t="s">
        <v>401</v>
      </c>
      <c r="D129" s="1089" t="s">
        <v>9</v>
      </c>
      <c r="E129" s="1089" t="s">
        <v>402</v>
      </c>
      <c r="F129" s="1089" t="s">
        <v>403</v>
      </c>
      <c r="G129" s="1089" t="s">
        <v>9</v>
      </c>
      <c r="H129" s="1089" t="s">
        <v>404</v>
      </c>
    </row>
    <row r="130" spans="1:8">
      <c r="A130" s="1089" t="s">
        <v>405</v>
      </c>
      <c r="B130" s="1089">
        <v>1189</v>
      </c>
      <c r="C130" s="1090">
        <v>0.38</v>
      </c>
      <c r="D130" s="1089">
        <v>315</v>
      </c>
      <c r="E130" s="1090">
        <v>0.41</v>
      </c>
      <c r="F130" s="1090">
        <v>0.26</v>
      </c>
      <c r="G130" s="1089">
        <v>555</v>
      </c>
      <c r="H130" s="1090">
        <v>0.39</v>
      </c>
    </row>
    <row r="131" spans="1:8">
      <c r="A131" s="1089" t="s">
        <v>406</v>
      </c>
      <c r="B131" s="1089">
        <v>1355</v>
      </c>
      <c r="C131" s="1090">
        <v>0.43</v>
      </c>
      <c r="D131" s="1089">
        <v>364</v>
      </c>
      <c r="E131" s="1090">
        <v>0.47</v>
      </c>
      <c r="F131" s="1090">
        <v>0.27</v>
      </c>
      <c r="G131" s="1089">
        <v>644</v>
      </c>
      <c r="H131" s="1090">
        <v>0.45</v>
      </c>
    </row>
    <row r="132" spans="1:8">
      <c r="A132" s="1089" t="s">
        <v>407</v>
      </c>
      <c r="B132" s="1089">
        <v>53</v>
      </c>
      <c r="C132" s="1090">
        <v>0.02</v>
      </c>
      <c r="D132" s="1089">
        <v>4</v>
      </c>
      <c r="E132" s="1090">
        <v>0.01</v>
      </c>
      <c r="F132" s="1090">
        <v>0.08</v>
      </c>
      <c r="G132" s="1089">
        <v>7</v>
      </c>
      <c r="H132" s="1090">
        <v>0</v>
      </c>
    </row>
    <row r="133" spans="1:8">
      <c r="A133" s="1089" t="s">
        <v>408</v>
      </c>
      <c r="B133" s="1089">
        <v>545</v>
      </c>
      <c r="C133" s="1090">
        <v>0.17</v>
      </c>
      <c r="D133" s="1089">
        <v>84</v>
      </c>
      <c r="E133" s="1090">
        <v>0.11</v>
      </c>
      <c r="F133" s="1090">
        <v>0.15</v>
      </c>
      <c r="G133" s="1089">
        <v>214</v>
      </c>
      <c r="H133" s="1090">
        <v>0.15</v>
      </c>
    </row>
    <row r="134" spans="1:8">
      <c r="A134" s="1089" t="s">
        <v>2</v>
      </c>
      <c r="B134" s="1091">
        <v>3142</v>
      </c>
      <c r="C134" s="1089"/>
      <c r="D134" s="1089">
        <v>767</v>
      </c>
      <c r="E134" s="1089"/>
      <c r="F134" s="1089"/>
      <c r="G134" s="1089">
        <v>1420</v>
      </c>
      <c r="H134" s="1089"/>
    </row>
    <row r="135" spans="1:8">
      <c r="A135" s="1098"/>
      <c r="B135" s="1098"/>
      <c r="C135" s="1098"/>
      <c r="D135" s="1098"/>
      <c r="E135" s="1098"/>
      <c r="F135" s="1098"/>
      <c r="G135" s="1098"/>
      <c r="H135" s="1098"/>
    </row>
    <row r="136" spans="1:8">
      <c r="A136" s="1099" t="s">
        <v>601</v>
      </c>
      <c r="B136" s="1099"/>
      <c r="C136" s="1099"/>
      <c r="D136" s="1099"/>
      <c r="E136" s="1099"/>
      <c r="F136" s="1099"/>
      <c r="G136" s="1099"/>
      <c r="H136" s="1099"/>
    </row>
    <row r="137" spans="1:8">
      <c r="A137" s="1085" t="s">
        <v>602</v>
      </c>
      <c r="B137" s="1085"/>
      <c r="C137" s="1085"/>
      <c r="D137" s="1085"/>
      <c r="E137" s="1085"/>
      <c r="F137" s="1085"/>
      <c r="G137" s="1085"/>
      <c r="H137" s="1085"/>
    </row>
    <row r="138" spans="1:8">
      <c r="A138" s="1085" t="s">
        <v>603</v>
      </c>
      <c r="B138" s="1085"/>
      <c r="C138" s="1085"/>
      <c r="D138" s="1085"/>
      <c r="E138" s="1085"/>
      <c r="F138" s="1085"/>
      <c r="G138" s="1085"/>
      <c r="H138" s="1085"/>
    </row>
    <row r="139" spans="1:8">
      <c r="A139" s="1085" t="s">
        <v>604</v>
      </c>
      <c r="B139" s="1085"/>
      <c r="C139" s="1085"/>
      <c r="D139" s="1085"/>
      <c r="E139" s="1085"/>
      <c r="F139" s="1085"/>
      <c r="G139" s="1085"/>
      <c r="H139" s="1085"/>
    </row>
    <row r="140" spans="1:8">
      <c r="A140" s="1084"/>
      <c r="B140" s="1084"/>
      <c r="C140" s="1084"/>
      <c r="D140" s="1084"/>
      <c r="E140" s="1084"/>
      <c r="F140" s="1084"/>
      <c r="G140" s="1084"/>
      <c r="H140" s="1084"/>
    </row>
    <row r="141" spans="1:8" ht="15.75">
      <c r="A141" s="1086" t="s">
        <v>409</v>
      </c>
      <c r="B141" s="1084"/>
      <c r="C141" s="1084"/>
      <c r="D141" s="1084"/>
      <c r="E141" s="1084"/>
      <c r="F141" s="1084"/>
      <c r="G141" s="1084"/>
      <c r="H141" s="1084"/>
    </row>
    <row r="142" spans="1:8">
      <c r="A142" s="1084"/>
      <c r="B142" s="1084"/>
      <c r="C142" s="1084"/>
      <c r="D142" s="1084"/>
      <c r="E142" s="1084"/>
      <c r="F142" s="1084"/>
      <c r="G142" s="1084"/>
      <c r="H142" s="1084"/>
    </row>
    <row r="143" spans="1:8">
      <c r="A143" s="1085" t="s">
        <v>599</v>
      </c>
      <c r="B143" s="1084"/>
      <c r="C143" s="1084"/>
      <c r="D143" s="1084"/>
      <c r="E143" s="1084"/>
      <c r="F143" s="1084"/>
      <c r="G143" s="1084"/>
      <c r="H143" s="1084"/>
    </row>
    <row r="144" spans="1:8">
      <c r="A144" s="1085" t="s">
        <v>600</v>
      </c>
      <c r="B144" s="1084"/>
      <c r="C144" s="1084"/>
      <c r="D144" s="1084"/>
      <c r="E144" s="1084"/>
      <c r="F144" s="1084"/>
      <c r="G144" s="1084"/>
      <c r="H144" s="1084"/>
    </row>
    <row r="145" spans="1:8">
      <c r="A145" s="1084"/>
      <c r="B145" s="1084"/>
      <c r="C145" s="1084"/>
      <c r="D145" s="1084"/>
      <c r="E145" s="1084"/>
      <c r="F145" s="1084"/>
      <c r="G145" s="1084"/>
      <c r="H145" s="1084"/>
    </row>
    <row r="146" spans="1:8">
      <c r="A146" s="1085" t="s">
        <v>596</v>
      </c>
      <c r="B146" s="1084"/>
      <c r="C146" s="1084"/>
      <c r="D146" s="1084"/>
      <c r="E146" s="1084"/>
      <c r="F146" s="1084"/>
      <c r="G146" s="1084"/>
      <c r="H146" s="1084"/>
    </row>
    <row r="147" spans="1:8">
      <c r="A147" s="1085" t="s">
        <v>597</v>
      </c>
      <c r="B147" s="1084"/>
      <c r="C147" s="1084"/>
      <c r="D147" s="1084"/>
      <c r="E147" s="1084"/>
      <c r="F147" s="1084"/>
      <c r="G147" s="1084"/>
      <c r="H147" s="1084"/>
    </row>
    <row r="148" spans="1:8">
      <c r="A148" s="1085" t="s">
        <v>598</v>
      </c>
      <c r="B148" s="1084"/>
      <c r="C148" s="1084"/>
      <c r="D148" s="1084"/>
      <c r="E148" s="1084"/>
      <c r="F148" s="1084"/>
      <c r="G148" s="1084"/>
      <c r="H148" s="1084"/>
    </row>
    <row r="149" spans="1:8">
      <c r="A149" s="1084"/>
      <c r="B149" s="1084"/>
      <c r="C149" s="1084"/>
      <c r="D149" s="1084"/>
      <c r="E149" s="1084"/>
      <c r="F149" s="1084"/>
      <c r="G149" s="1084"/>
      <c r="H149" s="1084"/>
    </row>
    <row r="150" spans="1:8">
      <c r="A150" s="1085" t="s">
        <v>593</v>
      </c>
      <c r="B150" s="1084"/>
      <c r="C150" s="1084"/>
      <c r="D150" s="1084"/>
      <c r="E150" s="1084"/>
      <c r="F150" s="1084"/>
      <c r="G150" s="1084"/>
      <c r="H150" s="1084"/>
    </row>
    <row r="151" spans="1:8">
      <c r="A151" s="1085" t="s">
        <v>594</v>
      </c>
      <c r="B151" s="1084"/>
      <c r="C151" s="1084"/>
      <c r="D151" s="1084"/>
      <c r="E151" s="1084"/>
      <c r="F151" s="1084"/>
      <c r="G151" s="1084"/>
      <c r="H151" s="1084"/>
    </row>
    <row r="152" spans="1:8">
      <c r="A152" s="1085" t="s">
        <v>595</v>
      </c>
      <c r="B152" s="1084"/>
      <c r="C152" s="1084"/>
      <c r="D152" s="1084"/>
      <c r="E152" s="1084"/>
      <c r="F152" s="1084"/>
      <c r="G152" s="1084"/>
      <c r="H152" s="1084"/>
    </row>
    <row r="153" spans="1:8">
      <c r="A153" s="1084"/>
      <c r="B153" s="1084"/>
      <c r="C153" s="1084"/>
      <c r="D153" s="1084"/>
      <c r="E153" s="1084"/>
      <c r="F153" s="1084"/>
      <c r="G153" s="1084"/>
      <c r="H153" s="1084"/>
    </row>
    <row r="154" spans="1:8">
      <c r="A154" s="1085" t="s">
        <v>590</v>
      </c>
      <c r="B154" s="1084"/>
      <c r="C154" s="1084"/>
      <c r="D154" s="1084"/>
      <c r="E154" s="1084"/>
      <c r="F154" s="1084"/>
      <c r="G154" s="1084"/>
      <c r="H154" s="1084"/>
    </row>
    <row r="155" spans="1:8">
      <c r="A155" s="1085" t="s">
        <v>591</v>
      </c>
      <c r="B155" s="1084"/>
      <c r="C155" s="1084"/>
      <c r="D155" s="1084"/>
      <c r="E155" s="1084"/>
      <c r="F155" s="1084"/>
      <c r="G155" s="1084"/>
      <c r="H155" s="1084"/>
    </row>
    <row r="156" spans="1:8">
      <c r="A156" s="1085" t="s">
        <v>592</v>
      </c>
      <c r="B156" s="1084"/>
      <c r="C156" s="1084"/>
      <c r="D156" s="1084"/>
      <c r="E156" s="1084"/>
      <c r="F156" s="1084"/>
      <c r="G156" s="1084"/>
      <c r="H156" s="1084"/>
    </row>
    <row r="157" spans="1:8">
      <c r="A157" s="1084"/>
      <c r="B157" s="1084"/>
      <c r="C157" s="1084"/>
      <c r="D157" s="1084"/>
      <c r="E157" s="1084"/>
      <c r="F157" s="1084"/>
      <c r="G157" s="1084"/>
      <c r="H157" s="1084"/>
    </row>
    <row r="158" spans="1:8">
      <c r="A158" s="1085" t="s">
        <v>588</v>
      </c>
      <c r="B158" s="1084"/>
      <c r="C158" s="1084"/>
      <c r="D158" s="1084"/>
      <c r="E158" s="1084"/>
      <c r="F158" s="1084"/>
      <c r="G158" s="1084"/>
      <c r="H158" s="1084"/>
    </row>
    <row r="159" spans="1:8">
      <c r="A159" s="1085" t="s">
        <v>589</v>
      </c>
      <c r="B159" s="1084"/>
      <c r="C159" s="1084"/>
      <c r="D159" s="1084"/>
      <c r="E159" s="1084"/>
      <c r="F159" s="1084"/>
      <c r="G159" s="1084"/>
      <c r="H159" s="1084"/>
    </row>
    <row r="160" spans="1:8">
      <c r="A160" s="1084"/>
      <c r="B160" s="1084"/>
      <c r="C160" s="1084"/>
      <c r="D160" s="1084"/>
      <c r="E160" s="1084"/>
      <c r="F160" s="1084"/>
      <c r="G160" s="1084"/>
      <c r="H160" s="1084"/>
    </row>
    <row r="161" spans="1:8" ht="15.75">
      <c r="A161" s="1086" t="s">
        <v>410</v>
      </c>
      <c r="B161" s="1084"/>
      <c r="C161" s="1084"/>
      <c r="D161" s="1084"/>
      <c r="E161" s="1084"/>
      <c r="F161" s="1084"/>
      <c r="G161" s="1084"/>
      <c r="H161" s="1084"/>
    </row>
    <row r="162" spans="1:8">
      <c r="A162" s="1084"/>
      <c r="B162" s="1084"/>
      <c r="C162" s="1084"/>
      <c r="D162" s="1084"/>
      <c r="E162" s="1084"/>
      <c r="F162" s="1084"/>
      <c r="G162" s="1084"/>
      <c r="H162" s="1084"/>
    </row>
    <row r="163" spans="1:8">
      <c r="A163" s="1085" t="s">
        <v>586</v>
      </c>
      <c r="B163" s="1084"/>
      <c r="C163" s="1084"/>
      <c r="D163" s="1084"/>
      <c r="E163" s="1084"/>
      <c r="F163" s="1084"/>
      <c r="G163" s="1084"/>
      <c r="H163" s="1084"/>
    </row>
    <row r="164" spans="1:8">
      <c r="A164" s="1085" t="s">
        <v>587</v>
      </c>
      <c r="B164" s="1084"/>
      <c r="C164" s="1084"/>
      <c r="D164" s="1084"/>
      <c r="E164" s="1084"/>
      <c r="F164" s="1084"/>
      <c r="G164" s="1084"/>
      <c r="H164" s="1084"/>
    </row>
    <row r="165" spans="1:8">
      <c r="A165" s="1084"/>
      <c r="B165" s="1084"/>
      <c r="C165" s="1084"/>
      <c r="D165" s="1084"/>
      <c r="E165" s="1084"/>
      <c r="F165" s="1084"/>
      <c r="G165" s="1084"/>
      <c r="H165" s="1084"/>
    </row>
    <row r="166" spans="1:8">
      <c r="A166" s="1085" t="s">
        <v>584</v>
      </c>
      <c r="B166" s="1084"/>
      <c r="C166" s="1084"/>
      <c r="D166" s="1084"/>
      <c r="E166" s="1084"/>
      <c r="F166" s="1084"/>
      <c r="G166" s="1084"/>
      <c r="H166" s="1084"/>
    </row>
    <row r="167" spans="1:8">
      <c r="A167" s="1085" t="s">
        <v>585</v>
      </c>
      <c r="B167" s="1084"/>
      <c r="C167" s="1084"/>
      <c r="D167" s="1084"/>
      <c r="E167" s="1084"/>
      <c r="F167" s="1084"/>
      <c r="G167" s="1084"/>
      <c r="H167" s="1084"/>
    </row>
    <row r="168" spans="1:8">
      <c r="A168" s="1084"/>
      <c r="B168" s="1084"/>
      <c r="C168" s="1084"/>
      <c r="D168" s="1084"/>
      <c r="E168" s="1084"/>
      <c r="F168" s="1084"/>
      <c r="G168" s="1084"/>
      <c r="H168" s="1084"/>
    </row>
    <row r="169" spans="1:8">
      <c r="A169" s="1085" t="s">
        <v>582</v>
      </c>
      <c r="B169" s="1084"/>
      <c r="C169" s="1084"/>
      <c r="D169" s="1084"/>
      <c r="E169" s="1084"/>
      <c r="F169" s="1084"/>
      <c r="G169" s="1084"/>
      <c r="H169" s="1084"/>
    </row>
    <row r="170" spans="1:8">
      <c r="A170" s="1085" t="s">
        <v>583</v>
      </c>
      <c r="B170" s="1084"/>
      <c r="C170" s="1084"/>
      <c r="D170" s="1084"/>
      <c r="E170" s="1084"/>
      <c r="F170" s="1084"/>
      <c r="G170" s="1084"/>
      <c r="H170" s="1084"/>
    </row>
    <row r="171" spans="1:8">
      <c r="A171" s="1084"/>
      <c r="B171" s="1084"/>
      <c r="C171" s="1084"/>
      <c r="D171" s="1084"/>
      <c r="E171" s="1084"/>
      <c r="F171" s="1084"/>
      <c r="G171" s="1084"/>
      <c r="H171" s="1084"/>
    </row>
    <row r="172" spans="1:8">
      <c r="A172" s="1085" t="s">
        <v>579</v>
      </c>
      <c r="B172" s="1084"/>
      <c r="C172" s="1084"/>
      <c r="D172" s="1084"/>
      <c r="E172" s="1084"/>
      <c r="F172" s="1084"/>
      <c r="G172" s="1084"/>
      <c r="H172" s="1084"/>
    </row>
    <row r="173" spans="1:8">
      <c r="A173" s="1085" t="s">
        <v>580</v>
      </c>
      <c r="B173" s="1084"/>
      <c r="C173" s="1084"/>
      <c r="D173" s="1084"/>
      <c r="E173" s="1084"/>
      <c r="F173" s="1084"/>
      <c r="G173" s="1084"/>
      <c r="H173" s="1084"/>
    </row>
    <row r="174" spans="1:8">
      <c r="A174" s="1085" t="s">
        <v>581</v>
      </c>
      <c r="B174" s="1084"/>
      <c r="C174" s="1084"/>
      <c r="D174" s="1084"/>
      <c r="E174" s="1084"/>
      <c r="F174" s="1084"/>
      <c r="G174" s="1084"/>
      <c r="H174" s="1084"/>
    </row>
    <row r="175" spans="1:8">
      <c r="A175" s="1084"/>
      <c r="B175" s="1084"/>
      <c r="C175" s="1084"/>
      <c r="D175" s="1084"/>
      <c r="E175" s="1084"/>
      <c r="F175" s="1084"/>
      <c r="G175" s="1084"/>
      <c r="H175" s="1084"/>
    </row>
    <row r="176" spans="1:8">
      <c r="A176" s="1084"/>
      <c r="B176" s="1084"/>
      <c r="C176" s="1084"/>
      <c r="D176" s="1084"/>
      <c r="E176" s="1084"/>
      <c r="F176" s="1084"/>
      <c r="G176" s="1084"/>
      <c r="H176" s="1084"/>
    </row>
    <row r="177" spans="1:8">
      <c r="A177" s="1085" t="s">
        <v>411</v>
      </c>
      <c r="B177" s="1084"/>
      <c r="C177" s="1084"/>
      <c r="D177" s="1084"/>
      <c r="E177" s="1084"/>
      <c r="F177" s="1084"/>
      <c r="G177" s="1084"/>
      <c r="H177" s="1084"/>
    </row>
    <row r="178" spans="1:8">
      <c r="A178" s="1084"/>
      <c r="B178" s="1084"/>
      <c r="C178" s="1084"/>
      <c r="D178" s="1084"/>
      <c r="E178" s="1084"/>
      <c r="F178" s="1084"/>
      <c r="G178" s="1084"/>
      <c r="H178" s="1084"/>
    </row>
    <row r="179" spans="1:8" ht="15.75">
      <c r="A179" s="1086" t="s">
        <v>412</v>
      </c>
      <c r="B179" s="1084"/>
      <c r="C179" s="1084"/>
      <c r="D179" s="1084"/>
      <c r="E179" s="1084"/>
      <c r="F179" s="1084"/>
      <c r="G179" s="1084"/>
      <c r="H179" s="1084"/>
    </row>
    <row r="180" spans="1:8">
      <c r="A180" s="1084"/>
      <c r="B180" s="1084"/>
      <c r="C180" s="1084"/>
      <c r="D180" s="1084"/>
      <c r="E180" s="1084"/>
      <c r="F180" s="1084"/>
      <c r="G180" s="1084"/>
      <c r="H180" s="1084"/>
    </row>
    <row r="181" spans="1:8">
      <c r="A181" s="1084"/>
      <c r="B181" s="1084"/>
      <c r="C181" s="1084"/>
      <c r="D181" s="1084"/>
      <c r="E181" s="1084"/>
      <c r="F181" s="1084"/>
      <c r="G181" s="1084"/>
      <c r="H181" s="1084"/>
    </row>
    <row r="182" spans="1:8">
      <c r="A182" s="1084"/>
      <c r="B182" s="1084"/>
      <c r="C182" s="1084"/>
      <c r="D182" s="1084"/>
      <c r="E182" s="1084"/>
      <c r="F182" s="1084"/>
      <c r="G182" s="1084"/>
      <c r="H182" s="1084"/>
    </row>
    <row r="183" spans="1:8">
      <c r="A183" s="1084"/>
      <c r="B183" s="1084"/>
      <c r="C183" s="1084"/>
      <c r="D183" s="1084"/>
      <c r="E183" s="1084"/>
      <c r="F183" s="1084"/>
      <c r="G183" s="1084"/>
      <c r="H183" s="1084"/>
    </row>
    <row r="184" spans="1:8">
      <c r="A184" s="1084"/>
      <c r="B184" s="1084"/>
      <c r="C184" s="1084"/>
      <c r="D184" s="1084"/>
      <c r="E184" s="1084"/>
      <c r="F184" s="1084"/>
      <c r="G184" s="1084"/>
      <c r="H184" s="1084"/>
    </row>
    <row r="185" spans="1:8">
      <c r="A185" s="1084"/>
      <c r="B185" s="1084"/>
      <c r="C185" s="1084"/>
      <c r="D185" s="1084"/>
      <c r="E185" s="1084"/>
      <c r="F185" s="1084"/>
      <c r="G185" s="1084"/>
      <c r="H185" s="1084"/>
    </row>
    <row r="186" spans="1:8">
      <c r="A186" s="1084"/>
      <c r="B186" s="1084"/>
      <c r="C186" s="1084"/>
      <c r="D186" s="1084"/>
      <c r="E186" s="1084"/>
      <c r="F186" s="1084"/>
      <c r="G186" s="1084"/>
      <c r="H186" s="1084"/>
    </row>
    <row r="187" spans="1:8">
      <c r="A187" s="1084"/>
      <c r="B187" s="1084"/>
      <c r="C187" s="1084"/>
      <c r="D187" s="1084"/>
      <c r="E187" s="1084"/>
      <c r="F187" s="1084"/>
      <c r="G187" s="1084"/>
      <c r="H187" s="1084"/>
    </row>
    <row r="188" spans="1:8">
      <c r="A188" s="1084"/>
      <c r="B188" s="1084"/>
      <c r="C188" s="1084"/>
      <c r="D188" s="1084"/>
      <c r="E188" s="1084"/>
      <c r="F188" s="1084"/>
      <c r="G188" s="1084"/>
      <c r="H188" s="1084"/>
    </row>
    <row r="189" spans="1:8">
      <c r="A189" s="1084"/>
      <c r="B189" s="1084"/>
      <c r="C189" s="1084"/>
      <c r="D189" s="1084"/>
      <c r="E189" s="1084"/>
      <c r="F189" s="1084"/>
      <c r="G189" s="1084"/>
      <c r="H189" s="1084"/>
    </row>
    <row r="190" spans="1:8">
      <c r="A190" s="1084"/>
      <c r="B190" s="1084"/>
      <c r="C190" s="1084"/>
      <c r="D190" s="1084"/>
      <c r="E190" s="1084"/>
      <c r="F190" s="1084"/>
      <c r="G190" s="1084"/>
      <c r="H190" s="1084"/>
    </row>
    <row r="191" spans="1:8">
      <c r="A191" s="1084"/>
      <c r="B191" s="1084"/>
      <c r="C191" s="1084"/>
      <c r="D191" s="1084"/>
      <c r="E191" s="1084"/>
      <c r="F191" s="1084"/>
      <c r="G191" s="1084"/>
      <c r="H191" s="1084"/>
    </row>
    <row r="192" spans="1:8">
      <c r="A192" s="1084"/>
      <c r="B192" s="1084"/>
      <c r="C192" s="1084"/>
      <c r="D192" s="1084"/>
      <c r="E192" s="1084"/>
      <c r="F192" s="1084"/>
      <c r="G192" s="1084"/>
      <c r="H192" s="1084"/>
    </row>
    <row r="193" spans="1:8">
      <c r="A193" s="1084"/>
      <c r="B193" s="1084"/>
      <c r="C193" s="1084"/>
      <c r="D193" s="1084"/>
      <c r="E193" s="1084"/>
      <c r="F193" s="1084"/>
      <c r="G193" s="1084"/>
      <c r="H193" s="1084"/>
    </row>
    <row r="194" spans="1:8">
      <c r="A194" s="1084"/>
      <c r="B194" s="1084"/>
      <c r="C194" s="1084"/>
      <c r="D194" s="1084"/>
      <c r="E194" s="1084"/>
      <c r="F194" s="1084"/>
      <c r="G194" s="1084"/>
      <c r="H194" s="1084"/>
    </row>
    <row r="195" spans="1:8">
      <c r="A195" s="1084"/>
      <c r="B195" s="1084"/>
      <c r="C195" s="1084"/>
      <c r="D195" s="1084"/>
      <c r="E195" s="1084"/>
      <c r="F195" s="1084"/>
      <c r="G195" s="1084"/>
      <c r="H195" s="1084"/>
    </row>
    <row r="196" spans="1:8">
      <c r="A196" s="1084"/>
      <c r="B196" s="1084"/>
      <c r="C196" s="1084"/>
      <c r="D196" s="1084"/>
      <c r="E196" s="1084"/>
      <c r="F196" s="1084"/>
      <c r="G196" s="1084"/>
      <c r="H196" s="1084"/>
    </row>
    <row r="197" spans="1:8">
      <c r="A197" s="1084"/>
      <c r="B197" s="1084"/>
      <c r="C197" s="1084"/>
      <c r="D197" s="1084"/>
      <c r="E197" s="1084"/>
      <c r="F197" s="1084"/>
      <c r="G197" s="1084"/>
      <c r="H197" s="1084"/>
    </row>
    <row r="198" spans="1:8">
      <c r="A198" s="1084"/>
      <c r="B198" s="1084"/>
      <c r="C198" s="1084"/>
      <c r="D198" s="1084"/>
      <c r="E198" s="1084"/>
      <c r="F198" s="1084"/>
      <c r="G198" s="1084"/>
      <c r="H198" s="1084"/>
    </row>
    <row r="199" spans="1:8">
      <c r="A199" s="1084"/>
      <c r="B199" s="1084"/>
      <c r="C199" s="1084"/>
      <c r="D199" s="1084"/>
      <c r="E199" s="1084"/>
      <c r="F199" s="1084"/>
      <c r="G199" s="1084"/>
      <c r="H199" s="1084"/>
    </row>
    <row r="200" spans="1:8">
      <c r="A200" s="1084"/>
      <c r="B200" s="1084"/>
      <c r="C200" s="1084"/>
      <c r="D200" s="1084"/>
      <c r="E200" s="1084"/>
      <c r="F200" s="1084"/>
      <c r="G200" s="1084"/>
      <c r="H200" s="1084"/>
    </row>
    <row r="201" spans="1:8">
      <c r="A201" s="1084"/>
      <c r="B201" s="1084"/>
      <c r="C201" s="1084"/>
      <c r="D201" s="1084"/>
      <c r="E201" s="1084"/>
      <c r="F201" s="1084"/>
      <c r="G201" s="1084"/>
      <c r="H201" s="1084"/>
    </row>
    <row r="202" spans="1:8">
      <c r="A202" s="1084"/>
      <c r="B202" s="1084"/>
      <c r="C202" s="1084"/>
      <c r="D202" s="1084"/>
      <c r="E202" s="1084"/>
      <c r="F202" s="1084"/>
      <c r="G202" s="1084"/>
      <c r="H202" s="1084"/>
    </row>
    <row r="203" spans="1:8">
      <c r="A203" s="1084"/>
      <c r="B203" s="1084"/>
      <c r="C203" s="1084"/>
      <c r="D203" s="1084"/>
      <c r="E203" s="1084"/>
      <c r="F203" s="1084"/>
      <c r="G203" s="1084"/>
      <c r="H203" s="1084"/>
    </row>
    <row r="204" spans="1:8">
      <c r="A204" s="1084"/>
      <c r="B204" s="1084"/>
      <c r="C204" s="1084"/>
      <c r="D204" s="1084"/>
      <c r="E204" s="1084"/>
      <c r="F204" s="1084"/>
      <c r="G204" s="1084"/>
      <c r="H204" s="1084"/>
    </row>
    <row r="205" spans="1:8">
      <c r="A205" s="1084"/>
      <c r="B205" s="1084"/>
      <c r="C205" s="1084"/>
      <c r="D205" s="1084"/>
      <c r="E205" s="1084"/>
      <c r="F205" s="1084"/>
      <c r="G205" s="1084"/>
      <c r="H205" s="1084"/>
    </row>
    <row r="206" spans="1:8" ht="15.75">
      <c r="A206" s="1086" t="s">
        <v>413</v>
      </c>
      <c r="B206" s="1084"/>
      <c r="C206" s="1084"/>
      <c r="D206" s="1084"/>
      <c r="E206" s="1084"/>
      <c r="F206" s="1084"/>
      <c r="G206" s="1084"/>
      <c r="H206" s="1084"/>
    </row>
    <row r="207" spans="1:8">
      <c r="A207" s="1084"/>
      <c r="B207" s="1084"/>
      <c r="C207" s="1084"/>
      <c r="D207" s="1084"/>
      <c r="E207" s="1084"/>
      <c r="F207" s="1084"/>
      <c r="G207" s="1084"/>
      <c r="H207" s="1084"/>
    </row>
    <row r="208" spans="1:8">
      <c r="A208" s="1085" t="s">
        <v>574</v>
      </c>
      <c r="B208" s="1084"/>
      <c r="C208" s="1084"/>
      <c r="D208" s="1084"/>
      <c r="E208" s="1084"/>
      <c r="F208" s="1084"/>
      <c r="G208" s="1084"/>
      <c r="H208" s="1084"/>
    </row>
    <row r="209" spans="1:8">
      <c r="A209" s="1085" t="s">
        <v>575</v>
      </c>
      <c r="B209" s="1084"/>
      <c r="C209" s="1084"/>
      <c r="D209" s="1084"/>
      <c r="E209" s="1084"/>
      <c r="F209" s="1084"/>
      <c r="G209" s="1084"/>
      <c r="H209" s="1084"/>
    </row>
    <row r="210" spans="1:8">
      <c r="A210" s="1085" t="s">
        <v>576</v>
      </c>
      <c r="B210" s="1084"/>
      <c r="C210" s="1084"/>
      <c r="D210" s="1084"/>
      <c r="E210" s="1084"/>
      <c r="F210" s="1084"/>
      <c r="G210" s="1084"/>
      <c r="H210" s="1084"/>
    </row>
    <row r="211" spans="1:8">
      <c r="A211" s="1085" t="s">
        <v>577</v>
      </c>
      <c r="B211" s="1084"/>
      <c r="C211" s="1084"/>
      <c r="D211" s="1084"/>
      <c r="E211" s="1084"/>
      <c r="F211" s="1084"/>
      <c r="G211" s="1084"/>
      <c r="H211" s="1084"/>
    </row>
    <row r="212" spans="1:8">
      <c r="A212" s="1085" t="s">
        <v>578</v>
      </c>
      <c r="B212" s="1084"/>
      <c r="C212" s="1084"/>
      <c r="D212" s="1084"/>
      <c r="E212" s="1084"/>
      <c r="F212" s="1084"/>
      <c r="G212" s="1084"/>
      <c r="H212" s="1084"/>
    </row>
    <row r="213" spans="1:8">
      <c r="A213" s="1084"/>
      <c r="B213" s="1084"/>
      <c r="C213" s="1084"/>
      <c r="D213" s="1084"/>
      <c r="E213" s="1084"/>
      <c r="F213" s="1084"/>
      <c r="G213" s="1084"/>
      <c r="H213" s="1084"/>
    </row>
    <row r="214" spans="1:8">
      <c r="A214" s="1085" t="s">
        <v>571</v>
      </c>
      <c r="B214" s="1084"/>
      <c r="C214" s="1084"/>
      <c r="D214" s="1084"/>
      <c r="E214" s="1084"/>
      <c r="F214" s="1084"/>
      <c r="G214" s="1084"/>
      <c r="H214" s="1084"/>
    </row>
    <row r="215" spans="1:8">
      <c r="A215" s="1085" t="s">
        <v>572</v>
      </c>
      <c r="B215" s="1084"/>
      <c r="C215" s="1084"/>
      <c r="D215" s="1084"/>
      <c r="E215" s="1084"/>
      <c r="F215" s="1084"/>
      <c r="G215" s="1084"/>
      <c r="H215" s="1084"/>
    </row>
    <row r="216" spans="1:8">
      <c r="A216" s="1085" t="s">
        <v>573</v>
      </c>
      <c r="B216" s="1084"/>
      <c r="C216" s="1084"/>
      <c r="D216" s="1084"/>
      <c r="E216" s="1084"/>
      <c r="F216" s="1084"/>
      <c r="G216" s="1084"/>
      <c r="H216" s="1084"/>
    </row>
    <row r="217" spans="1:8" ht="15.75">
      <c r="A217" s="1086" t="s">
        <v>414</v>
      </c>
      <c r="B217" s="1084"/>
      <c r="C217" s="1084"/>
      <c r="D217" s="1084"/>
      <c r="E217" s="1084"/>
      <c r="F217" s="1084"/>
      <c r="G217" s="1084"/>
      <c r="H217" s="1084"/>
    </row>
    <row r="218" spans="1:8">
      <c r="A218" s="1084"/>
      <c r="B218" s="1084"/>
      <c r="C218" s="1084"/>
      <c r="D218" s="1084"/>
      <c r="E218" s="1084"/>
      <c r="F218" s="1084"/>
      <c r="G218" s="1084"/>
      <c r="H218" s="1084"/>
    </row>
    <row r="219" spans="1:8">
      <c r="A219" s="1085" t="s">
        <v>569</v>
      </c>
      <c r="B219" s="1084"/>
      <c r="C219" s="1084"/>
      <c r="D219" s="1084"/>
      <c r="E219" s="1084"/>
      <c r="F219" s="1084"/>
      <c r="G219" s="1084"/>
      <c r="H219" s="1084"/>
    </row>
    <row r="220" spans="1:8">
      <c r="A220" s="1085" t="s">
        <v>570</v>
      </c>
      <c r="B220" s="1084"/>
      <c r="C220" s="1084"/>
      <c r="D220" s="1084"/>
      <c r="E220" s="1084"/>
      <c r="F220" s="1084"/>
      <c r="G220" s="1084"/>
      <c r="H220" s="1084"/>
    </row>
    <row r="221" spans="1:8">
      <c r="A221" s="1084"/>
      <c r="B221" s="1084"/>
      <c r="C221" s="1084"/>
      <c r="D221" s="1084"/>
      <c r="E221" s="1084"/>
      <c r="F221" s="1084"/>
      <c r="G221" s="1084"/>
      <c r="H221" s="1084"/>
    </row>
    <row r="222" spans="1:8">
      <c r="A222" s="1085" t="s">
        <v>562</v>
      </c>
      <c r="B222" s="1084"/>
      <c r="C222" s="1084"/>
      <c r="D222" s="1084"/>
      <c r="E222" s="1084"/>
      <c r="F222" s="1084"/>
      <c r="G222" s="1084"/>
      <c r="H222" s="1084"/>
    </row>
    <row r="223" spans="1:8">
      <c r="A223" s="1085" t="s">
        <v>563</v>
      </c>
      <c r="B223" s="1084"/>
      <c r="C223" s="1084"/>
      <c r="D223" s="1084"/>
      <c r="E223" s="1084"/>
      <c r="F223" s="1084"/>
      <c r="G223" s="1084"/>
      <c r="H223" s="1084"/>
    </row>
    <row r="224" spans="1:8">
      <c r="A224" s="1085" t="s">
        <v>564</v>
      </c>
      <c r="B224" s="1084"/>
      <c r="C224" s="1084"/>
      <c r="D224" s="1084"/>
      <c r="E224" s="1084"/>
      <c r="F224" s="1084"/>
      <c r="G224" s="1084"/>
      <c r="H224" s="1084"/>
    </row>
    <row r="225" spans="1:8">
      <c r="A225" s="1085" t="s">
        <v>565</v>
      </c>
      <c r="B225" s="1084"/>
      <c r="C225" s="1084"/>
      <c r="D225" s="1084"/>
      <c r="E225" s="1084"/>
      <c r="F225" s="1084"/>
      <c r="G225" s="1084"/>
      <c r="H225" s="1084"/>
    </row>
    <row r="226" spans="1:8">
      <c r="A226" s="1085" t="s">
        <v>566</v>
      </c>
      <c r="B226" s="1084"/>
      <c r="C226" s="1084"/>
      <c r="D226" s="1084"/>
      <c r="E226" s="1084"/>
      <c r="F226" s="1084"/>
      <c r="G226" s="1084"/>
      <c r="H226" s="1084"/>
    </row>
    <row r="227" spans="1:8">
      <c r="A227" s="1085" t="s">
        <v>567</v>
      </c>
      <c r="B227" s="1084"/>
      <c r="C227" s="1084"/>
      <c r="D227" s="1084"/>
      <c r="E227" s="1084"/>
      <c r="F227" s="1084"/>
      <c r="G227" s="1084"/>
      <c r="H227" s="1084"/>
    </row>
    <row r="228" spans="1:8">
      <c r="A228" s="1085" t="s">
        <v>568</v>
      </c>
      <c r="B228" s="1084"/>
      <c r="C228" s="1084"/>
      <c r="D228" s="1084"/>
      <c r="E228" s="1084"/>
      <c r="F228" s="1084"/>
      <c r="G228" s="1084"/>
      <c r="H228" s="1084"/>
    </row>
    <row r="229" spans="1:8">
      <c r="A229" s="1084"/>
      <c r="B229" s="1084"/>
      <c r="C229" s="1084"/>
      <c r="D229" s="1084"/>
      <c r="E229" s="1084"/>
      <c r="F229" s="1084"/>
      <c r="G229" s="1084"/>
      <c r="H229" s="1084"/>
    </row>
    <row r="230" spans="1:8">
      <c r="A230" s="1085" t="s">
        <v>559</v>
      </c>
      <c r="B230" s="1084"/>
      <c r="C230" s="1084"/>
      <c r="D230" s="1084"/>
      <c r="E230" s="1084"/>
      <c r="F230" s="1084"/>
      <c r="G230" s="1084"/>
      <c r="H230" s="1084"/>
    </row>
    <row r="231" spans="1:8">
      <c r="A231" s="1085" t="s">
        <v>560</v>
      </c>
      <c r="B231" s="1084"/>
      <c r="C231" s="1084"/>
      <c r="D231" s="1084"/>
      <c r="E231" s="1084"/>
      <c r="F231" s="1084"/>
      <c r="G231" s="1084"/>
      <c r="H231" s="1084"/>
    </row>
    <row r="232" spans="1:8">
      <c r="A232" s="1085" t="s">
        <v>561</v>
      </c>
      <c r="B232" s="1084"/>
      <c r="C232" s="1084"/>
      <c r="D232" s="1084"/>
      <c r="E232" s="1084"/>
      <c r="F232" s="1084"/>
      <c r="G232" s="1084"/>
      <c r="H232" s="1084"/>
    </row>
    <row r="233" spans="1:8">
      <c r="A233" s="1084"/>
      <c r="B233" s="1084"/>
      <c r="C233" s="1084"/>
      <c r="D233" s="1084"/>
      <c r="E233" s="1084"/>
      <c r="F233" s="1084"/>
      <c r="G233" s="1084"/>
      <c r="H233" s="1084"/>
    </row>
    <row r="234" spans="1:8">
      <c r="A234" s="1085" t="s">
        <v>554</v>
      </c>
      <c r="B234" s="1084"/>
      <c r="C234" s="1084"/>
      <c r="D234" s="1084"/>
      <c r="E234" s="1084"/>
      <c r="F234" s="1084"/>
      <c r="G234" s="1084"/>
      <c r="H234" s="1084"/>
    </row>
    <row r="235" spans="1:8">
      <c r="A235" s="1085" t="s">
        <v>555</v>
      </c>
      <c r="B235" s="1084"/>
      <c r="C235" s="1084"/>
      <c r="D235" s="1084"/>
      <c r="E235" s="1084"/>
      <c r="F235" s="1084"/>
      <c r="G235" s="1084"/>
      <c r="H235" s="1084"/>
    </row>
    <row r="236" spans="1:8">
      <c r="A236" s="1085" t="s">
        <v>556</v>
      </c>
      <c r="B236" s="1084"/>
      <c r="C236" s="1084"/>
      <c r="D236" s="1084"/>
      <c r="E236" s="1084"/>
      <c r="F236" s="1084"/>
      <c r="G236" s="1084"/>
      <c r="H236" s="1084"/>
    </row>
    <row r="237" spans="1:8">
      <c r="A237" s="1085" t="s">
        <v>557</v>
      </c>
      <c r="B237" s="1084"/>
      <c r="C237" s="1084"/>
      <c r="D237" s="1084"/>
      <c r="E237" s="1084"/>
      <c r="F237" s="1084"/>
      <c r="G237" s="1084"/>
      <c r="H237" s="1084"/>
    </row>
    <row r="238" spans="1:8">
      <c r="A238" s="1085" t="s">
        <v>558</v>
      </c>
      <c r="B238" s="1084"/>
      <c r="C238" s="1084"/>
      <c r="D238" s="1084"/>
      <c r="E238" s="1084"/>
      <c r="F238" s="1084"/>
      <c r="G238" s="1084"/>
      <c r="H238" s="1084"/>
    </row>
    <row r="239" spans="1:8">
      <c r="A239" s="1084"/>
      <c r="B239" s="1084"/>
      <c r="C239" s="1084"/>
      <c r="D239" s="1084"/>
      <c r="E239" s="1084"/>
      <c r="F239" s="1084"/>
      <c r="G239" s="1084"/>
      <c r="H239" s="1084"/>
    </row>
    <row r="240" spans="1:8">
      <c r="A240" s="1085" t="s">
        <v>548</v>
      </c>
      <c r="B240" s="1084"/>
      <c r="C240" s="1084"/>
      <c r="D240" s="1084"/>
      <c r="E240" s="1084"/>
      <c r="F240" s="1084"/>
      <c r="G240" s="1084"/>
      <c r="H240" s="1084"/>
    </row>
    <row r="241" spans="1:8">
      <c r="A241" s="1085" t="s">
        <v>549</v>
      </c>
      <c r="B241" s="1084"/>
      <c r="C241" s="1084"/>
      <c r="D241" s="1084"/>
      <c r="E241" s="1084"/>
      <c r="F241" s="1084"/>
      <c r="G241" s="1084"/>
      <c r="H241" s="1084"/>
    </row>
    <row r="242" spans="1:8">
      <c r="A242" s="1085" t="s">
        <v>550</v>
      </c>
      <c r="B242" s="1084"/>
      <c r="C242" s="1084"/>
      <c r="D242" s="1084"/>
      <c r="E242" s="1084"/>
      <c r="F242" s="1084"/>
      <c r="G242" s="1084"/>
      <c r="H242" s="1084"/>
    </row>
    <row r="243" spans="1:8">
      <c r="A243" s="1085" t="s">
        <v>551</v>
      </c>
      <c r="B243" s="1084"/>
      <c r="C243" s="1084"/>
      <c r="D243" s="1084"/>
      <c r="E243" s="1084"/>
      <c r="F243" s="1084"/>
      <c r="G243" s="1084"/>
      <c r="H243" s="1084"/>
    </row>
    <row r="244" spans="1:8">
      <c r="A244" s="1085" t="s">
        <v>552</v>
      </c>
      <c r="B244" s="1084"/>
      <c r="C244" s="1084"/>
      <c r="D244" s="1084"/>
      <c r="E244" s="1084"/>
      <c r="F244" s="1084"/>
      <c r="G244" s="1084"/>
      <c r="H244" s="1084"/>
    </row>
    <row r="245" spans="1:8">
      <c r="A245" s="1085" t="s">
        <v>553</v>
      </c>
      <c r="B245" s="1084"/>
      <c r="C245" s="1084"/>
      <c r="D245" s="1084"/>
      <c r="E245" s="1084"/>
      <c r="F245" s="1084"/>
      <c r="G245" s="1084"/>
      <c r="H245" s="1084"/>
    </row>
    <row r="246" spans="1:8">
      <c r="A246" s="1084"/>
      <c r="B246" s="1084"/>
      <c r="C246" s="1084"/>
      <c r="D246" s="1084"/>
      <c r="E246" s="1084"/>
      <c r="F246" s="1084"/>
      <c r="G246" s="1084"/>
      <c r="H246" s="1084"/>
    </row>
    <row r="247" spans="1:8">
      <c r="A247" s="1085" t="s">
        <v>538</v>
      </c>
      <c r="B247" s="1084"/>
      <c r="C247" s="1084"/>
      <c r="D247" s="1084"/>
      <c r="E247" s="1084"/>
      <c r="F247" s="1084"/>
      <c r="G247" s="1084"/>
      <c r="H247" s="1084"/>
    </row>
    <row r="248" spans="1:8">
      <c r="A248" s="1085" t="s">
        <v>539</v>
      </c>
      <c r="B248" s="1084"/>
      <c r="C248" s="1084"/>
      <c r="D248" s="1084"/>
      <c r="E248" s="1084"/>
      <c r="F248" s="1084"/>
      <c r="G248" s="1084"/>
      <c r="H248" s="1084"/>
    </row>
    <row r="249" spans="1:8">
      <c r="A249" s="1085" t="s">
        <v>540</v>
      </c>
      <c r="B249" s="1084"/>
      <c r="C249" s="1084"/>
      <c r="D249" s="1084"/>
      <c r="E249" s="1084"/>
      <c r="F249" s="1084"/>
      <c r="G249" s="1084"/>
      <c r="H249" s="1084"/>
    </row>
    <row r="250" spans="1:8">
      <c r="A250" s="1085" t="s">
        <v>541</v>
      </c>
      <c r="B250" s="1084"/>
      <c r="C250" s="1084"/>
      <c r="D250" s="1084"/>
      <c r="E250" s="1084"/>
      <c r="F250" s="1084"/>
      <c r="G250" s="1084"/>
      <c r="H250" s="1084"/>
    </row>
    <row r="251" spans="1:8">
      <c r="A251" s="1085" t="s">
        <v>542</v>
      </c>
      <c r="B251" s="1084"/>
      <c r="C251" s="1084"/>
      <c r="D251" s="1084"/>
      <c r="E251" s="1084"/>
      <c r="F251" s="1084"/>
      <c r="G251" s="1084"/>
      <c r="H251" s="1084"/>
    </row>
    <row r="252" spans="1:8">
      <c r="A252" s="1085" t="s">
        <v>543</v>
      </c>
      <c r="B252" s="1084"/>
      <c r="C252" s="1084"/>
      <c r="D252" s="1084"/>
      <c r="E252" s="1084"/>
      <c r="F252" s="1084"/>
      <c r="G252" s="1084"/>
      <c r="H252" s="1084"/>
    </row>
    <row r="253" spans="1:8">
      <c r="A253" s="1085" t="s">
        <v>544</v>
      </c>
      <c r="B253" s="1084"/>
      <c r="C253" s="1084"/>
      <c r="D253" s="1084"/>
      <c r="E253" s="1084"/>
      <c r="F253" s="1084"/>
      <c r="G253" s="1084"/>
      <c r="H253" s="1084"/>
    </row>
    <row r="254" spans="1:8">
      <c r="A254" s="1085" t="s">
        <v>545</v>
      </c>
      <c r="B254" s="1084"/>
      <c r="C254" s="1084"/>
      <c r="D254" s="1084"/>
      <c r="E254" s="1084"/>
      <c r="F254" s="1084"/>
      <c r="G254" s="1084"/>
      <c r="H254" s="1084"/>
    </row>
    <row r="255" spans="1:8">
      <c r="A255" s="1085" t="s">
        <v>546</v>
      </c>
      <c r="B255" s="1084"/>
      <c r="C255" s="1084"/>
      <c r="D255" s="1084"/>
      <c r="E255" s="1084"/>
      <c r="F255" s="1084"/>
      <c r="G255" s="1084"/>
      <c r="H255" s="1084"/>
    </row>
    <row r="256" spans="1:8">
      <c r="A256" s="1085" t="s">
        <v>547</v>
      </c>
      <c r="B256" s="1084"/>
      <c r="C256" s="1084"/>
      <c r="D256" s="1084"/>
      <c r="E256" s="1084"/>
      <c r="F256" s="1084"/>
      <c r="G256" s="1084"/>
      <c r="H256" s="1084"/>
    </row>
    <row r="257" spans="1:8">
      <c r="A257" s="1084"/>
      <c r="B257" s="1084"/>
      <c r="C257" s="1084"/>
      <c r="D257" s="1084"/>
      <c r="E257" s="1084"/>
      <c r="F257" s="1084"/>
      <c r="G257" s="1084"/>
      <c r="H257" s="1084"/>
    </row>
    <row r="258" spans="1:8">
      <c r="A258" s="1085" t="s">
        <v>536</v>
      </c>
      <c r="B258" s="1084"/>
      <c r="C258" s="1084"/>
      <c r="D258" s="1084"/>
      <c r="E258" s="1084"/>
      <c r="F258" s="1084"/>
      <c r="G258" s="1084"/>
      <c r="H258" s="1084"/>
    </row>
    <row r="259" spans="1:8">
      <c r="A259" s="1085" t="s">
        <v>537</v>
      </c>
      <c r="B259" s="1084"/>
      <c r="C259" s="1084"/>
      <c r="D259" s="1084"/>
      <c r="E259" s="1084"/>
      <c r="F259" s="1084"/>
      <c r="G259" s="1084"/>
      <c r="H259" s="1084"/>
    </row>
    <row r="260" spans="1:8">
      <c r="A260" s="1084"/>
      <c r="B260" s="1084"/>
      <c r="C260" s="1084"/>
      <c r="D260" s="1084"/>
      <c r="E260" s="1084"/>
      <c r="F260" s="1084"/>
      <c r="G260" s="1084"/>
      <c r="H260" s="1084"/>
    </row>
    <row r="261" spans="1:8">
      <c r="A261" s="1085" t="s">
        <v>520</v>
      </c>
      <c r="B261" s="1084"/>
      <c r="C261" s="1084"/>
      <c r="D261" s="1084"/>
      <c r="E261" s="1084"/>
      <c r="F261" s="1084"/>
      <c r="G261" s="1084"/>
      <c r="H261" s="1084"/>
    </row>
    <row r="262" spans="1:8">
      <c r="A262" s="1085" t="s">
        <v>521</v>
      </c>
      <c r="B262" s="1084"/>
      <c r="C262" s="1084"/>
      <c r="D262" s="1084"/>
      <c r="E262" s="1084"/>
      <c r="F262" s="1084"/>
      <c r="G262" s="1084"/>
      <c r="H262" s="1084"/>
    </row>
    <row r="263" spans="1:8">
      <c r="A263" s="1085" t="s">
        <v>522</v>
      </c>
      <c r="B263" s="1084"/>
      <c r="C263" s="1084"/>
      <c r="D263" s="1084"/>
      <c r="E263" s="1084"/>
      <c r="F263" s="1084"/>
      <c r="G263" s="1084"/>
      <c r="H263" s="1084"/>
    </row>
    <row r="264" spans="1:8">
      <c r="A264" s="1085" t="s">
        <v>523</v>
      </c>
      <c r="B264" s="1084"/>
      <c r="C264" s="1084"/>
      <c r="D264" s="1084"/>
      <c r="E264" s="1084"/>
      <c r="F264" s="1084"/>
      <c r="G264" s="1084"/>
      <c r="H264" s="1084"/>
    </row>
    <row r="265" spans="1:8">
      <c r="A265" s="1085" t="s">
        <v>524</v>
      </c>
      <c r="B265" s="1084"/>
      <c r="C265" s="1084"/>
      <c r="D265" s="1084"/>
      <c r="E265" s="1084"/>
      <c r="F265" s="1084"/>
      <c r="G265" s="1084"/>
      <c r="H265" s="1084"/>
    </row>
    <row r="266" spans="1:8">
      <c r="A266" s="1085" t="s">
        <v>525</v>
      </c>
      <c r="B266" s="1084"/>
      <c r="C266" s="1084"/>
      <c r="D266" s="1084"/>
      <c r="E266" s="1084"/>
      <c r="F266" s="1084"/>
      <c r="G266" s="1084"/>
      <c r="H266" s="1084"/>
    </row>
    <row r="267" spans="1:8">
      <c r="A267" s="1085" t="s">
        <v>526</v>
      </c>
      <c r="B267" s="1084"/>
      <c r="C267" s="1084"/>
      <c r="D267" s="1084"/>
      <c r="E267" s="1084"/>
      <c r="F267" s="1084"/>
      <c r="G267" s="1084"/>
      <c r="H267" s="1084"/>
    </row>
    <row r="268" spans="1:8">
      <c r="A268" s="1085" t="s">
        <v>527</v>
      </c>
      <c r="B268" s="1084"/>
      <c r="C268" s="1084"/>
      <c r="D268" s="1084"/>
      <c r="E268" s="1084"/>
      <c r="F268" s="1084"/>
      <c r="G268" s="1084"/>
      <c r="H268" s="1084"/>
    </row>
    <row r="269" spans="1:8">
      <c r="A269" s="1085" t="s">
        <v>528</v>
      </c>
      <c r="B269" s="1084"/>
      <c r="C269" s="1084"/>
      <c r="D269" s="1084"/>
      <c r="E269" s="1084"/>
      <c r="F269" s="1084"/>
      <c r="G269" s="1084"/>
      <c r="H269" s="1084"/>
    </row>
    <row r="270" spans="1:8">
      <c r="A270" s="1085" t="s">
        <v>529</v>
      </c>
      <c r="B270" s="1084"/>
      <c r="C270" s="1084"/>
      <c r="D270" s="1084"/>
      <c r="E270" s="1084"/>
      <c r="F270" s="1084"/>
      <c r="G270" s="1084"/>
      <c r="H270" s="1084"/>
    </row>
    <row r="271" spans="1:8">
      <c r="A271" s="1085" t="s">
        <v>530</v>
      </c>
      <c r="B271" s="1084"/>
      <c r="C271" s="1084"/>
      <c r="D271" s="1084"/>
      <c r="E271" s="1084"/>
      <c r="F271" s="1084"/>
      <c r="G271" s="1084"/>
      <c r="H271" s="1084"/>
    </row>
    <row r="272" spans="1:8">
      <c r="A272" s="1085" t="s">
        <v>531</v>
      </c>
      <c r="B272" s="1084"/>
      <c r="C272" s="1084"/>
      <c r="D272" s="1084"/>
      <c r="E272" s="1084"/>
      <c r="F272" s="1084"/>
      <c r="G272" s="1084"/>
      <c r="H272" s="1084"/>
    </row>
    <row r="273" spans="1:8">
      <c r="A273" s="1085" t="s">
        <v>532</v>
      </c>
      <c r="B273" s="1084"/>
      <c r="C273" s="1084"/>
      <c r="D273" s="1084"/>
      <c r="E273" s="1084"/>
      <c r="F273" s="1084"/>
      <c r="G273" s="1084"/>
      <c r="H273" s="1084"/>
    </row>
    <row r="274" spans="1:8">
      <c r="A274" s="1085" t="s">
        <v>533</v>
      </c>
      <c r="B274" s="1084"/>
      <c r="C274" s="1084"/>
      <c r="D274" s="1084"/>
      <c r="E274" s="1084"/>
      <c r="F274" s="1084"/>
      <c r="G274" s="1084"/>
      <c r="H274" s="1084"/>
    </row>
    <row r="275" spans="1:8">
      <c r="A275" s="1085" t="s">
        <v>534</v>
      </c>
      <c r="B275" s="1084"/>
      <c r="C275" s="1084"/>
      <c r="D275" s="1084"/>
      <c r="E275" s="1084"/>
      <c r="F275" s="1084"/>
      <c r="G275" s="1084"/>
      <c r="H275" s="1084"/>
    </row>
    <row r="276" spans="1:8">
      <c r="A276" s="1085" t="s">
        <v>535</v>
      </c>
      <c r="B276" s="1084"/>
      <c r="C276" s="1084"/>
      <c r="D276" s="1084"/>
      <c r="E276" s="1084"/>
      <c r="F276" s="1084"/>
      <c r="G276" s="1084"/>
      <c r="H276" s="1084"/>
    </row>
    <row r="277" spans="1:8">
      <c r="A277" s="1084"/>
      <c r="B277" s="1084"/>
      <c r="C277" s="1084"/>
      <c r="D277" s="1084"/>
      <c r="E277" s="1084"/>
      <c r="F277" s="1084"/>
      <c r="G277" s="1084"/>
      <c r="H277" s="1084"/>
    </row>
    <row r="278" spans="1:8">
      <c r="A278" s="1085" t="s">
        <v>513</v>
      </c>
      <c r="B278" s="1084"/>
      <c r="C278" s="1084"/>
      <c r="D278" s="1084"/>
      <c r="E278" s="1084"/>
      <c r="F278" s="1084"/>
      <c r="G278" s="1084"/>
      <c r="H278" s="1084"/>
    </row>
    <row r="279" spans="1:8">
      <c r="A279" s="1085" t="s">
        <v>514</v>
      </c>
      <c r="B279" s="1084"/>
      <c r="C279" s="1084"/>
      <c r="D279" s="1084"/>
      <c r="E279" s="1084"/>
      <c r="F279" s="1084"/>
      <c r="G279" s="1084"/>
      <c r="H279" s="1084"/>
    </row>
    <row r="280" spans="1:8">
      <c r="A280" s="1085" t="s">
        <v>515</v>
      </c>
      <c r="B280" s="1084"/>
      <c r="C280" s="1084"/>
      <c r="D280" s="1084"/>
      <c r="E280" s="1084"/>
      <c r="F280" s="1084"/>
      <c r="G280" s="1084"/>
      <c r="H280" s="1084"/>
    </row>
    <row r="281" spans="1:8">
      <c r="A281" s="1085" t="s">
        <v>516</v>
      </c>
      <c r="B281" s="1084"/>
      <c r="C281" s="1084"/>
      <c r="D281" s="1084"/>
      <c r="E281" s="1084"/>
      <c r="F281" s="1084"/>
      <c r="G281" s="1084"/>
      <c r="H281" s="1084"/>
    </row>
    <row r="282" spans="1:8">
      <c r="A282" s="1085" t="s">
        <v>517</v>
      </c>
      <c r="B282" s="1084"/>
      <c r="C282" s="1084"/>
      <c r="D282" s="1084"/>
      <c r="E282" s="1084"/>
      <c r="F282" s="1084"/>
      <c r="G282" s="1084"/>
      <c r="H282" s="1084"/>
    </row>
    <row r="283" spans="1:8">
      <c r="A283" s="1085" t="s">
        <v>518</v>
      </c>
      <c r="B283" s="1084"/>
      <c r="C283" s="1084"/>
      <c r="D283" s="1084"/>
      <c r="E283" s="1084"/>
      <c r="F283" s="1084"/>
      <c r="G283" s="1084"/>
      <c r="H283" s="1084"/>
    </row>
    <row r="284" spans="1:8">
      <c r="A284" s="1085" t="s">
        <v>519</v>
      </c>
      <c r="B284" s="1084"/>
      <c r="C284" s="1084"/>
      <c r="D284" s="1084"/>
      <c r="E284" s="1084"/>
      <c r="F284" s="1084"/>
      <c r="G284" s="1084"/>
      <c r="H284" s="1084"/>
    </row>
    <row r="285" spans="1:8">
      <c r="A285" s="1084"/>
      <c r="B285" s="1084"/>
      <c r="C285" s="1084"/>
      <c r="D285" s="1084"/>
      <c r="E285" s="1084"/>
      <c r="F285" s="1084"/>
      <c r="G285" s="1084"/>
      <c r="H285" s="1084"/>
    </row>
    <row r="286" spans="1:8">
      <c r="A286" s="1085" t="s">
        <v>504</v>
      </c>
      <c r="B286" s="1084"/>
      <c r="C286" s="1084"/>
      <c r="D286" s="1084"/>
      <c r="E286" s="1084"/>
      <c r="F286" s="1084"/>
      <c r="G286" s="1084"/>
      <c r="H286" s="1084"/>
    </row>
    <row r="287" spans="1:8">
      <c r="A287" s="1085" t="s">
        <v>505</v>
      </c>
      <c r="B287" s="1084"/>
      <c r="C287" s="1084"/>
      <c r="D287" s="1084"/>
      <c r="E287" s="1084"/>
      <c r="F287" s="1084"/>
      <c r="G287" s="1084"/>
      <c r="H287" s="1084"/>
    </row>
    <row r="288" spans="1:8">
      <c r="A288" s="1085" t="s">
        <v>506</v>
      </c>
      <c r="B288" s="1084"/>
      <c r="C288" s="1084"/>
      <c r="D288" s="1084"/>
      <c r="E288" s="1084"/>
      <c r="F288" s="1084"/>
      <c r="G288" s="1084"/>
      <c r="H288" s="1084"/>
    </row>
    <row r="289" spans="1:8">
      <c r="A289" s="1085" t="s">
        <v>507</v>
      </c>
      <c r="B289" s="1084"/>
      <c r="C289" s="1084"/>
      <c r="D289" s="1084"/>
      <c r="E289" s="1084"/>
      <c r="F289" s="1084"/>
      <c r="G289" s="1084"/>
      <c r="H289" s="1084"/>
    </row>
    <row r="290" spans="1:8">
      <c r="A290" s="1085" t="s">
        <v>508</v>
      </c>
      <c r="B290" s="1084"/>
      <c r="C290" s="1084"/>
      <c r="D290" s="1084"/>
      <c r="E290" s="1084"/>
      <c r="F290" s="1084"/>
      <c r="G290" s="1084"/>
      <c r="H290" s="1084"/>
    </row>
    <row r="291" spans="1:8">
      <c r="A291" s="1085" t="s">
        <v>509</v>
      </c>
      <c r="B291" s="1084"/>
      <c r="C291" s="1084"/>
      <c r="D291" s="1084"/>
      <c r="E291" s="1084"/>
      <c r="F291" s="1084"/>
      <c r="G291" s="1084"/>
      <c r="H291" s="1084"/>
    </row>
    <row r="292" spans="1:8">
      <c r="A292" s="1085" t="s">
        <v>510</v>
      </c>
      <c r="B292" s="1084"/>
      <c r="C292" s="1084"/>
      <c r="D292" s="1084"/>
      <c r="E292" s="1084"/>
      <c r="F292" s="1084"/>
      <c r="G292" s="1084"/>
      <c r="H292" s="1084"/>
    </row>
    <row r="293" spans="1:8">
      <c r="A293" s="1085" t="s">
        <v>511</v>
      </c>
      <c r="B293" s="1084"/>
      <c r="C293" s="1084"/>
      <c r="D293" s="1084"/>
      <c r="E293" s="1084"/>
      <c r="F293" s="1084"/>
      <c r="G293" s="1084"/>
      <c r="H293" s="1084"/>
    </row>
    <row r="294" spans="1:8">
      <c r="A294" s="1085" t="s">
        <v>512</v>
      </c>
      <c r="B294" s="1084"/>
      <c r="C294" s="1084"/>
      <c r="D294" s="1084"/>
      <c r="E294" s="1084"/>
      <c r="F294" s="1084"/>
      <c r="G294" s="1084"/>
      <c r="H294" s="1084"/>
    </row>
    <row r="295" spans="1:8">
      <c r="A295" s="1084"/>
      <c r="B295" s="1084"/>
      <c r="C295" s="1084"/>
      <c r="D295" s="1084"/>
      <c r="E295" s="1084"/>
      <c r="F295" s="1084"/>
      <c r="G295" s="1084"/>
      <c r="H295" s="1084"/>
    </row>
    <row r="296" spans="1:8">
      <c r="A296" s="1085" t="s">
        <v>497</v>
      </c>
      <c r="B296" s="1084"/>
      <c r="C296" s="1084"/>
      <c r="D296" s="1084"/>
      <c r="E296" s="1084"/>
      <c r="F296" s="1084"/>
      <c r="G296" s="1084"/>
      <c r="H296" s="1084"/>
    </row>
    <row r="297" spans="1:8">
      <c r="A297" s="1085" t="s">
        <v>498</v>
      </c>
      <c r="B297" s="1084"/>
      <c r="C297" s="1084"/>
      <c r="D297" s="1084"/>
      <c r="E297" s="1084"/>
      <c r="F297" s="1084"/>
      <c r="G297" s="1084"/>
      <c r="H297" s="1084"/>
    </row>
    <row r="298" spans="1:8">
      <c r="A298" s="1085" t="s">
        <v>499</v>
      </c>
      <c r="B298" s="1084"/>
      <c r="C298" s="1084"/>
      <c r="D298" s="1084"/>
      <c r="E298" s="1084"/>
      <c r="F298" s="1084"/>
      <c r="G298" s="1084"/>
      <c r="H298" s="1084"/>
    </row>
    <row r="299" spans="1:8">
      <c r="A299" s="1085" t="s">
        <v>500</v>
      </c>
      <c r="B299" s="1084"/>
      <c r="C299" s="1084"/>
      <c r="D299" s="1084"/>
      <c r="E299" s="1084"/>
      <c r="F299" s="1084"/>
      <c r="G299" s="1084"/>
      <c r="H299" s="1084"/>
    </row>
    <row r="300" spans="1:8">
      <c r="A300" s="1085" t="s">
        <v>501</v>
      </c>
      <c r="B300" s="1084"/>
      <c r="C300" s="1084"/>
      <c r="D300" s="1084"/>
      <c r="E300" s="1084"/>
      <c r="F300" s="1084"/>
      <c r="G300" s="1084"/>
      <c r="H300" s="1084"/>
    </row>
    <row r="301" spans="1:8">
      <c r="A301" s="1085" t="s">
        <v>502</v>
      </c>
      <c r="B301" s="1084"/>
      <c r="C301" s="1084"/>
      <c r="D301" s="1084"/>
      <c r="E301" s="1084"/>
      <c r="F301" s="1084"/>
      <c r="G301" s="1084"/>
      <c r="H301" s="1084"/>
    </row>
    <row r="302" spans="1:8">
      <c r="A302" s="1085" t="s">
        <v>503</v>
      </c>
      <c r="B302" s="1084"/>
      <c r="C302" s="1084"/>
      <c r="D302" s="1084"/>
      <c r="E302" s="1084"/>
      <c r="F302" s="1084"/>
      <c r="G302" s="1084"/>
      <c r="H302" s="1084"/>
    </row>
    <row r="303" spans="1:8">
      <c r="A303" s="1084"/>
      <c r="B303" s="1084"/>
      <c r="C303" s="1084"/>
      <c r="D303" s="1084"/>
      <c r="E303" s="1084"/>
      <c r="F303" s="1084"/>
      <c r="G303" s="1084"/>
      <c r="H303" s="1084"/>
    </row>
    <row r="304" spans="1:8">
      <c r="A304" s="1085" t="s">
        <v>494</v>
      </c>
      <c r="B304" s="1084"/>
      <c r="C304" s="1084"/>
      <c r="D304" s="1084"/>
      <c r="E304" s="1084"/>
      <c r="F304" s="1084"/>
      <c r="G304" s="1084"/>
      <c r="H304" s="1084"/>
    </row>
    <row r="305" spans="1:8">
      <c r="A305" s="1085" t="s">
        <v>495</v>
      </c>
      <c r="B305" s="1084"/>
      <c r="C305" s="1084"/>
      <c r="D305" s="1084"/>
      <c r="E305" s="1084"/>
      <c r="F305" s="1084"/>
      <c r="G305" s="1084"/>
      <c r="H305" s="1084"/>
    </row>
    <row r="306" spans="1:8">
      <c r="A306" s="1085" t="s">
        <v>496</v>
      </c>
      <c r="B306" s="1084"/>
      <c r="C306" s="1084"/>
      <c r="D306" s="1084"/>
      <c r="E306" s="1084"/>
      <c r="F306" s="1084"/>
      <c r="G306" s="1084"/>
      <c r="H306" s="1084"/>
    </row>
    <row r="307" spans="1:8">
      <c r="A307" s="1084"/>
      <c r="B307" s="1084"/>
      <c r="C307" s="1084"/>
      <c r="D307" s="1084"/>
      <c r="E307" s="1084"/>
      <c r="F307" s="1084"/>
      <c r="G307" s="1084"/>
      <c r="H307" s="1084"/>
    </row>
    <row r="308" spans="1:8">
      <c r="A308" s="1085" t="s">
        <v>492</v>
      </c>
      <c r="B308" s="1084"/>
      <c r="C308" s="1084"/>
      <c r="D308" s="1084"/>
      <c r="E308" s="1084"/>
      <c r="F308" s="1084"/>
      <c r="G308" s="1084"/>
      <c r="H308" s="1084"/>
    </row>
    <row r="309" spans="1:8">
      <c r="A309" s="1085" t="s">
        <v>493</v>
      </c>
      <c r="B309" s="1084"/>
      <c r="C309" s="1084"/>
      <c r="D309" s="1084"/>
      <c r="E309" s="1084"/>
      <c r="F309" s="1084"/>
      <c r="G309" s="1084"/>
      <c r="H309" s="1084"/>
    </row>
    <row r="310" spans="1:8">
      <c r="A310" s="1084"/>
      <c r="B310" s="1084"/>
      <c r="C310" s="1084"/>
      <c r="D310" s="1084"/>
      <c r="E310" s="1084"/>
      <c r="F310" s="1084"/>
      <c r="G310" s="1084"/>
      <c r="H310" s="1084"/>
    </row>
    <row r="311" spans="1:8">
      <c r="A311" s="1085" t="s">
        <v>479</v>
      </c>
      <c r="B311" s="1084"/>
      <c r="C311" s="1084"/>
      <c r="D311" s="1084"/>
      <c r="E311" s="1084"/>
      <c r="F311" s="1084"/>
      <c r="G311" s="1084"/>
      <c r="H311" s="1084"/>
    </row>
    <row r="312" spans="1:8">
      <c r="A312" s="1085" t="s">
        <v>480</v>
      </c>
      <c r="B312" s="1084"/>
      <c r="C312" s="1084"/>
      <c r="D312" s="1084"/>
      <c r="E312" s="1084"/>
      <c r="F312" s="1084"/>
      <c r="G312" s="1084"/>
      <c r="H312" s="1084"/>
    </row>
    <row r="313" spans="1:8">
      <c r="A313" s="1085" t="s">
        <v>481</v>
      </c>
      <c r="B313" s="1084"/>
      <c r="C313" s="1084"/>
      <c r="D313" s="1084"/>
      <c r="E313" s="1084"/>
      <c r="F313" s="1084"/>
      <c r="G313" s="1084"/>
      <c r="H313" s="1084"/>
    </row>
    <row r="314" spans="1:8">
      <c r="A314" s="1085" t="s">
        <v>482</v>
      </c>
      <c r="B314" s="1084"/>
      <c r="C314" s="1084"/>
      <c r="D314" s="1084"/>
      <c r="E314" s="1084"/>
      <c r="F314" s="1084"/>
      <c r="G314" s="1084"/>
      <c r="H314" s="1084"/>
    </row>
    <row r="315" spans="1:8">
      <c r="A315" s="1085" t="s">
        <v>483</v>
      </c>
      <c r="B315" s="1084"/>
      <c r="C315" s="1084"/>
      <c r="D315" s="1084"/>
      <c r="E315" s="1084"/>
      <c r="F315" s="1084"/>
      <c r="G315" s="1084"/>
      <c r="H315" s="1084"/>
    </row>
    <row r="316" spans="1:8">
      <c r="A316" s="1085" t="s">
        <v>484</v>
      </c>
      <c r="B316" s="1084"/>
      <c r="C316" s="1084"/>
      <c r="D316" s="1084"/>
      <c r="E316" s="1084"/>
      <c r="F316" s="1084"/>
      <c r="G316" s="1084"/>
      <c r="H316" s="1084"/>
    </row>
    <row r="317" spans="1:8">
      <c r="A317" s="1085" t="s">
        <v>485</v>
      </c>
      <c r="B317" s="1084"/>
      <c r="C317" s="1084"/>
      <c r="D317" s="1084"/>
      <c r="E317" s="1084"/>
      <c r="F317" s="1084"/>
      <c r="G317" s="1084"/>
      <c r="H317" s="1084"/>
    </row>
    <row r="318" spans="1:8">
      <c r="A318" s="1085" t="s">
        <v>486</v>
      </c>
      <c r="B318" s="1084"/>
      <c r="C318" s="1084"/>
      <c r="D318" s="1084"/>
      <c r="E318" s="1084"/>
      <c r="F318" s="1084"/>
      <c r="G318" s="1084"/>
      <c r="H318" s="1084"/>
    </row>
    <row r="319" spans="1:8">
      <c r="A319" s="1085" t="s">
        <v>487</v>
      </c>
      <c r="B319" s="1084"/>
      <c r="C319" s="1084"/>
      <c r="D319" s="1084"/>
      <c r="E319" s="1084"/>
      <c r="F319" s="1084"/>
      <c r="G319" s="1084"/>
      <c r="H319" s="1084"/>
    </row>
    <row r="320" spans="1:8">
      <c r="A320" s="1085" t="s">
        <v>488</v>
      </c>
      <c r="B320" s="1084"/>
      <c r="C320" s="1084"/>
      <c r="D320" s="1084"/>
      <c r="E320" s="1084"/>
      <c r="F320" s="1084"/>
      <c r="G320" s="1084"/>
      <c r="H320" s="1084"/>
    </row>
    <row r="321" spans="1:8">
      <c r="A321" s="1085" t="s">
        <v>489</v>
      </c>
      <c r="B321" s="1084"/>
      <c r="C321" s="1084"/>
      <c r="D321" s="1084"/>
      <c r="E321" s="1084"/>
      <c r="F321" s="1084"/>
      <c r="G321" s="1084"/>
      <c r="H321" s="1084"/>
    </row>
    <row r="322" spans="1:8">
      <c r="A322" s="1085" t="s">
        <v>490</v>
      </c>
      <c r="B322" s="1084"/>
      <c r="C322" s="1084"/>
      <c r="D322" s="1084"/>
      <c r="E322" s="1084"/>
      <c r="F322" s="1084"/>
      <c r="G322" s="1084"/>
      <c r="H322" s="1084"/>
    </row>
    <row r="323" spans="1:8">
      <c r="A323" s="1085" t="s">
        <v>491</v>
      </c>
      <c r="B323" s="1084"/>
      <c r="C323" s="1084"/>
      <c r="D323" s="1084"/>
      <c r="E323" s="1084"/>
      <c r="F323" s="1084"/>
      <c r="G323" s="1084"/>
      <c r="H323" s="1084"/>
    </row>
    <row r="324" spans="1:8">
      <c r="A324" s="1084"/>
      <c r="B324" s="1084"/>
      <c r="C324" s="1084"/>
      <c r="D324" s="1084"/>
      <c r="E324" s="1084"/>
      <c r="F324" s="1084"/>
      <c r="G324" s="1084"/>
      <c r="H324" s="1084"/>
    </row>
    <row r="325" spans="1:8">
      <c r="A325" s="1085" t="s">
        <v>471</v>
      </c>
      <c r="B325" s="1084"/>
      <c r="C325" s="1084"/>
      <c r="D325" s="1084"/>
      <c r="E325" s="1084"/>
      <c r="F325" s="1084"/>
      <c r="G325" s="1084"/>
      <c r="H325" s="1084"/>
    </row>
    <row r="326" spans="1:8">
      <c r="A326" s="1085" t="s">
        <v>472</v>
      </c>
      <c r="B326" s="1084"/>
      <c r="C326" s="1084"/>
      <c r="D326" s="1084"/>
      <c r="E326" s="1084"/>
      <c r="F326" s="1084"/>
      <c r="G326" s="1084"/>
      <c r="H326" s="1084"/>
    </row>
    <row r="327" spans="1:8">
      <c r="A327" s="1085" t="s">
        <v>473</v>
      </c>
      <c r="B327" s="1084"/>
      <c r="C327" s="1084"/>
      <c r="D327" s="1084"/>
      <c r="E327" s="1084"/>
      <c r="F327" s="1084"/>
      <c r="G327" s="1084"/>
      <c r="H327" s="1084"/>
    </row>
    <row r="328" spans="1:8">
      <c r="A328" s="1085" t="s">
        <v>474</v>
      </c>
      <c r="B328" s="1084"/>
      <c r="C328" s="1084"/>
      <c r="D328" s="1084"/>
      <c r="E328" s="1084"/>
      <c r="F328" s="1084"/>
      <c r="G328" s="1084"/>
      <c r="H328" s="1084"/>
    </row>
    <row r="329" spans="1:8">
      <c r="A329" s="1085" t="s">
        <v>475</v>
      </c>
      <c r="B329" s="1084"/>
      <c r="C329" s="1084"/>
      <c r="D329" s="1084"/>
      <c r="E329" s="1084"/>
      <c r="F329" s="1084"/>
      <c r="G329" s="1084"/>
      <c r="H329" s="1084"/>
    </row>
    <row r="330" spans="1:8">
      <c r="A330" s="1085" t="s">
        <v>476</v>
      </c>
      <c r="B330" s="1084"/>
      <c r="C330" s="1084"/>
      <c r="D330" s="1084"/>
      <c r="E330" s="1084"/>
      <c r="F330" s="1084"/>
      <c r="G330" s="1084"/>
      <c r="H330" s="1084"/>
    </row>
    <row r="331" spans="1:8">
      <c r="A331" s="1085" t="s">
        <v>477</v>
      </c>
      <c r="B331" s="1084"/>
      <c r="C331" s="1084"/>
      <c r="D331" s="1084"/>
      <c r="E331" s="1084"/>
      <c r="F331" s="1084"/>
      <c r="G331" s="1084"/>
      <c r="H331" s="1084"/>
    </row>
    <row r="332" spans="1:8">
      <c r="A332" s="1085" t="s">
        <v>478</v>
      </c>
      <c r="B332" s="1084"/>
      <c r="C332" s="1084"/>
      <c r="D332" s="1084"/>
      <c r="E332" s="1084"/>
      <c r="F332" s="1084"/>
      <c r="G332" s="1084"/>
      <c r="H332" s="1084"/>
    </row>
    <row r="333" spans="1:8">
      <c r="A333" s="1084"/>
      <c r="B333" s="1084"/>
      <c r="C333" s="1084"/>
      <c r="D333" s="1084"/>
      <c r="E333" s="1084"/>
      <c r="F333" s="1084"/>
      <c r="G333" s="1084"/>
      <c r="H333" s="1084"/>
    </row>
    <row r="334" spans="1:8">
      <c r="A334" s="1085" t="s">
        <v>436</v>
      </c>
      <c r="B334" s="1084"/>
      <c r="C334" s="1084"/>
      <c r="D334" s="1084"/>
      <c r="E334" s="1084"/>
      <c r="F334" s="1084"/>
      <c r="G334" s="1084"/>
      <c r="H334" s="1084"/>
    </row>
    <row r="335" spans="1:8">
      <c r="A335" s="1085" t="s">
        <v>437</v>
      </c>
      <c r="B335" s="1084"/>
      <c r="C335" s="1084"/>
      <c r="D335" s="1084"/>
      <c r="E335" s="1084"/>
      <c r="F335" s="1084"/>
      <c r="G335" s="1084"/>
      <c r="H335" s="1084"/>
    </row>
    <row r="336" spans="1:8">
      <c r="A336" s="1085" t="s">
        <v>438</v>
      </c>
      <c r="B336" s="1084"/>
      <c r="C336" s="1084"/>
      <c r="D336" s="1084"/>
      <c r="E336" s="1084"/>
      <c r="F336" s="1084"/>
      <c r="G336" s="1084"/>
      <c r="H336" s="1084"/>
    </row>
    <row r="337" spans="1:8">
      <c r="A337" s="1085" t="s">
        <v>439</v>
      </c>
      <c r="B337" s="1084"/>
      <c r="C337" s="1084"/>
      <c r="D337" s="1084"/>
      <c r="E337" s="1084"/>
      <c r="F337" s="1084"/>
      <c r="G337" s="1084"/>
      <c r="H337" s="1084"/>
    </row>
    <row r="338" spans="1:8">
      <c r="A338" s="1085" t="s">
        <v>440</v>
      </c>
      <c r="B338" s="1084"/>
      <c r="C338" s="1084"/>
      <c r="D338" s="1084"/>
      <c r="E338" s="1084"/>
      <c r="F338" s="1084"/>
      <c r="G338" s="1084"/>
      <c r="H338" s="1084"/>
    </row>
    <row r="339" spans="1:8">
      <c r="A339" s="1085" t="s">
        <v>441</v>
      </c>
      <c r="B339" s="1084"/>
      <c r="C339" s="1084"/>
      <c r="D339" s="1084"/>
      <c r="E339" s="1084"/>
      <c r="F339" s="1084"/>
      <c r="G339" s="1084"/>
      <c r="H339" s="1084"/>
    </row>
    <row r="340" spans="1:8">
      <c r="A340" s="1085" t="s">
        <v>442</v>
      </c>
      <c r="B340" s="1084"/>
      <c r="C340" s="1084"/>
      <c r="D340" s="1084"/>
      <c r="E340" s="1084"/>
      <c r="F340" s="1084"/>
      <c r="G340" s="1084"/>
      <c r="H340" s="1084"/>
    </row>
    <row r="341" spans="1:8">
      <c r="A341" s="1085" t="s">
        <v>443</v>
      </c>
      <c r="B341" s="1084"/>
      <c r="C341" s="1084"/>
      <c r="D341" s="1084"/>
      <c r="E341" s="1084"/>
      <c r="F341" s="1084"/>
      <c r="G341" s="1084"/>
      <c r="H341" s="1084"/>
    </row>
    <row r="342" spans="1:8">
      <c r="A342" s="1085" t="s">
        <v>444</v>
      </c>
      <c r="B342" s="1084"/>
      <c r="C342" s="1084"/>
      <c r="D342" s="1084"/>
      <c r="E342" s="1084"/>
      <c r="F342" s="1084"/>
      <c r="G342" s="1084"/>
      <c r="H342" s="1084"/>
    </row>
    <row r="343" spans="1:8">
      <c r="A343" s="1085" t="s">
        <v>445</v>
      </c>
      <c r="B343" s="1084"/>
      <c r="C343" s="1084"/>
      <c r="D343" s="1084"/>
      <c r="E343" s="1084"/>
      <c r="F343" s="1084"/>
      <c r="G343" s="1084"/>
      <c r="H343" s="1084"/>
    </row>
    <row r="344" spans="1:8">
      <c r="A344" s="1085" t="s">
        <v>446</v>
      </c>
      <c r="B344" s="1084"/>
      <c r="C344" s="1084"/>
      <c r="D344" s="1084"/>
      <c r="E344" s="1084"/>
      <c r="F344" s="1084"/>
      <c r="G344" s="1084"/>
      <c r="H344" s="1084"/>
    </row>
    <row r="345" spans="1:8">
      <c r="A345" s="1085" t="s">
        <v>447</v>
      </c>
      <c r="B345" s="1084"/>
      <c r="C345" s="1084"/>
      <c r="D345" s="1084"/>
      <c r="E345" s="1084"/>
      <c r="F345" s="1084"/>
      <c r="G345" s="1084"/>
      <c r="H345" s="1084"/>
    </row>
    <row r="346" spans="1:8">
      <c r="A346" s="1085" t="s">
        <v>448</v>
      </c>
      <c r="B346" s="1084"/>
      <c r="C346" s="1084"/>
      <c r="D346" s="1084"/>
      <c r="E346" s="1084"/>
      <c r="F346" s="1084"/>
      <c r="G346" s="1084"/>
      <c r="H346" s="1084"/>
    </row>
    <row r="347" spans="1:8">
      <c r="A347" s="1085" t="s">
        <v>449</v>
      </c>
      <c r="B347" s="1084"/>
      <c r="C347" s="1084"/>
      <c r="D347" s="1084"/>
      <c r="E347" s="1084"/>
      <c r="F347" s="1084"/>
      <c r="G347" s="1084"/>
      <c r="H347" s="1084"/>
    </row>
    <row r="348" spans="1:8">
      <c r="A348" s="1085" t="s">
        <v>450</v>
      </c>
      <c r="B348" s="1084"/>
      <c r="C348" s="1084"/>
      <c r="D348" s="1084"/>
      <c r="E348" s="1084"/>
      <c r="F348" s="1084"/>
      <c r="G348" s="1084"/>
      <c r="H348" s="1084"/>
    </row>
    <row r="349" spans="1:8">
      <c r="A349" s="1085" t="s">
        <v>451</v>
      </c>
      <c r="B349" s="1084"/>
      <c r="C349" s="1084"/>
      <c r="D349" s="1084"/>
      <c r="E349" s="1084"/>
      <c r="F349" s="1084"/>
      <c r="G349" s="1084"/>
      <c r="H349" s="1084"/>
    </row>
    <row r="350" spans="1:8">
      <c r="A350" s="1085" t="s">
        <v>452</v>
      </c>
      <c r="B350" s="1084"/>
      <c r="C350" s="1084"/>
      <c r="D350" s="1084"/>
      <c r="E350" s="1084"/>
      <c r="F350" s="1084"/>
      <c r="G350" s="1084"/>
      <c r="H350" s="1084"/>
    </row>
    <row r="351" spans="1:8">
      <c r="A351" s="1085" t="s">
        <v>453</v>
      </c>
      <c r="B351" s="1084"/>
      <c r="C351" s="1084"/>
      <c r="D351" s="1084"/>
      <c r="E351" s="1084"/>
      <c r="F351" s="1084"/>
      <c r="G351" s="1084"/>
      <c r="H351" s="1084"/>
    </row>
    <row r="352" spans="1:8">
      <c r="A352" s="1085" t="s">
        <v>454</v>
      </c>
      <c r="B352" s="1084"/>
      <c r="C352" s="1084"/>
      <c r="D352" s="1084"/>
      <c r="E352" s="1084"/>
      <c r="F352" s="1084"/>
      <c r="G352" s="1084"/>
      <c r="H352" s="1084"/>
    </row>
    <row r="353" spans="1:8">
      <c r="A353" s="1085" t="s">
        <v>455</v>
      </c>
      <c r="B353" s="1084"/>
      <c r="C353" s="1084"/>
      <c r="D353" s="1084"/>
      <c r="E353" s="1084"/>
      <c r="F353" s="1084"/>
      <c r="G353" s="1084"/>
      <c r="H353" s="1084"/>
    </row>
    <row r="354" spans="1:8">
      <c r="A354" s="1085" t="s">
        <v>456</v>
      </c>
      <c r="B354" s="1084"/>
      <c r="C354" s="1084"/>
      <c r="D354" s="1084"/>
      <c r="E354" s="1084"/>
      <c r="F354" s="1084"/>
      <c r="G354" s="1084"/>
      <c r="H354" s="1084"/>
    </row>
    <row r="355" spans="1:8">
      <c r="A355" s="1085" t="s">
        <v>457</v>
      </c>
      <c r="B355" s="1084"/>
      <c r="C355" s="1084"/>
      <c r="D355" s="1084"/>
      <c r="E355" s="1084"/>
      <c r="F355" s="1084"/>
      <c r="G355" s="1084"/>
      <c r="H355" s="1084"/>
    </row>
    <row r="356" spans="1:8">
      <c r="A356" s="1085" t="s">
        <v>458</v>
      </c>
      <c r="B356" s="1084"/>
      <c r="C356" s="1084"/>
      <c r="D356" s="1084"/>
      <c r="E356" s="1084"/>
      <c r="F356" s="1084"/>
      <c r="G356" s="1084"/>
      <c r="H356" s="1084"/>
    </row>
    <row r="357" spans="1:8">
      <c r="A357" s="1085" t="s">
        <v>459</v>
      </c>
      <c r="B357" s="1084"/>
      <c r="C357" s="1084"/>
      <c r="D357" s="1084"/>
      <c r="E357" s="1084"/>
      <c r="F357" s="1084"/>
      <c r="G357" s="1084"/>
      <c r="H357" s="1084"/>
    </row>
    <row r="358" spans="1:8">
      <c r="A358" s="1085" t="s">
        <v>460</v>
      </c>
      <c r="B358" s="1084"/>
      <c r="C358" s="1084"/>
      <c r="D358" s="1084"/>
      <c r="E358" s="1084"/>
      <c r="F358" s="1084"/>
      <c r="G358" s="1084"/>
      <c r="H358" s="1084"/>
    </row>
    <row r="359" spans="1:8">
      <c r="A359" s="1085" t="s">
        <v>461</v>
      </c>
      <c r="B359" s="1084"/>
      <c r="C359" s="1084"/>
      <c r="D359" s="1084"/>
      <c r="E359" s="1084"/>
      <c r="F359" s="1084"/>
      <c r="G359" s="1084"/>
      <c r="H359" s="1084"/>
    </row>
    <row r="360" spans="1:8">
      <c r="A360" s="1085" t="s">
        <v>462</v>
      </c>
      <c r="B360" s="1084"/>
      <c r="C360" s="1084"/>
      <c r="D360" s="1084"/>
      <c r="E360" s="1084"/>
      <c r="F360" s="1084"/>
      <c r="G360" s="1084"/>
      <c r="H360" s="1084"/>
    </row>
    <row r="361" spans="1:8">
      <c r="A361" s="1085" t="s">
        <v>463</v>
      </c>
      <c r="B361" s="1084"/>
      <c r="C361" s="1084"/>
      <c r="D361" s="1084"/>
      <c r="E361" s="1084"/>
      <c r="F361" s="1084"/>
      <c r="G361" s="1084"/>
      <c r="H361" s="1084"/>
    </row>
    <row r="362" spans="1:8">
      <c r="A362" s="1085" t="s">
        <v>464</v>
      </c>
      <c r="B362" s="1084"/>
      <c r="C362" s="1084"/>
      <c r="D362" s="1084"/>
      <c r="E362" s="1084"/>
      <c r="F362" s="1084"/>
      <c r="G362" s="1084"/>
      <c r="H362" s="1084"/>
    </row>
    <row r="363" spans="1:8">
      <c r="A363" s="1085" t="s">
        <v>465</v>
      </c>
      <c r="B363" s="1084"/>
      <c r="C363" s="1084"/>
      <c r="D363" s="1084"/>
      <c r="E363" s="1084"/>
      <c r="F363" s="1084"/>
      <c r="G363" s="1084"/>
      <c r="H363" s="1084"/>
    </row>
    <row r="364" spans="1:8">
      <c r="A364" s="1085" t="s">
        <v>466</v>
      </c>
      <c r="B364" s="1084"/>
      <c r="C364" s="1084"/>
      <c r="D364" s="1084"/>
      <c r="E364" s="1084"/>
      <c r="F364" s="1084"/>
      <c r="G364" s="1084"/>
      <c r="H364" s="1084"/>
    </row>
    <row r="365" spans="1:8">
      <c r="A365" s="1085" t="s">
        <v>467</v>
      </c>
      <c r="B365" s="1084"/>
      <c r="C365" s="1084"/>
      <c r="D365" s="1084"/>
      <c r="E365" s="1084"/>
      <c r="F365" s="1084"/>
      <c r="G365" s="1084"/>
      <c r="H365" s="1084"/>
    </row>
    <row r="366" spans="1:8">
      <c r="A366" s="1085" t="s">
        <v>468</v>
      </c>
      <c r="B366" s="1084"/>
      <c r="C366" s="1084"/>
      <c r="D366" s="1084"/>
      <c r="E366" s="1084"/>
      <c r="F366" s="1084"/>
      <c r="G366" s="1084"/>
      <c r="H366" s="1084"/>
    </row>
    <row r="367" spans="1:8">
      <c r="A367" s="1085" t="s">
        <v>469</v>
      </c>
      <c r="B367" s="1084"/>
      <c r="C367" s="1084"/>
      <c r="D367" s="1084"/>
      <c r="E367" s="1084"/>
      <c r="F367" s="1084"/>
      <c r="G367" s="1084"/>
      <c r="H367" s="1084"/>
    </row>
    <row r="368" spans="1:8">
      <c r="A368" s="1085" t="s">
        <v>470</v>
      </c>
      <c r="B368" s="1084"/>
      <c r="C368" s="1084"/>
      <c r="D368" s="1084"/>
      <c r="E368" s="1084"/>
      <c r="F368" s="1084"/>
      <c r="G368" s="1084"/>
      <c r="H368" s="1084"/>
    </row>
    <row r="369" spans="1:8">
      <c r="A369" s="1084"/>
      <c r="B369" s="1084"/>
      <c r="C369" s="1084"/>
      <c r="D369" s="1084"/>
      <c r="E369" s="1084"/>
      <c r="F369" s="1084"/>
      <c r="G369" s="1084"/>
      <c r="H369" s="1084"/>
    </row>
    <row r="370" spans="1:8">
      <c r="A370" s="1085" t="s">
        <v>428</v>
      </c>
      <c r="B370" s="1084"/>
      <c r="C370" s="1084"/>
      <c r="D370" s="1084"/>
      <c r="E370" s="1084"/>
      <c r="F370" s="1084"/>
      <c r="G370" s="1084"/>
      <c r="H370" s="1084"/>
    </row>
    <row r="371" spans="1:8">
      <c r="A371" s="1085" t="s">
        <v>432</v>
      </c>
      <c r="B371" s="1084"/>
      <c r="C371" s="1084"/>
      <c r="D371" s="1084"/>
      <c r="E371" s="1084"/>
      <c r="F371" s="1084"/>
      <c r="G371" s="1084"/>
      <c r="H371" s="1084"/>
    </row>
    <row r="372" spans="1:8">
      <c r="A372" s="1085" t="s">
        <v>433</v>
      </c>
      <c r="B372" s="1084"/>
      <c r="C372" s="1084"/>
      <c r="D372" s="1084"/>
      <c r="E372" s="1084"/>
      <c r="F372" s="1084"/>
      <c r="G372" s="1084"/>
      <c r="H372" s="1084"/>
    </row>
    <row r="373" spans="1:8">
      <c r="A373" s="1085" t="s">
        <v>434</v>
      </c>
      <c r="B373" s="1084"/>
      <c r="C373" s="1084"/>
      <c r="D373" s="1084"/>
      <c r="E373" s="1084"/>
      <c r="F373" s="1084"/>
      <c r="G373" s="1084"/>
      <c r="H373" s="1084"/>
    </row>
    <row r="374" spans="1:8">
      <c r="A374" s="1085" t="s">
        <v>435</v>
      </c>
      <c r="B374" s="1084"/>
      <c r="C374" s="1084"/>
      <c r="D374" s="1084"/>
      <c r="E374" s="1084"/>
      <c r="F374" s="1084"/>
      <c r="G374" s="1084"/>
      <c r="H374" s="1084"/>
    </row>
    <row r="375" spans="1:8">
      <c r="A375" s="1084"/>
      <c r="B375" s="1084"/>
      <c r="C375" s="1084"/>
      <c r="D375" s="1084"/>
      <c r="E375" s="1084"/>
      <c r="F375" s="1084"/>
      <c r="G375" s="1084"/>
      <c r="H375" s="1084"/>
    </row>
    <row r="376" spans="1:8">
      <c r="A376" s="1085" t="s">
        <v>428</v>
      </c>
      <c r="B376" s="1084"/>
      <c r="C376" s="1084"/>
      <c r="D376" s="1084"/>
      <c r="E376" s="1084"/>
      <c r="F376" s="1084"/>
      <c r="G376" s="1084"/>
      <c r="H376" s="1084"/>
    </row>
    <row r="377" spans="1:8">
      <c r="A377" s="1085" t="s">
        <v>429</v>
      </c>
      <c r="B377" s="1084"/>
      <c r="C377" s="1084"/>
      <c r="D377" s="1084"/>
      <c r="E377" s="1084"/>
      <c r="F377" s="1084"/>
      <c r="G377" s="1084"/>
      <c r="H377" s="1084"/>
    </row>
    <row r="378" spans="1:8">
      <c r="A378" s="1085" t="s">
        <v>430</v>
      </c>
      <c r="B378" s="1084"/>
      <c r="C378" s="1084"/>
      <c r="D378" s="1084"/>
      <c r="E378" s="1084"/>
      <c r="F378" s="1084"/>
      <c r="G378" s="1084"/>
      <c r="H378" s="1084"/>
    </row>
    <row r="379" spans="1:8">
      <c r="A379" s="1085" t="s">
        <v>431</v>
      </c>
      <c r="B379" s="1084"/>
      <c r="C379" s="1084"/>
      <c r="D379" s="1084"/>
      <c r="E379" s="1084"/>
      <c r="F379" s="1084"/>
      <c r="G379" s="1084"/>
      <c r="H379" s="1084"/>
    </row>
    <row r="380" spans="1:8">
      <c r="A380" s="1084"/>
      <c r="B380" s="1084"/>
      <c r="C380" s="1084"/>
      <c r="D380" s="1084"/>
      <c r="E380" s="1084"/>
      <c r="F380" s="1084"/>
      <c r="G380" s="1084"/>
      <c r="H380" s="1084"/>
    </row>
    <row r="381" spans="1:8">
      <c r="A381" s="1085" t="s">
        <v>422</v>
      </c>
      <c r="B381" s="1084"/>
      <c r="C381" s="1084"/>
      <c r="D381" s="1084"/>
      <c r="E381" s="1084"/>
      <c r="F381" s="1084"/>
      <c r="G381" s="1084"/>
      <c r="H381" s="1084"/>
    </row>
    <row r="382" spans="1:8">
      <c r="A382" s="1085" t="s">
        <v>423</v>
      </c>
      <c r="B382" s="1084"/>
      <c r="C382" s="1084"/>
      <c r="D382" s="1084"/>
      <c r="E382" s="1084"/>
      <c r="F382" s="1084"/>
      <c r="G382" s="1084"/>
      <c r="H382" s="1084"/>
    </row>
    <row r="383" spans="1:8">
      <c r="A383" s="1085" t="s">
        <v>424</v>
      </c>
      <c r="B383" s="1084"/>
      <c r="C383" s="1084"/>
      <c r="D383" s="1084"/>
      <c r="E383" s="1084"/>
      <c r="F383" s="1084"/>
      <c r="G383" s="1084"/>
      <c r="H383" s="1084"/>
    </row>
    <row r="384" spans="1:8">
      <c r="A384" s="1085" t="s">
        <v>425</v>
      </c>
      <c r="B384" s="1084"/>
      <c r="C384" s="1084"/>
      <c r="D384" s="1084"/>
      <c r="E384" s="1084"/>
      <c r="F384" s="1084"/>
      <c r="G384" s="1084"/>
      <c r="H384" s="1084"/>
    </row>
    <row r="385" spans="1:8">
      <c r="A385" s="1085" t="s">
        <v>426</v>
      </c>
      <c r="B385" s="1084"/>
      <c r="C385" s="1084"/>
      <c r="D385" s="1084"/>
      <c r="E385" s="1084"/>
      <c r="F385" s="1084"/>
      <c r="G385" s="1084"/>
      <c r="H385" s="1084"/>
    </row>
    <row r="386" spans="1:8">
      <c r="A386" s="1085" t="s">
        <v>427</v>
      </c>
      <c r="B386" s="1084"/>
      <c r="C386" s="1084"/>
      <c r="D386" s="1084"/>
      <c r="E386" s="1084"/>
      <c r="F386" s="1084"/>
      <c r="G386" s="1084"/>
      <c r="H386" s="1084"/>
    </row>
    <row r="387" spans="1:8">
      <c r="A387" s="1084"/>
      <c r="B387" s="1084"/>
      <c r="C387" s="1084"/>
      <c r="D387" s="1084"/>
      <c r="E387" s="1084"/>
      <c r="F387" s="1084"/>
      <c r="G387" s="1084"/>
      <c r="H387" s="1084"/>
    </row>
    <row r="388" spans="1:8">
      <c r="A388" s="1085" t="s">
        <v>417</v>
      </c>
      <c r="B388" s="1084"/>
      <c r="C388" s="1084"/>
      <c r="D388" s="1084"/>
      <c r="E388" s="1084"/>
      <c r="F388" s="1084"/>
      <c r="G388" s="1084"/>
      <c r="H388" s="1084"/>
    </row>
    <row r="389" spans="1:8">
      <c r="A389" s="1085" t="s">
        <v>418</v>
      </c>
      <c r="B389" s="1084"/>
      <c r="C389" s="1084"/>
      <c r="D389" s="1084"/>
      <c r="E389" s="1084"/>
      <c r="F389" s="1084"/>
      <c r="G389" s="1084"/>
      <c r="H389" s="1084"/>
    </row>
    <row r="390" spans="1:8">
      <c r="A390" s="1085" t="s">
        <v>419</v>
      </c>
      <c r="B390" s="1084"/>
      <c r="C390" s="1084"/>
      <c r="D390" s="1084"/>
      <c r="E390" s="1084"/>
      <c r="F390" s="1084"/>
      <c r="G390" s="1084"/>
      <c r="H390" s="1084"/>
    </row>
    <row r="391" spans="1:8">
      <c r="A391" s="1085" t="s">
        <v>420</v>
      </c>
      <c r="B391" s="1084"/>
      <c r="C391" s="1084"/>
      <c r="D391" s="1084"/>
      <c r="E391" s="1084"/>
      <c r="F391" s="1084"/>
      <c r="G391" s="1084"/>
      <c r="H391" s="1084"/>
    </row>
    <row r="392" spans="1:8">
      <c r="A392" s="1085" t="s">
        <v>421</v>
      </c>
      <c r="B392" s="1084"/>
      <c r="C392" s="1084"/>
      <c r="D392" s="1084"/>
      <c r="E392" s="1084"/>
      <c r="F392" s="1084"/>
      <c r="G392" s="1084"/>
      <c r="H392" s="1084"/>
    </row>
    <row r="393" spans="1:8">
      <c r="A393" s="1084"/>
      <c r="B393" s="1084"/>
      <c r="C393" s="1084"/>
      <c r="D393" s="1084"/>
      <c r="E393" s="1084"/>
      <c r="F393" s="1084"/>
      <c r="G393" s="1084"/>
      <c r="H393" s="1084"/>
    </row>
    <row r="394" spans="1:8">
      <c r="A394" s="1085" t="s">
        <v>415</v>
      </c>
      <c r="B394" s="1084"/>
      <c r="C394" s="1084"/>
      <c r="D394" s="1084"/>
      <c r="E394" s="1084"/>
      <c r="F394" s="1084"/>
      <c r="G394" s="1084"/>
      <c r="H394" s="1084"/>
    </row>
    <row r="395" spans="1:8">
      <c r="A395" s="1085" t="s">
        <v>416</v>
      </c>
      <c r="B395" s="1084"/>
      <c r="C395" s="1084"/>
      <c r="D395" s="1084"/>
      <c r="E395" s="1084"/>
      <c r="F395" s="1084"/>
      <c r="G395" s="1084"/>
      <c r="H395" s="1084"/>
    </row>
    <row r="397" spans="1:8">
      <c r="A397" s="1080" t="s">
        <v>673</v>
      </c>
    </row>
  </sheetData>
  <mergeCells count="12">
    <mergeCell ref="A120:H120"/>
    <mergeCell ref="A127:H127"/>
    <mergeCell ref="A114:H114"/>
    <mergeCell ref="A115:H115"/>
    <mergeCell ref="A116:H116"/>
    <mergeCell ref="A117:H117"/>
    <mergeCell ref="A119:H119"/>
    <mergeCell ref="A135:H135"/>
    <mergeCell ref="A136:H136"/>
    <mergeCell ref="B128:C128"/>
    <mergeCell ref="D128:F128"/>
    <mergeCell ref="G128:H128"/>
  </mergeCells>
  <pageMargins left="0.5" right="0.5" top="0.5" bottom="0.5" header="0.5" footer="0.5"/>
  <pageSetup orientation="portrait" horizontalDpi="300" verticalDpi="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73"/>
  <sheetViews>
    <sheetView zoomScaleNormal="100" workbookViewId="0"/>
  </sheetViews>
  <sheetFormatPr defaultRowHeight="12.75"/>
  <cols>
    <col min="1" max="1" width="9.140625" style="784"/>
    <col min="2" max="4" width="38.42578125" style="784" customWidth="1"/>
    <col min="5" max="16384" width="9.140625" style="784"/>
  </cols>
  <sheetData>
    <row r="1" spans="1:29" s="777" customFormat="1">
      <c r="A1" s="776"/>
      <c r="B1" s="776"/>
      <c r="C1" s="776"/>
      <c r="D1" s="776"/>
      <c r="E1" s="776"/>
      <c r="F1" s="776"/>
      <c r="G1" s="776"/>
      <c r="H1" s="776"/>
      <c r="I1" s="776"/>
      <c r="J1" s="776"/>
      <c r="K1" s="776"/>
      <c r="L1" s="776"/>
      <c r="M1" s="776"/>
      <c r="N1" s="776"/>
      <c r="O1" s="776"/>
      <c r="P1" s="776"/>
      <c r="Q1" s="776"/>
      <c r="R1" s="776"/>
      <c r="S1" s="776"/>
      <c r="T1" s="776"/>
      <c r="U1" s="776"/>
      <c r="V1" s="776"/>
      <c r="W1" s="776"/>
      <c r="X1" s="776"/>
      <c r="Y1" s="776"/>
      <c r="Z1" s="776"/>
      <c r="AA1" s="776"/>
      <c r="AB1" s="776"/>
      <c r="AC1" s="776"/>
    </row>
    <row r="2" spans="1:29" s="777" customFormat="1" ht="28.5" customHeight="1">
      <c r="A2" s="776"/>
      <c r="B2" s="778" t="s">
        <v>102</v>
      </c>
      <c r="C2" s="776"/>
      <c r="D2" s="776"/>
      <c r="E2" s="776"/>
      <c r="F2" s="776"/>
      <c r="G2" s="776"/>
      <c r="H2" s="776"/>
      <c r="I2" s="776"/>
      <c r="J2" s="776"/>
      <c r="K2" s="776"/>
      <c r="L2" s="776"/>
      <c r="M2" s="776"/>
      <c r="N2" s="776"/>
      <c r="O2" s="776"/>
      <c r="P2" s="776"/>
      <c r="Q2" s="776"/>
      <c r="R2" s="776"/>
      <c r="S2" s="776"/>
      <c r="T2" s="776"/>
      <c r="U2" s="776"/>
      <c r="V2" s="776"/>
      <c r="W2" s="776"/>
      <c r="X2" s="776"/>
      <c r="Y2" s="776"/>
      <c r="Z2" s="776"/>
      <c r="AA2" s="776"/>
      <c r="AB2" s="776"/>
      <c r="AC2" s="776"/>
    </row>
    <row r="3" spans="1:29" s="777" customFormat="1" ht="15.75">
      <c r="A3" s="776"/>
      <c r="B3" s="779" t="s">
        <v>225</v>
      </c>
      <c r="C3" s="779" t="s">
        <v>209</v>
      </c>
      <c r="D3" s="776"/>
      <c r="E3" s="776"/>
      <c r="F3" s="776"/>
      <c r="G3" s="776"/>
      <c r="H3" s="776"/>
      <c r="I3" s="776"/>
      <c r="J3" s="776"/>
      <c r="K3" s="776"/>
      <c r="L3" s="776"/>
      <c r="M3" s="776"/>
      <c r="N3" s="776"/>
      <c r="O3" s="776"/>
      <c r="P3" s="776"/>
      <c r="Q3" s="776"/>
      <c r="R3" s="776"/>
      <c r="S3" s="776"/>
      <c r="T3" s="776"/>
      <c r="U3" s="776"/>
      <c r="V3" s="776"/>
      <c r="W3" s="776"/>
      <c r="X3" s="776"/>
      <c r="Y3" s="776"/>
      <c r="Z3" s="776"/>
      <c r="AA3" s="776"/>
      <c r="AB3" s="776"/>
      <c r="AC3" s="776"/>
    </row>
    <row r="4" spans="1:29" s="777" customFormat="1" ht="15.75">
      <c r="A4" s="776"/>
      <c r="B4" s="779" t="s">
        <v>259</v>
      </c>
      <c r="C4" s="779" t="s">
        <v>330</v>
      </c>
      <c r="D4" s="776"/>
      <c r="E4" s="776"/>
      <c r="F4" s="776"/>
      <c r="G4" s="776"/>
      <c r="H4" s="776"/>
      <c r="I4" s="776"/>
      <c r="J4" s="776"/>
      <c r="K4" s="776"/>
      <c r="L4" s="776"/>
      <c r="M4" s="776"/>
      <c r="N4" s="776"/>
      <c r="O4" s="776"/>
      <c r="P4" s="776"/>
      <c r="Q4" s="776"/>
      <c r="R4" s="776"/>
      <c r="S4" s="776"/>
      <c r="T4" s="776"/>
      <c r="U4" s="776"/>
      <c r="V4" s="776"/>
      <c r="W4" s="776"/>
      <c r="X4" s="776"/>
      <c r="Y4" s="776"/>
      <c r="Z4" s="776"/>
      <c r="AA4" s="776"/>
      <c r="AB4" s="776"/>
      <c r="AC4" s="776"/>
    </row>
    <row r="5" spans="1:29" s="777" customFormat="1" ht="15.75">
      <c r="A5" s="776"/>
      <c r="B5" s="779" t="s">
        <v>260</v>
      </c>
      <c r="C5" s="780">
        <f>+Valuation!G9</f>
        <v>238</v>
      </c>
      <c r="D5" s="776"/>
      <c r="E5" s="776"/>
      <c r="F5" s="776"/>
      <c r="G5" s="776"/>
      <c r="H5" s="776"/>
      <c r="I5" s="776"/>
      <c r="J5" s="776"/>
      <c r="K5" s="776"/>
      <c r="L5" s="776"/>
      <c r="M5" s="776"/>
      <c r="N5" s="776"/>
      <c r="O5" s="776"/>
      <c r="P5" s="776"/>
      <c r="Q5" s="776"/>
      <c r="R5" s="776"/>
      <c r="S5" s="776"/>
      <c r="T5" s="776"/>
      <c r="U5" s="776"/>
      <c r="V5" s="776"/>
      <c r="W5" s="776"/>
      <c r="X5" s="776"/>
      <c r="Y5" s="776"/>
      <c r="Z5" s="776"/>
      <c r="AA5" s="776"/>
      <c r="AB5" s="776"/>
      <c r="AC5" s="776"/>
    </row>
    <row r="6" spans="1:29" s="777" customFormat="1" ht="15.75">
      <c r="A6" s="776"/>
      <c r="B6" s="779" t="s">
        <v>261</v>
      </c>
      <c r="C6" s="781">
        <f ca="1">NOW()</f>
        <v>43201.543432407409</v>
      </c>
      <c r="D6" s="776"/>
      <c r="E6" s="776"/>
      <c r="F6" s="776"/>
      <c r="G6" s="776"/>
      <c r="H6" s="776"/>
      <c r="I6" s="776"/>
      <c r="J6" s="776"/>
      <c r="K6" s="776"/>
      <c r="L6" s="776"/>
      <c r="M6" s="776"/>
      <c r="N6" s="776"/>
      <c r="O6" s="776"/>
      <c r="P6" s="776"/>
      <c r="Q6" s="776"/>
      <c r="R6" s="776"/>
      <c r="S6" s="776"/>
      <c r="T6" s="776"/>
      <c r="U6" s="776"/>
      <c r="V6" s="776"/>
      <c r="W6" s="776"/>
      <c r="X6" s="776"/>
      <c r="Y6" s="776"/>
      <c r="Z6" s="776"/>
      <c r="AA6" s="776"/>
      <c r="AB6" s="776"/>
      <c r="AC6" s="776"/>
    </row>
    <row r="7" spans="1:29" s="777" customFormat="1">
      <c r="A7" s="776"/>
      <c r="B7" s="776"/>
      <c r="C7" s="776"/>
      <c r="D7" s="776"/>
      <c r="E7" s="776"/>
      <c r="F7" s="776"/>
      <c r="G7" s="776"/>
      <c r="H7" s="776"/>
      <c r="I7" s="776"/>
      <c r="J7" s="776"/>
      <c r="K7" s="776"/>
      <c r="L7" s="776"/>
      <c r="M7" s="776"/>
      <c r="N7" s="776"/>
      <c r="O7" s="776"/>
      <c r="P7" s="776"/>
      <c r="Q7" s="776"/>
      <c r="R7" s="776"/>
      <c r="S7" s="776"/>
      <c r="T7" s="776"/>
      <c r="U7" s="776"/>
      <c r="V7" s="776"/>
      <c r="W7" s="776"/>
      <c r="X7" s="776"/>
      <c r="Y7" s="776"/>
      <c r="Z7" s="776"/>
      <c r="AA7" s="776"/>
      <c r="AB7" s="776"/>
      <c r="AC7" s="776"/>
    </row>
    <row r="8" spans="1:29">
      <c r="A8" s="782"/>
      <c r="B8" s="783"/>
      <c r="C8" s="783"/>
      <c r="D8" s="783"/>
      <c r="E8" s="783"/>
      <c r="F8" s="783"/>
      <c r="G8" s="783"/>
      <c r="H8" s="783"/>
      <c r="I8" s="783"/>
      <c r="J8" s="783"/>
      <c r="K8" s="783"/>
      <c r="L8" s="783"/>
      <c r="M8" s="783"/>
      <c r="N8" s="783"/>
      <c r="O8" s="783"/>
      <c r="P8" s="783"/>
      <c r="Q8" s="783"/>
      <c r="R8" s="783"/>
      <c r="S8" s="782"/>
      <c r="T8" s="782"/>
      <c r="U8" s="782"/>
      <c r="V8" s="782"/>
      <c r="W8" s="782"/>
      <c r="X8" s="782"/>
      <c r="Y8" s="782"/>
      <c r="Z8" s="782"/>
      <c r="AA8" s="782"/>
      <c r="AB8" s="782"/>
      <c r="AC8" s="782"/>
    </row>
    <row r="9" spans="1:29">
      <c r="A9" s="782"/>
      <c r="B9" s="783"/>
      <c r="C9" s="783"/>
      <c r="D9" s="783"/>
      <c r="E9" s="783"/>
      <c r="F9" s="783"/>
      <c r="G9" s="783"/>
      <c r="H9" s="783"/>
      <c r="I9" s="783"/>
      <c r="J9" s="783"/>
      <c r="K9" s="783"/>
      <c r="L9" s="783"/>
      <c r="M9" s="783"/>
      <c r="N9" s="783"/>
      <c r="O9" s="783"/>
      <c r="P9" s="783"/>
      <c r="Q9" s="783"/>
      <c r="R9" s="783"/>
      <c r="S9" s="782"/>
      <c r="T9" s="782"/>
      <c r="U9" s="782"/>
      <c r="V9" s="782"/>
      <c r="W9" s="782"/>
      <c r="X9" s="782"/>
      <c r="Y9" s="782"/>
      <c r="Z9" s="782"/>
      <c r="AA9" s="782"/>
      <c r="AB9" s="782"/>
      <c r="AC9" s="782"/>
    </row>
    <row r="10" spans="1:29" s="789" customFormat="1" ht="15">
      <c r="A10" s="785"/>
      <c r="B10" s="786" t="s">
        <v>262</v>
      </c>
      <c r="C10" s="786" t="s">
        <v>334</v>
      </c>
      <c r="D10" s="786"/>
      <c r="E10" s="787"/>
      <c r="F10" s="787"/>
      <c r="G10" s="786"/>
      <c r="H10" s="786"/>
      <c r="I10" s="786"/>
      <c r="J10" s="786"/>
      <c r="K10" s="786"/>
      <c r="L10" s="786"/>
      <c r="M10" s="788"/>
      <c r="N10" s="788"/>
      <c r="O10" s="785"/>
      <c r="P10" s="785"/>
      <c r="Q10" s="785"/>
      <c r="R10" s="785"/>
      <c r="S10" s="785"/>
      <c r="T10" s="785"/>
      <c r="U10" s="785"/>
      <c r="V10" s="785"/>
      <c r="W10" s="785"/>
      <c r="X10" s="785"/>
      <c r="Y10" s="785"/>
    </row>
    <row r="11" spans="1:29" s="789" customFormat="1" ht="15">
      <c r="A11" s="785"/>
      <c r="B11" s="786" t="s">
        <v>263</v>
      </c>
      <c r="C11" s="786" t="s">
        <v>335</v>
      </c>
      <c r="D11" s="786"/>
      <c r="E11" s="787"/>
      <c r="F11" s="787"/>
      <c r="G11" s="786"/>
      <c r="H11" s="786"/>
      <c r="I11" s="786"/>
      <c r="J11" s="786"/>
      <c r="K11" s="786"/>
      <c r="L11" s="786"/>
      <c r="M11" s="788"/>
      <c r="N11" s="788"/>
      <c r="O11" s="785"/>
      <c r="P11" s="785"/>
      <c r="Q11" s="785"/>
      <c r="R11" s="785"/>
      <c r="S11" s="785"/>
      <c r="T11" s="785"/>
      <c r="U11" s="785"/>
      <c r="V11" s="785"/>
      <c r="W11" s="785"/>
      <c r="X11" s="785"/>
      <c r="Y11" s="785"/>
    </row>
    <row r="12" spans="1:29" s="789" customFormat="1" ht="15">
      <c r="A12" s="785"/>
      <c r="B12" s="786" t="s">
        <v>264</v>
      </c>
      <c r="C12" s="786" t="s">
        <v>336</v>
      </c>
      <c r="D12" s="786"/>
      <c r="E12" s="787"/>
      <c r="F12" s="787"/>
      <c r="G12" s="786"/>
      <c r="H12" s="786"/>
      <c r="I12" s="786"/>
      <c r="J12" s="786"/>
      <c r="K12" s="786"/>
      <c r="L12" s="786"/>
      <c r="M12" s="788"/>
      <c r="N12" s="788"/>
      <c r="O12" s="785"/>
      <c r="P12" s="785"/>
      <c r="Q12" s="785"/>
      <c r="R12" s="785"/>
      <c r="S12" s="785"/>
      <c r="T12" s="785"/>
      <c r="U12" s="785"/>
      <c r="V12" s="785"/>
      <c r="W12" s="785"/>
      <c r="X12" s="785"/>
      <c r="Y12" s="785"/>
    </row>
    <row r="13" spans="1:29">
      <c r="A13" s="782"/>
      <c r="B13" s="790"/>
      <c r="C13" s="782"/>
      <c r="D13" s="782"/>
      <c r="E13" s="782"/>
      <c r="F13" s="782"/>
      <c r="G13" s="790"/>
      <c r="H13" s="790"/>
      <c r="I13" s="790"/>
      <c r="J13" s="790"/>
      <c r="K13" s="790"/>
      <c r="L13" s="790"/>
      <c r="M13" s="790"/>
      <c r="N13" s="790"/>
      <c r="O13" s="790"/>
      <c r="P13" s="790"/>
      <c r="Q13" s="790"/>
      <c r="R13" s="790"/>
      <c r="S13" s="782"/>
      <c r="T13" s="782"/>
      <c r="U13" s="782"/>
      <c r="V13" s="782"/>
      <c r="W13" s="782"/>
      <c r="X13" s="782"/>
      <c r="Y13" s="782"/>
      <c r="Z13" s="782"/>
      <c r="AA13" s="782"/>
      <c r="AB13" s="782"/>
      <c r="AC13" s="782"/>
    </row>
    <row r="14" spans="1:29" ht="15">
      <c r="A14" s="782"/>
      <c r="B14" s="791"/>
      <c r="C14" s="782"/>
      <c r="D14" s="782"/>
      <c r="E14" s="782"/>
      <c r="F14" s="782"/>
      <c r="G14" s="792"/>
      <c r="H14" s="791"/>
      <c r="I14" s="791"/>
      <c r="J14" s="791"/>
      <c r="K14" s="791"/>
      <c r="L14" s="791"/>
      <c r="M14" s="791"/>
      <c r="N14" s="791"/>
      <c r="O14" s="791"/>
      <c r="P14" s="791"/>
      <c r="Q14" s="791"/>
      <c r="R14" s="791"/>
      <c r="S14" s="782"/>
      <c r="T14" s="782"/>
      <c r="U14" s="782"/>
      <c r="V14" s="782"/>
      <c r="W14" s="782"/>
      <c r="X14" s="782"/>
      <c r="Y14" s="782"/>
      <c r="Z14" s="782"/>
      <c r="AA14" s="782"/>
      <c r="AB14" s="782"/>
      <c r="AC14" s="782"/>
    </row>
    <row r="15" spans="1:29" ht="15">
      <c r="A15" s="782"/>
      <c r="B15" s="782"/>
      <c r="C15" s="782"/>
      <c r="D15" s="782"/>
      <c r="E15" s="782"/>
      <c r="F15" s="782"/>
      <c r="G15" s="792"/>
      <c r="H15" s="782"/>
      <c r="I15" s="782"/>
      <c r="J15" s="782"/>
      <c r="K15" s="782"/>
      <c r="L15" s="782"/>
      <c r="M15" s="782"/>
      <c r="N15" s="782"/>
      <c r="O15" s="782"/>
      <c r="P15" s="782"/>
      <c r="Q15" s="782"/>
      <c r="R15" s="782"/>
      <c r="S15" s="782"/>
      <c r="T15" s="782"/>
      <c r="U15" s="782"/>
      <c r="V15" s="782"/>
      <c r="W15" s="782"/>
      <c r="X15" s="782"/>
      <c r="Y15" s="782"/>
      <c r="Z15" s="782"/>
      <c r="AA15" s="782"/>
      <c r="AB15" s="782"/>
      <c r="AC15" s="782"/>
    </row>
    <row r="16" spans="1:29" ht="15">
      <c r="A16" s="782"/>
      <c r="B16" s="782"/>
      <c r="C16" s="782"/>
      <c r="D16" s="782"/>
      <c r="E16" s="782"/>
      <c r="F16" s="782"/>
      <c r="G16" s="792"/>
      <c r="H16" s="782"/>
      <c r="I16" s="782"/>
      <c r="J16" s="782"/>
      <c r="K16" s="782"/>
      <c r="L16" s="782"/>
      <c r="M16" s="782"/>
      <c r="N16" s="782"/>
      <c r="O16" s="782"/>
      <c r="P16" s="782"/>
      <c r="Q16" s="782"/>
      <c r="R16" s="782"/>
      <c r="S16" s="782"/>
      <c r="T16" s="782"/>
      <c r="U16" s="782"/>
      <c r="V16" s="782"/>
      <c r="W16" s="782"/>
      <c r="X16" s="782"/>
      <c r="Y16" s="782"/>
      <c r="Z16" s="782"/>
      <c r="AA16" s="782"/>
      <c r="AB16" s="782"/>
      <c r="AC16" s="782"/>
    </row>
    <row r="17" spans="1:29">
      <c r="A17" s="782"/>
      <c r="B17" s="782"/>
      <c r="C17" s="782"/>
      <c r="D17" s="782"/>
      <c r="E17" s="782"/>
      <c r="F17" s="782"/>
      <c r="G17" s="782"/>
      <c r="H17" s="782"/>
      <c r="I17" s="782"/>
      <c r="J17" s="782"/>
      <c r="K17" s="782"/>
      <c r="L17" s="782"/>
      <c r="M17" s="782"/>
      <c r="N17" s="782"/>
      <c r="O17" s="782"/>
      <c r="P17" s="782"/>
      <c r="Q17" s="782"/>
      <c r="R17" s="782"/>
      <c r="S17" s="782"/>
      <c r="T17" s="782"/>
      <c r="U17" s="782"/>
      <c r="V17" s="782"/>
      <c r="W17" s="782"/>
      <c r="X17" s="782"/>
      <c r="Y17" s="782"/>
      <c r="Z17" s="782"/>
      <c r="AA17" s="782"/>
      <c r="AB17" s="782"/>
      <c r="AC17" s="782"/>
    </row>
    <row r="18" spans="1:29">
      <c r="A18" s="782"/>
      <c r="B18" s="782"/>
      <c r="C18" s="782"/>
      <c r="D18" s="782"/>
      <c r="E18" s="782"/>
      <c r="F18" s="782"/>
      <c r="G18" s="782"/>
      <c r="H18" s="782"/>
      <c r="I18" s="782"/>
      <c r="J18" s="782"/>
      <c r="K18" s="782"/>
      <c r="L18" s="782"/>
      <c r="M18" s="782"/>
      <c r="N18" s="782"/>
      <c r="O18" s="782"/>
      <c r="P18" s="782"/>
      <c r="Q18" s="782"/>
      <c r="R18" s="782"/>
      <c r="S18" s="782"/>
      <c r="T18" s="782"/>
      <c r="U18" s="782"/>
      <c r="V18" s="782"/>
      <c r="W18" s="782"/>
      <c r="X18" s="782"/>
      <c r="Y18" s="782"/>
      <c r="Z18" s="782"/>
      <c r="AA18" s="782"/>
      <c r="AB18" s="782"/>
      <c r="AC18" s="782"/>
    </row>
    <row r="19" spans="1:29">
      <c r="A19" s="782"/>
      <c r="B19" s="782"/>
      <c r="C19" s="782"/>
      <c r="D19" s="782"/>
      <c r="E19" s="782"/>
      <c r="F19" s="782"/>
      <c r="G19" s="782"/>
      <c r="H19" s="782"/>
      <c r="I19" s="782"/>
      <c r="J19" s="782"/>
      <c r="K19" s="782"/>
      <c r="L19" s="782"/>
      <c r="M19" s="782"/>
      <c r="N19" s="782"/>
      <c r="O19" s="782"/>
      <c r="P19" s="782"/>
      <c r="Q19" s="782"/>
      <c r="R19" s="782"/>
      <c r="S19" s="782"/>
      <c r="T19" s="782"/>
      <c r="U19" s="782"/>
      <c r="V19" s="782"/>
      <c r="W19" s="782"/>
      <c r="X19" s="782"/>
      <c r="Y19" s="782"/>
      <c r="Z19" s="782"/>
      <c r="AA19" s="782"/>
      <c r="AB19" s="782"/>
      <c r="AC19" s="782"/>
    </row>
    <row r="20" spans="1:29">
      <c r="A20" s="782"/>
      <c r="B20" s="782"/>
      <c r="C20" s="782"/>
      <c r="D20" s="782"/>
      <c r="E20" s="782"/>
      <c r="F20" s="782"/>
      <c r="G20" s="782"/>
      <c r="H20" s="782"/>
      <c r="I20" s="782"/>
      <c r="J20" s="782"/>
      <c r="K20" s="782"/>
      <c r="L20" s="782"/>
      <c r="M20" s="782"/>
      <c r="N20" s="782"/>
      <c r="O20" s="782"/>
      <c r="P20" s="782"/>
      <c r="Q20" s="782"/>
      <c r="R20" s="782"/>
      <c r="S20" s="782"/>
      <c r="T20" s="782"/>
      <c r="U20" s="782"/>
      <c r="V20" s="782"/>
      <c r="W20" s="782"/>
      <c r="X20" s="782"/>
      <c r="Y20" s="782"/>
      <c r="Z20" s="782"/>
      <c r="AA20" s="782"/>
      <c r="AB20" s="782"/>
      <c r="AC20" s="782"/>
    </row>
    <row r="21" spans="1:29">
      <c r="A21" s="782"/>
      <c r="B21" s="782"/>
      <c r="C21" s="782"/>
      <c r="D21" s="782"/>
      <c r="E21" s="782"/>
      <c r="F21" s="782"/>
      <c r="G21" s="782"/>
      <c r="H21" s="782"/>
      <c r="I21" s="782"/>
      <c r="J21" s="782"/>
      <c r="K21" s="782"/>
      <c r="L21" s="782"/>
      <c r="M21" s="782"/>
      <c r="N21" s="782"/>
      <c r="O21" s="782"/>
      <c r="P21" s="782"/>
      <c r="Q21" s="782"/>
      <c r="R21" s="782"/>
      <c r="S21" s="782"/>
      <c r="T21" s="782"/>
      <c r="U21" s="782"/>
      <c r="V21" s="782"/>
      <c r="W21" s="782"/>
      <c r="X21" s="782"/>
      <c r="Y21" s="782"/>
      <c r="Z21" s="782"/>
      <c r="AA21" s="782"/>
      <c r="AB21" s="782"/>
      <c r="AC21" s="782"/>
    </row>
    <row r="22" spans="1:29">
      <c r="A22" s="782"/>
      <c r="B22" s="782"/>
      <c r="C22" s="782"/>
      <c r="D22" s="782"/>
      <c r="E22" s="782"/>
      <c r="F22" s="782"/>
      <c r="G22" s="782"/>
      <c r="H22" s="782"/>
      <c r="I22" s="782"/>
      <c r="J22" s="782"/>
      <c r="K22" s="782"/>
      <c r="L22" s="782"/>
      <c r="M22" s="782"/>
      <c r="N22" s="782"/>
      <c r="O22" s="782"/>
      <c r="P22" s="782"/>
      <c r="Q22" s="782"/>
      <c r="R22" s="782"/>
      <c r="S22" s="782"/>
      <c r="T22" s="782"/>
      <c r="U22" s="782"/>
      <c r="V22" s="782"/>
      <c r="W22" s="782"/>
      <c r="X22" s="782"/>
      <c r="Y22" s="782"/>
      <c r="Z22" s="782"/>
      <c r="AA22" s="782"/>
      <c r="AB22" s="782"/>
      <c r="AC22" s="782"/>
    </row>
    <row r="23" spans="1:29">
      <c r="A23" s="782"/>
      <c r="B23" s="782"/>
      <c r="C23" s="782"/>
      <c r="D23" s="782"/>
      <c r="E23" s="782"/>
      <c r="F23" s="782"/>
      <c r="G23" s="782"/>
      <c r="H23" s="782"/>
      <c r="I23" s="782"/>
      <c r="J23" s="782"/>
      <c r="K23" s="782"/>
      <c r="L23" s="782"/>
      <c r="M23" s="782"/>
      <c r="N23" s="782"/>
      <c r="O23" s="782"/>
      <c r="P23" s="782"/>
      <c r="Q23" s="782"/>
      <c r="R23" s="782"/>
      <c r="S23" s="782"/>
      <c r="T23" s="782"/>
      <c r="U23" s="782"/>
      <c r="V23" s="782"/>
      <c r="W23" s="782"/>
      <c r="X23" s="782"/>
      <c r="Y23" s="782"/>
      <c r="Z23" s="782"/>
      <c r="AA23" s="782"/>
      <c r="AB23" s="782"/>
      <c r="AC23" s="782"/>
    </row>
    <row r="24" spans="1:29">
      <c r="A24" s="782"/>
      <c r="B24" s="782"/>
      <c r="C24" s="782"/>
      <c r="D24" s="782"/>
      <c r="E24" s="782"/>
      <c r="F24" s="782"/>
      <c r="G24" s="782"/>
      <c r="H24" s="782"/>
      <c r="I24" s="782"/>
      <c r="J24" s="782"/>
      <c r="K24" s="782"/>
      <c r="L24" s="782"/>
      <c r="M24" s="782"/>
      <c r="N24" s="782"/>
      <c r="O24" s="782"/>
      <c r="P24" s="782"/>
      <c r="Q24" s="782"/>
      <c r="R24" s="782"/>
      <c r="S24" s="782"/>
      <c r="T24" s="782"/>
      <c r="U24" s="782"/>
      <c r="V24" s="782"/>
      <c r="W24" s="782"/>
      <c r="X24" s="782"/>
      <c r="Y24" s="782"/>
      <c r="Z24" s="782"/>
      <c r="AA24" s="782"/>
      <c r="AB24" s="782"/>
      <c r="AC24" s="782"/>
    </row>
    <row r="25" spans="1:29">
      <c r="A25" s="782"/>
      <c r="B25" s="782"/>
      <c r="C25" s="782"/>
      <c r="D25" s="782"/>
      <c r="E25" s="782"/>
      <c r="F25" s="782"/>
      <c r="G25" s="782"/>
      <c r="H25" s="782"/>
      <c r="I25" s="782"/>
      <c r="J25" s="782"/>
      <c r="K25" s="782"/>
      <c r="L25" s="782"/>
      <c r="M25" s="782"/>
      <c r="N25" s="782"/>
      <c r="O25" s="782"/>
      <c r="P25" s="782"/>
      <c r="Q25" s="782"/>
      <c r="R25" s="782"/>
      <c r="S25" s="782"/>
      <c r="T25" s="782"/>
      <c r="U25" s="782"/>
      <c r="V25" s="782"/>
      <c r="W25" s="782"/>
      <c r="X25" s="782"/>
      <c r="Y25" s="782"/>
      <c r="Z25" s="782"/>
      <c r="AA25" s="782"/>
      <c r="AB25" s="782"/>
      <c r="AC25" s="782"/>
    </row>
    <row r="26" spans="1:29">
      <c r="A26" s="782"/>
      <c r="B26" s="782"/>
      <c r="C26" s="782"/>
      <c r="D26" s="782"/>
      <c r="E26" s="782"/>
      <c r="F26" s="782"/>
      <c r="G26" s="782"/>
      <c r="H26" s="782"/>
      <c r="I26" s="782"/>
      <c r="J26" s="782"/>
      <c r="K26" s="782"/>
      <c r="L26" s="782"/>
      <c r="M26" s="782"/>
      <c r="N26" s="782"/>
      <c r="O26" s="782"/>
      <c r="P26" s="782"/>
      <c r="Q26" s="782"/>
      <c r="R26" s="782"/>
      <c r="S26" s="782"/>
      <c r="T26" s="782"/>
      <c r="U26" s="782"/>
      <c r="V26" s="782"/>
      <c r="W26" s="782"/>
      <c r="X26" s="782"/>
      <c r="Y26" s="782"/>
      <c r="Z26" s="782"/>
      <c r="AA26" s="782"/>
      <c r="AB26" s="782"/>
      <c r="AC26" s="782"/>
    </row>
    <row r="27" spans="1:29">
      <c r="A27" s="782"/>
      <c r="B27" s="782"/>
      <c r="C27" s="782"/>
      <c r="D27" s="782"/>
      <c r="E27" s="782"/>
      <c r="F27" s="782"/>
      <c r="G27" s="782"/>
      <c r="H27" s="782"/>
      <c r="I27" s="782"/>
      <c r="J27" s="782"/>
      <c r="K27" s="782"/>
      <c r="L27" s="782"/>
      <c r="M27" s="782"/>
      <c r="N27" s="782"/>
      <c r="O27" s="782"/>
      <c r="P27" s="782"/>
      <c r="Q27" s="782"/>
      <c r="R27" s="782"/>
      <c r="S27" s="782"/>
      <c r="T27" s="782"/>
      <c r="U27" s="782"/>
      <c r="V27" s="782"/>
      <c r="W27" s="782"/>
      <c r="X27" s="782"/>
      <c r="Y27" s="782"/>
      <c r="Z27" s="782"/>
      <c r="AA27" s="782"/>
      <c r="AB27" s="782"/>
      <c r="AC27" s="782"/>
    </row>
    <row r="28" spans="1:29">
      <c r="A28" s="782"/>
      <c r="B28" s="782"/>
      <c r="C28" s="782"/>
      <c r="D28" s="782"/>
      <c r="E28" s="782"/>
      <c r="F28" s="782"/>
      <c r="G28" s="782"/>
      <c r="H28" s="782"/>
      <c r="I28" s="782"/>
      <c r="J28" s="782"/>
      <c r="K28" s="782"/>
      <c r="L28" s="782"/>
      <c r="M28" s="782"/>
      <c r="N28" s="782"/>
      <c r="O28" s="782"/>
      <c r="P28" s="782"/>
      <c r="Q28" s="782"/>
      <c r="R28" s="782"/>
      <c r="S28" s="782"/>
      <c r="T28" s="782"/>
      <c r="U28" s="782"/>
      <c r="V28" s="782"/>
      <c r="W28" s="782"/>
      <c r="X28" s="782"/>
      <c r="Y28" s="782"/>
      <c r="Z28" s="782"/>
      <c r="AA28" s="782"/>
      <c r="AB28" s="782"/>
      <c r="AC28" s="782"/>
    </row>
    <row r="29" spans="1:29">
      <c r="A29" s="782"/>
      <c r="B29" s="782"/>
      <c r="C29" s="782"/>
      <c r="D29" s="782"/>
      <c r="E29" s="782"/>
      <c r="F29" s="782"/>
      <c r="G29" s="782"/>
      <c r="H29" s="782"/>
      <c r="I29" s="782"/>
      <c r="J29" s="782"/>
      <c r="K29" s="782"/>
      <c r="L29" s="782"/>
      <c r="M29" s="782"/>
      <c r="N29" s="782"/>
      <c r="O29" s="782"/>
      <c r="P29" s="782"/>
      <c r="Q29" s="782"/>
      <c r="R29" s="782"/>
      <c r="S29" s="782"/>
      <c r="T29" s="782"/>
      <c r="U29" s="782"/>
      <c r="V29" s="782"/>
      <c r="W29" s="782"/>
      <c r="X29" s="782"/>
      <c r="Y29" s="782"/>
      <c r="Z29" s="782"/>
      <c r="AA29" s="782"/>
      <c r="AB29" s="782"/>
      <c r="AC29" s="782"/>
    </row>
    <row r="30" spans="1:29">
      <c r="A30" s="782"/>
      <c r="B30" s="782"/>
      <c r="C30" s="782"/>
      <c r="D30" s="782"/>
      <c r="E30" s="782"/>
      <c r="F30" s="782"/>
      <c r="G30" s="782"/>
      <c r="H30" s="782"/>
      <c r="I30" s="782"/>
      <c r="J30" s="782"/>
      <c r="K30" s="782"/>
      <c r="L30" s="782"/>
      <c r="M30" s="782"/>
      <c r="N30" s="782"/>
      <c r="O30" s="782"/>
      <c r="P30" s="782"/>
      <c r="Q30" s="782"/>
      <c r="R30" s="782"/>
      <c r="S30" s="782"/>
      <c r="T30" s="782"/>
      <c r="U30" s="782"/>
      <c r="V30" s="782"/>
      <c r="W30" s="782"/>
      <c r="X30" s="782"/>
      <c r="Y30" s="782"/>
      <c r="Z30" s="782"/>
      <c r="AA30" s="782"/>
      <c r="AB30" s="782"/>
      <c r="AC30" s="782"/>
    </row>
    <row r="31" spans="1:29">
      <c r="A31" s="782"/>
      <c r="B31" s="782"/>
      <c r="C31" s="782"/>
      <c r="D31" s="782"/>
      <c r="E31" s="782"/>
      <c r="F31" s="782"/>
      <c r="G31" s="782"/>
      <c r="H31" s="782"/>
      <c r="I31" s="782"/>
      <c r="J31" s="782"/>
      <c r="K31" s="782"/>
      <c r="L31" s="782"/>
      <c r="M31" s="782"/>
      <c r="N31" s="782"/>
      <c r="O31" s="782"/>
      <c r="P31" s="782"/>
      <c r="Q31" s="782"/>
      <c r="R31" s="782"/>
      <c r="S31" s="782"/>
      <c r="T31" s="782"/>
      <c r="U31" s="782"/>
      <c r="V31" s="782"/>
      <c r="W31" s="782"/>
      <c r="X31" s="782"/>
      <c r="Y31" s="782"/>
      <c r="Z31" s="782"/>
      <c r="AA31" s="782"/>
      <c r="AB31" s="782"/>
      <c r="AC31" s="782"/>
    </row>
    <row r="32" spans="1:29">
      <c r="A32" s="782"/>
      <c r="B32" s="782"/>
      <c r="C32" s="782"/>
      <c r="D32" s="782"/>
      <c r="E32" s="782"/>
      <c r="F32" s="782"/>
      <c r="G32" s="782"/>
      <c r="H32" s="782"/>
      <c r="I32" s="782"/>
      <c r="J32" s="782"/>
      <c r="K32" s="782"/>
      <c r="L32" s="782"/>
      <c r="M32" s="782"/>
      <c r="N32" s="782"/>
      <c r="O32" s="782"/>
      <c r="P32" s="782"/>
      <c r="Q32" s="782"/>
      <c r="R32" s="782"/>
      <c r="S32" s="782"/>
      <c r="T32" s="782"/>
      <c r="U32" s="782"/>
      <c r="V32" s="782"/>
      <c r="W32" s="782"/>
      <c r="X32" s="782"/>
      <c r="Y32" s="782"/>
      <c r="Z32" s="782"/>
      <c r="AA32" s="782"/>
      <c r="AB32" s="782"/>
      <c r="AC32" s="782"/>
    </row>
    <row r="33" spans="1:29">
      <c r="A33" s="782"/>
      <c r="B33" s="782"/>
      <c r="C33" s="782"/>
      <c r="D33" s="782"/>
      <c r="E33" s="782"/>
      <c r="F33" s="782"/>
      <c r="G33" s="782"/>
      <c r="H33" s="782"/>
      <c r="I33" s="782"/>
      <c r="J33" s="782"/>
      <c r="K33" s="782"/>
      <c r="L33" s="782"/>
      <c r="M33" s="782"/>
      <c r="N33" s="782"/>
      <c r="O33" s="782"/>
      <c r="P33" s="782"/>
      <c r="Q33" s="782"/>
      <c r="R33" s="782"/>
      <c r="S33" s="782"/>
      <c r="T33" s="782"/>
      <c r="U33" s="782"/>
      <c r="V33" s="782"/>
      <c r="W33" s="782"/>
      <c r="X33" s="782"/>
      <c r="Y33" s="782"/>
      <c r="Z33" s="782"/>
      <c r="AA33" s="782"/>
      <c r="AB33" s="782"/>
      <c r="AC33" s="782"/>
    </row>
    <row r="34" spans="1:29">
      <c r="A34" s="782"/>
      <c r="B34" s="782"/>
      <c r="C34" s="782"/>
      <c r="D34" s="782"/>
      <c r="E34" s="782"/>
      <c r="F34" s="782"/>
      <c r="G34" s="782"/>
      <c r="H34" s="782"/>
      <c r="I34" s="782"/>
      <c r="J34" s="782"/>
      <c r="K34" s="782"/>
      <c r="L34" s="782"/>
      <c r="M34" s="782"/>
      <c r="N34" s="782"/>
      <c r="O34" s="782"/>
      <c r="P34" s="782"/>
      <c r="Q34" s="782"/>
      <c r="R34" s="782"/>
      <c r="S34" s="782"/>
      <c r="T34" s="782"/>
      <c r="U34" s="782"/>
      <c r="V34" s="782"/>
      <c r="W34" s="782"/>
      <c r="X34" s="782"/>
      <c r="Y34" s="782"/>
      <c r="Z34" s="782"/>
      <c r="AA34" s="782"/>
      <c r="AB34" s="782"/>
      <c r="AC34" s="782"/>
    </row>
    <row r="35" spans="1:29">
      <c r="A35" s="782"/>
      <c r="B35" s="782"/>
      <c r="C35" s="782"/>
      <c r="D35" s="782"/>
      <c r="E35" s="782"/>
      <c r="F35" s="782"/>
      <c r="G35" s="782"/>
      <c r="H35" s="782"/>
      <c r="I35" s="782"/>
      <c r="J35" s="782"/>
      <c r="K35" s="782"/>
      <c r="L35" s="782"/>
      <c r="M35" s="782"/>
      <c r="N35" s="782"/>
      <c r="O35" s="782"/>
      <c r="P35" s="782"/>
      <c r="Q35" s="782"/>
      <c r="R35" s="782"/>
      <c r="S35" s="782"/>
      <c r="T35" s="782"/>
      <c r="U35" s="782"/>
      <c r="V35" s="782"/>
      <c r="W35" s="782"/>
      <c r="X35" s="782"/>
      <c r="Y35" s="782"/>
      <c r="Z35" s="782"/>
      <c r="AA35" s="782"/>
      <c r="AB35" s="782"/>
      <c r="AC35" s="782"/>
    </row>
    <row r="36" spans="1:29">
      <c r="A36" s="782"/>
      <c r="B36" s="782"/>
      <c r="C36" s="782"/>
      <c r="D36" s="782"/>
      <c r="E36" s="782"/>
      <c r="F36" s="782"/>
      <c r="G36" s="782"/>
      <c r="H36" s="782"/>
      <c r="I36" s="782"/>
      <c r="J36" s="782"/>
      <c r="K36" s="782"/>
      <c r="L36" s="782"/>
      <c r="M36" s="782"/>
      <c r="N36" s="782"/>
      <c r="O36" s="782"/>
      <c r="P36" s="782"/>
      <c r="Q36" s="782"/>
      <c r="R36" s="782"/>
      <c r="S36" s="782"/>
      <c r="T36" s="782"/>
      <c r="U36" s="782"/>
      <c r="V36" s="782"/>
      <c r="W36" s="782"/>
      <c r="X36" s="782"/>
      <c r="Y36" s="782"/>
      <c r="Z36" s="782"/>
      <c r="AA36" s="782"/>
      <c r="AB36" s="782"/>
      <c r="AC36" s="782"/>
    </row>
    <row r="37" spans="1:29">
      <c r="A37" s="782"/>
      <c r="B37" s="782"/>
      <c r="C37" s="782"/>
      <c r="D37" s="782"/>
      <c r="E37" s="782"/>
      <c r="F37" s="782"/>
      <c r="G37" s="782"/>
      <c r="H37" s="782"/>
      <c r="I37" s="782"/>
      <c r="J37" s="782"/>
      <c r="K37" s="782"/>
      <c r="L37" s="782"/>
      <c r="M37" s="782"/>
      <c r="N37" s="782"/>
      <c r="O37" s="782"/>
      <c r="P37" s="782"/>
      <c r="Q37" s="782"/>
      <c r="R37" s="782"/>
      <c r="S37" s="782"/>
      <c r="T37" s="782"/>
      <c r="U37" s="782"/>
      <c r="V37" s="782"/>
      <c r="W37" s="782"/>
      <c r="X37" s="782"/>
      <c r="Y37" s="782"/>
      <c r="Z37" s="782"/>
      <c r="AA37" s="782"/>
      <c r="AB37" s="782"/>
      <c r="AC37" s="782"/>
    </row>
    <row r="38" spans="1:29">
      <c r="A38" s="782"/>
      <c r="B38" s="782"/>
      <c r="C38" s="782"/>
      <c r="D38" s="782"/>
      <c r="E38" s="782"/>
      <c r="F38" s="782"/>
      <c r="G38" s="782"/>
      <c r="H38" s="782"/>
      <c r="I38" s="782"/>
      <c r="J38" s="782"/>
      <c r="K38" s="782"/>
      <c r="L38" s="782"/>
      <c r="M38" s="782"/>
      <c r="N38" s="782"/>
      <c r="O38" s="782"/>
      <c r="P38" s="782"/>
      <c r="Q38" s="782"/>
      <c r="R38" s="782"/>
      <c r="S38" s="782"/>
      <c r="T38" s="782"/>
      <c r="U38" s="782"/>
      <c r="V38" s="782"/>
      <c r="W38" s="782"/>
      <c r="X38" s="782"/>
      <c r="Y38" s="782"/>
      <c r="Z38" s="782"/>
      <c r="AA38" s="782"/>
      <c r="AB38" s="782"/>
      <c r="AC38" s="782"/>
    </row>
    <row r="39" spans="1:29">
      <c r="A39" s="782"/>
      <c r="B39" s="782"/>
      <c r="C39" s="782"/>
      <c r="D39" s="782"/>
      <c r="E39" s="782"/>
      <c r="F39" s="782"/>
      <c r="G39" s="782"/>
      <c r="H39" s="782"/>
      <c r="I39" s="782"/>
      <c r="J39" s="782"/>
      <c r="K39" s="782"/>
      <c r="L39" s="782"/>
      <c r="M39" s="782"/>
      <c r="N39" s="782"/>
      <c r="O39" s="782"/>
      <c r="P39" s="782"/>
      <c r="Q39" s="782"/>
      <c r="R39" s="782"/>
      <c r="S39" s="782"/>
      <c r="T39" s="782"/>
      <c r="U39" s="782"/>
      <c r="V39" s="782"/>
      <c r="W39" s="782"/>
      <c r="X39" s="782"/>
      <c r="Y39" s="782"/>
      <c r="Z39" s="782"/>
      <c r="AA39" s="782"/>
      <c r="AB39" s="782"/>
      <c r="AC39" s="782"/>
    </row>
    <row r="40" spans="1:29">
      <c r="A40" s="782"/>
      <c r="B40" s="782"/>
      <c r="C40" s="782"/>
      <c r="D40" s="782"/>
      <c r="E40" s="782"/>
      <c r="F40" s="782"/>
      <c r="G40" s="782"/>
      <c r="H40" s="782"/>
      <c r="I40" s="782"/>
      <c r="J40" s="782"/>
      <c r="K40" s="782"/>
      <c r="L40" s="782"/>
      <c r="M40" s="782"/>
      <c r="N40" s="782"/>
      <c r="O40" s="782"/>
      <c r="P40" s="782"/>
      <c r="Q40" s="782"/>
      <c r="R40" s="782"/>
      <c r="S40" s="782"/>
      <c r="T40" s="782"/>
      <c r="U40" s="782"/>
      <c r="V40" s="782"/>
      <c r="W40" s="782"/>
      <c r="X40" s="782"/>
      <c r="Y40" s="782"/>
      <c r="Z40" s="782"/>
      <c r="AA40" s="782"/>
      <c r="AB40" s="782"/>
      <c r="AC40" s="782"/>
    </row>
    <row r="41" spans="1:29">
      <c r="A41" s="782"/>
      <c r="B41" s="782"/>
      <c r="C41" s="782"/>
      <c r="D41" s="782"/>
      <c r="E41" s="782"/>
      <c r="F41" s="782"/>
      <c r="G41" s="782"/>
      <c r="H41" s="782"/>
      <c r="I41" s="782"/>
      <c r="J41" s="782"/>
      <c r="K41" s="782"/>
      <c r="L41" s="782"/>
      <c r="M41" s="782"/>
      <c r="N41" s="782"/>
      <c r="O41" s="782"/>
      <c r="P41" s="782"/>
      <c r="Q41" s="782"/>
      <c r="R41" s="782"/>
      <c r="S41" s="782"/>
      <c r="T41" s="782"/>
      <c r="U41" s="782"/>
      <c r="V41" s="782"/>
      <c r="W41" s="782"/>
      <c r="X41" s="782"/>
      <c r="Y41" s="782"/>
      <c r="Z41" s="782"/>
      <c r="AA41" s="782"/>
      <c r="AB41" s="782"/>
      <c r="AC41" s="782"/>
    </row>
    <row r="42" spans="1:29">
      <c r="A42" s="782"/>
      <c r="B42" s="782"/>
      <c r="C42" s="782"/>
      <c r="D42" s="782"/>
      <c r="E42" s="782"/>
      <c r="F42" s="782"/>
      <c r="G42" s="782"/>
      <c r="H42" s="782"/>
      <c r="I42" s="782"/>
      <c r="J42" s="782"/>
      <c r="K42" s="782"/>
      <c r="L42" s="782"/>
      <c r="M42" s="782"/>
      <c r="N42" s="782"/>
      <c r="O42" s="782"/>
      <c r="P42" s="782"/>
      <c r="Q42" s="782"/>
      <c r="R42" s="782"/>
      <c r="S42" s="782"/>
      <c r="T42" s="782"/>
      <c r="U42" s="782"/>
      <c r="V42" s="782"/>
      <c r="W42" s="782"/>
      <c r="X42" s="782"/>
      <c r="Y42" s="782"/>
      <c r="Z42" s="782"/>
      <c r="AA42" s="782"/>
      <c r="AB42" s="782"/>
      <c r="AC42" s="782"/>
    </row>
    <row r="43" spans="1:29">
      <c r="A43" s="782"/>
      <c r="B43" s="782"/>
      <c r="C43" s="782"/>
      <c r="D43" s="782"/>
      <c r="E43" s="782"/>
      <c r="F43" s="782"/>
      <c r="G43" s="782"/>
      <c r="H43" s="782"/>
      <c r="I43" s="782"/>
      <c r="J43" s="782"/>
      <c r="K43" s="782"/>
      <c r="L43" s="782"/>
      <c r="M43" s="782"/>
      <c r="N43" s="782"/>
      <c r="O43" s="782"/>
      <c r="P43" s="782"/>
      <c r="Q43" s="782"/>
      <c r="R43" s="782"/>
      <c r="S43" s="782"/>
      <c r="T43" s="782"/>
      <c r="U43" s="782"/>
      <c r="V43" s="782"/>
      <c r="W43" s="782"/>
      <c r="X43" s="782"/>
      <c r="Y43" s="782"/>
      <c r="Z43" s="782"/>
      <c r="AA43" s="782"/>
      <c r="AB43" s="782"/>
      <c r="AC43" s="782"/>
    </row>
    <row r="44" spans="1:29">
      <c r="A44" s="782"/>
      <c r="B44" s="782"/>
      <c r="C44" s="782"/>
      <c r="D44" s="782"/>
      <c r="E44" s="782"/>
      <c r="F44" s="782"/>
      <c r="G44" s="782"/>
      <c r="H44" s="782"/>
      <c r="I44" s="782"/>
      <c r="J44" s="782"/>
      <c r="K44" s="782"/>
      <c r="L44" s="782"/>
      <c r="M44" s="782"/>
      <c r="N44" s="782"/>
      <c r="O44" s="782"/>
      <c r="P44" s="782"/>
      <c r="Q44" s="782"/>
      <c r="R44" s="782"/>
      <c r="S44" s="782"/>
      <c r="T44" s="782"/>
      <c r="U44" s="782"/>
      <c r="V44" s="782"/>
      <c r="W44" s="782"/>
      <c r="X44" s="782"/>
      <c r="Y44" s="782"/>
      <c r="Z44" s="782"/>
      <c r="AA44" s="782"/>
      <c r="AB44" s="782"/>
      <c r="AC44" s="782"/>
    </row>
    <row r="45" spans="1:29">
      <c r="A45" s="782"/>
      <c r="B45" s="782"/>
      <c r="C45" s="782"/>
      <c r="D45" s="782"/>
      <c r="E45" s="782"/>
      <c r="F45" s="782"/>
      <c r="G45" s="782"/>
      <c r="H45" s="782"/>
      <c r="I45" s="782"/>
      <c r="J45" s="782"/>
      <c r="K45" s="782"/>
      <c r="L45" s="782"/>
      <c r="M45" s="782"/>
      <c r="N45" s="782"/>
      <c r="O45" s="782"/>
      <c r="P45" s="782"/>
      <c r="Q45" s="782"/>
      <c r="R45" s="782"/>
      <c r="S45" s="782"/>
      <c r="T45" s="782"/>
      <c r="U45" s="782"/>
      <c r="V45" s="782"/>
      <c r="W45" s="782"/>
      <c r="X45" s="782"/>
      <c r="Y45" s="782"/>
      <c r="Z45" s="782"/>
      <c r="AA45" s="782"/>
      <c r="AB45" s="782"/>
      <c r="AC45" s="782"/>
    </row>
    <row r="46" spans="1:29">
      <c r="A46" s="782"/>
      <c r="B46" s="782"/>
      <c r="C46" s="782"/>
      <c r="D46" s="782"/>
      <c r="E46" s="782"/>
      <c r="F46" s="782"/>
      <c r="G46" s="782"/>
      <c r="H46" s="782"/>
      <c r="I46" s="782"/>
      <c r="J46" s="782"/>
      <c r="K46" s="782"/>
      <c r="L46" s="782"/>
      <c r="M46" s="782"/>
      <c r="N46" s="782"/>
      <c r="O46" s="782"/>
      <c r="P46" s="782"/>
      <c r="Q46" s="782"/>
      <c r="R46" s="782"/>
      <c r="S46" s="782"/>
      <c r="T46" s="782"/>
      <c r="U46" s="782"/>
      <c r="V46" s="782"/>
      <c r="W46" s="782"/>
      <c r="X46" s="782"/>
      <c r="Y46" s="782"/>
      <c r="Z46" s="782"/>
      <c r="AA46" s="782"/>
      <c r="AB46" s="782"/>
      <c r="AC46" s="782"/>
    </row>
    <row r="47" spans="1:29">
      <c r="A47" s="782"/>
      <c r="B47" s="782"/>
      <c r="C47" s="782"/>
      <c r="D47" s="782"/>
      <c r="E47" s="782"/>
      <c r="F47" s="782"/>
      <c r="G47" s="782"/>
      <c r="H47" s="782"/>
      <c r="I47" s="782"/>
      <c r="J47" s="782"/>
      <c r="K47" s="782"/>
      <c r="L47" s="782"/>
      <c r="M47" s="782"/>
      <c r="N47" s="782"/>
      <c r="O47" s="782"/>
      <c r="P47" s="782"/>
      <c r="Q47" s="782"/>
      <c r="R47" s="782"/>
      <c r="S47" s="782"/>
      <c r="T47" s="782"/>
      <c r="U47" s="782"/>
      <c r="V47" s="782"/>
      <c r="W47" s="782"/>
      <c r="X47" s="782"/>
      <c r="Y47" s="782"/>
      <c r="Z47" s="782"/>
      <c r="AA47" s="782"/>
      <c r="AB47" s="782"/>
      <c r="AC47" s="782"/>
    </row>
    <row r="48" spans="1:29">
      <c r="A48" s="782"/>
      <c r="B48" s="782"/>
      <c r="C48" s="782"/>
      <c r="D48" s="782"/>
      <c r="E48" s="782"/>
      <c r="F48" s="782"/>
      <c r="G48" s="782"/>
      <c r="H48" s="782"/>
      <c r="I48" s="782"/>
      <c r="J48" s="782"/>
      <c r="K48" s="782"/>
      <c r="L48" s="782"/>
      <c r="M48" s="782"/>
      <c r="N48" s="782"/>
      <c r="O48" s="782"/>
      <c r="P48" s="782"/>
      <c r="Q48" s="782"/>
      <c r="R48" s="782"/>
      <c r="S48" s="782"/>
      <c r="T48" s="782"/>
      <c r="U48" s="782"/>
      <c r="V48" s="782"/>
      <c r="W48" s="782"/>
      <c r="X48" s="782"/>
      <c r="Y48" s="782"/>
      <c r="Z48" s="782"/>
      <c r="AA48" s="782"/>
      <c r="AB48" s="782"/>
      <c r="AC48" s="782"/>
    </row>
    <row r="49" spans="1:29">
      <c r="A49" s="782"/>
      <c r="B49" s="782"/>
      <c r="C49" s="782"/>
      <c r="D49" s="782"/>
      <c r="E49" s="782"/>
      <c r="F49" s="782"/>
      <c r="G49" s="782"/>
      <c r="H49" s="782"/>
      <c r="I49" s="782"/>
      <c r="J49" s="782"/>
      <c r="K49" s="782"/>
      <c r="L49" s="782"/>
      <c r="M49" s="782"/>
      <c r="N49" s="782"/>
      <c r="O49" s="782"/>
      <c r="P49" s="782"/>
      <c r="Q49" s="782"/>
      <c r="R49" s="782"/>
      <c r="S49" s="782"/>
      <c r="T49" s="782"/>
      <c r="U49" s="782"/>
      <c r="V49" s="782"/>
      <c r="W49" s="782"/>
      <c r="X49" s="782"/>
      <c r="Y49" s="782"/>
      <c r="Z49" s="782"/>
      <c r="AA49" s="782"/>
      <c r="AB49" s="782"/>
      <c r="AC49" s="782"/>
    </row>
    <row r="50" spans="1:29">
      <c r="A50" s="782"/>
      <c r="B50" s="782"/>
      <c r="C50" s="782"/>
      <c r="D50" s="782"/>
      <c r="E50" s="782"/>
      <c r="F50" s="782"/>
      <c r="G50" s="782"/>
      <c r="H50" s="782"/>
      <c r="I50" s="782"/>
      <c r="J50" s="782"/>
      <c r="K50" s="782"/>
      <c r="L50" s="782"/>
      <c r="M50" s="782"/>
      <c r="N50" s="782"/>
      <c r="O50" s="782"/>
      <c r="P50" s="782"/>
      <c r="Q50" s="782"/>
      <c r="R50" s="782"/>
      <c r="S50" s="782"/>
      <c r="T50" s="782"/>
      <c r="U50" s="782"/>
      <c r="V50" s="782"/>
      <c r="W50" s="782"/>
      <c r="X50" s="782"/>
      <c r="Y50" s="782"/>
      <c r="Z50" s="782"/>
      <c r="AA50" s="782"/>
      <c r="AB50" s="782"/>
      <c r="AC50" s="782"/>
    </row>
    <row r="51" spans="1:29">
      <c r="A51" s="782"/>
      <c r="B51" s="782"/>
      <c r="C51" s="782"/>
      <c r="D51" s="782"/>
      <c r="E51" s="782"/>
      <c r="F51" s="782"/>
      <c r="G51" s="782"/>
      <c r="H51" s="782"/>
      <c r="I51" s="782"/>
      <c r="J51" s="782"/>
      <c r="K51" s="782"/>
      <c r="L51" s="782"/>
      <c r="M51" s="782"/>
      <c r="N51" s="782"/>
      <c r="O51" s="782"/>
      <c r="P51" s="782"/>
      <c r="Q51" s="782"/>
      <c r="R51" s="782"/>
      <c r="S51" s="782"/>
      <c r="T51" s="782"/>
      <c r="U51" s="782"/>
      <c r="V51" s="782"/>
      <c r="W51" s="782"/>
      <c r="X51" s="782"/>
      <c r="Y51" s="782"/>
      <c r="Z51" s="782"/>
      <c r="AA51" s="782"/>
      <c r="AB51" s="782"/>
      <c r="AC51" s="782"/>
    </row>
    <row r="52" spans="1:29">
      <c r="A52" s="782"/>
      <c r="B52" s="782"/>
      <c r="C52" s="782"/>
      <c r="D52" s="782"/>
      <c r="E52" s="782"/>
      <c r="F52" s="782"/>
      <c r="G52" s="782"/>
      <c r="H52" s="782"/>
      <c r="I52" s="782"/>
      <c r="J52" s="782"/>
      <c r="K52" s="782"/>
      <c r="L52" s="782"/>
      <c r="M52" s="782"/>
      <c r="N52" s="782"/>
      <c r="O52" s="782"/>
      <c r="P52" s="782"/>
      <c r="Q52" s="782"/>
      <c r="R52" s="782"/>
      <c r="S52" s="782"/>
      <c r="T52" s="782"/>
      <c r="U52" s="782"/>
      <c r="V52" s="782"/>
      <c r="W52" s="782"/>
      <c r="X52" s="782"/>
      <c r="Y52" s="782"/>
      <c r="Z52" s="782"/>
      <c r="AA52" s="782"/>
      <c r="AB52" s="782"/>
      <c r="AC52" s="782"/>
    </row>
    <row r="53" spans="1:29">
      <c r="A53" s="782"/>
      <c r="B53" s="782"/>
      <c r="C53" s="782"/>
      <c r="D53" s="782"/>
      <c r="E53" s="782"/>
      <c r="F53" s="782"/>
      <c r="G53" s="782"/>
      <c r="H53" s="782"/>
      <c r="I53" s="782"/>
      <c r="J53" s="782"/>
      <c r="K53" s="782"/>
      <c r="L53" s="782"/>
      <c r="M53" s="782"/>
      <c r="N53" s="782"/>
      <c r="O53" s="782"/>
      <c r="P53" s="782"/>
      <c r="Q53" s="782"/>
      <c r="R53" s="782"/>
      <c r="S53" s="782"/>
      <c r="T53" s="782"/>
      <c r="U53" s="782"/>
      <c r="V53" s="782"/>
      <c r="W53" s="782"/>
      <c r="X53" s="782"/>
      <c r="Y53" s="782"/>
      <c r="Z53" s="782"/>
      <c r="AA53" s="782"/>
      <c r="AB53" s="782"/>
      <c r="AC53" s="782"/>
    </row>
    <row r="54" spans="1:29">
      <c r="A54" s="782"/>
      <c r="B54" s="782"/>
      <c r="C54" s="782"/>
      <c r="D54" s="782"/>
      <c r="E54" s="782"/>
      <c r="F54" s="782"/>
      <c r="G54" s="782"/>
      <c r="H54" s="782"/>
      <c r="I54" s="782"/>
      <c r="J54" s="782"/>
      <c r="K54" s="782"/>
      <c r="L54" s="782"/>
      <c r="M54" s="782"/>
      <c r="N54" s="782"/>
      <c r="O54" s="782"/>
      <c r="P54" s="782"/>
      <c r="Q54" s="782"/>
      <c r="R54" s="782"/>
      <c r="S54" s="782"/>
      <c r="T54" s="782"/>
      <c r="U54" s="782"/>
      <c r="V54" s="782"/>
      <c r="W54" s="782"/>
      <c r="X54" s="782"/>
      <c r="Y54" s="782"/>
      <c r="Z54" s="782"/>
      <c r="AA54" s="782"/>
      <c r="AB54" s="782"/>
      <c r="AC54" s="782"/>
    </row>
    <row r="55" spans="1:29">
      <c r="A55" s="782"/>
      <c r="B55" s="782"/>
      <c r="C55" s="782"/>
      <c r="D55" s="782"/>
      <c r="E55" s="782"/>
      <c r="F55" s="782"/>
      <c r="G55" s="782"/>
      <c r="H55" s="782"/>
      <c r="I55" s="782"/>
      <c r="J55" s="782"/>
      <c r="K55" s="782"/>
      <c r="L55" s="782"/>
      <c r="M55" s="782"/>
      <c r="N55" s="782"/>
      <c r="O55" s="782"/>
      <c r="P55" s="782"/>
      <c r="Q55" s="782"/>
      <c r="R55" s="782"/>
      <c r="S55" s="782"/>
      <c r="T55" s="782"/>
      <c r="U55" s="782"/>
      <c r="V55" s="782"/>
      <c r="W55" s="782"/>
      <c r="X55" s="782"/>
      <c r="Y55" s="782"/>
      <c r="Z55" s="782"/>
      <c r="AA55" s="782"/>
      <c r="AB55" s="782"/>
      <c r="AC55" s="782"/>
    </row>
    <row r="56" spans="1:29">
      <c r="A56" s="782"/>
      <c r="B56" s="782"/>
      <c r="C56" s="782"/>
      <c r="D56" s="782"/>
      <c r="E56" s="782"/>
      <c r="F56" s="782"/>
      <c r="G56" s="782"/>
      <c r="H56" s="782"/>
      <c r="I56" s="782"/>
      <c r="J56" s="782"/>
      <c r="K56" s="782"/>
      <c r="L56" s="782"/>
      <c r="M56" s="782"/>
      <c r="N56" s="782"/>
      <c r="O56" s="782"/>
      <c r="P56" s="782"/>
      <c r="Q56" s="782"/>
      <c r="R56" s="782"/>
      <c r="S56" s="782"/>
      <c r="T56" s="782"/>
      <c r="U56" s="782"/>
      <c r="V56" s="782"/>
      <c r="W56" s="782"/>
      <c r="X56" s="782"/>
      <c r="Y56" s="782"/>
      <c r="Z56" s="782"/>
      <c r="AA56" s="782"/>
      <c r="AB56" s="782"/>
      <c r="AC56" s="782"/>
    </row>
    <row r="57" spans="1:29">
      <c r="A57" s="782"/>
      <c r="B57" s="782"/>
      <c r="C57" s="782"/>
      <c r="D57" s="782"/>
      <c r="E57" s="782"/>
      <c r="F57" s="782"/>
      <c r="G57" s="782"/>
      <c r="H57" s="782"/>
      <c r="I57" s="782"/>
      <c r="J57" s="782"/>
      <c r="K57" s="782"/>
      <c r="L57" s="782"/>
      <c r="M57" s="782"/>
      <c r="N57" s="782"/>
      <c r="O57" s="782"/>
      <c r="P57" s="782"/>
      <c r="Q57" s="782"/>
      <c r="R57" s="782"/>
      <c r="S57" s="782"/>
      <c r="T57" s="782"/>
      <c r="U57" s="782"/>
      <c r="V57" s="782"/>
      <c r="W57" s="782"/>
      <c r="X57" s="782"/>
      <c r="Y57" s="782"/>
      <c r="Z57" s="782"/>
      <c r="AA57" s="782"/>
      <c r="AB57" s="782"/>
      <c r="AC57" s="782"/>
    </row>
    <row r="58" spans="1:29">
      <c r="A58" s="782"/>
      <c r="B58" s="782"/>
      <c r="C58" s="782"/>
      <c r="D58" s="782"/>
      <c r="E58" s="782"/>
      <c r="F58" s="782"/>
      <c r="G58" s="782"/>
      <c r="H58" s="782"/>
      <c r="I58" s="782"/>
      <c r="J58" s="782"/>
      <c r="K58" s="782"/>
      <c r="L58" s="782"/>
      <c r="M58" s="782"/>
      <c r="N58" s="782"/>
      <c r="O58" s="782"/>
      <c r="P58" s="782"/>
      <c r="Q58" s="782"/>
      <c r="R58" s="782"/>
      <c r="S58" s="782"/>
      <c r="T58" s="782"/>
      <c r="U58" s="782"/>
      <c r="V58" s="782"/>
      <c r="W58" s="782"/>
      <c r="X58" s="782"/>
      <c r="Y58" s="782"/>
      <c r="Z58" s="782"/>
      <c r="AA58" s="782"/>
      <c r="AB58" s="782"/>
      <c r="AC58" s="782"/>
    </row>
    <row r="59" spans="1:29">
      <c r="A59" s="782"/>
      <c r="B59" s="782"/>
      <c r="C59" s="782"/>
      <c r="D59" s="782"/>
      <c r="E59" s="782"/>
      <c r="F59" s="782"/>
      <c r="G59" s="782"/>
      <c r="H59" s="782"/>
      <c r="I59" s="782"/>
      <c r="J59" s="782"/>
      <c r="K59" s="782"/>
      <c r="L59" s="782"/>
      <c r="M59" s="782"/>
      <c r="N59" s="782"/>
      <c r="O59" s="782"/>
      <c r="P59" s="782"/>
      <c r="Q59" s="782"/>
      <c r="R59" s="782"/>
      <c r="S59" s="782"/>
      <c r="T59" s="782"/>
      <c r="U59" s="782"/>
      <c r="V59" s="782"/>
      <c r="W59" s="782"/>
      <c r="X59" s="782"/>
      <c r="Y59" s="782"/>
      <c r="Z59" s="782"/>
      <c r="AA59" s="782"/>
      <c r="AB59" s="782"/>
      <c r="AC59" s="782"/>
    </row>
    <row r="60" spans="1:29">
      <c r="A60" s="782"/>
      <c r="B60" s="782"/>
      <c r="C60" s="782"/>
      <c r="D60" s="782"/>
      <c r="E60" s="782"/>
      <c r="F60" s="782"/>
      <c r="G60" s="782"/>
      <c r="H60" s="782"/>
      <c r="I60" s="782"/>
      <c r="J60" s="782"/>
      <c r="K60" s="782"/>
      <c r="L60" s="782"/>
      <c r="M60" s="782"/>
      <c r="N60" s="782"/>
      <c r="O60" s="782"/>
      <c r="P60" s="782"/>
      <c r="Q60" s="782"/>
      <c r="R60" s="782"/>
      <c r="S60" s="782"/>
      <c r="T60" s="782"/>
      <c r="U60" s="782"/>
      <c r="V60" s="782"/>
      <c r="W60" s="782"/>
      <c r="X60" s="782"/>
      <c r="Y60" s="782"/>
      <c r="Z60" s="782"/>
      <c r="AA60" s="782"/>
      <c r="AB60" s="782"/>
      <c r="AC60" s="782"/>
    </row>
    <row r="61" spans="1:29">
      <c r="A61" s="782"/>
      <c r="B61" s="782"/>
      <c r="C61" s="782"/>
      <c r="D61" s="782"/>
      <c r="E61" s="782"/>
      <c r="F61" s="782"/>
      <c r="G61" s="782"/>
      <c r="H61" s="782"/>
      <c r="I61" s="782"/>
      <c r="J61" s="782"/>
      <c r="K61" s="782"/>
      <c r="L61" s="782"/>
      <c r="M61" s="782"/>
      <c r="N61" s="782"/>
      <c r="O61" s="782"/>
      <c r="P61" s="782"/>
      <c r="Q61" s="782"/>
      <c r="R61" s="782"/>
      <c r="S61" s="782"/>
      <c r="T61" s="782"/>
      <c r="U61" s="782"/>
      <c r="V61" s="782"/>
      <c r="W61" s="782"/>
      <c r="X61" s="782"/>
      <c r="Y61" s="782"/>
      <c r="Z61" s="782"/>
      <c r="AA61" s="782"/>
      <c r="AB61" s="782"/>
      <c r="AC61" s="782"/>
    </row>
    <row r="62" spans="1:29">
      <c r="A62" s="782"/>
      <c r="B62" s="782"/>
      <c r="C62" s="782"/>
      <c r="D62" s="782"/>
      <c r="E62" s="782"/>
      <c r="F62" s="782"/>
      <c r="G62" s="782"/>
      <c r="H62" s="782"/>
      <c r="I62" s="782"/>
      <c r="J62" s="782"/>
      <c r="K62" s="782"/>
      <c r="L62" s="782"/>
      <c r="M62" s="782"/>
      <c r="N62" s="782"/>
      <c r="O62" s="782"/>
      <c r="P62" s="782"/>
      <c r="Q62" s="782"/>
      <c r="R62" s="782"/>
      <c r="S62" s="782"/>
      <c r="T62" s="782"/>
      <c r="U62" s="782"/>
      <c r="V62" s="782"/>
      <c r="W62" s="782"/>
      <c r="X62" s="782"/>
      <c r="Y62" s="782"/>
      <c r="Z62" s="782"/>
      <c r="AA62" s="782"/>
      <c r="AB62" s="782"/>
      <c r="AC62" s="782"/>
    </row>
    <row r="63" spans="1:29">
      <c r="A63" s="782"/>
      <c r="B63" s="782"/>
      <c r="C63" s="782"/>
      <c r="D63" s="782"/>
      <c r="E63" s="782"/>
      <c r="F63" s="782"/>
      <c r="G63" s="782"/>
      <c r="H63" s="782"/>
      <c r="I63" s="782"/>
      <c r="J63" s="782"/>
      <c r="K63" s="782"/>
      <c r="L63" s="782"/>
      <c r="M63" s="782"/>
      <c r="N63" s="782"/>
      <c r="O63" s="782"/>
      <c r="P63" s="782"/>
      <c r="Q63" s="782"/>
      <c r="R63" s="782"/>
      <c r="S63" s="782"/>
      <c r="T63" s="782"/>
      <c r="U63" s="782"/>
      <c r="V63" s="782"/>
      <c r="W63" s="782"/>
      <c r="X63" s="782"/>
      <c r="Y63" s="782"/>
      <c r="Z63" s="782"/>
      <c r="AA63" s="782"/>
      <c r="AB63" s="782"/>
      <c r="AC63" s="782"/>
    </row>
    <row r="64" spans="1:29">
      <c r="A64" s="782"/>
      <c r="B64" s="782"/>
      <c r="C64" s="782"/>
      <c r="D64" s="782"/>
      <c r="E64" s="782"/>
      <c r="F64" s="782"/>
      <c r="G64" s="782"/>
      <c r="H64" s="782"/>
      <c r="I64" s="782"/>
      <c r="J64" s="782"/>
      <c r="K64" s="782"/>
      <c r="L64" s="782"/>
      <c r="M64" s="782"/>
      <c r="N64" s="782"/>
      <c r="O64" s="782"/>
      <c r="P64" s="782"/>
      <c r="Q64" s="782"/>
      <c r="R64" s="782"/>
      <c r="S64" s="782"/>
      <c r="T64" s="782"/>
      <c r="U64" s="782"/>
      <c r="V64" s="782"/>
      <c r="W64" s="782"/>
      <c r="X64" s="782"/>
      <c r="Y64" s="782"/>
      <c r="Z64" s="782"/>
      <c r="AA64" s="782"/>
      <c r="AB64" s="782"/>
      <c r="AC64" s="782"/>
    </row>
    <row r="65" spans="1:29">
      <c r="A65" s="782"/>
      <c r="B65" s="782"/>
      <c r="C65" s="782"/>
      <c r="D65" s="782"/>
      <c r="E65" s="782"/>
      <c r="F65" s="782"/>
      <c r="G65" s="782"/>
      <c r="H65" s="782"/>
      <c r="I65" s="782"/>
      <c r="J65" s="782"/>
      <c r="K65" s="782"/>
      <c r="L65" s="782"/>
      <c r="M65" s="782"/>
      <c r="N65" s="782"/>
      <c r="O65" s="782"/>
      <c r="P65" s="782"/>
      <c r="Q65" s="782"/>
      <c r="R65" s="782"/>
      <c r="S65" s="782"/>
      <c r="T65" s="782"/>
      <c r="U65" s="782"/>
      <c r="V65" s="782"/>
      <c r="W65" s="782"/>
      <c r="X65" s="782"/>
      <c r="Y65" s="782"/>
      <c r="Z65" s="782"/>
      <c r="AA65" s="782"/>
      <c r="AB65" s="782"/>
      <c r="AC65" s="782"/>
    </row>
    <row r="66" spans="1:29">
      <c r="A66" s="782"/>
      <c r="B66" s="782"/>
      <c r="C66" s="782"/>
      <c r="D66" s="782"/>
      <c r="E66" s="782"/>
      <c r="F66" s="782"/>
      <c r="G66" s="782"/>
      <c r="H66" s="782"/>
      <c r="I66" s="782"/>
      <c r="J66" s="782"/>
      <c r="K66" s="782"/>
      <c r="L66" s="782"/>
      <c r="M66" s="782"/>
      <c r="N66" s="782"/>
      <c r="O66" s="782"/>
      <c r="P66" s="782"/>
      <c r="Q66" s="782"/>
      <c r="R66" s="782"/>
      <c r="S66" s="782"/>
      <c r="T66" s="782"/>
      <c r="U66" s="782"/>
      <c r="V66" s="782"/>
      <c r="W66" s="782"/>
      <c r="X66" s="782"/>
      <c r="Y66" s="782"/>
      <c r="Z66" s="782"/>
      <c r="AA66" s="782"/>
      <c r="AB66" s="782"/>
      <c r="AC66" s="782"/>
    </row>
    <row r="67" spans="1:29">
      <c r="A67" s="782"/>
      <c r="B67" s="782"/>
      <c r="C67" s="782"/>
      <c r="D67" s="782"/>
      <c r="E67" s="782"/>
      <c r="F67" s="782"/>
      <c r="G67" s="782"/>
      <c r="H67" s="782"/>
      <c r="I67" s="782"/>
      <c r="J67" s="782"/>
      <c r="K67" s="782"/>
      <c r="L67" s="782"/>
      <c r="M67" s="782"/>
      <c r="N67" s="782"/>
      <c r="O67" s="782"/>
      <c r="P67" s="782"/>
      <c r="Q67" s="782"/>
      <c r="R67" s="782"/>
      <c r="S67" s="782"/>
      <c r="T67" s="782"/>
      <c r="U67" s="782"/>
      <c r="V67" s="782"/>
      <c r="W67" s="782"/>
      <c r="X67" s="782"/>
      <c r="Y67" s="782"/>
      <c r="Z67" s="782"/>
      <c r="AA67" s="782"/>
      <c r="AB67" s="782"/>
      <c r="AC67" s="782"/>
    </row>
    <row r="68" spans="1:29">
      <c r="A68" s="782"/>
      <c r="B68" s="782"/>
      <c r="C68" s="782"/>
      <c r="D68" s="782"/>
      <c r="E68" s="782"/>
      <c r="F68" s="782"/>
      <c r="G68" s="782"/>
      <c r="H68" s="782"/>
      <c r="I68" s="782"/>
      <c r="J68" s="782"/>
      <c r="K68" s="782"/>
      <c r="L68" s="782"/>
      <c r="M68" s="782"/>
      <c r="N68" s="782"/>
      <c r="O68" s="782"/>
      <c r="P68" s="782"/>
      <c r="Q68" s="782"/>
      <c r="R68" s="782"/>
      <c r="S68" s="782"/>
      <c r="T68" s="782"/>
      <c r="U68" s="782"/>
      <c r="V68" s="782"/>
      <c r="W68" s="782"/>
      <c r="X68" s="782"/>
      <c r="Y68" s="782"/>
      <c r="Z68" s="782"/>
      <c r="AA68" s="782"/>
      <c r="AB68" s="782"/>
      <c r="AC68" s="782"/>
    </row>
    <row r="69" spans="1:29">
      <c r="A69" s="782"/>
      <c r="B69" s="782"/>
      <c r="C69" s="782"/>
      <c r="D69" s="782"/>
      <c r="E69" s="782"/>
      <c r="F69" s="782"/>
      <c r="G69" s="782"/>
      <c r="H69" s="782"/>
      <c r="I69" s="782"/>
      <c r="J69" s="782"/>
      <c r="K69" s="782"/>
      <c r="L69" s="782"/>
      <c r="M69" s="782"/>
      <c r="N69" s="782"/>
      <c r="O69" s="782"/>
      <c r="P69" s="782"/>
      <c r="Q69" s="782"/>
      <c r="R69" s="782"/>
      <c r="S69" s="782"/>
      <c r="T69" s="782"/>
      <c r="U69" s="782"/>
      <c r="V69" s="782"/>
      <c r="W69" s="782"/>
      <c r="X69" s="782"/>
      <c r="Y69" s="782"/>
      <c r="Z69" s="782"/>
      <c r="AA69" s="782"/>
      <c r="AB69" s="782"/>
      <c r="AC69" s="782"/>
    </row>
    <row r="70" spans="1:29">
      <c r="A70" s="782"/>
      <c r="B70" s="782"/>
      <c r="C70" s="782"/>
      <c r="D70" s="782"/>
      <c r="E70" s="782"/>
      <c r="F70" s="782"/>
      <c r="G70" s="782"/>
      <c r="H70" s="782"/>
      <c r="I70" s="782"/>
      <c r="J70" s="782"/>
      <c r="K70" s="782"/>
      <c r="L70" s="782"/>
      <c r="M70" s="782"/>
      <c r="N70" s="782"/>
      <c r="O70" s="782"/>
      <c r="P70" s="782"/>
      <c r="Q70" s="782"/>
      <c r="R70" s="782"/>
      <c r="S70" s="782"/>
      <c r="T70" s="782"/>
      <c r="U70" s="782"/>
      <c r="V70" s="782"/>
      <c r="W70" s="782"/>
      <c r="X70" s="782"/>
      <c r="Y70" s="782"/>
      <c r="Z70" s="782"/>
      <c r="AA70" s="782"/>
      <c r="AB70" s="782"/>
      <c r="AC70" s="782"/>
    </row>
    <row r="71" spans="1:29">
      <c r="A71" s="782"/>
      <c r="B71" s="782"/>
      <c r="G71" s="782"/>
      <c r="H71" s="782"/>
      <c r="I71" s="782"/>
      <c r="J71" s="782"/>
      <c r="K71" s="782"/>
      <c r="L71" s="782"/>
      <c r="M71" s="782"/>
      <c r="N71" s="782"/>
      <c r="O71" s="782"/>
      <c r="P71" s="782"/>
      <c r="Q71" s="782"/>
      <c r="R71" s="782"/>
      <c r="S71" s="782"/>
      <c r="T71" s="782"/>
      <c r="U71" s="782"/>
      <c r="V71" s="782"/>
      <c r="W71" s="782"/>
      <c r="X71" s="782"/>
      <c r="Y71" s="782"/>
      <c r="Z71" s="782"/>
      <c r="AA71" s="782"/>
      <c r="AB71" s="782"/>
      <c r="AC71" s="782"/>
    </row>
    <row r="72" spans="1:29">
      <c r="A72" s="782"/>
      <c r="B72" s="782"/>
      <c r="G72" s="782"/>
      <c r="H72" s="782"/>
      <c r="I72" s="782"/>
      <c r="J72" s="782"/>
      <c r="K72" s="782"/>
      <c r="L72" s="782"/>
      <c r="M72" s="782"/>
      <c r="N72" s="782"/>
      <c r="O72" s="782"/>
      <c r="P72" s="782"/>
      <c r="Q72" s="782"/>
      <c r="R72" s="782"/>
      <c r="S72" s="782"/>
      <c r="T72" s="782"/>
      <c r="U72" s="782"/>
      <c r="V72" s="782"/>
      <c r="W72" s="782"/>
      <c r="X72" s="782"/>
      <c r="Y72" s="782"/>
      <c r="Z72" s="782"/>
      <c r="AA72" s="782"/>
      <c r="AB72" s="782"/>
      <c r="AC72" s="782"/>
    </row>
    <row r="73" spans="1:29">
      <c r="A73" s="782"/>
      <c r="B73" s="782"/>
      <c r="G73" s="782"/>
      <c r="H73" s="782"/>
      <c r="I73" s="782"/>
      <c r="J73" s="782"/>
      <c r="K73" s="782"/>
      <c r="L73" s="782"/>
      <c r="M73" s="782"/>
      <c r="N73" s="782"/>
      <c r="O73" s="782"/>
      <c r="P73" s="782"/>
      <c r="Q73" s="782"/>
      <c r="R73" s="782"/>
      <c r="S73" s="782"/>
      <c r="T73" s="782"/>
      <c r="U73" s="782"/>
      <c r="V73" s="782"/>
      <c r="W73" s="782"/>
      <c r="X73" s="782"/>
      <c r="Y73" s="782"/>
      <c r="Z73" s="782"/>
      <c r="AA73" s="782"/>
      <c r="AB73" s="782"/>
      <c r="AC73" s="782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XDZ106"/>
  <sheetViews>
    <sheetView showGridLines="0" zoomScaleNormal="100" workbookViewId="0"/>
  </sheetViews>
  <sheetFormatPr defaultRowHeight="12.75"/>
  <cols>
    <col min="1" max="2" width="2.42578125" style="806" customWidth="1"/>
    <col min="3" max="3" width="39.28515625" style="806" customWidth="1"/>
    <col min="4" max="4" width="2.42578125" style="806" customWidth="1"/>
    <col min="5" max="10" width="9.140625" style="806" customWidth="1"/>
    <col min="11" max="11" width="2.42578125" style="806" customWidth="1"/>
    <col min="12" max="12" width="39.28515625" style="806" customWidth="1"/>
    <col min="13" max="13" width="2.42578125" style="806" customWidth="1"/>
    <col min="14" max="15" width="10.7109375" style="806" hidden="1" customWidth="1"/>
    <col min="16" max="20" width="9.140625" style="813" customWidth="1"/>
    <col min="21" max="21" width="11.28515625" style="1036" bestFit="1" customWidth="1"/>
    <col min="22" max="16384" width="9.140625" style="806"/>
  </cols>
  <sheetData>
    <row r="1" spans="1:86" s="796" customFormat="1" ht="15" customHeight="1">
      <c r="A1" s="793"/>
      <c r="B1" s="793"/>
      <c r="C1" s="793"/>
      <c r="D1" s="793"/>
      <c r="E1" s="794"/>
      <c r="F1" s="794"/>
      <c r="G1" s="794"/>
      <c r="H1" s="794"/>
      <c r="I1" s="794"/>
      <c r="J1" s="794"/>
      <c r="K1" s="793"/>
      <c r="L1" s="793"/>
      <c r="M1" s="793"/>
      <c r="N1" s="794"/>
      <c r="O1" s="794"/>
      <c r="P1" s="795"/>
      <c r="Q1" s="795"/>
      <c r="R1" s="795"/>
      <c r="S1" s="795"/>
      <c r="T1" s="795"/>
      <c r="U1" s="1033"/>
      <c r="V1" s="794"/>
      <c r="W1" s="794"/>
      <c r="X1" s="794"/>
      <c r="Y1" s="794"/>
      <c r="Z1" s="794"/>
      <c r="AA1" s="794"/>
      <c r="AB1" s="794"/>
      <c r="AC1" s="794"/>
      <c r="AD1" s="794"/>
      <c r="AE1" s="794"/>
      <c r="CC1" s="797"/>
      <c r="CD1" s="797" t="s">
        <v>212</v>
      </c>
      <c r="CE1" s="797" t="s">
        <v>213</v>
      </c>
      <c r="CF1" s="797" t="s">
        <v>214</v>
      </c>
      <c r="CG1" s="797" t="s">
        <v>215</v>
      </c>
      <c r="CH1" s="797" t="s">
        <v>216</v>
      </c>
    </row>
    <row r="2" spans="1:86" s="796" customFormat="1" ht="15" customHeight="1">
      <c r="A2" s="793"/>
      <c r="B2" s="793" t="str">
        <f>+Cover!B2</f>
        <v>Raytheon</v>
      </c>
      <c r="C2" s="793"/>
      <c r="D2" s="793"/>
      <c r="E2" s="794"/>
      <c r="F2" s="794"/>
      <c r="G2" s="794"/>
      <c r="H2" s="794"/>
      <c r="I2" s="794"/>
      <c r="J2" s="794"/>
      <c r="K2" s="793"/>
      <c r="L2" s="793"/>
      <c r="M2" s="793"/>
      <c r="N2" s="794"/>
      <c r="O2" s="794"/>
      <c r="P2" s="795"/>
      <c r="Q2" s="795"/>
      <c r="R2" s="795"/>
      <c r="S2" s="795"/>
      <c r="T2" s="795"/>
      <c r="U2" s="1033"/>
      <c r="V2" s="794"/>
      <c r="W2" s="794"/>
      <c r="X2" s="794"/>
      <c r="Y2" s="794"/>
      <c r="Z2" s="794"/>
      <c r="AA2" s="794"/>
      <c r="AB2" s="794"/>
      <c r="AC2" s="794"/>
      <c r="AD2" s="794"/>
      <c r="AE2" s="794"/>
    </row>
    <row r="3" spans="1:86" s="796" customFormat="1" ht="15" customHeight="1">
      <c r="A3" s="798"/>
      <c r="B3" s="799" t="s">
        <v>265</v>
      </c>
      <c r="C3" s="799"/>
      <c r="D3" s="798"/>
      <c r="E3" s="794"/>
      <c r="F3" s="794"/>
      <c r="G3" s="794"/>
      <c r="H3" s="794"/>
      <c r="I3" s="794"/>
      <c r="J3" s="794"/>
      <c r="K3" s="799"/>
      <c r="L3" s="799"/>
      <c r="M3" s="798"/>
      <c r="N3" s="794"/>
      <c r="O3" s="794"/>
      <c r="P3" s="795"/>
      <c r="Q3" s="795"/>
      <c r="R3" s="795"/>
      <c r="S3" s="795"/>
      <c r="T3" s="795"/>
      <c r="U3" s="1033"/>
      <c r="V3" s="794"/>
      <c r="W3" s="794"/>
      <c r="X3" s="794"/>
      <c r="Y3" s="794"/>
      <c r="Z3" s="794"/>
      <c r="AA3" s="794"/>
      <c r="AB3" s="794"/>
      <c r="AC3" s="794"/>
      <c r="AD3" s="794"/>
      <c r="AE3" s="794"/>
    </row>
    <row r="4" spans="1:86" s="796" customFormat="1">
      <c r="A4" s="800"/>
      <c r="B4" s="801" t="s">
        <v>266</v>
      </c>
      <c r="C4" s="801"/>
      <c r="D4" s="800"/>
      <c r="E4" s="802"/>
      <c r="F4" s="802"/>
      <c r="G4" s="802"/>
      <c r="H4" s="802"/>
      <c r="I4" s="802"/>
      <c r="J4" s="802"/>
      <c r="K4" s="801"/>
      <c r="L4" s="801"/>
      <c r="M4" s="800"/>
      <c r="N4" s="802"/>
      <c r="O4" s="802"/>
      <c r="P4" s="803"/>
      <c r="Q4" s="803"/>
      <c r="R4" s="803"/>
      <c r="S4" s="803"/>
      <c r="T4" s="803"/>
      <c r="U4" s="1034"/>
      <c r="V4" s="802"/>
      <c r="W4" s="802"/>
      <c r="X4" s="802"/>
      <c r="Y4" s="802"/>
      <c r="Z4" s="802"/>
      <c r="AA4" s="802"/>
      <c r="AB4" s="802"/>
      <c r="AC4" s="802"/>
      <c r="AD4" s="802"/>
      <c r="AE4" s="802"/>
    </row>
    <row r="5" spans="1:86" s="804" customFormat="1">
      <c r="P5" s="1070"/>
      <c r="Q5" s="805"/>
      <c r="R5" s="805"/>
      <c r="S5" s="805"/>
      <c r="T5" s="805"/>
      <c r="U5" s="1035"/>
    </row>
    <row r="6" spans="1:86">
      <c r="B6" s="807" t="s">
        <v>267</v>
      </c>
      <c r="C6" s="808"/>
      <c r="D6" s="808"/>
      <c r="F6" s="809" t="s">
        <v>268</v>
      </c>
      <c r="G6" s="809" t="s">
        <v>269</v>
      </c>
      <c r="H6" s="809" t="s">
        <v>270</v>
      </c>
      <c r="K6" s="807" t="s">
        <v>271</v>
      </c>
      <c r="L6" s="808"/>
      <c r="M6" s="808"/>
      <c r="N6" s="810">
        <v>2015</v>
      </c>
      <c r="O6" s="810">
        <v>2016</v>
      </c>
      <c r="P6" s="810">
        <v>2017</v>
      </c>
      <c r="Q6" s="811">
        <v>2018</v>
      </c>
      <c r="R6" s="811">
        <v>2019</v>
      </c>
      <c r="S6" s="811">
        <v>2020</v>
      </c>
      <c r="T6" s="811">
        <v>2021</v>
      </c>
    </row>
    <row r="7" spans="1:86">
      <c r="C7" s="806" t="s">
        <v>272</v>
      </c>
      <c r="F7" s="812">
        <v>2019</v>
      </c>
      <c r="G7" s="812">
        <v>2019</v>
      </c>
      <c r="H7" s="812">
        <v>2019</v>
      </c>
    </row>
    <row r="8" spans="1:86">
      <c r="F8" s="812"/>
      <c r="G8" s="812"/>
      <c r="H8" s="812"/>
      <c r="L8" s="814" t="s">
        <v>230</v>
      </c>
      <c r="P8" s="846"/>
      <c r="Q8" s="846"/>
      <c r="R8" s="846"/>
      <c r="S8" s="806"/>
      <c r="T8" s="806"/>
    </row>
    <row r="9" spans="1:86">
      <c r="C9" s="815" t="s">
        <v>273</v>
      </c>
      <c r="D9" s="816"/>
      <c r="E9" s="816"/>
      <c r="F9" s="954">
        <f>MROUND(F33,1)</f>
        <v>165</v>
      </c>
      <c r="G9" s="954">
        <f>MROUND(G33,1)</f>
        <v>238</v>
      </c>
      <c r="H9" s="958">
        <f>MROUND(H33,1)</f>
        <v>312</v>
      </c>
      <c r="I9" s="1071"/>
      <c r="J9" s="972"/>
      <c r="L9" s="806" t="s">
        <v>304</v>
      </c>
      <c r="N9" s="817">
        <f>+Model!BE4</f>
        <v>5847</v>
      </c>
      <c r="O9" s="817">
        <f>+Model!BJ4</f>
        <v>5476</v>
      </c>
      <c r="P9" s="817">
        <f>+Model!BP4</f>
        <v>5804</v>
      </c>
      <c r="Q9" s="817">
        <f>+Model!BU4</f>
        <v>6095.7500000000009</v>
      </c>
      <c r="R9" s="817">
        <f>+Model!BZ4</f>
        <v>6461.4950000000017</v>
      </c>
      <c r="S9" s="817">
        <f>+Model!CE4</f>
        <v>6849.1847000000025</v>
      </c>
      <c r="T9" s="817">
        <f>+Model!CJ4</f>
        <v>7260.135782000003</v>
      </c>
    </row>
    <row r="10" spans="1:86">
      <c r="C10" s="806" t="s">
        <v>211</v>
      </c>
      <c r="F10" s="955">
        <f>+G10</f>
        <v>220.15</v>
      </c>
      <c r="G10" s="956">
        <v>220.15</v>
      </c>
      <c r="H10" s="955">
        <f>+G10</f>
        <v>220.15</v>
      </c>
      <c r="L10" s="806" t="s">
        <v>305</v>
      </c>
      <c r="N10" s="817">
        <f>+Model!BE14</f>
        <v>6111</v>
      </c>
      <c r="O10" s="817">
        <f>+Model!BJ14</f>
        <v>6194</v>
      </c>
      <c r="P10" s="817">
        <f>+Model!BP14</f>
        <v>6177</v>
      </c>
      <c r="Q10" s="817">
        <f>+Model!BU14</f>
        <v>6301.1900000000005</v>
      </c>
      <c r="R10" s="817">
        <f>+Model!BZ14</f>
        <v>6490.2257000000009</v>
      </c>
      <c r="S10" s="817">
        <f>+Model!CE14</f>
        <v>6749.8347280000007</v>
      </c>
      <c r="T10" s="817">
        <f>+Model!CJ14</f>
        <v>7019.8281171200006</v>
      </c>
    </row>
    <row r="11" spans="1:86" s="819" customFormat="1">
      <c r="A11" s="806"/>
      <c r="C11" s="819" t="s">
        <v>274</v>
      </c>
      <c r="F11" s="820">
        <f>+F9/F10-1</f>
        <v>-0.25051101521689756</v>
      </c>
      <c r="G11" s="820">
        <f>+G9/G10-1</f>
        <v>8.1081081081081141E-2</v>
      </c>
      <c r="H11" s="820">
        <f>+H9/H10-1</f>
        <v>0.41721553486259366</v>
      </c>
      <c r="K11" s="806"/>
      <c r="L11" s="806" t="s">
        <v>306</v>
      </c>
      <c r="N11" s="817">
        <f>+Model!BE24</f>
        <v>6556</v>
      </c>
      <c r="O11" s="817">
        <f>+Model!BJ24</f>
        <v>7071</v>
      </c>
      <c r="P11" s="817">
        <f>+Model!BP24</f>
        <v>7787</v>
      </c>
      <c r="Q11" s="817">
        <f>+Model!BU24</f>
        <v>8569.9900000000016</v>
      </c>
      <c r="R11" s="817">
        <f>+Model!BZ24</f>
        <v>9169.8893000000025</v>
      </c>
      <c r="S11" s="817">
        <f>+Model!CE24</f>
        <v>9811.7815510000037</v>
      </c>
      <c r="T11" s="817">
        <f>+Model!CJ24</f>
        <v>10498.606259570004</v>
      </c>
      <c r="U11" s="1037"/>
    </row>
    <row r="12" spans="1:86">
      <c r="I12" s="804"/>
      <c r="J12" s="804"/>
      <c r="L12" s="806" t="s">
        <v>307</v>
      </c>
      <c r="M12" s="819"/>
      <c r="N12" s="817">
        <f>+Model!BE34</f>
        <v>5796</v>
      </c>
      <c r="O12" s="817">
        <f>+Model!BJ34</f>
        <v>6199</v>
      </c>
      <c r="P12" s="817">
        <f>+Model!BP34</f>
        <v>6430</v>
      </c>
      <c r="Q12" s="817">
        <f>+Model!BU34</f>
        <v>6688.35</v>
      </c>
      <c r="R12" s="817">
        <f>+Model!BZ34</f>
        <v>7022.7675000000008</v>
      </c>
      <c r="S12" s="817">
        <f>+Model!CE34</f>
        <v>7373.9058750000013</v>
      </c>
      <c r="T12" s="817">
        <f>+Model!CJ34</f>
        <v>7742.6011687500013</v>
      </c>
      <c r="U12" s="1037"/>
    </row>
    <row r="13" spans="1:86" s="819" customFormat="1">
      <c r="A13" s="806"/>
      <c r="C13" s="821" t="s">
        <v>275</v>
      </c>
      <c r="D13" s="822"/>
      <c r="E13" s="822"/>
      <c r="F13" s="823">
        <f>+F$9/(F$22)*F34</f>
        <v>17.011359425211413</v>
      </c>
      <c r="G13" s="823">
        <f>+G$9/(G$22)*G34</f>
        <v>20.994642442246736</v>
      </c>
      <c r="H13" s="824">
        <f>+H$9/(H$22)*H34</f>
        <v>21.97079759396658</v>
      </c>
      <c r="I13" s="838"/>
      <c r="J13" s="838"/>
      <c r="K13" s="806"/>
      <c r="L13" s="806" t="s">
        <v>253</v>
      </c>
      <c r="N13" s="817">
        <f>+Model!BE64</f>
        <v>328</v>
      </c>
      <c r="O13" s="817">
        <f>+Model!BJ64</f>
        <v>569</v>
      </c>
      <c r="P13" s="817">
        <f>+Model!BP64</f>
        <v>608</v>
      </c>
      <c r="Q13" s="817">
        <f>+Model!BU64</f>
        <v>650.55999999999995</v>
      </c>
      <c r="R13" s="817">
        <f>+Model!BZ64</f>
        <v>696.0992</v>
      </c>
      <c r="S13" s="817">
        <f>+Model!CE64</f>
        <v>751.78713600000003</v>
      </c>
      <c r="T13" s="817">
        <f>+Model!CJ64</f>
        <v>819.44797824000011</v>
      </c>
      <c r="U13" s="1037"/>
    </row>
    <row r="14" spans="1:86" s="819" customFormat="1">
      <c r="A14" s="806"/>
      <c r="C14" s="827" t="s">
        <v>329</v>
      </c>
      <c r="D14" s="828"/>
      <c r="E14" s="828"/>
      <c r="F14" s="829">
        <f>F9/((F$22-($R$30*(1-F$27)))/F34)</f>
        <v>29.615410825169274</v>
      </c>
      <c r="G14" s="829">
        <f>G9/((G$22-($R$30*(1-G$27)))/G34)</f>
        <v>33.017732396881534</v>
      </c>
      <c r="H14" s="830">
        <f>H9/((H$22-($R$30*(1-H$27)))/H34)</f>
        <v>30.974842826453781</v>
      </c>
      <c r="I14" s="838"/>
      <c r="J14" s="838"/>
      <c r="K14" s="806"/>
      <c r="L14" s="806" t="s">
        <v>309</v>
      </c>
      <c r="N14" s="817">
        <f>+Model!BE74</f>
        <v>-61</v>
      </c>
      <c r="O14" s="817">
        <f>+Model!BJ74</f>
        <v>-77</v>
      </c>
      <c r="P14" s="817">
        <f>+Model!BP74</f>
        <v>-35</v>
      </c>
      <c r="Q14" s="817">
        <f>+Model!BU74</f>
        <v>-10</v>
      </c>
      <c r="R14" s="817">
        <f>+Model!BZ74</f>
        <v>-2</v>
      </c>
      <c r="S14" s="817">
        <f>+Model!CE74</f>
        <v>0</v>
      </c>
      <c r="T14" s="817">
        <f>+Model!CJ74</f>
        <v>0</v>
      </c>
      <c r="U14" s="1037"/>
    </row>
    <row r="15" spans="1:86">
      <c r="B15" s="819"/>
      <c r="C15" s="827" t="s">
        <v>277</v>
      </c>
      <c r="D15" s="828"/>
      <c r="E15" s="828"/>
      <c r="F15" s="829">
        <f>(F31+F25+(F19+F20))/$R$34</f>
        <v>10.129703194128531</v>
      </c>
      <c r="G15" s="829">
        <f>(-G31+G25)/$R$34</f>
        <v>13.851931029232656</v>
      </c>
      <c r="H15" s="830">
        <f>(H31+H25+(H19+H20))/$R$34</f>
        <v>19.214454109724276</v>
      </c>
      <c r="I15" s="838"/>
      <c r="J15" s="838"/>
      <c r="L15" s="806" t="s">
        <v>308</v>
      </c>
      <c r="M15" s="819"/>
      <c r="N15" s="817">
        <f>+Model!BE75</f>
        <v>-1330</v>
      </c>
      <c r="O15" s="817">
        <f>+Model!BJ75</f>
        <v>-1360</v>
      </c>
      <c r="P15" s="817">
        <f>+Model!BP75</f>
        <v>-1423</v>
      </c>
      <c r="Q15" s="817">
        <f>+Model!BU75</f>
        <v>-1486.0565999999999</v>
      </c>
      <c r="R15" s="817">
        <f>+Model!BZ75</f>
        <v>-1566.62502675</v>
      </c>
      <c r="S15" s="817">
        <f>+Model!CE75</f>
        <v>-1655.6659344749999</v>
      </c>
      <c r="T15" s="817">
        <f>+Model!CJ75</f>
        <v>-1750.3825135482</v>
      </c>
      <c r="U15" s="1037"/>
    </row>
    <row r="16" spans="1:86">
      <c r="B16" s="819"/>
      <c r="C16" s="832" t="s">
        <v>278</v>
      </c>
      <c r="D16" s="833"/>
      <c r="E16" s="833"/>
      <c r="F16" s="834">
        <f>(($R$58+((F20+F21+F19)*(1-F27)))/$R$42)/F9</f>
        <v>5.9714883667848655E-2</v>
      </c>
      <c r="G16" s="835">
        <f>R58/(G9*G34)</f>
        <v>4.697635192834447E-2</v>
      </c>
      <c r="H16" s="836">
        <f>(($R$58+((H20+H21+H19)*(1-H27)))/$R$42)/H9</f>
        <v>4.3279966916699206E-2</v>
      </c>
      <c r="I16" s="804"/>
      <c r="J16" s="804"/>
      <c r="L16" s="825" t="s">
        <v>276</v>
      </c>
      <c r="M16" s="825"/>
      <c r="N16" s="826">
        <f t="shared" ref="N16:T16" si="0">SUM(N9:N15)</f>
        <v>23247</v>
      </c>
      <c r="O16" s="826">
        <f t="shared" si="0"/>
        <v>24072</v>
      </c>
      <c r="P16" s="826">
        <f t="shared" si="0"/>
        <v>25348</v>
      </c>
      <c r="Q16" s="826">
        <f>SUM(Q9:Q15)</f>
        <v>26809.783400000008</v>
      </c>
      <c r="R16" s="826">
        <f t="shared" si="0"/>
        <v>28271.851673250007</v>
      </c>
      <c r="S16" s="826">
        <f t="shared" si="0"/>
        <v>29880.828055525006</v>
      </c>
      <c r="T16" s="826">
        <f t="shared" si="0"/>
        <v>31590.236792131811</v>
      </c>
      <c r="U16" s="1038"/>
    </row>
    <row r="17" spans="1:16354">
      <c r="F17" s="818"/>
      <c r="H17" s="818"/>
      <c r="I17" s="804"/>
      <c r="J17" s="804"/>
      <c r="N17" s="817"/>
      <c r="O17" s="962"/>
      <c r="P17" s="962"/>
      <c r="Q17" s="962"/>
      <c r="R17" s="962"/>
      <c r="S17" s="962"/>
      <c r="T17" s="962"/>
      <c r="U17" s="1039"/>
    </row>
    <row r="18" spans="1:16354">
      <c r="C18" s="825" t="s">
        <v>322</v>
      </c>
      <c r="D18" s="825"/>
      <c r="E18" s="825"/>
      <c r="F18" s="837">
        <f>+G18</f>
        <v>3175.8183518747037</v>
      </c>
      <c r="G18" s="837">
        <f>+$R$41</f>
        <v>3175.8183518747037</v>
      </c>
      <c r="H18" s="837">
        <f>+G18</f>
        <v>3175.8183518747037</v>
      </c>
      <c r="I18" s="804"/>
      <c r="J18" s="804"/>
      <c r="L18" s="825" t="s">
        <v>279</v>
      </c>
      <c r="N18" s="837">
        <f t="shared" ref="N18:T18" si="1">+N16-N26</f>
        <v>20150</v>
      </c>
      <c r="O18" s="837">
        <f t="shared" si="1"/>
        <v>21012</v>
      </c>
      <c r="P18" s="837">
        <f t="shared" si="1"/>
        <v>22201</v>
      </c>
      <c r="Q18" s="837">
        <f t="shared" si="1"/>
        <v>23460.437260000006</v>
      </c>
      <c r="R18" s="837">
        <f t="shared" si="1"/>
        <v>24663.59550071643</v>
      </c>
      <c r="S18" s="837">
        <f t="shared" si="1"/>
        <v>26026.473925270304</v>
      </c>
      <c r="T18" s="837">
        <f t="shared" si="1"/>
        <v>27475.800118147712</v>
      </c>
      <c r="U18" s="1037"/>
    </row>
    <row r="19" spans="1:16354" s="825" customFormat="1">
      <c r="A19"/>
      <c r="B19" s="806"/>
      <c r="C19" s="838" t="s">
        <v>331</v>
      </c>
      <c r="D19"/>
      <c r="E19"/>
      <c r="F19" s="939">
        <f>((-1%*$R$16)*(1-F$27))</f>
        <v>-229.27633731747133</v>
      </c>
      <c r="G19" s="940">
        <v>0</v>
      </c>
      <c r="H19" s="939">
        <f>((2%*$R$16)*(1-H$27))</f>
        <v>458.55267463494266</v>
      </c>
      <c r="I19" s="469"/>
      <c r="J19" s="469"/>
      <c r="K19" s="806"/>
      <c r="L19" s="806"/>
      <c r="M19" s="806"/>
      <c r="N19" s="831"/>
      <c r="O19" s="831"/>
      <c r="P19" s="831"/>
      <c r="Q19" s="831"/>
      <c r="R19" s="831"/>
      <c r="S19" s="831"/>
      <c r="T19" s="831"/>
      <c r="U19" s="1036"/>
    </row>
    <row r="20" spans="1:16354">
      <c r="C20" s="838" t="s">
        <v>327</v>
      </c>
      <c r="D20"/>
      <c r="E20"/>
      <c r="F20" s="939">
        <f>((-1%*$R$16)*(1-F$27))</f>
        <v>-229.27633731747133</v>
      </c>
      <c r="G20" s="940">
        <v>0</v>
      </c>
      <c r="H20" s="939">
        <f>((1.5%*$R$16)*(1-H$27))</f>
        <v>343.91450597620695</v>
      </c>
      <c r="L20" s="806" t="s">
        <v>304</v>
      </c>
      <c r="N20" s="817">
        <f>+Model!BE109</f>
        <v>864</v>
      </c>
      <c r="O20" s="817">
        <f>+Model!BJ109</f>
        <v>950</v>
      </c>
      <c r="P20" s="817">
        <f>+Model!BP109</f>
        <v>935</v>
      </c>
      <c r="Q20" s="817">
        <f>+Model!BU109</f>
        <v>1006.7600500000001</v>
      </c>
      <c r="R20" s="817">
        <f>+Model!BZ109</f>
        <v>1082.3004125000004</v>
      </c>
      <c r="S20" s="817">
        <f>+Model!CE109</f>
        <v>1147.2384372500005</v>
      </c>
      <c r="T20" s="817">
        <f>+Model!CJ109</f>
        <v>1216.0727434850005</v>
      </c>
      <c r="U20" s="1040"/>
    </row>
    <row r="21" spans="1:16354">
      <c r="C21" s="838" t="s">
        <v>369</v>
      </c>
      <c r="D21"/>
      <c r="E21"/>
      <c r="F21" s="939">
        <f>-((R33+R36)*(-$G$27+F27))</f>
        <v>0</v>
      </c>
      <c r="G21" s="942">
        <v>0</v>
      </c>
      <c r="H21" s="939">
        <f>-((R33+R36)*(-$G$27+H27))</f>
        <v>0</v>
      </c>
      <c r="L21" s="806" t="s">
        <v>305</v>
      </c>
      <c r="N21" s="817">
        <f>+Model!BE122</f>
        <v>646</v>
      </c>
      <c r="O21" s="817">
        <f>+Model!BJ122</f>
        <v>467</v>
      </c>
      <c r="P21" s="817">
        <f>+Model!BP122</f>
        <v>455</v>
      </c>
      <c r="Q21" s="817">
        <f>+Model!BU122</f>
        <v>478.89044000000001</v>
      </c>
      <c r="R21" s="817">
        <f>+Model!BZ122</f>
        <v>499.74737890000006</v>
      </c>
      <c r="S21" s="817">
        <f>+Model!CE122</f>
        <v>526.48710878400004</v>
      </c>
      <c r="T21" s="817">
        <f>+Model!CJ122</f>
        <v>554.56642125248004</v>
      </c>
      <c r="U21" s="1040"/>
    </row>
    <row r="22" spans="1:16354" s="825" customFormat="1">
      <c r="A22" s="806"/>
      <c r="C22" s="839" t="s">
        <v>323</v>
      </c>
      <c r="D22"/>
      <c r="E22"/>
      <c r="F22" s="941">
        <f>+SUM(F18:F21)</f>
        <v>2717.2656772397613</v>
      </c>
      <c r="G22" s="941">
        <f>+SUM(G18:G21)</f>
        <v>3175.8183518747037</v>
      </c>
      <c r="H22" s="941">
        <f>+SUM(H18:H21)</f>
        <v>3978.2855324858533</v>
      </c>
      <c r="I22" s="806"/>
      <c r="J22" s="806"/>
      <c r="K22" s="806"/>
      <c r="L22" s="806" t="s">
        <v>306</v>
      </c>
      <c r="M22" s="806"/>
      <c r="N22" s="817">
        <f>+Model!BE135</f>
        <v>868</v>
      </c>
      <c r="O22" s="817">
        <f>+Model!BJ135</f>
        <v>916</v>
      </c>
      <c r="P22" s="817">
        <f>+Model!BP135</f>
        <v>1010</v>
      </c>
      <c r="Q22" s="817">
        <f>+Model!BU135</f>
        <v>1134.6866500000001</v>
      </c>
      <c r="R22" s="817">
        <f>+Model!BZ135</f>
        <v>1232.4544941000004</v>
      </c>
      <c r="S22" s="817">
        <f>+Model!CE135</f>
        <v>1314.7787278340006</v>
      </c>
      <c r="T22" s="817">
        <f>+Model!CJ135</f>
        <v>1406.8132387823807</v>
      </c>
      <c r="U22" s="1040"/>
    </row>
    <row r="23" spans="1:16354">
      <c r="C23" s="825"/>
      <c r="D23" s="825"/>
      <c r="E23" s="825"/>
      <c r="F23" s="825"/>
      <c r="G23" s="825"/>
      <c r="H23" s="825"/>
      <c r="K23" s="819"/>
      <c r="L23" s="806" t="s">
        <v>307</v>
      </c>
      <c r="N23" s="817">
        <f>+Model!BE148</f>
        <v>829</v>
      </c>
      <c r="O23" s="817">
        <f>+Model!BJ148</f>
        <v>817</v>
      </c>
      <c r="P23" s="817">
        <f>+Model!BP148</f>
        <v>862</v>
      </c>
      <c r="Q23" s="817">
        <f>+Model!BU148</f>
        <v>833.46980000000008</v>
      </c>
      <c r="R23" s="817">
        <f>+Model!BZ148</f>
        <v>892.70020875</v>
      </c>
      <c r="S23" s="817">
        <f>+Model!CE148</f>
        <v>955.76998387500009</v>
      </c>
      <c r="T23" s="817">
        <f>+Model!CJ148</f>
        <v>1022.9149859906252</v>
      </c>
      <c r="U23" s="1040"/>
    </row>
    <row r="24" spans="1:16354">
      <c r="C24" s="806" t="s">
        <v>280</v>
      </c>
      <c r="F24" s="840">
        <v>17</v>
      </c>
      <c r="G24" s="840">
        <v>21</v>
      </c>
      <c r="H24" s="840">
        <v>22</v>
      </c>
      <c r="K24" s="819"/>
      <c r="L24" s="806" t="s">
        <v>253</v>
      </c>
      <c r="N24" s="817">
        <f>+Model!BE175</f>
        <v>30</v>
      </c>
      <c r="O24" s="817">
        <f>+Model!BJ175</f>
        <v>51</v>
      </c>
      <c r="P24" s="817">
        <f>+Model!BP175</f>
        <v>33</v>
      </c>
      <c r="Q24" s="817">
        <f>+Model!BU175</f>
        <v>45.539200000000008</v>
      </c>
      <c r="R24" s="817">
        <f>+Model!BZ175</f>
        <v>62.648928000000019</v>
      </c>
      <c r="S24" s="817">
        <f>+Model!CE175</f>
        <v>82.696584960000024</v>
      </c>
      <c r="T24" s="817">
        <f>+Model!CJ175</f>
        <v>98.333757388800009</v>
      </c>
      <c r="U24" s="1040"/>
    </row>
    <row r="25" spans="1:16354">
      <c r="A25" s="819"/>
      <c r="B25" s="825"/>
      <c r="C25" s="841" t="s">
        <v>321</v>
      </c>
      <c r="D25" s="842"/>
      <c r="E25" s="842"/>
      <c r="F25" s="943">
        <f>+F24*F22</f>
        <v>46193.516513075941</v>
      </c>
      <c r="G25" s="943">
        <f>+G24*G22</f>
        <v>66692.18538936878</v>
      </c>
      <c r="H25" s="944">
        <f>+H24*H22</f>
        <v>87522.281714688768</v>
      </c>
      <c r="I25" s="819"/>
      <c r="J25" s="819"/>
      <c r="K25" s="819"/>
      <c r="L25" s="806" t="s">
        <v>308</v>
      </c>
      <c r="N25" s="817">
        <f>+Model!BE180</f>
        <v>-140</v>
      </c>
      <c r="O25" s="817">
        <f>+Model!BJ180</f>
        <v>-141</v>
      </c>
      <c r="P25" s="817">
        <f>+Model!BP180</f>
        <v>-148</v>
      </c>
      <c r="Q25" s="817">
        <f>+Model!BU180</f>
        <v>-150</v>
      </c>
      <c r="R25" s="817">
        <f>+Model!BZ180</f>
        <v>-161.59524971642276</v>
      </c>
      <c r="S25" s="817">
        <f>+Model!CE180</f>
        <v>-172.61671244830046</v>
      </c>
      <c r="T25" s="817">
        <f>+Model!CJ180</f>
        <v>-184.26447291518662</v>
      </c>
    </row>
    <row r="26" spans="1:16354">
      <c r="K26" s="819"/>
      <c r="L26" s="825" t="s">
        <v>328</v>
      </c>
      <c r="N26" s="826">
        <f t="shared" ref="N26:T26" si="2">SUM(N20:N25)</f>
        <v>3097</v>
      </c>
      <c r="O26" s="826">
        <f t="shared" si="2"/>
        <v>3060</v>
      </c>
      <c r="P26" s="826">
        <f t="shared" si="2"/>
        <v>3147</v>
      </c>
      <c r="Q26" s="826">
        <f t="shared" si="2"/>
        <v>3349.3461400000006</v>
      </c>
      <c r="R26" s="826">
        <f t="shared" si="2"/>
        <v>3608.2561725335781</v>
      </c>
      <c r="S26" s="826">
        <f t="shared" si="2"/>
        <v>3854.354130254701</v>
      </c>
      <c r="T26" s="826">
        <f t="shared" si="2"/>
        <v>4114.4366739840989</v>
      </c>
      <c r="U26" s="1041"/>
    </row>
    <row r="27" spans="1:16354">
      <c r="A27" s="819"/>
      <c r="C27" s="838" t="s">
        <v>210</v>
      </c>
      <c r="D27" s="838"/>
      <c r="E27" s="838"/>
      <c r="F27" s="1073">
        <f>+G27</f>
        <v>0.18902963991422658</v>
      </c>
      <c r="G27" s="1073">
        <f>+R38/(R41+R38)</f>
        <v>0.18902963991422658</v>
      </c>
      <c r="H27" s="1073">
        <f>+G27</f>
        <v>0.18902963991422658</v>
      </c>
      <c r="I27" s="469"/>
      <c r="J27" s="469"/>
      <c r="K27" s="819"/>
    </row>
    <row r="28" spans="1:16354">
      <c r="A28" s="819"/>
      <c r="C28" s="838"/>
      <c r="D28" s="838"/>
      <c r="E28" s="838"/>
      <c r="F28" s="847"/>
      <c r="G28" s="848"/>
      <c r="H28" s="847"/>
      <c r="I28" s="469"/>
      <c r="J28" s="469"/>
      <c r="L28" s="806" t="s">
        <v>324</v>
      </c>
      <c r="N28" s="817">
        <f>+Model!BE182</f>
        <v>-101</v>
      </c>
      <c r="O28" s="817">
        <f>+Model!BJ182</f>
        <v>-57</v>
      </c>
      <c r="P28" s="817">
        <f>+Model!BP182</f>
        <v>-59</v>
      </c>
      <c r="Q28" s="817">
        <f>+Model!BU182</f>
        <v>-80</v>
      </c>
      <c r="R28" s="817">
        <f>+Model!BZ182</f>
        <v>-86.184133182092125</v>
      </c>
      <c r="S28" s="817">
        <f>+Model!CE182</f>
        <v>-92.062246639093573</v>
      </c>
      <c r="T28" s="817">
        <f>+Model!CJ182</f>
        <v>-98.274385554766184</v>
      </c>
      <c r="U28" s="1041"/>
    </row>
    <row r="29" spans="1:16354">
      <c r="C29" s="806" t="s">
        <v>282</v>
      </c>
      <c r="F29" s="844">
        <f>+G29</f>
        <v>4750</v>
      </c>
      <c r="G29" s="817">
        <f>R67</f>
        <v>4750</v>
      </c>
      <c r="H29" s="844">
        <f>+G29</f>
        <v>4750</v>
      </c>
      <c r="I29" s="469"/>
      <c r="J29" s="469"/>
      <c r="L29" s="806" t="s">
        <v>325</v>
      </c>
      <c r="N29" s="817">
        <f>+Model!BE179</f>
        <v>-168</v>
      </c>
      <c r="O29" s="817">
        <f>+Model!BJ179</f>
        <v>-198</v>
      </c>
      <c r="P29" s="817">
        <f>+Model!BP179</f>
        <v>-160</v>
      </c>
      <c r="Q29" s="817">
        <f>+Model!BU179</f>
        <v>-128</v>
      </c>
      <c r="R29" s="817">
        <f>+Model!BZ179</f>
        <v>-107</v>
      </c>
      <c r="S29" s="817">
        <f>+Model!CE179</f>
        <v>-79</v>
      </c>
      <c r="T29" s="817">
        <f>+Model!CJ179</f>
        <v>-79</v>
      </c>
      <c r="U29" s="1041"/>
      <c r="V29" s="819"/>
      <c r="W29" s="819"/>
      <c r="X29" s="819"/>
      <c r="Y29" s="819"/>
      <c r="Z29" s="819"/>
      <c r="AA29" s="819"/>
      <c r="AB29" s="819"/>
      <c r="AC29" s="819"/>
      <c r="AD29" s="819"/>
      <c r="AE29" s="819"/>
      <c r="AF29" s="819"/>
      <c r="AG29" s="819"/>
      <c r="AH29" s="819"/>
      <c r="AI29" s="819"/>
      <c r="AJ29" s="819"/>
      <c r="AK29" s="819"/>
      <c r="AL29" s="819"/>
      <c r="AM29" s="819"/>
      <c r="AN29" s="819"/>
      <c r="AO29" s="819"/>
      <c r="AP29" s="819"/>
      <c r="AQ29" s="819"/>
      <c r="AR29" s="819"/>
      <c r="AS29" s="819"/>
      <c r="AT29" s="819"/>
      <c r="AU29" s="819"/>
      <c r="AV29" s="819"/>
      <c r="AW29" s="819"/>
      <c r="AX29" s="819"/>
      <c r="AY29" s="819"/>
      <c r="AZ29" s="819"/>
      <c r="BA29" s="819"/>
      <c r="BB29" s="819"/>
      <c r="BC29" s="819"/>
      <c r="BD29" s="819"/>
      <c r="BE29" s="819"/>
      <c r="BF29" s="819"/>
      <c r="BG29" s="819"/>
      <c r="BH29" s="819"/>
      <c r="BI29" s="819"/>
      <c r="BJ29" s="819"/>
      <c r="BK29" s="819"/>
      <c r="BL29" s="819"/>
      <c r="BM29" s="819"/>
      <c r="BN29" s="819"/>
      <c r="BO29" s="819"/>
      <c r="BP29" s="819"/>
      <c r="BQ29" s="819"/>
      <c r="BR29" s="819"/>
      <c r="BS29" s="819"/>
      <c r="BT29" s="819"/>
      <c r="BU29" s="819"/>
      <c r="BV29" s="819"/>
      <c r="BW29" s="819"/>
      <c r="BX29" s="819"/>
      <c r="BY29" s="819"/>
      <c r="BZ29" s="819"/>
      <c r="CA29" s="819"/>
      <c r="CB29" s="819"/>
      <c r="CC29" s="819"/>
      <c r="CD29" s="819"/>
      <c r="CE29" s="819"/>
      <c r="CF29" s="819"/>
      <c r="CG29" s="819"/>
      <c r="CH29" s="819"/>
      <c r="CI29" s="819"/>
      <c r="CJ29" s="819"/>
      <c r="CK29" s="819"/>
      <c r="CL29" s="819"/>
      <c r="CM29" s="819"/>
      <c r="CN29" s="819"/>
      <c r="CO29" s="819"/>
      <c r="CP29" s="819"/>
      <c r="CQ29" s="819"/>
      <c r="CR29" s="819"/>
      <c r="CS29" s="819"/>
      <c r="CT29" s="819"/>
      <c r="CU29" s="819"/>
      <c r="CV29" s="819"/>
      <c r="CW29" s="819"/>
      <c r="CX29" s="819"/>
      <c r="CY29" s="819"/>
      <c r="CZ29" s="819"/>
      <c r="DA29" s="819"/>
      <c r="DB29" s="819"/>
      <c r="DC29" s="819"/>
      <c r="DD29" s="819"/>
      <c r="DE29" s="819"/>
      <c r="DF29" s="819"/>
      <c r="DG29" s="819"/>
      <c r="DH29" s="819"/>
      <c r="DI29" s="819"/>
      <c r="DJ29" s="819"/>
      <c r="DK29" s="819"/>
      <c r="DL29" s="819"/>
      <c r="DM29" s="819"/>
      <c r="DN29" s="819"/>
      <c r="DO29" s="819"/>
      <c r="DP29" s="819"/>
      <c r="DQ29" s="819"/>
      <c r="DR29" s="819"/>
      <c r="DS29" s="819"/>
      <c r="DT29" s="819"/>
      <c r="DU29" s="819"/>
      <c r="DV29" s="819"/>
      <c r="DW29" s="819"/>
      <c r="DX29" s="819"/>
      <c r="DY29" s="819"/>
      <c r="DZ29" s="819"/>
      <c r="EA29" s="819"/>
      <c r="EB29" s="819"/>
      <c r="EC29" s="819"/>
      <c r="ED29" s="819"/>
      <c r="EE29" s="819"/>
      <c r="EF29" s="819"/>
      <c r="EG29" s="819"/>
      <c r="EH29" s="819"/>
      <c r="EI29" s="819"/>
      <c r="EJ29" s="819"/>
      <c r="EK29" s="819"/>
      <c r="EL29" s="819"/>
      <c r="EM29" s="819"/>
      <c r="EN29" s="819"/>
      <c r="EO29" s="819"/>
      <c r="EP29" s="819"/>
      <c r="EQ29" s="819"/>
      <c r="ER29" s="819"/>
      <c r="ES29" s="819"/>
      <c r="ET29" s="819"/>
      <c r="EU29" s="819"/>
      <c r="EV29" s="819"/>
      <c r="EW29" s="819"/>
      <c r="EX29" s="819"/>
      <c r="EY29" s="819"/>
      <c r="EZ29" s="819"/>
      <c r="FA29" s="819"/>
      <c r="FB29" s="819"/>
      <c r="FC29" s="819"/>
      <c r="FD29" s="819"/>
      <c r="FE29" s="819"/>
      <c r="FF29" s="819"/>
      <c r="FG29" s="819"/>
      <c r="FH29" s="819"/>
      <c r="FI29" s="819"/>
      <c r="FJ29" s="819"/>
      <c r="FK29" s="819"/>
      <c r="FL29" s="819"/>
      <c r="FM29" s="819"/>
      <c r="FN29" s="819"/>
      <c r="FO29" s="819"/>
      <c r="FP29" s="819"/>
      <c r="FQ29" s="819"/>
      <c r="FR29" s="819"/>
      <c r="FS29" s="819"/>
      <c r="FT29" s="819"/>
      <c r="FU29" s="819"/>
      <c r="FV29" s="819"/>
      <c r="FW29" s="819"/>
      <c r="FX29" s="819"/>
      <c r="FY29" s="819"/>
      <c r="FZ29" s="819"/>
      <c r="GA29" s="819"/>
      <c r="GB29" s="819"/>
      <c r="GC29" s="819"/>
      <c r="GD29" s="819"/>
      <c r="GE29" s="819"/>
      <c r="GF29" s="819"/>
      <c r="GG29" s="819"/>
      <c r="GH29" s="819"/>
      <c r="GI29" s="819"/>
      <c r="GJ29" s="819"/>
      <c r="GK29" s="819"/>
      <c r="GL29" s="819"/>
      <c r="GM29" s="819"/>
      <c r="GN29" s="819"/>
      <c r="GO29" s="819"/>
      <c r="GP29" s="819"/>
      <c r="GQ29" s="819"/>
      <c r="GR29" s="819"/>
      <c r="GS29" s="819"/>
      <c r="GT29" s="819"/>
      <c r="GU29" s="819"/>
      <c r="GV29" s="819"/>
      <c r="GW29" s="819"/>
      <c r="GX29" s="819"/>
      <c r="GY29" s="819"/>
      <c r="GZ29" s="819"/>
      <c r="HA29" s="819"/>
      <c r="HB29" s="819"/>
      <c r="HC29" s="819"/>
      <c r="HD29" s="819"/>
      <c r="HE29" s="819"/>
      <c r="HF29" s="819"/>
      <c r="HG29" s="819"/>
      <c r="HH29" s="819"/>
      <c r="HI29" s="819"/>
      <c r="HJ29" s="819"/>
      <c r="HK29" s="819"/>
      <c r="HL29" s="819"/>
      <c r="HM29" s="819"/>
      <c r="HN29" s="819"/>
      <c r="HO29" s="819"/>
      <c r="HP29" s="819"/>
      <c r="HQ29" s="819"/>
      <c r="HR29" s="819"/>
      <c r="HS29" s="819"/>
      <c r="HT29" s="819"/>
      <c r="HU29" s="819"/>
      <c r="HV29" s="819"/>
      <c r="HW29" s="819"/>
      <c r="HX29" s="819"/>
      <c r="HY29" s="819"/>
      <c r="HZ29" s="819"/>
      <c r="IA29" s="819"/>
      <c r="IB29" s="819"/>
      <c r="IC29" s="819"/>
      <c r="ID29" s="819"/>
      <c r="IE29" s="819"/>
      <c r="IF29" s="819"/>
      <c r="IG29" s="819"/>
      <c r="IH29" s="819"/>
      <c r="II29" s="819"/>
      <c r="IJ29" s="819"/>
      <c r="IK29" s="819"/>
      <c r="IL29" s="819"/>
      <c r="IM29" s="819"/>
      <c r="IN29" s="819"/>
      <c r="IO29" s="819"/>
      <c r="IP29" s="819"/>
      <c r="IQ29" s="819"/>
      <c r="IR29" s="819"/>
      <c r="IS29" s="819"/>
      <c r="IT29" s="819"/>
      <c r="IU29" s="819"/>
      <c r="IV29" s="819"/>
      <c r="IW29" s="819"/>
      <c r="IX29" s="819"/>
      <c r="IY29" s="819"/>
      <c r="IZ29" s="819"/>
      <c r="JA29" s="819"/>
      <c r="JB29" s="819"/>
      <c r="JC29" s="819"/>
      <c r="JD29" s="819"/>
      <c r="JE29" s="819"/>
      <c r="JF29" s="819"/>
      <c r="JG29" s="819"/>
      <c r="JH29" s="819"/>
      <c r="JI29" s="819"/>
      <c r="JJ29" s="819"/>
      <c r="JK29" s="819"/>
      <c r="JL29" s="819"/>
      <c r="JM29" s="819"/>
      <c r="JN29" s="819"/>
      <c r="JO29" s="819"/>
      <c r="JP29" s="819"/>
      <c r="JQ29" s="819"/>
      <c r="JR29" s="819"/>
      <c r="JS29" s="819"/>
      <c r="JT29" s="819"/>
      <c r="JU29" s="819"/>
      <c r="JV29" s="819"/>
      <c r="JW29" s="819"/>
      <c r="JX29" s="819"/>
      <c r="JY29" s="819"/>
      <c r="JZ29" s="819"/>
      <c r="KA29" s="819"/>
      <c r="KB29" s="819"/>
      <c r="KC29" s="819"/>
      <c r="KD29" s="819"/>
      <c r="KE29" s="819"/>
      <c r="KF29" s="819"/>
      <c r="KG29" s="819"/>
      <c r="KH29" s="819"/>
      <c r="KI29" s="819"/>
      <c r="KJ29" s="819"/>
      <c r="KK29" s="819"/>
      <c r="KL29" s="819"/>
      <c r="KM29" s="819"/>
      <c r="KN29" s="819"/>
      <c r="KO29" s="819"/>
      <c r="KP29" s="819"/>
      <c r="KQ29" s="819"/>
      <c r="KR29" s="819"/>
      <c r="KS29" s="819"/>
      <c r="KT29" s="819"/>
      <c r="KU29" s="819"/>
      <c r="KV29" s="819"/>
      <c r="KW29" s="819"/>
      <c r="KX29" s="819"/>
      <c r="KY29" s="819"/>
      <c r="KZ29" s="819"/>
      <c r="LA29" s="819"/>
      <c r="LB29" s="819"/>
      <c r="LC29" s="819"/>
      <c r="LD29" s="819"/>
      <c r="LE29" s="819"/>
      <c r="LF29" s="819"/>
      <c r="LG29" s="819"/>
      <c r="LH29" s="819"/>
      <c r="LI29" s="819"/>
      <c r="LJ29" s="819"/>
      <c r="LK29" s="819"/>
      <c r="LL29" s="819"/>
      <c r="LM29" s="819"/>
      <c r="LN29" s="819"/>
      <c r="LO29" s="819"/>
      <c r="LP29" s="819"/>
      <c r="LQ29" s="819"/>
      <c r="LR29" s="819"/>
      <c r="LS29" s="819"/>
      <c r="LT29" s="819"/>
      <c r="LU29" s="819"/>
      <c r="LV29" s="819"/>
      <c r="LW29" s="819"/>
      <c r="LX29" s="819"/>
      <c r="LY29" s="819"/>
      <c r="LZ29" s="819"/>
      <c r="MA29" s="819"/>
      <c r="MB29" s="819"/>
      <c r="MC29" s="819"/>
      <c r="MD29" s="819"/>
      <c r="ME29" s="819"/>
      <c r="MF29" s="819"/>
      <c r="MG29" s="819"/>
      <c r="MH29" s="819"/>
      <c r="MI29" s="819"/>
      <c r="MJ29" s="819"/>
      <c r="MK29" s="819"/>
      <c r="ML29" s="819"/>
      <c r="MM29" s="819"/>
      <c r="MN29" s="819"/>
      <c r="MO29" s="819"/>
      <c r="MP29" s="819"/>
      <c r="MQ29" s="819"/>
      <c r="MR29" s="819"/>
      <c r="MS29" s="819"/>
      <c r="MT29" s="819"/>
      <c r="MU29" s="819"/>
      <c r="MV29" s="819"/>
      <c r="MW29" s="819"/>
      <c r="MX29" s="819"/>
      <c r="MY29" s="819"/>
      <c r="MZ29" s="819"/>
      <c r="NA29" s="819"/>
      <c r="NB29" s="819"/>
      <c r="NC29" s="819"/>
      <c r="ND29" s="819"/>
      <c r="NE29" s="819"/>
      <c r="NF29" s="819"/>
      <c r="NG29" s="819"/>
      <c r="NH29" s="819"/>
      <c r="NI29" s="819"/>
      <c r="NJ29" s="819"/>
      <c r="NK29" s="819"/>
      <c r="NL29" s="819"/>
      <c r="NM29" s="819"/>
      <c r="NN29" s="819"/>
      <c r="NO29" s="819"/>
      <c r="NP29" s="819"/>
      <c r="NQ29" s="819"/>
      <c r="NR29" s="819"/>
      <c r="NS29" s="819"/>
      <c r="NT29" s="819"/>
      <c r="NU29" s="819"/>
      <c r="NV29" s="819"/>
      <c r="NW29" s="819"/>
      <c r="NX29" s="819"/>
      <c r="NY29" s="819"/>
      <c r="NZ29" s="819"/>
      <c r="OA29" s="819"/>
      <c r="OB29" s="819"/>
      <c r="OC29" s="819"/>
      <c r="OD29" s="819"/>
      <c r="OE29" s="819"/>
      <c r="OF29" s="819"/>
      <c r="OG29" s="819"/>
      <c r="OH29" s="819"/>
      <c r="OI29" s="819"/>
      <c r="OJ29" s="819"/>
      <c r="OK29" s="819"/>
      <c r="OL29" s="819"/>
      <c r="OM29" s="819"/>
      <c r="ON29" s="819"/>
      <c r="OO29" s="819"/>
      <c r="OP29" s="819"/>
      <c r="OQ29" s="819"/>
      <c r="OR29" s="819"/>
      <c r="OS29" s="819"/>
      <c r="OT29" s="819"/>
      <c r="OU29" s="819"/>
      <c r="OV29" s="819"/>
      <c r="OW29" s="819"/>
      <c r="OX29" s="819"/>
      <c r="OY29" s="819"/>
      <c r="OZ29" s="819"/>
      <c r="PA29" s="819"/>
      <c r="PB29" s="819"/>
      <c r="PC29" s="819"/>
      <c r="PD29" s="819"/>
      <c r="PE29" s="819"/>
      <c r="PF29" s="819"/>
      <c r="PG29" s="819"/>
      <c r="PH29" s="819"/>
      <c r="PI29" s="819"/>
      <c r="PJ29" s="819"/>
      <c r="PK29" s="819"/>
      <c r="PL29" s="819"/>
      <c r="PM29" s="819"/>
      <c r="PN29" s="819"/>
      <c r="PO29" s="819"/>
      <c r="PP29" s="819"/>
      <c r="PQ29" s="819"/>
      <c r="PR29" s="819"/>
      <c r="PS29" s="819"/>
      <c r="PT29" s="819"/>
      <c r="PU29" s="819"/>
      <c r="PV29" s="819"/>
      <c r="PW29" s="819"/>
      <c r="PX29" s="819"/>
      <c r="PY29" s="819"/>
      <c r="PZ29" s="819"/>
      <c r="QA29" s="819"/>
      <c r="QB29" s="819"/>
      <c r="QC29" s="819"/>
      <c r="QD29" s="819"/>
      <c r="QE29" s="819"/>
      <c r="QF29" s="819"/>
      <c r="QG29" s="819"/>
      <c r="QH29" s="819"/>
      <c r="QI29" s="819"/>
      <c r="QJ29" s="819"/>
      <c r="QK29" s="819"/>
      <c r="QL29" s="819"/>
      <c r="QM29" s="819"/>
      <c r="QN29" s="819"/>
      <c r="QO29" s="819"/>
      <c r="QP29" s="819"/>
      <c r="QQ29" s="819"/>
      <c r="QR29" s="819"/>
      <c r="QS29" s="819"/>
      <c r="QT29" s="819"/>
      <c r="QU29" s="819"/>
      <c r="QV29" s="819"/>
      <c r="QW29" s="819"/>
      <c r="QX29" s="819"/>
      <c r="QY29" s="819"/>
      <c r="QZ29" s="819"/>
      <c r="RA29" s="819"/>
      <c r="RB29" s="819"/>
      <c r="RC29" s="819"/>
      <c r="RD29" s="819"/>
      <c r="RE29" s="819"/>
      <c r="RF29" s="819"/>
      <c r="RG29" s="819"/>
      <c r="RH29" s="819"/>
      <c r="RI29" s="819"/>
      <c r="RJ29" s="819"/>
      <c r="RK29" s="819"/>
      <c r="RL29" s="819"/>
      <c r="RM29" s="819"/>
      <c r="RN29" s="819"/>
      <c r="RO29" s="819"/>
      <c r="RP29" s="819"/>
      <c r="RQ29" s="819"/>
      <c r="RR29" s="819"/>
      <c r="RS29" s="819"/>
      <c r="RT29" s="819"/>
      <c r="RU29" s="819"/>
      <c r="RV29" s="819"/>
      <c r="RW29" s="819"/>
      <c r="RX29" s="819"/>
      <c r="RY29" s="819"/>
      <c r="RZ29" s="819"/>
      <c r="SA29" s="819"/>
      <c r="SB29" s="819"/>
      <c r="SC29" s="819"/>
      <c r="SD29" s="819"/>
      <c r="SE29" s="819"/>
      <c r="SF29" s="819"/>
      <c r="SG29" s="819"/>
      <c r="SH29" s="819"/>
      <c r="SI29" s="819"/>
      <c r="SJ29" s="819"/>
      <c r="SK29" s="819"/>
      <c r="SL29" s="819"/>
      <c r="SM29" s="819"/>
      <c r="SN29" s="819"/>
      <c r="SO29" s="819"/>
      <c r="SP29" s="819"/>
      <c r="SQ29" s="819"/>
      <c r="SR29" s="819"/>
      <c r="SS29" s="819"/>
      <c r="ST29" s="819"/>
      <c r="SU29" s="819"/>
      <c r="SV29" s="819"/>
      <c r="SW29" s="819"/>
      <c r="SX29" s="819"/>
      <c r="SY29" s="819"/>
      <c r="SZ29" s="819"/>
      <c r="TA29" s="819"/>
      <c r="TB29" s="819"/>
      <c r="TC29" s="819"/>
      <c r="TD29" s="819"/>
      <c r="TE29" s="819"/>
      <c r="TF29" s="819"/>
      <c r="TG29" s="819"/>
      <c r="TH29" s="819"/>
      <c r="TI29" s="819"/>
      <c r="TJ29" s="819"/>
      <c r="TK29" s="819"/>
      <c r="TL29" s="819"/>
      <c r="TM29" s="819"/>
      <c r="TN29" s="819"/>
      <c r="TO29" s="819"/>
      <c r="TP29" s="819"/>
      <c r="TQ29" s="819"/>
      <c r="TR29" s="819"/>
      <c r="TS29" s="819"/>
      <c r="TT29" s="819"/>
      <c r="TU29" s="819"/>
      <c r="TV29" s="819"/>
      <c r="TW29" s="819"/>
      <c r="TX29" s="819"/>
      <c r="TY29" s="819"/>
      <c r="TZ29" s="819"/>
      <c r="UA29" s="819"/>
      <c r="UB29" s="819"/>
      <c r="UC29" s="819"/>
      <c r="UD29" s="819"/>
      <c r="UE29" s="819"/>
      <c r="UF29" s="819"/>
      <c r="UG29" s="819"/>
      <c r="UH29" s="819"/>
      <c r="UI29" s="819"/>
      <c r="UJ29" s="819"/>
      <c r="UK29" s="819"/>
      <c r="UL29" s="819"/>
      <c r="UM29" s="819"/>
      <c r="UN29" s="819"/>
      <c r="UO29" s="819"/>
      <c r="UP29" s="819"/>
      <c r="UQ29" s="819"/>
      <c r="UR29" s="819"/>
      <c r="US29" s="819"/>
      <c r="UT29" s="819"/>
      <c r="UU29" s="819"/>
      <c r="UV29" s="819"/>
      <c r="UW29" s="819"/>
      <c r="UX29" s="819"/>
      <c r="UY29" s="819"/>
      <c r="UZ29" s="819"/>
      <c r="VA29" s="819"/>
      <c r="VB29" s="819"/>
      <c r="VC29" s="819"/>
      <c r="VD29" s="819"/>
      <c r="VE29" s="819"/>
      <c r="VF29" s="819"/>
      <c r="VG29" s="819"/>
      <c r="VH29" s="819"/>
      <c r="VI29" s="819"/>
      <c r="VJ29" s="819"/>
      <c r="VK29" s="819"/>
      <c r="VL29" s="819"/>
      <c r="VM29" s="819"/>
      <c r="VN29" s="819"/>
      <c r="VO29" s="819"/>
      <c r="VP29" s="819"/>
      <c r="VQ29" s="819"/>
      <c r="VR29" s="819"/>
      <c r="VS29" s="819"/>
      <c r="VT29" s="819"/>
      <c r="VU29" s="819"/>
      <c r="VV29" s="819"/>
      <c r="VW29" s="819"/>
      <c r="VX29" s="819"/>
      <c r="VY29" s="819"/>
      <c r="VZ29" s="819"/>
      <c r="WA29" s="819"/>
      <c r="WB29" s="819"/>
      <c r="WC29" s="819"/>
      <c r="WD29" s="819"/>
      <c r="WE29" s="819"/>
      <c r="WF29" s="819"/>
      <c r="WG29" s="819"/>
      <c r="WH29" s="819"/>
      <c r="WI29" s="819"/>
      <c r="WJ29" s="819"/>
      <c r="WK29" s="819"/>
      <c r="WL29" s="819"/>
      <c r="WM29" s="819"/>
      <c r="WN29" s="819"/>
      <c r="WO29" s="819"/>
      <c r="WP29" s="819"/>
      <c r="WQ29" s="819"/>
      <c r="WR29" s="819"/>
      <c r="WS29" s="819"/>
      <c r="WT29" s="819"/>
      <c r="WU29" s="819"/>
      <c r="WV29" s="819"/>
      <c r="WW29" s="819"/>
      <c r="WX29" s="819"/>
      <c r="WY29" s="819"/>
      <c r="WZ29" s="819"/>
      <c r="XA29" s="819"/>
      <c r="XB29" s="819"/>
      <c r="XC29" s="819"/>
      <c r="XD29" s="819"/>
      <c r="XE29" s="819"/>
      <c r="XF29" s="819"/>
      <c r="XG29" s="819"/>
      <c r="XH29" s="819"/>
      <c r="XI29" s="819"/>
      <c r="XJ29" s="819"/>
      <c r="XK29" s="819"/>
      <c r="XL29" s="819"/>
      <c r="XM29" s="819"/>
      <c r="XN29" s="819"/>
      <c r="XO29" s="819"/>
      <c r="XP29" s="819"/>
      <c r="XQ29" s="819"/>
      <c r="XR29" s="819"/>
      <c r="XS29" s="819"/>
      <c r="XT29" s="819"/>
      <c r="XU29" s="819"/>
      <c r="XV29" s="819"/>
      <c r="XW29" s="819"/>
      <c r="XX29" s="819"/>
      <c r="XY29" s="819"/>
      <c r="XZ29" s="819"/>
      <c r="YA29" s="819"/>
      <c r="YB29" s="819"/>
      <c r="YC29" s="819"/>
      <c r="YD29" s="819"/>
      <c r="YE29" s="819"/>
      <c r="YF29" s="819"/>
      <c r="YG29" s="819"/>
      <c r="YH29" s="819"/>
      <c r="YI29" s="819"/>
      <c r="YJ29" s="819"/>
      <c r="YK29" s="819"/>
      <c r="YL29" s="819"/>
      <c r="YM29" s="819"/>
      <c r="YN29" s="819"/>
      <c r="YO29" s="819"/>
      <c r="YP29" s="819"/>
      <c r="YQ29" s="819"/>
      <c r="YR29" s="819"/>
      <c r="YS29" s="819"/>
      <c r="YT29" s="819"/>
      <c r="YU29" s="819"/>
      <c r="YV29" s="819"/>
      <c r="YW29" s="819"/>
      <c r="YX29" s="819"/>
      <c r="YY29" s="819"/>
      <c r="YZ29" s="819"/>
      <c r="ZA29" s="819"/>
      <c r="ZB29" s="819"/>
      <c r="ZC29" s="819"/>
      <c r="ZD29" s="819"/>
      <c r="ZE29" s="819"/>
      <c r="ZF29" s="819"/>
      <c r="ZG29" s="819"/>
      <c r="ZH29" s="819"/>
      <c r="ZI29" s="819"/>
      <c r="ZJ29" s="819"/>
      <c r="ZK29" s="819"/>
      <c r="ZL29" s="819"/>
      <c r="ZM29" s="819"/>
      <c r="ZN29" s="819"/>
      <c r="ZO29" s="819"/>
      <c r="ZP29" s="819"/>
      <c r="ZQ29" s="819"/>
      <c r="ZR29" s="819"/>
      <c r="ZS29" s="819"/>
      <c r="ZT29" s="819"/>
      <c r="ZU29" s="819"/>
      <c r="ZV29" s="819"/>
      <c r="ZW29" s="819"/>
      <c r="ZX29" s="819"/>
      <c r="ZY29" s="819"/>
      <c r="ZZ29" s="819"/>
      <c r="AAA29" s="819"/>
      <c r="AAB29" s="819"/>
      <c r="AAC29" s="819"/>
      <c r="AAD29" s="819"/>
      <c r="AAE29" s="819"/>
      <c r="AAF29" s="819"/>
      <c r="AAG29" s="819"/>
      <c r="AAH29" s="819"/>
      <c r="AAI29" s="819"/>
      <c r="AAJ29" s="819"/>
      <c r="AAK29" s="819"/>
      <c r="AAL29" s="819"/>
      <c r="AAM29" s="819"/>
      <c r="AAN29" s="819"/>
      <c r="AAO29" s="819"/>
      <c r="AAP29" s="819"/>
      <c r="AAQ29" s="819"/>
      <c r="AAR29" s="819"/>
      <c r="AAS29" s="819"/>
      <c r="AAT29" s="819"/>
      <c r="AAU29" s="819"/>
      <c r="AAV29" s="819"/>
      <c r="AAW29" s="819"/>
      <c r="AAX29" s="819"/>
      <c r="AAY29" s="819"/>
      <c r="AAZ29" s="819"/>
      <c r="ABA29" s="819"/>
      <c r="ABB29" s="819"/>
      <c r="ABC29" s="819"/>
      <c r="ABD29" s="819"/>
      <c r="ABE29" s="819"/>
      <c r="ABF29" s="819"/>
      <c r="ABG29" s="819"/>
      <c r="ABH29" s="819"/>
      <c r="ABI29" s="819"/>
      <c r="ABJ29" s="819"/>
      <c r="ABK29" s="819"/>
      <c r="ABL29" s="819"/>
      <c r="ABM29" s="819"/>
      <c r="ABN29" s="819"/>
      <c r="ABO29" s="819"/>
      <c r="ABP29" s="819"/>
      <c r="ABQ29" s="819"/>
      <c r="ABR29" s="819"/>
      <c r="ABS29" s="819"/>
      <c r="ABT29" s="819"/>
      <c r="ABU29" s="819"/>
      <c r="ABV29" s="819"/>
      <c r="ABW29" s="819"/>
      <c r="ABX29" s="819"/>
      <c r="ABY29" s="819"/>
      <c r="ABZ29" s="819"/>
      <c r="ACA29" s="819"/>
      <c r="ACB29" s="819"/>
      <c r="ACC29" s="819"/>
      <c r="ACD29" s="819"/>
      <c r="ACE29" s="819"/>
      <c r="ACF29" s="819"/>
      <c r="ACG29" s="819"/>
      <c r="ACH29" s="819"/>
      <c r="ACI29" s="819"/>
      <c r="ACJ29" s="819"/>
      <c r="ACK29" s="819"/>
      <c r="ACL29" s="819"/>
      <c r="ACM29" s="819"/>
      <c r="ACN29" s="819"/>
      <c r="ACO29" s="819"/>
      <c r="ACP29" s="819"/>
      <c r="ACQ29" s="819"/>
      <c r="ACR29" s="819"/>
      <c r="ACS29" s="819"/>
      <c r="ACT29" s="819"/>
      <c r="ACU29" s="819"/>
      <c r="ACV29" s="819"/>
      <c r="ACW29" s="819"/>
      <c r="ACX29" s="819"/>
      <c r="ACY29" s="819"/>
      <c r="ACZ29" s="819"/>
      <c r="ADA29" s="819"/>
      <c r="ADB29" s="819"/>
      <c r="ADC29" s="819"/>
      <c r="ADD29" s="819"/>
      <c r="ADE29" s="819"/>
      <c r="ADF29" s="819"/>
      <c r="ADG29" s="819"/>
      <c r="ADH29" s="819"/>
      <c r="ADI29" s="819"/>
      <c r="ADJ29" s="819"/>
      <c r="ADK29" s="819"/>
      <c r="ADL29" s="819"/>
      <c r="ADM29" s="819"/>
      <c r="ADN29" s="819"/>
      <c r="ADO29" s="819"/>
      <c r="ADP29" s="819"/>
      <c r="ADQ29" s="819"/>
      <c r="ADR29" s="819"/>
      <c r="ADS29" s="819"/>
      <c r="ADT29" s="819"/>
      <c r="ADU29" s="819"/>
      <c r="ADV29" s="819"/>
      <c r="ADW29" s="819"/>
      <c r="ADX29" s="819"/>
      <c r="ADY29" s="819"/>
      <c r="ADZ29" s="819"/>
      <c r="AEA29" s="819"/>
      <c r="AEB29" s="819"/>
      <c r="AEC29" s="819"/>
      <c r="AED29" s="819"/>
      <c r="AEE29" s="819"/>
      <c r="AEF29" s="819"/>
      <c r="AEG29" s="819"/>
      <c r="AEH29" s="819"/>
      <c r="AEI29" s="819"/>
      <c r="AEJ29" s="819"/>
      <c r="AEK29" s="819"/>
      <c r="AEL29" s="819"/>
      <c r="AEM29" s="819"/>
      <c r="AEN29" s="819"/>
      <c r="AEO29" s="819"/>
      <c r="AEP29" s="819"/>
      <c r="AEQ29" s="819"/>
      <c r="AER29" s="819"/>
      <c r="AES29" s="819"/>
      <c r="AET29" s="819"/>
      <c r="AEU29" s="819"/>
      <c r="AEV29" s="819"/>
      <c r="AEW29" s="819"/>
      <c r="AEX29" s="819"/>
      <c r="AEY29" s="819"/>
      <c r="AEZ29" s="819"/>
      <c r="AFA29" s="819"/>
      <c r="AFB29" s="819"/>
      <c r="AFC29" s="819"/>
      <c r="AFD29" s="819"/>
      <c r="AFE29" s="819"/>
      <c r="AFF29" s="819"/>
      <c r="AFG29" s="819"/>
      <c r="AFH29" s="819"/>
      <c r="AFI29" s="819"/>
      <c r="AFJ29" s="819"/>
      <c r="AFK29" s="819"/>
      <c r="AFL29" s="819"/>
      <c r="AFM29" s="819"/>
      <c r="AFN29" s="819"/>
      <c r="AFO29" s="819"/>
      <c r="AFP29" s="819"/>
      <c r="AFQ29" s="819"/>
      <c r="AFR29" s="819"/>
      <c r="AFS29" s="819"/>
      <c r="AFT29" s="819"/>
      <c r="AFU29" s="819"/>
      <c r="AFV29" s="819"/>
      <c r="AFW29" s="819"/>
      <c r="AFX29" s="819"/>
      <c r="AFY29" s="819"/>
      <c r="AFZ29" s="819"/>
      <c r="AGA29" s="819"/>
      <c r="AGB29" s="819"/>
      <c r="AGC29" s="819"/>
      <c r="AGD29" s="819"/>
      <c r="AGE29" s="819"/>
      <c r="AGF29" s="819"/>
      <c r="AGG29" s="819"/>
      <c r="AGH29" s="819"/>
      <c r="AGI29" s="819"/>
      <c r="AGJ29" s="819"/>
      <c r="AGK29" s="819"/>
      <c r="AGL29" s="819"/>
      <c r="AGM29" s="819"/>
      <c r="AGN29" s="819"/>
      <c r="AGO29" s="819"/>
      <c r="AGP29" s="819"/>
      <c r="AGQ29" s="819"/>
      <c r="AGR29" s="819"/>
      <c r="AGS29" s="819"/>
      <c r="AGT29" s="819"/>
      <c r="AGU29" s="819"/>
      <c r="AGV29" s="819"/>
      <c r="AGW29" s="819"/>
      <c r="AGX29" s="819"/>
      <c r="AGY29" s="819"/>
      <c r="AGZ29" s="819"/>
      <c r="AHA29" s="819"/>
      <c r="AHB29" s="819"/>
      <c r="AHC29" s="819"/>
      <c r="AHD29" s="819"/>
      <c r="AHE29" s="819"/>
      <c r="AHF29" s="819"/>
      <c r="AHG29" s="819"/>
      <c r="AHH29" s="819"/>
      <c r="AHI29" s="819"/>
      <c r="AHJ29" s="819"/>
      <c r="AHK29" s="819"/>
      <c r="AHL29" s="819"/>
      <c r="AHM29" s="819"/>
      <c r="AHN29" s="819"/>
      <c r="AHO29" s="819"/>
      <c r="AHP29" s="819"/>
      <c r="AHQ29" s="819"/>
      <c r="AHR29" s="819"/>
      <c r="AHS29" s="819"/>
      <c r="AHT29" s="819"/>
      <c r="AHU29" s="819"/>
      <c r="AHV29" s="819"/>
      <c r="AHW29" s="819"/>
      <c r="AHX29" s="819"/>
      <c r="AHY29" s="819"/>
      <c r="AHZ29" s="819"/>
      <c r="AIA29" s="819"/>
      <c r="AIB29" s="819"/>
      <c r="AIC29" s="819"/>
      <c r="AID29" s="819"/>
      <c r="AIE29" s="819"/>
      <c r="AIF29" s="819"/>
      <c r="AIG29" s="819"/>
      <c r="AIH29" s="819"/>
      <c r="AII29" s="819"/>
      <c r="AIJ29" s="819"/>
      <c r="AIK29" s="819"/>
      <c r="AIL29" s="819"/>
      <c r="AIM29" s="819"/>
      <c r="AIN29" s="819"/>
      <c r="AIO29" s="819"/>
      <c r="AIP29" s="819"/>
      <c r="AIQ29" s="819"/>
      <c r="AIR29" s="819"/>
      <c r="AIS29" s="819"/>
      <c r="AIT29" s="819"/>
      <c r="AIU29" s="819"/>
      <c r="AIV29" s="819"/>
      <c r="AIW29" s="819"/>
      <c r="AIX29" s="819"/>
      <c r="AIY29" s="819"/>
      <c r="AIZ29" s="819"/>
      <c r="AJA29" s="819"/>
      <c r="AJB29" s="819"/>
      <c r="AJC29" s="819"/>
      <c r="AJD29" s="819"/>
      <c r="AJE29" s="819"/>
      <c r="AJF29" s="819"/>
      <c r="AJG29" s="819"/>
      <c r="AJH29" s="819"/>
      <c r="AJI29" s="819"/>
      <c r="AJJ29" s="819"/>
      <c r="AJK29" s="819"/>
      <c r="AJL29" s="819"/>
      <c r="AJM29" s="819"/>
      <c r="AJN29" s="819"/>
      <c r="AJO29" s="819"/>
      <c r="AJP29" s="819"/>
      <c r="AJQ29" s="819"/>
      <c r="AJR29" s="819"/>
      <c r="AJS29" s="819"/>
      <c r="AJT29" s="819"/>
      <c r="AJU29" s="819"/>
      <c r="AJV29" s="819"/>
      <c r="AJW29" s="819"/>
      <c r="AJX29" s="819"/>
      <c r="AJY29" s="819"/>
      <c r="AJZ29" s="819"/>
      <c r="AKA29" s="819"/>
      <c r="AKB29" s="819"/>
      <c r="AKC29" s="819"/>
      <c r="AKD29" s="819"/>
      <c r="AKE29" s="819"/>
      <c r="AKF29" s="819"/>
      <c r="AKG29" s="819"/>
      <c r="AKH29" s="819"/>
      <c r="AKI29" s="819"/>
      <c r="AKJ29" s="819"/>
      <c r="AKK29" s="819"/>
      <c r="AKL29" s="819"/>
      <c r="AKM29" s="819"/>
      <c r="AKN29" s="819"/>
      <c r="AKO29" s="819"/>
      <c r="AKP29" s="819"/>
      <c r="AKQ29" s="819"/>
      <c r="AKR29" s="819"/>
      <c r="AKS29" s="819"/>
      <c r="AKT29" s="819"/>
      <c r="AKU29" s="819"/>
      <c r="AKV29" s="819"/>
      <c r="AKW29" s="819"/>
      <c r="AKX29" s="819"/>
      <c r="AKY29" s="819"/>
      <c r="AKZ29" s="819"/>
      <c r="ALA29" s="819"/>
      <c r="ALB29" s="819"/>
      <c r="ALC29" s="819"/>
      <c r="ALD29" s="819"/>
      <c r="ALE29" s="819"/>
      <c r="ALF29" s="819"/>
      <c r="ALG29" s="819"/>
      <c r="ALH29" s="819"/>
      <c r="ALI29" s="819"/>
      <c r="ALJ29" s="819"/>
      <c r="ALK29" s="819"/>
      <c r="ALL29" s="819"/>
      <c r="ALM29" s="819"/>
      <c r="ALN29" s="819"/>
      <c r="ALO29" s="819"/>
      <c r="ALP29" s="819"/>
      <c r="ALQ29" s="819"/>
      <c r="ALR29" s="819"/>
      <c r="ALS29" s="819"/>
      <c r="ALT29" s="819"/>
      <c r="ALU29" s="819"/>
      <c r="ALV29" s="819"/>
      <c r="ALW29" s="819"/>
      <c r="ALX29" s="819"/>
      <c r="ALY29" s="819"/>
      <c r="ALZ29" s="819"/>
      <c r="AMA29" s="819"/>
      <c r="AMB29" s="819"/>
      <c r="AMC29" s="819"/>
      <c r="AMD29" s="819"/>
      <c r="AME29" s="819"/>
      <c r="AMF29" s="819"/>
      <c r="AMG29" s="819"/>
      <c r="AMH29" s="819"/>
      <c r="AMI29" s="819"/>
      <c r="AMJ29" s="819"/>
      <c r="AMK29" s="819"/>
      <c r="AML29" s="819"/>
      <c r="AMM29" s="819"/>
      <c r="AMN29" s="819"/>
      <c r="AMO29" s="819"/>
      <c r="AMP29" s="819"/>
      <c r="AMQ29" s="819"/>
      <c r="AMR29" s="819"/>
      <c r="AMS29" s="819"/>
      <c r="AMT29" s="819"/>
      <c r="AMU29" s="819"/>
      <c r="AMV29" s="819"/>
      <c r="AMW29" s="819"/>
      <c r="AMX29" s="819"/>
      <c r="AMY29" s="819"/>
      <c r="AMZ29" s="819"/>
      <c r="ANA29" s="819"/>
      <c r="ANB29" s="819"/>
      <c r="ANC29" s="819"/>
      <c r="AND29" s="819"/>
      <c r="ANE29" s="819"/>
      <c r="ANF29" s="819"/>
      <c r="ANG29" s="819"/>
      <c r="ANH29" s="819"/>
      <c r="ANI29" s="819"/>
      <c r="ANJ29" s="819"/>
      <c r="ANK29" s="819"/>
      <c r="ANL29" s="819"/>
      <c r="ANM29" s="819"/>
      <c r="ANN29" s="819"/>
      <c r="ANO29" s="819"/>
      <c r="ANP29" s="819"/>
      <c r="ANQ29" s="819"/>
      <c r="ANR29" s="819"/>
      <c r="ANS29" s="819"/>
      <c r="ANT29" s="819"/>
      <c r="ANU29" s="819"/>
      <c r="ANV29" s="819"/>
      <c r="ANW29" s="819"/>
      <c r="ANX29" s="819"/>
      <c r="ANY29" s="819"/>
      <c r="ANZ29" s="819"/>
      <c r="AOA29" s="819"/>
      <c r="AOB29" s="819"/>
      <c r="AOC29" s="819"/>
      <c r="AOD29" s="819"/>
      <c r="AOE29" s="819"/>
      <c r="AOF29" s="819"/>
      <c r="AOG29" s="819"/>
      <c r="AOH29" s="819"/>
      <c r="AOI29" s="819"/>
      <c r="AOJ29" s="819"/>
      <c r="AOK29" s="819"/>
      <c r="AOL29" s="819"/>
      <c r="AOM29" s="819"/>
      <c r="AON29" s="819"/>
      <c r="AOO29" s="819"/>
      <c r="AOP29" s="819"/>
      <c r="AOQ29" s="819"/>
      <c r="AOR29" s="819"/>
      <c r="AOS29" s="819"/>
      <c r="AOT29" s="819"/>
      <c r="AOU29" s="819"/>
      <c r="AOV29" s="819"/>
      <c r="AOW29" s="819"/>
      <c r="AOX29" s="819"/>
      <c r="AOY29" s="819"/>
      <c r="AOZ29" s="819"/>
      <c r="APA29" s="819"/>
      <c r="APB29" s="819"/>
      <c r="APC29" s="819"/>
      <c r="APD29" s="819"/>
      <c r="APE29" s="819"/>
      <c r="APF29" s="819"/>
      <c r="APG29" s="819"/>
      <c r="APH29" s="819"/>
      <c r="API29" s="819"/>
      <c r="APJ29" s="819"/>
      <c r="APK29" s="819"/>
      <c r="APL29" s="819"/>
      <c r="APM29" s="819"/>
      <c r="APN29" s="819"/>
      <c r="APO29" s="819"/>
      <c r="APP29" s="819"/>
      <c r="APQ29" s="819"/>
      <c r="APR29" s="819"/>
      <c r="APS29" s="819"/>
      <c r="APT29" s="819"/>
      <c r="APU29" s="819"/>
      <c r="APV29" s="819"/>
      <c r="APW29" s="819"/>
      <c r="APX29" s="819"/>
      <c r="APY29" s="819"/>
      <c r="APZ29" s="819"/>
      <c r="AQA29" s="819"/>
      <c r="AQB29" s="819"/>
      <c r="AQC29" s="819"/>
      <c r="AQD29" s="819"/>
      <c r="AQE29" s="819"/>
      <c r="AQF29" s="819"/>
      <c r="AQG29" s="819"/>
      <c r="AQH29" s="819"/>
      <c r="AQI29" s="819"/>
      <c r="AQJ29" s="819"/>
      <c r="AQK29" s="819"/>
      <c r="AQL29" s="819"/>
      <c r="AQM29" s="819"/>
      <c r="AQN29" s="819"/>
      <c r="AQO29" s="819"/>
      <c r="AQP29" s="819"/>
      <c r="AQQ29" s="819"/>
      <c r="AQR29" s="819"/>
      <c r="AQS29" s="819"/>
      <c r="AQT29" s="819"/>
      <c r="AQU29" s="819"/>
      <c r="AQV29" s="819"/>
      <c r="AQW29" s="819"/>
      <c r="AQX29" s="819"/>
      <c r="AQY29" s="819"/>
      <c r="AQZ29" s="819"/>
      <c r="ARA29" s="819"/>
      <c r="ARB29" s="819"/>
      <c r="ARC29" s="819"/>
      <c r="ARD29" s="819"/>
      <c r="ARE29" s="819"/>
      <c r="ARF29" s="819"/>
      <c r="ARG29" s="819"/>
      <c r="ARH29" s="819"/>
      <c r="ARI29" s="819"/>
      <c r="ARJ29" s="819"/>
      <c r="ARK29" s="819"/>
      <c r="ARL29" s="819"/>
      <c r="ARM29" s="819"/>
      <c r="ARN29" s="819"/>
      <c r="ARO29" s="819"/>
      <c r="ARP29" s="819"/>
      <c r="ARQ29" s="819"/>
      <c r="ARR29" s="819"/>
      <c r="ARS29" s="819"/>
      <c r="ART29" s="819"/>
      <c r="ARU29" s="819"/>
      <c r="ARV29" s="819"/>
      <c r="ARW29" s="819"/>
      <c r="ARX29" s="819"/>
      <c r="ARY29" s="819"/>
      <c r="ARZ29" s="819"/>
      <c r="ASA29" s="819"/>
      <c r="ASB29" s="819"/>
      <c r="ASC29" s="819"/>
      <c r="ASD29" s="819"/>
      <c r="ASE29" s="819"/>
      <c r="ASF29" s="819"/>
      <c r="ASG29" s="819"/>
      <c r="ASH29" s="819"/>
      <c r="ASI29" s="819"/>
      <c r="ASJ29" s="819"/>
      <c r="ASK29" s="819"/>
      <c r="ASL29" s="819"/>
      <c r="ASM29" s="819"/>
      <c r="ASN29" s="819"/>
      <c r="ASO29" s="819"/>
      <c r="ASP29" s="819"/>
      <c r="ASQ29" s="819"/>
      <c r="ASR29" s="819"/>
      <c r="ASS29" s="819"/>
      <c r="AST29" s="819"/>
      <c r="ASU29" s="819"/>
      <c r="ASV29" s="819"/>
      <c r="ASW29" s="819"/>
      <c r="ASX29" s="819"/>
      <c r="ASY29" s="819"/>
      <c r="ASZ29" s="819"/>
      <c r="ATA29" s="819"/>
      <c r="ATB29" s="819"/>
      <c r="ATC29" s="819"/>
      <c r="ATD29" s="819"/>
      <c r="ATE29" s="819"/>
      <c r="ATF29" s="819"/>
      <c r="ATG29" s="819"/>
      <c r="ATH29" s="819"/>
      <c r="ATI29" s="819"/>
      <c r="ATJ29" s="819"/>
      <c r="ATK29" s="819"/>
      <c r="ATL29" s="819"/>
      <c r="ATM29" s="819"/>
      <c r="ATN29" s="819"/>
      <c r="ATO29" s="819"/>
      <c r="ATP29" s="819"/>
      <c r="ATQ29" s="819"/>
      <c r="ATR29" s="819"/>
      <c r="ATS29" s="819"/>
      <c r="ATT29" s="819"/>
      <c r="ATU29" s="819"/>
      <c r="ATV29" s="819"/>
      <c r="ATW29" s="819"/>
      <c r="ATX29" s="819"/>
      <c r="ATY29" s="819"/>
      <c r="ATZ29" s="819"/>
      <c r="AUA29" s="819"/>
      <c r="AUB29" s="819"/>
      <c r="AUC29" s="819"/>
      <c r="AUD29" s="819"/>
      <c r="AUE29" s="819"/>
      <c r="AUF29" s="819"/>
      <c r="AUG29" s="819"/>
      <c r="AUH29" s="819"/>
      <c r="AUI29" s="819"/>
      <c r="AUJ29" s="819"/>
      <c r="AUK29" s="819"/>
      <c r="AUL29" s="819"/>
      <c r="AUM29" s="819"/>
      <c r="AUN29" s="819"/>
      <c r="AUO29" s="819"/>
      <c r="AUP29" s="819"/>
      <c r="AUQ29" s="819"/>
      <c r="AUR29" s="819"/>
      <c r="AUS29" s="819"/>
      <c r="AUT29" s="819"/>
      <c r="AUU29" s="819"/>
      <c r="AUV29" s="819"/>
      <c r="AUW29" s="819"/>
      <c r="AUX29" s="819"/>
      <c r="AUY29" s="819"/>
      <c r="AUZ29" s="819"/>
      <c r="AVA29" s="819"/>
      <c r="AVB29" s="819"/>
      <c r="AVC29" s="819"/>
      <c r="AVD29" s="819"/>
      <c r="AVE29" s="819"/>
      <c r="AVF29" s="819"/>
      <c r="AVG29" s="819"/>
      <c r="AVH29" s="819"/>
      <c r="AVI29" s="819"/>
      <c r="AVJ29" s="819"/>
      <c r="AVK29" s="819"/>
      <c r="AVL29" s="819"/>
      <c r="AVM29" s="819"/>
      <c r="AVN29" s="819"/>
      <c r="AVO29" s="819"/>
      <c r="AVP29" s="819"/>
      <c r="AVQ29" s="819"/>
      <c r="AVR29" s="819"/>
      <c r="AVS29" s="819"/>
      <c r="AVT29" s="819"/>
      <c r="AVU29" s="819"/>
      <c r="AVV29" s="819"/>
      <c r="AVW29" s="819"/>
      <c r="AVX29" s="819"/>
      <c r="AVY29" s="819"/>
      <c r="AVZ29" s="819"/>
      <c r="AWA29" s="819"/>
      <c r="AWB29" s="819"/>
      <c r="AWC29" s="819"/>
      <c r="AWD29" s="819"/>
      <c r="AWE29" s="819"/>
      <c r="AWF29" s="819"/>
      <c r="AWG29" s="819"/>
      <c r="AWH29" s="819"/>
      <c r="AWI29" s="819"/>
      <c r="AWJ29" s="819"/>
      <c r="AWK29" s="819"/>
      <c r="AWL29" s="819"/>
      <c r="AWM29" s="819"/>
      <c r="AWN29" s="819"/>
      <c r="AWO29" s="819"/>
      <c r="AWP29" s="819"/>
      <c r="AWQ29" s="819"/>
      <c r="AWR29" s="819"/>
      <c r="AWS29" s="819"/>
      <c r="AWT29" s="819"/>
      <c r="AWU29" s="819"/>
      <c r="AWV29" s="819"/>
      <c r="AWW29" s="819"/>
      <c r="AWX29" s="819"/>
      <c r="AWY29" s="819"/>
      <c r="AWZ29" s="819"/>
      <c r="AXA29" s="819"/>
      <c r="AXB29" s="819"/>
      <c r="AXC29" s="819"/>
      <c r="AXD29" s="819"/>
      <c r="AXE29" s="819"/>
      <c r="AXF29" s="819"/>
      <c r="AXG29" s="819"/>
      <c r="AXH29" s="819"/>
      <c r="AXI29" s="819"/>
      <c r="AXJ29" s="819"/>
      <c r="AXK29" s="819"/>
      <c r="AXL29" s="819"/>
      <c r="AXM29" s="819"/>
      <c r="AXN29" s="819"/>
      <c r="AXO29" s="819"/>
      <c r="AXP29" s="819"/>
      <c r="AXQ29" s="819"/>
      <c r="AXR29" s="819"/>
      <c r="AXS29" s="819"/>
      <c r="AXT29" s="819"/>
      <c r="AXU29" s="819"/>
      <c r="AXV29" s="819"/>
      <c r="AXW29" s="819"/>
      <c r="AXX29" s="819"/>
      <c r="AXY29" s="819"/>
      <c r="AXZ29" s="819"/>
      <c r="AYA29" s="819"/>
      <c r="AYB29" s="819"/>
      <c r="AYC29" s="819"/>
      <c r="AYD29" s="819"/>
      <c r="AYE29" s="819"/>
      <c r="AYF29" s="819"/>
      <c r="AYG29" s="819"/>
      <c r="AYH29" s="819"/>
      <c r="AYI29" s="819"/>
      <c r="AYJ29" s="819"/>
      <c r="AYK29" s="819"/>
      <c r="AYL29" s="819"/>
      <c r="AYM29" s="819"/>
      <c r="AYN29" s="819"/>
      <c r="AYO29" s="819"/>
      <c r="AYP29" s="819"/>
      <c r="AYQ29" s="819"/>
      <c r="AYR29" s="819"/>
      <c r="AYS29" s="819"/>
      <c r="AYT29" s="819"/>
      <c r="AYU29" s="819"/>
      <c r="AYV29" s="819"/>
      <c r="AYW29" s="819"/>
      <c r="AYX29" s="819"/>
      <c r="AYY29" s="819"/>
      <c r="AYZ29" s="819"/>
      <c r="AZA29" s="819"/>
      <c r="AZB29" s="819"/>
      <c r="AZC29" s="819"/>
      <c r="AZD29" s="819"/>
      <c r="AZE29" s="819"/>
      <c r="AZF29" s="819"/>
      <c r="AZG29" s="819"/>
      <c r="AZH29" s="819"/>
      <c r="AZI29" s="819"/>
      <c r="AZJ29" s="819"/>
      <c r="AZK29" s="819"/>
      <c r="AZL29" s="819"/>
      <c r="AZM29" s="819"/>
      <c r="AZN29" s="819"/>
      <c r="AZO29" s="819"/>
      <c r="AZP29" s="819"/>
      <c r="AZQ29" s="819"/>
      <c r="AZR29" s="819"/>
      <c r="AZS29" s="819"/>
      <c r="AZT29" s="819"/>
      <c r="AZU29" s="819"/>
      <c r="AZV29" s="819"/>
      <c r="AZW29" s="819"/>
      <c r="AZX29" s="819"/>
      <c r="AZY29" s="819"/>
      <c r="AZZ29" s="819"/>
      <c r="BAA29" s="819"/>
      <c r="BAB29" s="819"/>
      <c r="BAC29" s="819"/>
      <c r="BAD29" s="819"/>
      <c r="BAE29" s="819"/>
      <c r="BAF29" s="819"/>
      <c r="BAG29" s="819"/>
      <c r="BAH29" s="819"/>
      <c r="BAI29" s="819"/>
      <c r="BAJ29" s="819"/>
      <c r="BAK29" s="819"/>
      <c r="BAL29" s="819"/>
      <c r="BAM29" s="819"/>
      <c r="BAN29" s="819"/>
      <c r="BAO29" s="819"/>
      <c r="BAP29" s="819"/>
      <c r="BAQ29" s="819"/>
      <c r="BAR29" s="819"/>
      <c r="BAS29" s="819"/>
      <c r="BAT29" s="819"/>
      <c r="BAU29" s="819"/>
      <c r="BAV29" s="819"/>
      <c r="BAW29" s="819"/>
      <c r="BAX29" s="819"/>
      <c r="BAY29" s="819"/>
      <c r="BAZ29" s="819"/>
      <c r="BBA29" s="819"/>
      <c r="BBB29" s="819"/>
      <c r="BBC29" s="819"/>
      <c r="BBD29" s="819"/>
      <c r="BBE29" s="819"/>
      <c r="BBF29" s="819"/>
      <c r="BBG29" s="819"/>
      <c r="BBH29" s="819"/>
      <c r="BBI29" s="819"/>
      <c r="BBJ29" s="819"/>
      <c r="BBK29" s="819"/>
      <c r="BBL29" s="819"/>
      <c r="BBM29" s="819"/>
      <c r="BBN29" s="819"/>
      <c r="BBO29" s="819"/>
      <c r="BBP29" s="819"/>
      <c r="BBQ29" s="819"/>
      <c r="BBR29" s="819"/>
      <c r="BBS29" s="819"/>
      <c r="BBT29" s="819"/>
      <c r="BBU29" s="819"/>
      <c r="BBV29" s="819"/>
      <c r="BBW29" s="819"/>
      <c r="BBX29" s="819"/>
      <c r="BBY29" s="819"/>
      <c r="BBZ29" s="819"/>
      <c r="BCA29" s="819"/>
      <c r="BCB29" s="819"/>
      <c r="BCC29" s="819"/>
      <c r="BCD29" s="819"/>
      <c r="BCE29" s="819"/>
      <c r="BCF29" s="819"/>
      <c r="BCG29" s="819"/>
      <c r="BCH29" s="819"/>
      <c r="BCI29" s="819"/>
      <c r="BCJ29" s="819"/>
      <c r="BCK29" s="819"/>
      <c r="BCL29" s="819"/>
      <c r="BCM29" s="819"/>
      <c r="BCN29" s="819"/>
      <c r="BCO29" s="819"/>
      <c r="BCP29" s="819"/>
      <c r="BCQ29" s="819"/>
      <c r="BCR29" s="819"/>
      <c r="BCS29" s="819"/>
      <c r="BCT29" s="819"/>
      <c r="BCU29" s="819"/>
      <c r="BCV29" s="819"/>
      <c r="BCW29" s="819"/>
      <c r="BCX29" s="819"/>
      <c r="BCY29" s="819"/>
      <c r="BCZ29" s="819"/>
      <c r="BDA29" s="819"/>
      <c r="BDB29" s="819"/>
      <c r="BDC29" s="819"/>
      <c r="BDD29" s="819"/>
      <c r="BDE29" s="819"/>
      <c r="BDF29" s="819"/>
      <c r="BDG29" s="819"/>
      <c r="BDH29" s="819"/>
      <c r="BDI29" s="819"/>
      <c r="BDJ29" s="819"/>
      <c r="BDK29" s="819"/>
      <c r="BDL29" s="819"/>
      <c r="BDM29" s="819"/>
      <c r="BDN29" s="819"/>
      <c r="BDO29" s="819"/>
      <c r="BDP29" s="819"/>
      <c r="BDQ29" s="819"/>
      <c r="BDR29" s="819"/>
      <c r="BDS29" s="819"/>
      <c r="BDT29" s="819"/>
      <c r="BDU29" s="819"/>
      <c r="BDV29" s="819"/>
      <c r="BDW29" s="819"/>
      <c r="BDX29" s="819"/>
      <c r="BDY29" s="819"/>
      <c r="BDZ29" s="819"/>
      <c r="BEA29" s="819"/>
      <c r="BEB29" s="819"/>
      <c r="BEC29" s="819"/>
      <c r="BED29" s="819"/>
      <c r="BEE29" s="819"/>
      <c r="BEF29" s="819"/>
      <c r="BEG29" s="819"/>
      <c r="BEH29" s="819"/>
      <c r="BEI29" s="819"/>
      <c r="BEJ29" s="819"/>
      <c r="BEK29" s="819"/>
      <c r="BEL29" s="819"/>
      <c r="BEM29" s="819"/>
      <c r="BEN29" s="819"/>
      <c r="BEO29" s="819"/>
      <c r="BEP29" s="819"/>
      <c r="BEQ29" s="819"/>
      <c r="BER29" s="819"/>
      <c r="BES29" s="819"/>
      <c r="BET29" s="819"/>
      <c r="BEU29" s="819"/>
      <c r="BEV29" s="819"/>
      <c r="BEW29" s="819"/>
      <c r="BEX29" s="819"/>
      <c r="BEY29" s="819"/>
      <c r="BEZ29" s="819"/>
      <c r="BFA29" s="819"/>
      <c r="BFB29" s="819"/>
      <c r="BFC29" s="819"/>
      <c r="BFD29" s="819"/>
      <c r="BFE29" s="819"/>
      <c r="BFF29" s="819"/>
      <c r="BFG29" s="819"/>
      <c r="BFH29" s="819"/>
      <c r="BFI29" s="819"/>
      <c r="BFJ29" s="819"/>
      <c r="BFK29" s="819"/>
      <c r="BFL29" s="819"/>
      <c r="BFM29" s="819"/>
      <c r="BFN29" s="819"/>
      <c r="BFO29" s="819"/>
      <c r="BFP29" s="819"/>
      <c r="BFQ29" s="819"/>
      <c r="BFR29" s="819"/>
      <c r="BFS29" s="819"/>
      <c r="BFT29" s="819"/>
      <c r="BFU29" s="819"/>
      <c r="BFV29" s="819"/>
      <c r="BFW29" s="819"/>
      <c r="BFX29" s="819"/>
      <c r="BFY29" s="819"/>
      <c r="BFZ29" s="819"/>
      <c r="BGA29" s="819"/>
      <c r="BGB29" s="819"/>
      <c r="BGC29" s="819"/>
      <c r="BGD29" s="819"/>
      <c r="BGE29" s="819"/>
      <c r="BGF29" s="819"/>
      <c r="BGG29" s="819"/>
      <c r="BGH29" s="819"/>
      <c r="BGI29" s="819"/>
      <c r="BGJ29" s="819"/>
      <c r="BGK29" s="819"/>
      <c r="BGL29" s="819"/>
      <c r="BGM29" s="819"/>
      <c r="BGN29" s="819"/>
      <c r="BGO29" s="819"/>
      <c r="BGP29" s="819"/>
      <c r="BGQ29" s="819"/>
      <c r="BGR29" s="819"/>
      <c r="BGS29" s="819"/>
      <c r="BGT29" s="819"/>
      <c r="BGU29" s="819"/>
      <c r="BGV29" s="819"/>
      <c r="BGW29" s="819"/>
      <c r="BGX29" s="819"/>
      <c r="BGY29" s="819"/>
      <c r="BGZ29" s="819"/>
      <c r="BHA29" s="819"/>
      <c r="BHB29" s="819"/>
      <c r="BHC29" s="819"/>
      <c r="BHD29" s="819"/>
      <c r="BHE29" s="819"/>
      <c r="BHF29" s="819"/>
      <c r="BHG29" s="819"/>
      <c r="BHH29" s="819"/>
      <c r="BHI29" s="819"/>
      <c r="BHJ29" s="819"/>
      <c r="BHK29" s="819"/>
      <c r="BHL29" s="819"/>
      <c r="BHM29" s="819"/>
      <c r="BHN29" s="819"/>
      <c r="BHO29" s="819"/>
      <c r="BHP29" s="819"/>
      <c r="BHQ29" s="819"/>
      <c r="BHR29" s="819"/>
      <c r="BHS29" s="819"/>
      <c r="BHT29" s="819"/>
      <c r="BHU29" s="819"/>
      <c r="BHV29" s="819"/>
      <c r="BHW29" s="819"/>
      <c r="BHX29" s="819"/>
      <c r="BHY29" s="819"/>
      <c r="BHZ29" s="819"/>
      <c r="BIA29" s="819"/>
      <c r="BIB29" s="819"/>
      <c r="BIC29" s="819"/>
      <c r="BID29" s="819"/>
      <c r="BIE29" s="819"/>
      <c r="BIF29" s="819"/>
      <c r="BIG29" s="819"/>
      <c r="BIH29" s="819"/>
      <c r="BII29" s="819"/>
      <c r="BIJ29" s="819"/>
      <c r="BIK29" s="819"/>
      <c r="BIL29" s="819"/>
      <c r="BIM29" s="819"/>
      <c r="BIN29" s="819"/>
      <c r="BIO29" s="819"/>
      <c r="BIP29" s="819"/>
      <c r="BIQ29" s="819"/>
      <c r="BIR29" s="819"/>
      <c r="BIS29" s="819"/>
      <c r="BIT29" s="819"/>
      <c r="BIU29" s="819"/>
      <c r="BIV29" s="819"/>
      <c r="BIW29" s="819"/>
      <c r="BIX29" s="819"/>
      <c r="BIY29" s="819"/>
      <c r="BIZ29" s="819"/>
      <c r="BJA29" s="819"/>
      <c r="BJB29" s="819"/>
      <c r="BJC29" s="819"/>
      <c r="BJD29" s="819"/>
      <c r="BJE29" s="819"/>
      <c r="BJF29" s="819"/>
      <c r="BJG29" s="819"/>
      <c r="BJH29" s="819"/>
      <c r="BJI29" s="819"/>
      <c r="BJJ29" s="819"/>
      <c r="BJK29" s="819"/>
      <c r="BJL29" s="819"/>
      <c r="BJM29" s="819"/>
      <c r="BJN29" s="819"/>
      <c r="BJO29" s="819"/>
      <c r="BJP29" s="819"/>
      <c r="BJQ29" s="819"/>
      <c r="BJR29" s="819"/>
      <c r="BJS29" s="819"/>
      <c r="BJT29" s="819"/>
      <c r="BJU29" s="819"/>
      <c r="BJV29" s="819"/>
      <c r="BJW29" s="819"/>
      <c r="BJX29" s="819"/>
      <c r="BJY29" s="819"/>
      <c r="BJZ29" s="819"/>
      <c r="BKA29" s="819"/>
      <c r="BKB29" s="819"/>
      <c r="BKC29" s="819"/>
      <c r="BKD29" s="819"/>
      <c r="BKE29" s="819"/>
      <c r="BKF29" s="819"/>
      <c r="BKG29" s="819"/>
      <c r="BKH29" s="819"/>
      <c r="BKI29" s="819"/>
      <c r="BKJ29" s="819"/>
      <c r="BKK29" s="819"/>
      <c r="BKL29" s="819"/>
      <c r="BKM29" s="819"/>
      <c r="BKN29" s="819"/>
      <c r="BKO29" s="819"/>
      <c r="BKP29" s="819"/>
      <c r="BKQ29" s="819"/>
      <c r="BKR29" s="819"/>
      <c r="BKS29" s="819"/>
      <c r="BKT29" s="819"/>
      <c r="BKU29" s="819"/>
      <c r="BKV29" s="819"/>
      <c r="BKW29" s="819"/>
      <c r="BKX29" s="819"/>
      <c r="BKY29" s="819"/>
      <c r="BKZ29" s="819"/>
      <c r="BLA29" s="819"/>
      <c r="BLB29" s="819"/>
      <c r="BLC29" s="819"/>
      <c r="BLD29" s="819"/>
      <c r="BLE29" s="819"/>
      <c r="BLF29" s="819"/>
      <c r="BLG29" s="819"/>
      <c r="BLH29" s="819"/>
      <c r="BLI29" s="819"/>
      <c r="BLJ29" s="819"/>
      <c r="BLK29" s="819"/>
      <c r="BLL29" s="819"/>
      <c r="BLM29" s="819"/>
      <c r="BLN29" s="819"/>
      <c r="BLO29" s="819"/>
      <c r="BLP29" s="819"/>
      <c r="BLQ29" s="819"/>
      <c r="BLR29" s="819"/>
      <c r="BLS29" s="819"/>
      <c r="BLT29" s="819"/>
      <c r="BLU29" s="819"/>
      <c r="BLV29" s="819"/>
      <c r="BLW29" s="819"/>
      <c r="BLX29" s="819"/>
      <c r="BLY29" s="819"/>
      <c r="BLZ29" s="819"/>
      <c r="BMA29" s="819"/>
      <c r="BMB29" s="819"/>
      <c r="BMC29" s="819"/>
      <c r="BMD29" s="819"/>
      <c r="BME29" s="819"/>
      <c r="BMF29" s="819"/>
      <c r="BMG29" s="819"/>
      <c r="BMH29" s="819"/>
      <c r="BMI29" s="819"/>
      <c r="BMJ29" s="819"/>
      <c r="BMK29" s="819"/>
      <c r="BML29" s="819"/>
      <c r="BMM29" s="819"/>
      <c r="BMN29" s="819"/>
      <c r="BMO29" s="819"/>
      <c r="BMP29" s="819"/>
      <c r="BMQ29" s="819"/>
      <c r="BMR29" s="819"/>
      <c r="BMS29" s="819"/>
      <c r="BMT29" s="819"/>
      <c r="BMU29" s="819"/>
      <c r="BMV29" s="819"/>
      <c r="BMW29" s="819"/>
      <c r="BMX29" s="819"/>
      <c r="BMY29" s="819"/>
      <c r="BMZ29" s="819"/>
      <c r="BNA29" s="819"/>
      <c r="BNB29" s="819"/>
      <c r="BNC29" s="819"/>
      <c r="BND29" s="819"/>
      <c r="BNE29" s="819"/>
      <c r="BNF29" s="819"/>
      <c r="BNG29" s="819"/>
      <c r="BNH29" s="819"/>
      <c r="BNI29" s="819"/>
      <c r="BNJ29" s="819"/>
      <c r="BNK29" s="819"/>
      <c r="BNL29" s="819"/>
      <c r="BNM29" s="819"/>
      <c r="BNN29" s="819"/>
      <c r="BNO29" s="819"/>
      <c r="BNP29" s="819"/>
      <c r="BNQ29" s="819"/>
      <c r="BNR29" s="819"/>
      <c r="BNS29" s="819"/>
      <c r="BNT29" s="819"/>
      <c r="BNU29" s="819"/>
      <c r="BNV29" s="819"/>
      <c r="BNW29" s="819"/>
      <c r="BNX29" s="819"/>
      <c r="BNY29" s="819"/>
      <c r="BNZ29" s="819"/>
      <c r="BOA29" s="819"/>
      <c r="BOB29" s="819"/>
      <c r="BOC29" s="819"/>
      <c r="BOD29" s="819"/>
      <c r="BOE29" s="819"/>
      <c r="BOF29" s="819"/>
      <c r="BOG29" s="819"/>
      <c r="BOH29" s="819"/>
      <c r="BOI29" s="819"/>
      <c r="BOJ29" s="819"/>
      <c r="BOK29" s="819"/>
      <c r="BOL29" s="819"/>
      <c r="BOM29" s="819"/>
      <c r="BON29" s="819"/>
      <c r="BOO29" s="819"/>
      <c r="BOP29" s="819"/>
      <c r="BOQ29" s="819"/>
      <c r="BOR29" s="819"/>
      <c r="BOS29" s="819"/>
      <c r="BOT29" s="819"/>
      <c r="BOU29" s="819"/>
      <c r="BOV29" s="819"/>
      <c r="BOW29" s="819"/>
      <c r="BOX29" s="819"/>
      <c r="BOY29" s="819"/>
      <c r="BOZ29" s="819"/>
      <c r="BPA29" s="819"/>
      <c r="BPB29" s="819"/>
      <c r="BPC29" s="819"/>
      <c r="BPD29" s="819"/>
      <c r="BPE29" s="819"/>
      <c r="BPF29" s="819"/>
      <c r="BPG29" s="819"/>
      <c r="BPH29" s="819"/>
      <c r="BPI29" s="819"/>
      <c r="BPJ29" s="819"/>
      <c r="BPK29" s="819"/>
      <c r="BPL29" s="819"/>
      <c r="BPM29" s="819"/>
      <c r="BPN29" s="819"/>
      <c r="BPO29" s="819"/>
      <c r="BPP29" s="819"/>
      <c r="BPQ29" s="819"/>
      <c r="BPR29" s="819"/>
      <c r="BPS29" s="819"/>
      <c r="BPT29" s="819"/>
      <c r="BPU29" s="819"/>
      <c r="BPV29" s="819"/>
      <c r="BPW29" s="819"/>
      <c r="BPX29" s="819"/>
      <c r="BPY29" s="819"/>
      <c r="BPZ29" s="819"/>
      <c r="BQA29" s="819"/>
      <c r="BQB29" s="819"/>
      <c r="BQC29" s="819"/>
      <c r="BQD29" s="819"/>
      <c r="BQE29" s="819"/>
      <c r="BQF29" s="819"/>
      <c r="BQG29" s="819"/>
      <c r="BQH29" s="819"/>
      <c r="BQI29" s="819"/>
      <c r="BQJ29" s="819"/>
      <c r="BQK29" s="819"/>
      <c r="BQL29" s="819"/>
      <c r="BQM29" s="819"/>
      <c r="BQN29" s="819"/>
      <c r="BQO29" s="819"/>
      <c r="BQP29" s="819"/>
      <c r="BQQ29" s="819"/>
      <c r="BQR29" s="819"/>
      <c r="BQS29" s="819"/>
      <c r="BQT29" s="819"/>
      <c r="BQU29" s="819"/>
      <c r="BQV29" s="819"/>
      <c r="BQW29" s="819"/>
      <c r="BQX29" s="819"/>
      <c r="BQY29" s="819"/>
      <c r="BQZ29" s="819"/>
      <c r="BRA29" s="819"/>
      <c r="BRB29" s="819"/>
      <c r="BRC29" s="819"/>
      <c r="BRD29" s="819"/>
      <c r="BRE29" s="819"/>
      <c r="BRF29" s="819"/>
      <c r="BRG29" s="819"/>
      <c r="BRH29" s="819"/>
      <c r="BRI29" s="819"/>
      <c r="BRJ29" s="819"/>
      <c r="BRK29" s="819"/>
      <c r="BRL29" s="819"/>
      <c r="BRM29" s="819"/>
      <c r="BRN29" s="819"/>
      <c r="BRO29" s="819"/>
      <c r="BRP29" s="819"/>
      <c r="BRQ29" s="819"/>
      <c r="BRR29" s="819"/>
      <c r="BRS29" s="819"/>
      <c r="BRT29" s="819"/>
      <c r="BRU29" s="819"/>
      <c r="BRV29" s="819"/>
      <c r="BRW29" s="819"/>
      <c r="BRX29" s="819"/>
      <c r="BRY29" s="819"/>
      <c r="BRZ29" s="819"/>
      <c r="BSA29" s="819"/>
      <c r="BSB29" s="819"/>
      <c r="BSC29" s="819"/>
      <c r="BSD29" s="819"/>
      <c r="BSE29" s="819"/>
      <c r="BSF29" s="819"/>
      <c r="BSG29" s="819"/>
      <c r="BSH29" s="819"/>
      <c r="BSI29" s="819"/>
      <c r="BSJ29" s="819"/>
      <c r="BSK29" s="819"/>
      <c r="BSL29" s="819"/>
      <c r="BSM29" s="819"/>
      <c r="BSN29" s="819"/>
      <c r="BSO29" s="819"/>
      <c r="BSP29" s="819"/>
      <c r="BSQ29" s="819"/>
      <c r="BSR29" s="819"/>
      <c r="BSS29" s="819"/>
      <c r="BST29" s="819"/>
      <c r="BSU29" s="819"/>
      <c r="BSV29" s="819"/>
      <c r="BSW29" s="819"/>
      <c r="BSX29" s="819"/>
      <c r="BSY29" s="819"/>
      <c r="BSZ29" s="819"/>
      <c r="BTA29" s="819"/>
      <c r="BTB29" s="819"/>
      <c r="BTC29" s="819"/>
      <c r="BTD29" s="819"/>
      <c r="BTE29" s="819"/>
      <c r="BTF29" s="819"/>
      <c r="BTG29" s="819"/>
      <c r="BTH29" s="819"/>
      <c r="BTI29" s="819"/>
      <c r="BTJ29" s="819"/>
      <c r="BTK29" s="819"/>
      <c r="BTL29" s="819"/>
      <c r="BTM29" s="819"/>
      <c r="BTN29" s="819"/>
      <c r="BTO29" s="819"/>
      <c r="BTP29" s="819"/>
      <c r="BTQ29" s="819"/>
      <c r="BTR29" s="819"/>
      <c r="BTS29" s="819"/>
      <c r="BTT29" s="819"/>
      <c r="BTU29" s="819"/>
      <c r="BTV29" s="819"/>
      <c r="BTW29" s="819"/>
      <c r="BTX29" s="819"/>
      <c r="BTY29" s="819"/>
      <c r="BTZ29" s="819"/>
      <c r="BUA29" s="819"/>
      <c r="BUB29" s="819"/>
      <c r="BUC29" s="819"/>
      <c r="BUD29" s="819"/>
      <c r="BUE29" s="819"/>
      <c r="BUF29" s="819"/>
      <c r="BUG29" s="819"/>
      <c r="BUH29" s="819"/>
      <c r="BUI29" s="819"/>
      <c r="BUJ29" s="819"/>
      <c r="BUK29" s="819"/>
      <c r="BUL29" s="819"/>
      <c r="BUM29" s="819"/>
      <c r="BUN29" s="819"/>
      <c r="BUO29" s="819"/>
      <c r="BUP29" s="819"/>
      <c r="BUQ29" s="819"/>
      <c r="BUR29" s="819"/>
      <c r="BUS29" s="819"/>
      <c r="BUT29" s="819"/>
      <c r="BUU29" s="819"/>
      <c r="BUV29" s="819"/>
      <c r="BUW29" s="819"/>
      <c r="BUX29" s="819"/>
      <c r="BUY29" s="819"/>
      <c r="BUZ29" s="819"/>
      <c r="BVA29" s="819"/>
      <c r="BVB29" s="819"/>
      <c r="BVC29" s="819"/>
      <c r="BVD29" s="819"/>
      <c r="BVE29" s="819"/>
      <c r="BVF29" s="819"/>
      <c r="BVG29" s="819"/>
      <c r="BVH29" s="819"/>
      <c r="BVI29" s="819"/>
      <c r="BVJ29" s="819"/>
      <c r="BVK29" s="819"/>
      <c r="BVL29" s="819"/>
      <c r="BVM29" s="819"/>
      <c r="BVN29" s="819"/>
      <c r="BVO29" s="819"/>
      <c r="BVP29" s="819"/>
      <c r="BVQ29" s="819"/>
      <c r="BVR29" s="819"/>
      <c r="BVS29" s="819"/>
      <c r="BVT29" s="819"/>
      <c r="BVU29" s="819"/>
      <c r="BVV29" s="819"/>
      <c r="BVW29" s="819"/>
      <c r="BVX29" s="819"/>
      <c r="BVY29" s="819"/>
      <c r="BVZ29" s="819"/>
      <c r="BWA29" s="819"/>
      <c r="BWB29" s="819"/>
      <c r="BWC29" s="819"/>
      <c r="BWD29" s="819"/>
      <c r="BWE29" s="819"/>
      <c r="BWF29" s="819"/>
      <c r="BWG29" s="819"/>
      <c r="BWH29" s="819"/>
      <c r="BWI29" s="819"/>
      <c r="BWJ29" s="819"/>
      <c r="BWK29" s="819"/>
      <c r="BWL29" s="819"/>
      <c r="BWM29" s="819"/>
      <c r="BWN29" s="819"/>
      <c r="BWO29" s="819"/>
      <c r="BWP29" s="819"/>
      <c r="BWQ29" s="819"/>
      <c r="BWR29" s="819"/>
      <c r="BWS29" s="819"/>
      <c r="BWT29" s="819"/>
      <c r="BWU29" s="819"/>
      <c r="BWV29" s="819"/>
      <c r="BWW29" s="819"/>
      <c r="BWX29" s="819"/>
      <c r="BWY29" s="819"/>
      <c r="BWZ29" s="819"/>
      <c r="BXA29" s="819"/>
      <c r="BXB29" s="819"/>
      <c r="BXC29" s="819"/>
      <c r="BXD29" s="819"/>
      <c r="BXE29" s="819"/>
      <c r="BXF29" s="819"/>
      <c r="BXG29" s="819"/>
      <c r="BXH29" s="819"/>
      <c r="BXI29" s="819"/>
      <c r="BXJ29" s="819"/>
      <c r="BXK29" s="819"/>
      <c r="BXL29" s="819"/>
      <c r="BXM29" s="819"/>
      <c r="BXN29" s="819"/>
      <c r="BXO29" s="819"/>
      <c r="BXP29" s="819"/>
      <c r="BXQ29" s="819"/>
      <c r="BXR29" s="819"/>
      <c r="BXS29" s="819"/>
      <c r="BXT29" s="819"/>
      <c r="BXU29" s="819"/>
      <c r="BXV29" s="819"/>
      <c r="BXW29" s="819"/>
      <c r="BXX29" s="819"/>
      <c r="BXY29" s="819"/>
      <c r="BXZ29" s="819"/>
      <c r="BYA29" s="819"/>
      <c r="BYB29" s="819"/>
      <c r="BYC29" s="819"/>
      <c r="BYD29" s="819"/>
      <c r="BYE29" s="819"/>
      <c r="BYF29" s="819"/>
      <c r="BYG29" s="819"/>
      <c r="BYH29" s="819"/>
      <c r="BYI29" s="819"/>
      <c r="BYJ29" s="819"/>
      <c r="BYK29" s="819"/>
      <c r="BYL29" s="819"/>
      <c r="BYM29" s="819"/>
      <c r="BYN29" s="819"/>
      <c r="BYO29" s="819"/>
      <c r="BYP29" s="819"/>
      <c r="BYQ29" s="819"/>
      <c r="BYR29" s="819"/>
      <c r="BYS29" s="819"/>
      <c r="BYT29" s="819"/>
      <c r="BYU29" s="819"/>
      <c r="BYV29" s="819"/>
      <c r="BYW29" s="819"/>
      <c r="BYX29" s="819"/>
      <c r="BYY29" s="819"/>
      <c r="BYZ29" s="819"/>
      <c r="BZA29" s="819"/>
      <c r="BZB29" s="819"/>
      <c r="BZC29" s="819"/>
      <c r="BZD29" s="819"/>
      <c r="BZE29" s="819"/>
      <c r="BZF29" s="819"/>
      <c r="BZG29" s="819"/>
      <c r="BZH29" s="819"/>
      <c r="BZI29" s="819"/>
      <c r="BZJ29" s="819"/>
      <c r="BZK29" s="819"/>
      <c r="BZL29" s="819"/>
      <c r="BZM29" s="819"/>
      <c r="BZN29" s="819"/>
      <c r="BZO29" s="819"/>
      <c r="BZP29" s="819"/>
      <c r="BZQ29" s="819"/>
      <c r="BZR29" s="819"/>
      <c r="BZS29" s="819"/>
      <c r="BZT29" s="819"/>
      <c r="BZU29" s="819"/>
      <c r="BZV29" s="819"/>
      <c r="BZW29" s="819"/>
      <c r="BZX29" s="819"/>
      <c r="BZY29" s="819"/>
      <c r="BZZ29" s="819"/>
      <c r="CAA29" s="819"/>
      <c r="CAB29" s="819"/>
      <c r="CAC29" s="819"/>
      <c r="CAD29" s="819"/>
      <c r="CAE29" s="819"/>
      <c r="CAF29" s="819"/>
      <c r="CAG29" s="819"/>
      <c r="CAH29" s="819"/>
      <c r="CAI29" s="819"/>
      <c r="CAJ29" s="819"/>
      <c r="CAK29" s="819"/>
      <c r="CAL29" s="819"/>
      <c r="CAM29" s="819"/>
      <c r="CAN29" s="819"/>
      <c r="CAO29" s="819"/>
      <c r="CAP29" s="819"/>
      <c r="CAQ29" s="819"/>
      <c r="CAR29" s="819"/>
      <c r="CAS29" s="819"/>
      <c r="CAT29" s="819"/>
      <c r="CAU29" s="819"/>
      <c r="CAV29" s="819"/>
      <c r="CAW29" s="819"/>
      <c r="CAX29" s="819"/>
      <c r="CAY29" s="819"/>
      <c r="CAZ29" s="819"/>
      <c r="CBA29" s="819"/>
      <c r="CBB29" s="819"/>
      <c r="CBC29" s="819"/>
      <c r="CBD29" s="819"/>
      <c r="CBE29" s="819"/>
      <c r="CBF29" s="819"/>
      <c r="CBG29" s="819"/>
      <c r="CBH29" s="819"/>
      <c r="CBI29" s="819"/>
      <c r="CBJ29" s="819"/>
      <c r="CBK29" s="819"/>
      <c r="CBL29" s="819"/>
      <c r="CBM29" s="819"/>
      <c r="CBN29" s="819"/>
      <c r="CBO29" s="819"/>
      <c r="CBP29" s="819"/>
      <c r="CBQ29" s="819"/>
      <c r="CBR29" s="819"/>
      <c r="CBS29" s="819"/>
      <c r="CBT29" s="819"/>
      <c r="CBU29" s="819"/>
      <c r="CBV29" s="819"/>
      <c r="CBW29" s="819"/>
      <c r="CBX29" s="819"/>
      <c r="CBY29" s="819"/>
      <c r="CBZ29" s="819"/>
      <c r="CCA29" s="819"/>
      <c r="CCB29" s="819"/>
      <c r="CCC29" s="819"/>
      <c r="CCD29" s="819"/>
      <c r="CCE29" s="819"/>
      <c r="CCF29" s="819"/>
      <c r="CCG29" s="819"/>
      <c r="CCH29" s="819"/>
      <c r="CCI29" s="819"/>
      <c r="CCJ29" s="819"/>
      <c r="CCK29" s="819"/>
      <c r="CCL29" s="819"/>
      <c r="CCM29" s="819"/>
      <c r="CCN29" s="819"/>
      <c r="CCO29" s="819"/>
      <c r="CCP29" s="819"/>
      <c r="CCQ29" s="819"/>
      <c r="CCR29" s="819"/>
      <c r="CCS29" s="819"/>
      <c r="CCT29" s="819"/>
      <c r="CCU29" s="819"/>
      <c r="CCV29" s="819"/>
      <c r="CCW29" s="819"/>
      <c r="CCX29" s="819"/>
      <c r="CCY29" s="819"/>
      <c r="CCZ29" s="819"/>
      <c r="CDA29" s="819"/>
      <c r="CDB29" s="819"/>
      <c r="CDC29" s="819"/>
      <c r="CDD29" s="819"/>
      <c r="CDE29" s="819"/>
      <c r="CDF29" s="819"/>
      <c r="CDG29" s="819"/>
      <c r="CDH29" s="819"/>
      <c r="CDI29" s="819"/>
      <c r="CDJ29" s="819"/>
      <c r="CDK29" s="819"/>
      <c r="CDL29" s="819"/>
      <c r="CDM29" s="819"/>
      <c r="CDN29" s="819"/>
      <c r="CDO29" s="819"/>
      <c r="CDP29" s="819"/>
      <c r="CDQ29" s="819"/>
      <c r="CDR29" s="819"/>
      <c r="CDS29" s="819"/>
      <c r="CDT29" s="819"/>
      <c r="CDU29" s="819"/>
      <c r="CDV29" s="819"/>
      <c r="CDW29" s="819"/>
      <c r="CDX29" s="819"/>
      <c r="CDY29" s="819"/>
      <c r="CDZ29" s="819"/>
      <c r="CEA29" s="819"/>
      <c r="CEB29" s="819"/>
      <c r="CEC29" s="819"/>
      <c r="CED29" s="819"/>
      <c r="CEE29" s="819"/>
      <c r="CEF29" s="819"/>
      <c r="CEG29" s="819"/>
      <c r="CEH29" s="819"/>
      <c r="CEI29" s="819"/>
      <c r="CEJ29" s="819"/>
      <c r="CEK29" s="819"/>
      <c r="CEL29" s="819"/>
      <c r="CEM29" s="819"/>
      <c r="CEN29" s="819"/>
      <c r="CEO29" s="819"/>
      <c r="CEP29" s="819"/>
      <c r="CEQ29" s="819"/>
      <c r="CER29" s="819"/>
      <c r="CES29" s="819"/>
      <c r="CET29" s="819"/>
      <c r="CEU29" s="819"/>
      <c r="CEV29" s="819"/>
      <c r="CEW29" s="819"/>
      <c r="CEX29" s="819"/>
      <c r="CEY29" s="819"/>
      <c r="CEZ29" s="819"/>
      <c r="CFA29" s="819"/>
      <c r="CFB29" s="819"/>
      <c r="CFC29" s="819"/>
      <c r="CFD29" s="819"/>
      <c r="CFE29" s="819"/>
      <c r="CFF29" s="819"/>
      <c r="CFG29" s="819"/>
      <c r="CFH29" s="819"/>
      <c r="CFI29" s="819"/>
      <c r="CFJ29" s="819"/>
      <c r="CFK29" s="819"/>
      <c r="CFL29" s="819"/>
      <c r="CFM29" s="819"/>
      <c r="CFN29" s="819"/>
      <c r="CFO29" s="819"/>
      <c r="CFP29" s="819"/>
      <c r="CFQ29" s="819"/>
      <c r="CFR29" s="819"/>
      <c r="CFS29" s="819"/>
      <c r="CFT29" s="819"/>
      <c r="CFU29" s="819"/>
      <c r="CFV29" s="819"/>
      <c r="CFW29" s="819"/>
      <c r="CFX29" s="819"/>
      <c r="CFY29" s="819"/>
      <c r="CFZ29" s="819"/>
      <c r="CGA29" s="819"/>
      <c r="CGB29" s="819"/>
      <c r="CGC29" s="819"/>
      <c r="CGD29" s="819"/>
      <c r="CGE29" s="819"/>
      <c r="CGF29" s="819"/>
      <c r="CGG29" s="819"/>
      <c r="CGH29" s="819"/>
      <c r="CGI29" s="819"/>
      <c r="CGJ29" s="819"/>
      <c r="CGK29" s="819"/>
      <c r="CGL29" s="819"/>
      <c r="CGM29" s="819"/>
      <c r="CGN29" s="819"/>
      <c r="CGO29" s="819"/>
      <c r="CGP29" s="819"/>
      <c r="CGQ29" s="819"/>
      <c r="CGR29" s="819"/>
      <c r="CGS29" s="819"/>
      <c r="CGT29" s="819"/>
      <c r="CGU29" s="819"/>
      <c r="CGV29" s="819"/>
      <c r="CGW29" s="819"/>
      <c r="CGX29" s="819"/>
      <c r="CGY29" s="819"/>
      <c r="CGZ29" s="819"/>
      <c r="CHA29" s="819"/>
      <c r="CHB29" s="819"/>
      <c r="CHC29" s="819"/>
      <c r="CHD29" s="819"/>
      <c r="CHE29" s="819"/>
      <c r="CHF29" s="819"/>
      <c r="CHG29" s="819"/>
      <c r="CHH29" s="819"/>
      <c r="CHI29" s="819"/>
      <c r="CHJ29" s="819"/>
      <c r="CHK29" s="819"/>
      <c r="CHL29" s="819"/>
      <c r="CHM29" s="819"/>
      <c r="CHN29" s="819"/>
      <c r="CHO29" s="819"/>
      <c r="CHP29" s="819"/>
      <c r="CHQ29" s="819"/>
      <c r="CHR29" s="819"/>
      <c r="CHS29" s="819"/>
      <c r="CHT29" s="819"/>
      <c r="CHU29" s="819"/>
      <c r="CHV29" s="819"/>
      <c r="CHW29" s="819"/>
      <c r="CHX29" s="819"/>
      <c r="CHY29" s="819"/>
      <c r="CHZ29" s="819"/>
      <c r="CIA29" s="819"/>
      <c r="CIB29" s="819"/>
      <c r="CIC29" s="819"/>
      <c r="CID29" s="819"/>
      <c r="CIE29" s="819"/>
      <c r="CIF29" s="819"/>
      <c r="CIG29" s="819"/>
      <c r="CIH29" s="819"/>
      <c r="CII29" s="819"/>
      <c r="CIJ29" s="819"/>
      <c r="CIK29" s="819"/>
      <c r="CIL29" s="819"/>
      <c r="CIM29" s="819"/>
      <c r="CIN29" s="819"/>
      <c r="CIO29" s="819"/>
      <c r="CIP29" s="819"/>
      <c r="CIQ29" s="819"/>
      <c r="CIR29" s="819"/>
      <c r="CIS29" s="819"/>
      <c r="CIT29" s="819"/>
      <c r="CIU29" s="819"/>
      <c r="CIV29" s="819"/>
      <c r="CIW29" s="819"/>
      <c r="CIX29" s="819"/>
      <c r="CIY29" s="819"/>
      <c r="CIZ29" s="819"/>
      <c r="CJA29" s="819"/>
      <c r="CJB29" s="819"/>
      <c r="CJC29" s="819"/>
      <c r="CJD29" s="819"/>
      <c r="CJE29" s="819"/>
      <c r="CJF29" s="819"/>
      <c r="CJG29" s="819"/>
      <c r="CJH29" s="819"/>
      <c r="CJI29" s="819"/>
      <c r="CJJ29" s="819"/>
      <c r="CJK29" s="819"/>
      <c r="CJL29" s="819"/>
      <c r="CJM29" s="819"/>
      <c r="CJN29" s="819"/>
      <c r="CJO29" s="819"/>
      <c r="CJP29" s="819"/>
      <c r="CJQ29" s="819"/>
      <c r="CJR29" s="819"/>
      <c r="CJS29" s="819"/>
      <c r="CJT29" s="819"/>
      <c r="CJU29" s="819"/>
      <c r="CJV29" s="819"/>
      <c r="CJW29" s="819"/>
      <c r="CJX29" s="819"/>
      <c r="CJY29" s="819"/>
      <c r="CJZ29" s="819"/>
      <c r="CKA29" s="819"/>
      <c r="CKB29" s="819"/>
      <c r="CKC29" s="819"/>
      <c r="CKD29" s="819"/>
      <c r="CKE29" s="819"/>
      <c r="CKF29" s="819"/>
      <c r="CKG29" s="819"/>
      <c r="CKH29" s="819"/>
      <c r="CKI29" s="819"/>
      <c r="CKJ29" s="819"/>
      <c r="CKK29" s="819"/>
      <c r="CKL29" s="819"/>
      <c r="CKM29" s="819"/>
      <c r="CKN29" s="819"/>
      <c r="CKO29" s="819"/>
      <c r="CKP29" s="819"/>
      <c r="CKQ29" s="819"/>
      <c r="CKR29" s="819"/>
      <c r="CKS29" s="819"/>
      <c r="CKT29" s="819"/>
      <c r="CKU29" s="819"/>
      <c r="CKV29" s="819"/>
      <c r="CKW29" s="819"/>
      <c r="CKX29" s="819"/>
      <c r="CKY29" s="819"/>
      <c r="CKZ29" s="819"/>
      <c r="CLA29" s="819"/>
      <c r="CLB29" s="819"/>
      <c r="CLC29" s="819"/>
      <c r="CLD29" s="819"/>
      <c r="CLE29" s="819"/>
      <c r="CLF29" s="819"/>
      <c r="CLG29" s="819"/>
      <c r="CLH29" s="819"/>
      <c r="CLI29" s="819"/>
      <c r="CLJ29" s="819"/>
      <c r="CLK29" s="819"/>
      <c r="CLL29" s="819"/>
      <c r="CLM29" s="819"/>
      <c r="CLN29" s="819"/>
      <c r="CLO29" s="819"/>
      <c r="CLP29" s="819"/>
      <c r="CLQ29" s="819"/>
      <c r="CLR29" s="819"/>
      <c r="CLS29" s="819"/>
      <c r="CLT29" s="819"/>
      <c r="CLU29" s="819"/>
      <c r="CLV29" s="819"/>
      <c r="CLW29" s="819"/>
      <c r="CLX29" s="819"/>
      <c r="CLY29" s="819"/>
      <c r="CLZ29" s="819"/>
      <c r="CMA29" s="819"/>
      <c r="CMB29" s="819"/>
      <c r="CMC29" s="819"/>
      <c r="CMD29" s="819"/>
      <c r="CME29" s="819"/>
      <c r="CMF29" s="819"/>
      <c r="CMG29" s="819"/>
      <c r="CMH29" s="819"/>
      <c r="CMI29" s="819"/>
      <c r="CMJ29" s="819"/>
      <c r="CMK29" s="819"/>
      <c r="CML29" s="819"/>
      <c r="CMM29" s="819"/>
      <c r="CMN29" s="819"/>
      <c r="CMO29" s="819"/>
      <c r="CMP29" s="819"/>
      <c r="CMQ29" s="819"/>
      <c r="CMR29" s="819"/>
      <c r="CMS29" s="819"/>
      <c r="CMT29" s="819"/>
      <c r="CMU29" s="819"/>
      <c r="CMV29" s="819"/>
      <c r="CMW29" s="819"/>
      <c r="CMX29" s="819"/>
      <c r="CMY29" s="819"/>
      <c r="CMZ29" s="819"/>
      <c r="CNA29" s="819"/>
      <c r="CNB29" s="819"/>
      <c r="CNC29" s="819"/>
      <c r="CND29" s="819"/>
      <c r="CNE29" s="819"/>
      <c r="CNF29" s="819"/>
      <c r="CNG29" s="819"/>
      <c r="CNH29" s="819"/>
      <c r="CNI29" s="819"/>
      <c r="CNJ29" s="819"/>
      <c r="CNK29" s="819"/>
      <c r="CNL29" s="819"/>
      <c r="CNM29" s="819"/>
      <c r="CNN29" s="819"/>
      <c r="CNO29" s="819"/>
      <c r="CNP29" s="819"/>
      <c r="CNQ29" s="819"/>
      <c r="CNR29" s="819"/>
      <c r="CNS29" s="819"/>
      <c r="CNT29" s="819"/>
      <c r="CNU29" s="819"/>
      <c r="CNV29" s="819"/>
      <c r="CNW29" s="819"/>
      <c r="CNX29" s="819"/>
      <c r="CNY29" s="819"/>
      <c r="CNZ29" s="819"/>
      <c r="COA29" s="819"/>
      <c r="COB29" s="819"/>
      <c r="COC29" s="819"/>
      <c r="COD29" s="819"/>
      <c r="COE29" s="819"/>
      <c r="COF29" s="819"/>
      <c r="COG29" s="819"/>
      <c r="COH29" s="819"/>
      <c r="COI29" s="819"/>
      <c r="COJ29" s="819"/>
      <c r="COK29" s="819"/>
      <c r="COL29" s="819"/>
      <c r="COM29" s="819"/>
      <c r="CON29" s="819"/>
      <c r="COO29" s="819"/>
      <c r="COP29" s="819"/>
      <c r="COQ29" s="819"/>
      <c r="COR29" s="819"/>
      <c r="COS29" s="819"/>
      <c r="COT29" s="819"/>
      <c r="COU29" s="819"/>
      <c r="COV29" s="819"/>
      <c r="COW29" s="819"/>
      <c r="COX29" s="819"/>
      <c r="COY29" s="819"/>
      <c r="COZ29" s="819"/>
      <c r="CPA29" s="819"/>
      <c r="CPB29" s="819"/>
      <c r="CPC29" s="819"/>
      <c r="CPD29" s="819"/>
      <c r="CPE29" s="819"/>
      <c r="CPF29" s="819"/>
      <c r="CPG29" s="819"/>
      <c r="CPH29" s="819"/>
      <c r="CPI29" s="819"/>
      <c r="CPJ29" s="819"/>
      <c r="CPK29" s="819"/>
      <c r="CPL29" s="819"/>
      <c r="CPM29" s="819"/>
      <c r="CPN29" s="819"/>
      <c r="CPO29" s="819"/>
      <c r="CPP29" s="819"/>
      <c r="CPQ29" s="819"/>
      <c r="CPR29" s="819"/>
      <c r="CPS29" s="819"/>
      <c r="CPT29" s="819"/>
      <c r="CPU29" s="819"/>
      <c r="CPV29" s="819"/>
      <c r="CPW29" s="819"/>
      <c r="CPX29" s="819"/>
      <c r="CPY29" s="819"/>
      <c r="CPZ29" s="819"/>
      <c r="CQA29" s="819"/>
      <c r="CQB29" s="819"/>
      <c r="CQC29" s="819"/>
      <c r="CQD29" s="819"/>
      <c r="CQE29" s="819"/>
      <c r="CQF29" s="819"/>
      <c r="CQG29" s="819"/>
      <c r="CQH29" s="819"/>
      <c r="CQI29" s="819"/>
      <c r="CQJ29" s="819"/>
      <c r="CQK29" s="819"/>
      <c r="CQL29" s="819"/>
      <c r="CQM29" s="819"/>
      <c r="CQN29" s="819"/>
      <c r="CQO29" s="819"/>
      <c r="CQP29" s="819"/>
      <c r="CQQ29" s="819"/>
      <c r="CQR29" s="819"/>
      <c r="CQS29" s="819"/>
      <c r="CQT29" s="819"/>
      <c r="CQU29" s="819"/>
      <c r="CQV29" s="819"/>
      <c r="CQW29" s="819"/>
      <c r="CQX29" s="819"/>
      <c r="CQY29" s="819"/>
      <c r="CQZ29" s="819"/>
      <c r="CRA29" s="819"/>
      <c r="CRB29" s="819"/>
      <c r="CRC29" s="819"/>
      <c r="CRD29" s="819"/>
      <c r="CRE29" s="819"/>
      <c r="CRF29" s="819"/>
      <c r="CRG29" s="819"/>
      <c r="CRH29" s="819"/>
      <c r="CRI29" s="819"/>
      <c r="CRJ29" s="819"/>
      <c r="CRK29" s="819"/>
      <c r="CRL29" s="819"/>
      <c r="CRM29" s="819"/>
      <c r="CRN29" s="819"/>
      <c r="CRO29" s="819"/>
      <c r="CRP29" s="819"/>
      <c r="CRQ29" s="819"/>
      <c r="CRR29" s="819"/>
      <c r="CRS29" s="819"/>
      <c r="CRT29" s="819"/>
      <c r="CRU29" s="819"/>
      <c r="CRV29" s="819"/>
      <c r="CRW29" s="819"/>
      <c r="CRX29" s="819"/>
      <c r="CRY29" s="819"/>
      <c r="CRZ29" s="819"/>
      <c r="CSA29" s="819"/>
      <c r="CSB29" s="819"/>
      <c r="CSC29" s="819"/>
      <c r="CSD29" s="819"/>
      <c r="CSE29" s="819"/>
      <c r="CSF29" s="819"/>
      <c r="CSG29" s="819"/>
      <c r="CSH29" s="819"/>
      <c r="CSI29" s="819"/>
      <c r="CSJ29" s="819"/>
      <c r="CSK29" s="819"/>
      <c r="CSL29" s="819"/>
      <c r="CSM29" s="819"/>
      <c r="CSN29" s="819"/>
      <c r="CSO29" s="819"/>
      <c r="CSP29" s="819"/>
      <c r="CSQ29" s="819"/>
      <c r="CSR29" s="819"/>
      <c r="CSS29" s="819"/>
      <c r="CST29" s="819"/>
      <c r="CSU29" s="819"/>
      <c r="CSV29" s="819"/>
      <c r="CSW29" s="819"/>
      <c r="CSX29" s="819"/>
      <c r="CSY29" s="819"/>
      <c r="CSZ29" s="819"/>
      <c r="CTA29" s="819"/>
      <c r="CTB29" s="819"/>
      <c r="CTC29" s="819"/>
      <c r="CTD29" s="819"/>
      <c r="CTE29" s="819"/>
      <c r="CTF29" s="819"/>
      <c r="CTG29" s="819"/>
      <c r="CTH29" s="819"/>
      <c r="CTI29" s="819"/>
      <c r="CTJ29" s="819"/>
      <c r="CTK29" s="819"/>
      <c r="CTL29" s="819"/>
      <c r="CTM29" s="819"/>
      <c r="CTN29" s="819"/>
      <c r="CTO29" s="819"/>
      <c r="CTP29" s="819"/>
      <c r="CTQ29" s="819"/>
      <c r="CTR29" s="819"/>
      <c r="CTS29" s="819"/>
      <c r="CTT29" s="819"/>
      <c r="CTU29" s="819"/>
      <c r="CTV29" s="819"/>
      <c r="CTW29" s="819"/>
      <c r="CTX29" s="819"/>
      <c r="CTY29" s="819"/>
      <c r="CTZ29" s="819"/>
      <c r="CUA29" s="819"/>
      <c r="CUB29" s="819"/>
      <c r="CUC29" s="819"/>
      <c r="CUD29" s="819"/>
      <c r="CUE29" s="819"/>
      <c r="CUF29" s="819"/>
      <c r="CUG29" s="819"/>
      <c r="CUH29" s="819"/>
      <c r="CUI29" s="819"/>
      <c r="CUJ29" s="819"/>
      <c r="CUK29" s="819"/>
      <c r="CUL29" s="819"/>
      <c r="CUM29" s="819"/>
      <c r="CUN29" s="819"/>
      <c r="CUO29" s="819"/>
      <c r="CUP29" s="819"/>
      <c r="CUQ29" s="819"/>
      <c r="CUR29" s="819"/>
      <c r="CUS29" s="819"/>
      <c r="CUT29" s="819"/>
      <c r="CUU29" s="819"/>
      <c r="CUV29" s="819"/>
      <c r="CUW29" s="819"/>
      <c r="CUX29" s="819"/>
      <c r="CUY29" s="819"/>
      <c r="CUZ29" s="819"/>
      <c r="CVA29" s="819"/>
      <c r="CVB29" s="819"/>
      <c r="CVC29" s="819"/>
      <c r="CVD29" s="819"/>
      <c r="CVE29" s="819"/>
      <c r="CVF29" s="819"/>
      <c r="CVG29" s="819"/>
      <c r="CVH29" s="819"/>
      <c r="CVI29" s="819"/>
      <c r="CVJ29" s="819"/>
      <c r="CVK29" s="819"/>
      <c r="CVL29" s="819"/>
      <c r="CVM29" s="819"/>
      <c r="CVN29" s="819"/>
      <c r="CVO29" s="819"/>
      <c r="CVP29" s="819"/>
      <c r="CVQ29" s="819"/>
      <c r="CVR29" s="819"/>
      <c r="CVS29" s="819"/>
      <c r="CVT29" s="819"/>
      <c r="CVU29" s="819"/>
      <c r="CVV29" s="819"/>
      <c r="CVW29" s="819"/>
      <c r="CVX29" s="819"/>
      <c r="CVY29" s="819"/>
      <c r="CVZ29" s="819"/>
      <c r="CWA29" s="819"/>
      <c r="CWB29" s="819"/>
      <c r="CWC29" s="819"/>
      <c r="CWD29" s="819"/>
      <c r="CWE29" s="819"/>
      <c r="CWF29" s="819"/>
      <c r="CWG29" s="819"/>
      <c r="CWH29" s="819"/>
      <c r="CWI29" s="819"/>
      <c r="CWJ29" s="819"/>
      <c r="CWK29" s="819"/>
      <c r="CWL29" s="819"/>
      <c r="CWM29" s="819"/>
      <c r="CWN29" s="819"/>
      <c r="CWO29" s="819"/>
      <c r="CWP29" s="819"/>
      <c r="CWQ29" s="819"/>
      <c r="CWR29" s="819"/>
      <c r="CWS29" s="819"/>
      <c r="CWT29" s="819"/>
      <c r="CWU29" s="819"/>
      <c r="CWV29" s="819"/>
      <c r="CWW29" s="819"/>
      <c r="CWX29" s="819"/>
      <c r="CWY29" s="819"/>
      <c r="CWZ29" s="819"/>
      <c r="CXA29" s="819"/>
      <c r="CXB29" s="819"/>
      <c r="CXC29" s="819"/>
      <c r="CXD29" s="819"/>
      <c r="CXE29" s="819"/>
      <c r="CXF29" s="819"/>
      <c r="CXG29" s="819"/>
      <c r="CXH29" s="819"/>
      <c r="CXI29" s="819"/>
      <c r="CXJ29" s="819"/>
      <c r="CXK29" s="819"/>
      <c r="CXL29" s="819"/>
      <c r="CXM29" s="819"/>
      <c r="CXN29" s="819"/>
      <c r="CXO29" s="819"/>
      <c r="CXP29" s="819"/>
      <c r="CXQ29" s="819"/>
      <c r="CXR29" s="819"/>
      <c r="CXS29" s="819"/>
      <c r="CXT29" s="819"/>
      <c r="CXU29" s="819"/>
      <c r="CXV29" s="819"/>
      <c r="CXW29" s="819"/>
      <c r="CXX29" s="819"/>
      <c r="CXY29" s="819"/>
      <c r="CXZ29" s="819"/>
      <c r="CYA29" s="819"/>
      <c r="CYB29" s="819"/>
      <c r="CYC29" s="819"/>
      <c r="CYD29" s="819"/>
      <c r="CYE29" s="819"/>
      <c r="CYF29" s="819"/>
      <c r="CYG29" s="819"/>
      <c r="CYH29" s="819"/>
      <c r="CYI29" s="819"/>
      <c r="CYJ29" s="819"/>
      <c r="CYK29" s="819"/>
      <c r="CYL29" s="819"/>
      <c r="CYM29" s="819"/>
      <c r="CYN29" s="819"/>
      <c r="CYO29" s="819"/>
      <c r="CYP29" s="819"/>
      <c r="CYQ29" s="819"/>
      <c r="CYR29" s="819"/>
      <c r="CYS29" s="819"/>
      <c r="CYT29" s="819"/>
      <c r="CYU29" s="819"/>
      <c r="CYV29" s="819"/>
      <c r="CYW29" s="819"/>
      <c r="CYX29" s="819"/>
      <c r="CYY29" s="819"/>
      <c r="CYZ29" s="819"/>
      <c r="CZA29" s="819"/>
      <c r="CZB29" s="819"/>
      <c r="CZC29" s="819"/>
      <c r="CZD29" s="819"/>
      <c r="CZE29" s="819"/>
      <c r="CZF29" s="819"/>
      <c r="CZG29" s="819"/>
      <c r="CZH29" s="819"/>
      <c r="CZI29" s="819"/>
      <c r="CZJ29" s="819"/>
      <c r="CZK29" s="819"/>
      <c r="CZL29" s="819"/>
      <c r="CZM29" s="819"/>
      <c r="CZN29" s="819"/>
      <c r="CZO29" s="819"/>
      <c r="CZP29" s="819"/>
      <c r="CZQ29" s="819"/>
      <c r="CZR29" s="819"/>
      <c r="CZS29" s="819"/>
      <c r="CZT29" s="819"/>
      <c r="CZU29" s="819"/>
      <c r="CZV29" s="819"/>
      <c r="CZW29" s="819"/>
      <c r="CZX29" s="819"/>
      <c r="CZY29" s="819"/>
      <c r="CZZ29" s="819"/>
      <c r="DAA29" s="819"/>
      <c r="DAB29" s="819"/>
      <c r="DAC29" s="819"/>
      <c r="DAD29" s="819"/>
      <c r="DAE29" s="819"/>
      <c r="DAF29" s="819"/>
      <c r="DAG29" s="819"/>
      <c r="DAH29" s="819"/>
      <c r="DAI29" s="819"/>
      <c r="DAJ29" s="819"/>
      <c r="DAK29" s="819"/>
      <c r="DAL29" s="819"/>
      <c r="DAM29" s="819"/>
      <c r="DAN29" s="819"/>
      <c r="DAO29" s="819"/>
      <c r="DAP29" s="819"/>
      <c r="DAQ29" s="819"/>
      <c r="DAR29" s="819"/>
      <c r="DAS29" s="819"/>
      <c r="DAT29" s="819"/>
      <c r="DAU29" s="819"/>
      <c r="DAV29" s="819"/>
      <c r="DAW29" s="819"/>
      <c r="DAX29" s="819"/>
      <c r="DAY29" s="819"/>
      <c r="DAZ29" s="819"/>
      <c r="DBA29" s="819"/>
      <c r="DBB29" s="819"/>
      <c r="DBC29" s="819"/>
      <c r="DBD29" s="819"/>
      <c r="DBE29" s="819"/>
      <c r="DBF29" s="819"/>
      <c r="DBG29" s="819"/>
      <c r="DBH29" s="819"/>
      <c r="DBI29" s="819"/>
      <c r="DBJ29" s="819"/>
      <c r="DBK29" s="819"/>
      <c r="DBL29" s="819"/>
      <c r="DBM29" s="819"/>
      <c r="DBN29" s="819"/>
      <c r="DBO29" s="819"/>
      <c r="DBP29" s="819"/>
      <c r="DBQ29" s="819"/>
      <c r="DBR29" s="819"/>
      <c r="DBS29" s="819"/>
      <c r="DBT29" s="819"/>
      <c r="DBU29" s="819"/>
      <c r="DBV29" s="819"/>
      <c r="DBW29" s="819"/>
      <c r="DBX29" s="819"/>
      <c r="DBY29" s="819"/>
      <c r="DBZ29" s="819"/>
      <c r="DCA29" s="819"/>
      <c r="DCB29" s="819"/>
      <c r="DCC29" s="819"/>
      <c r="DCD29" s="819"/>
      <c r="DCE29" s="819"/>
      <c r="DCF29" s="819"/>
      <c r="DCG29" s="819"/>
      <c r="DCH29" s="819"/>
      <c r="DCI29" s="819"/>
      <c r="DCJ29" s="819"/>
      <c r="DCK29" s="819"/>
      <c r="DCL29" s="819"/>
      <c r="DCM29" s="819"/>
      <c r="DCN29" s="819"/>
      <c r="DCO29" s="819"/>
      <c r="DCP29" s="819"/>
      <c r="DCQ29" s="819"/>
      <c r="DCR29" s="819"/>
      <c r="DCS29" s="819"/>
      <c r="DCT29" s="819"/>
      <c r="DCU29" s="819"/>
      <c r="DCV29" s="819"/>
      <c r="DCW29" s="819"/>
      <c r="DCX29" s="819"/>
      <c r="DCY29" s="819"/>
      <c r="DCZ29" s="819"/>
      <c r="DDA29" s="819"/>
      <c r="DDB29" s="819"/>
      <c r="DDC29" s="819"/>
      <c r="DDD29" s="819"/>
      <c r="DDE29" s="819"/>
      <c r="DDF29" s="819"/>
      <c r="DDG29" s="819"/>
      <c r="DDH29" s="819"/>
      <c r="DDI29" s="819"/>
      <c r="DDJ29" s="819"/>
      <c r="DDK29" s="819"/>
      <c r="DDL29" s="819"/>
      <c r="DDM29" s="819"/>
      <c r="DDN29" s="819"/>
      <c r="DDO29" s="819"/>
      <c r="DDP29" s="819"/>
      <c r="DDQ29" s="819"/>
      <c r="DDR29" s="819"/>
      <c r="DDS29" s="819"/>
      <c r="DDT29" s="819"/>
      <c r="DDU29" s="819"/>
      <c r="DDV29" s="819"/>
      <c r="DDW29" s="819"/>
      <c r="DDX29" s="819"/>
      <c r="DDY29" s="819"/>
      <c r="DDZ29" s="819"/>
      <c r="DEA29" s="819"/>
      <c r="DEB29" s="819"/>
      <c r="DEC29" s="819"/>
      <c r="DED29" s="819"/>
      <c r="DEE29" s="819"/>
      <c r="DEF29" s="819"/>
      <c r="DEG29" s="819"/>
      <c r="DEH29" s="819"/>
      <c r="DEI29" s="819"/>
      <c r="DEJ29" s="819"/>
      <c r="DEK29" s="819"/>
      <c r="DEL29" s="819"/>
      <c r="DEM29" s="819"/>
      <c r="DEN29" s="819"/>
      <c r="DEO29" s="819"/>
      <c r="DEP29" s="819"/>
      <c r="DEQ29" s="819"/>
      <c r="DER29" s="819"/>
      <c r="DES29" s="819"/>
      <c r="DET29" s="819"/>
      <c r="DEU29" s="819"/>
      <c r="DEV29" s="819"/>
      <c r="DEW29" s="819"/>
      <c r="DEX29" s="819"/>
      <c r="DEY29" s="819"/>
      <c r="DEZ29" s="819"/>
      <c r="DFA29" s="819"/>
      <c r="DFB29" s="819"/>
      <c r="DFC29" s="819"/>
      <c r="DFD29" s="819"/>
      <c r="DFE29" s="819"/>
      <c r="DFF29" s="819"/>
      <c r="DFG29" s="819"/>
      <c r="DFH29" s="819"/>
      <c r="DFI29" s="819"/>
      <c r="DFJ29" s="819"/>
      <c r="DFK29" s="819"/>
      <c r="DFL29" s="819"/>
      <c r="DFM29" s="819"/>
      <c r="DFN29" s="819"/>
      <c r="DFO29" s="819"/>
      <c r="DFP29" s="819"/>
      <c r="DFQ29" s="819"/>
      <c r="DFR29" s="819"/>
      <c r="DFS29" s="819"/>
      <c r="DFT29" s="819"/>
      <c r="DFU29" s="819"/>
      <c r="DFV29" s="819"/>
      <c r="DFW29" s="819"/>
      <c r="DFX29" s="819"/>
      <c r="DFY29" s="819"/>
      <c r="DFZ29" s="819"/>
      <c r="DGA29" s="819"/>
      <c r="DGB29" s="819"/>
      <c r="DGC29" s="819"/>
      <c r="DGD29" s="819"/>
      <c r="DGE29" s="819"/>
      <c r="DGF29" s="819"/>
      <c r="DGG29" s="819"/>
      <c r="DGH29" s="819"/>
      <c r="DGI29" s="819"/>
      <c r="DGJ29" s="819"/>
      <c r="DGK29" s="819"/>
      <c r="DGL29" s="819"/>
      <c r="DGM29" s="819"/>
      <c r="DGN29" s="819"/>
      <c r="DGO29" s="819"/>
      <c r="DGP29" s="819"/>
      <c r="DGQ29" s="819"/>
      <c r="DGR29" s="819"/>
      <c r="DGS29" s="819"/>
      <c r="DGT29" s="819"/>
      <c r="DGU29" s="819"/>
      <c r="DGV29" s="819"/>
      <c r="DGW29" s="819"/>
      <c r="DGX29" s="819"/>
      <c r="DGY29" s="819"/>
      <c r="DGZ29" s="819"/>
      <c r="DHA29" s="819"/>
      <c r="DHB29" s="819"/>
      <c r="DHC29" s="819"/>
      <c r="DHD29" s="819"/>
      <c r="DHE29" s="819"/>
      <c r="DHF29" s="819"/>
      <c r="DHG29" s="819"/>
      <c r="DHH29" s="819"/>
      <c r="DHI29" s="819"/>
      <c r="DHJ29" s="819"/>
      <c r="DHK29" s="819"/>
      <c r="DHL29" s="819"/>
      <c r="DHM29" s="819"/>
      <c r="DHN29" s="819"/>
      <c r="DHO29" s="819"/>
      <c r="DHP29" s="819"/>
      <c r="DHQ29" s="819"/>
      <c r="DHR29" s="819"/>
      <c r="DHS29" s="819"/>
      <c r="DHT29" s="819"/>
      <c r="DHU29" s="819"/>
      <c r="DHV29" s="819"/>
      <c r="DHW29" s="819"/>
      <c r="DHX29" s="819"/>
      <c r="DHY29" s="819"/>
      <c r="DHZ29" s="819"/>
      <c r="DIA29" s="819"/>
      <c r="DIB29" s="819"/>
      <c r="DIC29" s="819"/>
      <c r="DID29" s="819"/>
      <c r="DIE29" s="819"/>
      <c r="DIF29" s="819"/>
      <c r="DIG29" s="819"/>
      <c r="DIH29" s="819"/>
      <c r="DII29" s="819"/>
      <c r="DIJ29" s="819"/>
      <c r="DIK29" s="819"/>
      <c r="DIL29" s="819"/>
      <c r="DIM29" s="819"/>
      <c r="DIN29" s="819"/>
      <c r="DIO29" s="819"/>
      <c r="DIP29" s="819"/>
      <c r="DIQ29" s="819"/>
      <c r="DIR29" s="819"/>
      <c r="DIS29" s="819"/>
      <c r="DIT29" s="819"/>
      <c r="DIU29" s="819"/>
      <c r="DIV29" s="819"/>
      <c r="DIW29" s="819"/>
      <c r="DIX29" s="819"/>
      <c r="DIY29" s="819"/>
      <c r="DIZ29" s="819"/>
      <c r="DJA29" s="819"/>
      <c r="DJB29" s="819"/>
      <c r="DJC29" s="819"/>
      <c r="DJD29" s="819"/>
      <c r="DJE29" s="819"/>
      <c r="DJF29" s="819"/>
      <c r="DJG29" s="819"/>
      <c r="DJH29" s="819"/>
      <c r="DJI29" s="819"/>
      <c r="DJJ29" s="819"/>
      <c r="DJK29" s="819"/>
      <c r="DJL29" s="819"/>
      <c r="DJM29" s="819"/>
      <c r="DJN29" s="819"/>
      <c r="DJO29" s="819"/>
      <c r="DJP29" s="819"/>
      <c r="DJQ29" s="819"/>
      <c r="DJR29" s="819"/>
      <c r="DJS29" s="819"/>
      <c r="DJT29" s="819"/>
      <c r="DJU29" s="819"/>
      <c r="DJV29" s="819"/>
      <c r="DJW29" s="819"/>
      <c r="DJX29" s="819"/>
      <c r="DJY29" s="819"/>
      <c r="DJZ29" s="819"/>
      <c r="DKA29" s="819"/>
      <c r="DKB29" s="819"/>
      <c r="DKC29" s="819"/>
      <c r="DKD29" s="819"/>
      <c r="DKE29" s="819"/>
      <c r="DKF29" s="819"/>
      <c r="DKG29" s="819"/>
      <c r="DKH29" s="819"/>
      <c r="DKI29" s="819"/>
      <c r="DKJ29" s="819"/>
      <c r="DKK29" s="819"/>
      <c r="DKL29" s="819"/>
      <c r="DKM29" s="819"/>
      <c r="DKN29" s="819"/>
      <c r="DKO29" s="819"/>
      <c r="DKP29" s="819"/>
      <c r="DKQ29" s="819"/>
      <c r="DKR29" s="819"/>
      <c r="DKS29" s="819"/>
      <c r="DKT29" s="819"/>
      <c r="DKU29" s="819"/>
      <c r="DKV29" s="819"/>
      <c r="DKW29" s="819"/>
      <c r="DKX29" s="819"/>
      <c r="DKY29" s="819"/>
      <c r="DKZ29" s="819"/>
      <c r="DLA29" s="819"/>
      <c r="DLB29" s="819"/>
      <c r="DLC29" s="819"/>
      <c r="DLD29" s="819"/>
      <c r="DLE29" s="819"/>
      <c r="DLF29" s="819"/>
      <c r="DLG29" s="819"/>
      <c r="DLH29" s="819"/>
      <c r="DLI29" s="819"/>
      <c r="DLJ29" s="819"/>
      <c r="DLK29" s="819"/>
      <c r="DLL29" s="819"/>
      <c r="DLM29" s="819"/>
      <c r="DLN29" s="819"/>
      <c r="DLO29" s="819"/>
      <c r="DLP29" s="819"/>
      <c r="DLQ29" s="819"/>
      <c r="DLR29" s="819"/>
      <c r="DLS29" s="819"/>
      <c r="DLT29" s="819"/>
      <c r="DLU29" s="819"/>
      <c r="DLV29" s="819"/>
      <c r="DLW29" s="819"/>
      <c r="DLX29" s="819"/>
      <c r="DLY29" s="819"/>
      <c r="DLZ29" s="819"/>
      <c r="DMA29" s="819"/>
      <c r="DMB29" s="819"/>
      <c r="DMC29" s="819"/>
      <c r="DMD29" s="819"/>
      <c r="DME29" s="819"/>
      <c r="DMF29" s="819"/>
      <c r="DMG29" s="819"/>
      <c r="DMH29" s="819"/>
      <c r="DMI29" s="819"/>
      <c r="DMJ29" s="819"/>
      <c r="DMK29" s="819"/>
      <c r="DML29" s="819"/>
      <c r="DMM29" s="819"/>
      <c r="DMN29" s="819"/>
      <c r="DMO29" s="819"/>
      <c r="DMP29" s="819"/>
      <c r="DMQ29" s="819"/>
      <c r="DMR29" s="819"/>
      <c r="DMS29" s="819"/>
      <c r="DMT29" s="819"/>
      <c r="DMU29" s="819"/>
      <c r="DMV29" s="819"/>
      <c r="DMW29" s="819"/>
      <c r="DMX29" s="819"/>
      <c r="DMY29" s="819"/>
      <c r="DMZ29" s="819"/>
      <c r="DNA29" s="819"/>
      <c r="DNB29" s="819"/>
      <c r="DNC29" s="819"/>
      <c r="DND29" s="819"/>
      <c r="DNE29" s="819"/>
      <c r="DNF29" s="819"/>
      <c r="DNG29" s="819"/>
      <c r="DNH29" s="819"/>
      <c r="DNI29" s="819"/>
      <c r="DNJ29" s="819"/>
      <c r="DNK29" s="819"/>
      <c r="DNL29" s="819"/>
      <c r="DNM29" s="819"/>
      <c r="DNN29" s="819"/>
      <c r="DNO29" s="819"/>
      <c r="DNP29" s="819"/>
      <c r="DNQ29" s="819"/>
      <c r="DNR29" s="819"/>
      <c r="DNS29" s="819"/>
      <c r="DNT29" s="819"/>
      <c r="DNU29" s="819"/>
      <c r="DNV29" s="819"/>
      <c r="DNW29" s="819"/>
      <c r="DNX29" s="819"/>
      <c r="DNY29" s="819"/>
      <c r="DNZ29" s="819"/>
      <c r="DOA29" s="819"/>
      <c r="DOB29" s="819"/>
      <c r="DOC29" s="819"/>
      <c r="DOD29" s="819"/>
      <c r="DOE29" s="819"/>
      <c r="DOF29" s="819"/>
      <c r="DOG29" s="819"/>
      <c r="DOH29" s="819"/>
      <c r="DOI29" s="819"/>
      <c r="DOJ29" s="819"/>
      <c r="DOK29" s="819"/>
      <c r="DOL29" s="819"/>
      <c r="DOM29" s="819"/>
      <c r="DON29" s="819"/>
      <c r="DOO29" s="819"/>
      <c r="DOP29" s="819"/>
      <c r="DOQ29" s="819"/>
      <c r="DOR29" s="819"/>
      <c r="DOS29" s="819"/>
      <c r="DOT29" s="819"/>
      <c r="DOU29" s="819"/>
      <c r="DOV29" s="819"/>
      <c r="DOW29" s="819"/>
      <c r="DOX29" s="819"/>
      <c r="DOY29" s="819"/>
      <c r="DOZ29" s="819"/>
      <c r="DPA29" s="819"/>
      <c r="DPB29" s="819"/>
      <c r="DPC29" s="819"/>
      <c r="DPD29" s="819"/>
      <c r="DPE29" s="819"/>
      <c r="DPF29" s="819"/>
      <c r="DPG29" s="819"/>
      <c r="DPH29" s="819"/>
      <c r="DPI29" s="819"/>
      <c r="DPJ29" s="819"/>
      <c r="DPK29" s="819"/>
      <c r="DPL29" s="819"/>
      <c r="DPM29" s="819"/>
      <c r="DPN29" s="819"/>
      <c r="DPO29" s="819"/>
      <c r="DPP29" s="819"/>
      <c r="DPQ29" s="819"/>
      <c r="DPR29" s="819"/>
      <c r="DPS29" s="819"/>
      <c r="DPT29" s="819"/>
      <c r="DPU29" s="819"/>
      <c r="DPV29" s="819"/>
      <c r="DPW29" s="819"/>
      <c r="DPX29" s="819"/>
      <c r="DPY29" s="819"/>
      <c r="DPZ29" s="819"/>
      <c r="DQA29" s="819"/>
      <c r="DQB29" s="819"/>
      <c r="DQC29" s="819"/>
      <c r="DQD29" s="819"/>
      <c r="DQE29" s="819"/>
      <c r="DQF29" s="819"/>
      <c r="DQG29" s="819"/>
      <c r="DQH29" s="819"/>
      <c r="DQI29" s="819"/>
      <c r="DQJ29" s="819"/>
      <c r="DQK29" s="819"/>
      <c r="DQL29" s="819"/>
      <c r="DQM29" s="819"/>
      <c r="DQN29" s="819"/>
      <c r="DQO29" s="819"/>
      <c r="DQP29" s="819"/>
      <c r="DQQ29" s="819"/>
      <c r="DQR29" s="819"/>
      <c r="DQS29" s="819"/>
      <c r="DQT29" s="819"/>
      <c r="DQU29" s="819"/>
      <c r="DQV29" s="819"/>
      <c r="DQW29" s="819"/>
      <c r="DQX29" s="819"/>
      <c r="DQY29" s="819"/>
      <c r="DQZ29" s="819"/>
      <c r="DRA29" s="819"/>
      <c r="DRB29" s="819"/>
      <c r="DRC29" s="819"/>
      <c r="DRD29" s="819"/>
      <c r="DRE29" s="819"/>
      <c r="DRF29" s="819"/>
      <c r="DRG29" s="819"/>
      <c r="DRH29" s="819"/>
      <c r="DRI29" s="819"/>
      <c r="DRJ29" s="819"/>
      <c r="DRK29" s="819"/>
      <c r="DRL29" s="819"/>
      <c r="DRM29" s="819"/>
      <c r="DRN29" s="819"/>
      <c r="DRO29" s="819"/>
      <c r="DRP29" s="819"/>
      <c r="DRQ29" s="819"/>
      <c r="DRR29" s="819"/>
      <c r="DRS29" s="819"/>
      <c r="DRT29" s="819"/>
      <c r="DRU29" s="819"/>
      <c r="DRV29" s="819"/>
      <c r="DRW29" s="819"/>
      <c r="DRX29" s="819"/>
      <c r="DRY29" s="819"/>
      <c r="DRZ29" s="819"/>
      <c r="DSA29" s="819"/>
      <c r="DSB29" s="819"/>
      <c r="DSC29" s="819"/>
      <c r="DSD29" s="819"/>
      <c r="DSE29" s="819"/>
      <c r="DSF29" s="819"/>
      <c r="DSG29" s="819"/>
      <c r="DSH29" s="819"/>
      <c r="DSI29" s="819"/>
      <c r="DSJ29" s="819"/>
      <c r="DSK29" s="819"/>
      <c r="DSL29" s="819"/>
      <c r="DSM29" s="819"/>
      <c r="DSN29" s="819"/>
      <c r="DSO29" s="819"/>
      <c r="DSP29" s="819"/>
      <c r="DSQ29" s="819"/>
      <c r="DSR29" s="819"/>
      <c r="DSS29" s="819"/>
      <c r="DST29" s="819"/>
      <c r="DSU29" s="819"/>
      <c r="DSV29" s="819"/>
      <c r="DSW29" s="819"/>
      <c r="DSX29" s="819"/>
      <c r="DSY29" s="819"/>
      <c r="DSZ29" s="819"/>
      <c r="DTA29" s="819"/>
      <c r="DTB29" s="819"/>
      <c r="DTC29" s="819"/>
      <c r="DTD29" s="819"/>
      <c r="DTE29" s="819"/>
      <c r="DTF29" s="819"/>
      <c r="DTG29" s="819"/>
      <c r="DTH29" s="819"/>
      <c r="DTI29" s="819"/>
      <c r="DTJ29" s="819"/>
      <c r="DTK29" s="819"/>
      <c r="DTL29" s="819"/>
      <c r="DTM29" s="819"/>
      <c r="DTN29" s="819"/>
      <c r="DTO29" s="819"/>
      <c r="DTP29" s="819"/>
      <c r="DTQ29" s="819"/>
      <c r="DTR29" s="819"/>
      <c r="DTS29" s="819"/>
      <c r="DTT29" s="819"/>
      <c r="DTU29" s="819"/>
      <c r="DTV29" s="819"/>
      <c r="DTW29" s="819"/>
      <c r="DTX29" s="819"/>
      <c r="DTY29" s="819"/>
      <c r="DTZ29" s="819"/>
      <c r="DUA29" s="819"/>
      <c r="DUB29" s="819"/>
      <c r="DUC29" s="819"/>
      <c r="DUD29" s="819"/>
      <c r="DUE29" s="819"/>
      <c r="DUF29" s="819"/>
      <c r="DUG29" s="819"/>
      <c r="DUH29" s="819"/>
      <c r="DUI29" s="819"/>
      <c r="DUJ29" s="819"/>
      <c r="DUK29" s="819"/>
      <c r="DUL29" s="819"/>
      <c r="DUM29" s="819"/>
      <c r="DUN29" s="819"/>
      <c r="DUO29" s="819"/>
      <c r="DUP29" s="819"/>
      <c r="DUQ29" s="819"/>
      <c r="DUR29" s="819"/>
      <c r="DUS29" s="819"/>
      <c r="DUT29" s="819"/>
      <c r="DUU29" s="819"/>
      <c r="DUV29" s="819"/>
      <c r="DUW29" s="819"/>
      <c r="DUX29" s="819"/>
      <c r="DUY29" s="819"/>
      <c r="DUZ29" s="819"/>
      <c r="DVA29" s="819"/>
      <c r="DVB29" s="819"/>
      <c r="DVC29" s="819"/>
      <c r="DVD29" s="819"/>
      <c r="DVE29" s="819"/>
      <c r="DVF29" s="819"/>
      <c r="DVG29" s="819"/>
      <c r="DVH29" s="819"/>
      <c r="DVI29" s="819"/>
      <c r="DVJ29" s="819"/>
      <c r="DVK29" s="819"/>
      <c r="DVL29" s="819"/>
      <c r="DVM29" s="819"/>
      <c r="DVN29" s="819"/>
      <c r="DVO29" s="819"/>
      <c r="DVP29" s="819"/>
      <c r="DVQ29" s="819"/>
      <c r="DVR29" s="819"/>
      <c r="DVS29" s="819"/>
      <c r="DVT29" s="819"/>
      <c r="DVU29" s="819"/>
      <c r="DVV29" s="819"/>
      <c r="DVW29" s="819"/>
      <c r="DVX29" s="819"/>
      <c r="DVY29" s="819"/>
      <c r="DVZ29" s="819"/>
      <c r="DWA29" s="819"/>
      <c r="DWB29" s="819"/>
      <c r="DWC29" s="819"/>
      <c r="DWD29" s="819"/>
      <c r="DWE29" s="819"/>
      <c r="DWF29" s="819"/>
      <c r="DWG29" s="819"/>
      <c r="DWH29" s="819"/>
      <c r="DWI29" s="819"/>
      <c r="DWJ29" s="819"/>
      <c r="DWK29" s="819"/>
      <c r="DWL29" s="819"/>
      <c r="DWM29" s="819"/>
      <c r="DWN29" s="819"/>
      <c r="DWO29" s="819"/>
      <c r="DWP29" s="819"/>
      <c r="DWQ29" s="819"/>
      <c r="DWR29" s="819"/>
      <c r="DWS29" s="819"/>
      <c r="DWT29" s="819"/>
      <c r="DWU29" s="819"/>
      <c r="DWV29" s="819"/>
      <c r="DWW29" s="819"/>
      <c r="DWX29" s="819"/>
      <c r="DWY29" s="819"/>
      <c r="DWZ29" s="819"/>
      <c r="DXA29" s="819"/>
      <c r="DXB29" s="819"/>
      <c r="DXC29" s="819"/>
      <c r="DXD29" s="819"/>
      <c r="DXE29" s="819"/>
      <c r="DXF29" s="819"/>
      <c r="DXG29" s="819"/>
      <c r="DXH29" s="819"/>
      <c r="DXI29" s="819"/>
      <c r="DXJ29" s="819"/>
      <c r="DXK29" s="819"/>
      <c r="DXL29" s="819"/>
      <c r="DXM29" s="819"/>
      <c r="DXN29" s="819"/>
      <c r="DXO29" s="819"/>
      <c r="DXP29" s="819"/>
      <c r="DXQ29" s="819"/>
      <c r="DXR29" s="819"/>
      <c r="DXS29" s="819"/>
      <c r="DXT29" s="819"/>
      <c r="DXU29" s="819"/>
      <c r="DXV29" s="819"/>
      <c r="DXW29" s="819"/>
      <c r="DXX29" s="819"/>
      <c r="DXY29" s="819"/>
      <c r="DXZ29" s="819"/>
      <c r="DYA29" s="819"/>
      <c r="DYB29" s="819"/>
      <c r="DYC29" s="819"/>
      <c r="DYD29" s="819"/>
      <c r="DYE29" s="819"/>
      <c r="DYF29" s="819"/>
      <c r="DYG29" s="819"/>
      <c r="DYH29" s="819"/>
      <c r="DYI29" s="819"/>
      <c r="DYJ29" s="819"/>
      <c r="DYK29" s="819"/>
      <c r="DYL29" s="819"/>
      <c r="DYM29" s="819"/>
      <c r="DYN29" s="819"/>
      <c r="DYO29" s="819"/>
      <c r="DYP29" s="819"/>
      <c r="DYQ29" s="819"/>
      <c r="DYR29" s="819"/>
      <c r="DYS29" s="819"/>
      <c r="DYT29" s="819"/>
      <c r="DYU29" s="819"/>
      <c r="DYV29" s="819"/>
      <c r="DYW29" s="819"/>
      <c r="DYX29" s="819"/>
      <c r="DYY29" s="819"/>
      <c r="DYZ29" s="819"/>
      <c r="DZA29" s="819"/>
      <c r="DZB29" s="819"/>
      <c r="DZC29" s="819"/>
      <c r="DZD29" s="819"/>
      <c r="DZE29" s="819"/>
      <c r="DZF29" s="819"/>
      <c r="DZG29" s="819"/>
      <c r="DZH29" s="819"/>
      <c r="DZI29" s="819"/>
      <c r="DZJ29" s="819"/>
      <c r="DZK29" s="819"/>
      <c r="DZL29" s="819"/>
      <c r="DZM29" s="819"/>
      <c r="DZN29" s="819"/>
      <c r="DZO29" s="819"/>
      <c r="DZP29" s="819"/>
      <c r="DZQ29" s="819"/>
      <c r="DZR29" s="819"/>
      <c r="DZS29" s="819"/>
      <c r="DZT29" s="819"/>
      <c r="DZU29" s="819"/>
      <c r="DZV29" s="819"/>
      <c r="DZW29" s="819"/>
      <c r="DZX29" s="819"/>
      <c r="DZY29" s="819"/>
      <c r="DZZ29" s="819"/>
      <c r="EAA29" s="819"/>
      <c r="EAB29" s="819"/>
      <c r="EAC29" s="819"/>
      <c r="EAD29" s="819"/>
      <c r="EAE29" s="819"/>
      <c r="EAF29" s="819"/>
      <c r="EAG29" s="819"/>
      <c r="EAH29" s="819"/>
      <c r="EAI29" s="819"/>
      <c r="EAJ29" s="819"/>
      <c r="EAK29" s="819"/>
      <c r="EAL29" s="819"/>
      <c r="EAM29" s="819"/>
      <c r="EAN29" s="819"/>
      <c r="EAO29" s="819"/>
      <c r="EAP29" s="819"/>
      <c r="EAQ29" s="819"/>
      <c r="EAR29" s="819"/>
      <c r="EAS29" s="819"/>
      <c r="EAT29" s="819"/>
      <c r="EAU29" s="819"/>
      <c r="EAV29" s="819"/>
      <c r="EAW29" s="819"/>
      <c r="EAX29" s="819"/>
      <c r="EAY29" s="819"/>
      <c r="EAZ29" s="819"/>
      <c r="EBA29" s="819"/>
      <c r="EBB29" s="819"/>
      <c r="EBC29" s="819"/>
      <c r="EBD29" s="819"/>
      <c r="EBE29" s="819"/>
      <c r="EBF29" s="819"/>
      <c r="EBG29" s="819"/>
      <c r="EBH29" s="819"/>
      <c r="EBI29" s="819"/>
      <c r="EBJ29" s="819"/>
      <c r="EBK29" s="819"/>
      <c r="EBL29" s="819"/>
      <c r="EBM29" s="819"/>
      <c r="EBN29" s="819"/>
      <c r="EBO29" s="819"/>
      <c r="EBP29" s="819"/>
      <c r="EBQ29" s="819"/>
      <c r="EBR29" s="819"/>
      <c r="EBS29" s="819"/>
      <c r="EBT29" s="819"/>
      <c r="EBU29" s="819"/>
      <c r="EBV29" s="819"/>
      <c r="EBW29" s="819"/>
      <c r="EBX29" s="819"/>
      <c r="EBY29" s="819"/>
      <c r="EBZ29" s="819"/>
      <c r="ECA29" s="819"/>
      <c r="ECB29" s="819"/>
      <c r="ECC29" s="819"/>
      <c r="ECD29" s="819"/>
      <c r="ECE29" s="819"/>
      <c r="ECF29" s="819"/>
      <c r="ECG29" s="819"/>
      <c r="ECH29" s="819"/>
      <c r="ECI29" s="819"/>
      <c r="ECJ29" s="819"/>
      <c r="ECK29" s="819"/>
      <c r="ECL29" s="819"/>
      <c r="ECM29" s="819"/>
      <c r="ECN29" s="819"/>
      <c r="ECO29" s="819"/>
      <c r="ECP29" s="819"/>
      <c r="ECQ29" s="819"/>
      <c r="ECR29" s="819"/>
      <c r="ECS29" s="819"/>
      <c r="ECT29" s="819"/>
      <c r="ECU29" s="819"/>
      <c r="ECV29" s="819"/>
      <c r="ECW29" s="819"/>
      <c r="ECX29" s="819"/>
      <c r="ECY29" s="819"/>
      <c r="ECZ29" s="819"/>
      <c r="EDA29" s="819"/>
      <c r="EDB29" s="819"/>
      <c r="EDC29" s="819"/>
      <c r="EDD29" s="819"/>
      <c r="EDE29" s="819"/>
      <c r="EDF29" s="819"/>
      <c r="EDG29" s="819"/>
      <c r="EDH29" s="819"/>
      <c r="EDI29" s="819"/>
      <c r="EDJ29" s="819"/>
      <c r="EDK29" s="819"/>
      <c r="EDL29" s="819"/>
      <c r="EDM29" s="819"/>
      <c r="EDN29" s="819"/>
      <c r="EDO29" s="819"/>
      <c r="EDP29" s="819"/>
      <c r="EDQ29" s="819"/>
      <c r="EDR29" s="819"/>
      <c r="EDS29" s="819"/>
      <c r="EDT29" s="819"/>
      <c r="EDU29" s="819"/>
      <c r="EDV29" s="819"/>
      <c r="EDW29" s="819"/>
      <c r="EDX29" s="819"/>
      <c r="EDY29" s="819"/>
      <c r="EDZ29" s="819"/>
      <c r="EEA29" s="819"/>
      <c r="EEB29" s="819"/>
      <c r="EEC29" s="819"/>
      <c r="EED29" s="819"/>
      <c r="EEE29" s="819"/>
      <c r="EEF29" s="819"/>
      <c r="EEG29" s="819"/>
      <c r="EEH29" s="819"/>
      <c r="EEI29" s="819"/>
      <c r="EEJ29" s="819"/>
      <c r="EEK29" s="819"/>
      <c r="EEL29" s="819"/>
      <c r="EEM29" s="819"/>
      <c r="EEN29" s="819"/>
      <c r="EEO29" s="819"/>
      <c r="EEP29" s="819"/>
      <c r="EEQ29" s="819"/>
      <c r="EER29" s="819"/>
      <c r="EES29" s="819"/>
      <c r="EET29" s="819"/>
      <c r="EEU29" s="819"/>
      <c r="EEV29" s="819"/>
      <c r="EEW29" s="819"/>
      <c r="EEX29" s="819"/>
      <c r="EEY29" s="819"/>
      <c r="EEZ29" s="819"/>
      <c r="EFA29" s="819"/>
      <c r="EFB29" s="819"/>
      <c r="EFC29" s="819"/>
      <c r="EFD29" s="819"/>
      <c r="EFE29" s="819"/>
      <c r="EFF29" s="819"/>
      <c r="EFG29" s="819"/>
      <c r="EFH29" s="819"/>
      <c r="EFI29" s="819"/>
      <c r="EFJ29" s="819"/>
      <c r="EFK29" s="819"/>
      <c r="EFL29" s="819"/>
      <c r="EFM29" s="819"/>
      <c r="EFN29" s="819"/>
      <c r="EFO29" s="819"/>
      <c r="EFP29" s="819"/>
      <c r="EFQ29" s="819"/>
      <c r="EFR29" s="819"/>
      <c r="EFS29" s="819"/>
      <c r="EFT29" s="819"/>
      <c r="EFU29" s="819"/>
      <c r="EFV29" s="819"/>
      <c r="EFW29" s="819"/>
      <c r="EFX29" s="819"/>
      <c r="EFY29" s="819"/>
      <c r="EFZ29" s="819"/>
      <c r="EGA29" s="819"/>
      <c r="EGB29" s="819"/>
      <c r="EGC29" s="819"/>
      <c r="EGD29" s="819"/>
      <c r="EGE29" s="819"/>
      <c r="EGF29" s="819"/>
      <c r="EGG29" s="819"/>
      <c r="EGH29" s="819"/>
      <c r="EGI29" s="819"/>
      <c r="EGJ29" s="819"/>
      <c r="EGK29" s="819"/>
      <c r="EGL29" s="819"/>
      <c r="EGM29" s="819"/>
      <c r="EGN29" s="819"/>
      <c r="EGO29" s="819"/>
      <c r="EGP29" s="819"/>
      <c r="EGQ29" s="819"/>
      <c r="EGR29" s="819"/>
      <c r="EGS29" s="819"/>
      <c r="EGT29" s="819"/>
      <c r="EGU29" s="819"/>
      <c r="EGV29" s="819"/>
      <c r="EGW29" s="819"/>
      <c r="EGX29" s="819"/>
      <c r="EGY29" s="819"/>
      <c r="EGZ29" s="819"/>
      <c r="EHA29" s="819"/>
      <c r="EHB29" s="819"/>
      <c r="EHC29" s="819"/>
      <c r="EHD29" s="819"/>
      <c r="EHE29" s="819"/>
      <c r="EHF29" s="819"/>
      <c r="EHG29" s="819"/>
      <c r="EHH29" s="819"/>
      <c r="EHI29" s="819"/>
      <c r="EHJ29" s="819"/>
      <c r="EHK29" s="819"/>
      <c r="EHL29" s="819"/>
      <c r="EHM29" s="819"/>
      <c r="EHN29" s="819"/>
      <c r="EHO29" s="819"/>
      <c r="EHP29" s="819"/>
      <c r="EHQ29" s="819"/>
      <c r="EHR29" s="819"/>
      <c r="EHS29" s="819"/>
      <c r="EHT29" s="819"/>
      <c r="EHU29" s="819"/>
      <c r="EHV29" s="819"/>
      <c r="EHW29" s="819"/>
      <c r="EHX29" s="819"/>
      <c r="EHY29" s="819"/>
      <c r="EHZ29" s="819"/>
      <c r="EIA29" s="819"/>
      <c r="EIB29" s="819"/>
      <c r="EIC29" s="819"/>
      <c r="EID29" s="819"/>
      <c r="EIE29" s="819"/>
      <c r="EIF29" s="819"/>
      <c r="EIG29" s="819"/>
      <c r="EIH29" s="819"/>
      <c r="EII29" s="819"/>
      <c r="EIJ29" s="819"/>
      <c r="EIK29" s="819"/>
      <c r="EIL29" s="819"/>
      <c r="EIM29" s="819"/>
      <c r="EIN29" s="819"/>
      <c r="EIO29" s="819"/>
      <c r="EIP29" s="819"/>
      <c r="EIQ29" s="819"/>
      <c r="EIR29" s="819"/>
      <c r="EIS29" s="819"/>
      <c r="EIT29" s="819"/>
      <c r="EIU29" s="819"/>
      <c r="EIV29" s="819"/>
      <c r="EIW29" s="819"/>
      <c r="EIX29" s="819"/>
      <c r="EIY29" s="819"/>
      <c r="EIZ29" s="819"/>
      <c r="EJA29" s="819"/>
      <c r="EJB29" s="819"/>
      <c r="EJC29" s="819"/>
      <c r="EJD29" s="819"/>
      <c r="EJE29" s="819"/>
      <c r="EJF29" s="819"/>
      <c r="EJG29" s="819"/>
      <c r="EJH29" s="819"/>
      <c r="EJI29" s="819"/>
      <c r="EJJ29" s="819"/>
      <c r="EJK29" s="819"/>
      <c r="EJL29" s="819"/>
      <c r="EJM29" s="819"/>
      <c r="EJN29" s="819"/>
      <c r="EJO29" s="819"/>
      <c r="EJP29" s="819"/>
      <c r="EJQ29" s="819"/>
      <c r="EJR29" s="819"/>
      <c r="EJS29" s="819"/>
      <c r="EJT29" s="819"/>
      <c r="EJU29" s="819"/>
      <c r="EJV29" s="819"/>
      <c r="EJW29" s="819"/>
      <c r="EJX29" s="819"/>
      <c r="EJY29" s="819"/>
      <c r="EJZ29" s="819"/>
      <c r="EKA29" s="819"/>
      <c r="EKB29" s="819"/>
      <c r="EKC29" s="819"/>
      <c r="EKD29" s="819"/>
      <c r="EKE29" s="819"/>
      <c r="EKF29" s="819"/>
      <c r="EKG29" s="819"/>
      <c r="EKH29" s="819"/>
      <c r="EKI29" s="819"/>
      <c r="EKJ29" s="819"/>
      <c r="EKK29" s="819"/>
      <c r="EKL29" s="819"/>
      <c r="EKM29" s="819"/>
      <c r="EKN29" s="819"/>
      <c r="EKO29" s="819"/>
      <c r="EKP29" s="819"/>
      <c r="EKQ29" s="819"/>
      <c r="EKR29" s="819"/>
      <c r="EKS29" s="819"/>
      <c r="EKT29" s="819"/>
      <c r="EKU29" s="819"/>
      <c r="EKV29" s="819"/>
      <c r="EKW29" s="819"/>
      <c r="EKX29" s="819"/>
      <c r="EKY29" s="819"/>
      <c r="EKZ29" s="819"/>
      <c r="ELA29" s="819"/>
      <c r="ELB29" s="819"/>
      <c r="ELC29" s="819"/>
      <c r="ELD29" s="819"/>
      <c r="ELE29" s="819"/>
      <c r="ELF29" s="819"/>
      <c r="ELG29" s="819"/>
      <c r="ELH29" s="819"/>
      <c r="ELI29" s="819"/>
      <c r="ELJ29" s="819"/>
      <c r="ELK29" s="819"/>
      <c r="ELL29" s="819"/>
      <c r="ELM29" s="819"/>
      <c r="ELN29" s="819"/>
      <c r="ELO29" s="819"/>
      <c r="ELP29" s="819"/>
      <c r="ELQ29" s="819"/>
      <c r="ELR29" s="819"/>
      <c r="ELS29" s="819"/>
      <c r="ELT29" s="819"/>
      <c r="ELU29" s="819"/>
      <c r="ELV29" s="819"/>
      <c r="ELW29" s="819"/>
      <c r="ELX29" s="819"/>
      <c r="ELY29" s="819"/>
      <c r="ELZ29" s="819"/>
      <c r="EMA29" s="819"/>
      <c r="EMB29" s="819"/>
      <c r="EMC29" s="819"/>
      <c r="EMD29" s="819"/>
      <c r="EME29" s="819"/>
      <c r="EMF29" s="819"/>
      <c r="EMG29" s="819"/>
      <c r="EMH29" s="819"/>
      <c r="EMI29" s="819"/>
      <c r="EMJ29" s="819"/>
      <c r="EMK29" s="819"/>
      <c r="EML29" s="819"/>
      <c r="EMM29" s="819"/>
      <c r="EMN29" s="819"/>
      <c r="EMO29" s="819"/>
      <c r="EMP29" s="819"/>
      <c r="EMQ29" s="819"/>
      <c r="EMR29" s="819"/>
      <c r="EMS29" s="819"/>
      <c r="EMT29" s="819"/>
      <c r="EMU29" s="819"/>
      <c r="EMV29" s="819"/>
      <c r="EMW29" s="819"/>
      <c r="EMX29" s="819"/>
      <c r="EMY29" s="819"/>
      <c r="EMZ29" s="819"/>
      <c r="ENA29" s="819"/>
      <c r="ENB29" s="819"/>
      <c r="ENC29" s="819"/>
      <c r="END29" s="819"/>
      <c r="ENE29" s="819"/>
      <c r="ENF29" s="819"/>
      <c r="ENG29" s="819"/>
      <c r="ENH29" s="819"/>
      <c r="ENI29" s="819"/>
      <c r="ENJ29" s="819"/>
      <c r="ENK29" s="819"/>
      <c r="ENL29" s="819"/>
      <c r="ENM29" s="819"/>
      <c r="ENN29" s="819"/>
      <c r="ENO29" s="819"/>
      <c r="ENP29" s="819"/>
      <c r="ENQ29" s="819"/>
      <c r="ENR29" s="819"/>
      <c r="ENS29" s="819"/>
      <c r="ENT29" s="819"/>
      <c r="ENU29" s="819"/>
      <c r="ENV29" s="819"/>
      <c r="ENW29" s="819"/>
      <c r="ENX29" s="819"/>
      <c r="ENY29" s="819"/>
      <c r="ENZ29" s="819"/>
      <c r="EOA29" s="819"/>
      <c r="EOB29" s="819"/>
      <c r="EOC29" s="819"/>
      <c r="EOD29" s="819"/>
      <c r="EOE29" s="819"/>
      <c r="EOF29" s="819"/>
      <c r="EOG29" s="819"/>
      <c r="EOH29" s="819"/>
      <c r="EOI29" s="819"/>
      <c r="EOJ29" s="819"/>
      <c r="EOK29" s="819"/>
      <c r="EOL29" s="819"/>
      <c r="EOM29" s="819"/>
      <c r="EON29" s="819"/>
      <c r="EOO29" s="819"/>
      <c r="EOP29" s="819"/>
      <c r="EOQ29" s="819"/>
      <c r="EOR29" s="819"/>
      <c r="EOS29" s="819"/>
      <c r="EOT29" s="819"/>
      <c r="EOU29" s="819"/>
      <c r="EOV29" s="819"/>
      <c r="EOW29" s="819"/>
      <c r="EOX29" s="819"/>
      <c r="EOY29" s="819"/>
      <c r="EOZ29" s="819"/>
      <c r="EPA29" s="819"/>
      <c r="EPB29" s="819"/>
      <c r="EPC29" s="819"/>
      <c r="EPD29" s="819"/>
      <c r="EPE29" s="819"/>
      <c r="EPF29" s="819"/>
      <c r="EPG29" s="819"/>
      <c r="EPH29" s="819"/>
      <c r="EPI29" s="819"/>
      <c r="EPJ29" s="819"/>
      <c r="EPK29" s="819"/>
      <c r="EPL29" s="819"/>
      <c r="EPM29" s="819"/>
      <c r="EPN29" s="819"/>
      <c r="EPO29" s="819"/>
      <c r="EPP29" s="819"/>
      <c r="EPQ29" s="819"/>
      <c r="EPR29" s="819"/>
      <c r="EPS29" s="819"/>
      <c r="EPT29" s="819"/>
      <c r="EPU29" s="819"/>
      <c r="EPV29" s="819"/>
      <c r="EPW29" s="819"/>
      <c r="EPX29" s="819"/>
      <c r="EPY29" s="819"/>
      <c r="EPZ29" s="819"/>
      <c r="EQA29" s="819"/>
      <c r="EQB29" s="819"/>
      <c r="EQC29" s="819"/>
      <c r="EQD29" s="819"/>
      <c r="EQE29" s="819"/>
      <c r="EQF29" s="819"/>
      <c r="EQG29" s="819"/>
      <c r="EQH29" s="819"/>
      <c r="EQI29" s="819"/>
      <c r="EQJ29" s="819"/>
      <c r="EQK29" s="819"/>
      <c r="EQL29" s="819"/>
      <c r="EQM29" s="819"/>
      <c r="EQN29" s="819"/>
      <c r="EQO29" s="819"/>
      <c r="EQP29" s="819"/>
      <c r="EQQ29" s="819"/>
      <c r="EQR29" s="819"/>
      <c r="EQS29" s="819"/>
      <c r="EQT29" s="819"/>
      <c r="EQU29" s="819"/>
      <c r="EQV29" s="819"/>
      <c r="EQW29" s="819"/>
      <c r="EQX29" s="819"/>
      <c r="EQY29" s="819"/>
      <c r="EQZ29" s="819"/>
      <c r="ERA29" s="819"/>
      <c r="ERB29" s="819"/>
      <c r="ERC29" s="819"/>
      <c r="ERD29" s="819"/>
      <c r="ERE29" s="819"/>
      <c r="ERF29" s="819"/>
      <c r="ERG29" s="819"/>
      <c r="ERH29" s="819"/>
      <c r="ERI29" s="819"/>
      <c r="ERJ29" s="819"/>
      <c r="ERK29" s="819"/>
      <c r="ERL29" s="819"/>
      <c r="ERM29" s="819"/>
      <c r="ERN29" s="819"/>
      <c r="ERO29" s="819"/>
      <c r="ERP29" s="819"/>
      <c r="ERQ29" s="819"/>
      <c r="ERR29" s="819"/>
      <c r="ERS29" s="819"/>
      <c r="ERT29" s="819"/>
      <c r="ERU29" s="819"/>
      <c r="ERV29" s="819"/>
      <c r="ERW29" s="819"/>
      <c r="ERX29" s="819"/>
      <c r="ERY29" s="819"/>
      <c r="ERZ29" s="819"/>
      <c r="ESA29" s="819"/>
      <c r="ESB29" s="819"/>
      <c r="ESC29" s="819"/>
      <c r="ESD29" s="819"/>
      <c r="ESE29" s="819"/>
      <c r="ESF29" s="819"/>
      <c r="ESG29" s="819"/>
      <c r="ESH29" s="819"/>
      <c r="ESI29" s="819"/>
      <c r="ESJ29" s="819"/>
      <c r="ESK29" s="819"/>
      <c r="ESL29" s="819"/>
      <c r="ESM29" s="819"/>
      <c r="ESN29" s="819"/>
      <c r="ESO29" s="819"/>
      <c r="ESP29" s="819"/>
      <c r="ESQ29" s="819"/>
      <c r="ESR29" s="819"/>
      <c r="ESS29" s="819"/>
      <c r="EST29" s="819"/>
      <c r="ESU29" s="819"/>
      <c r="ESV29" s="819"/>
      <c r="ESW29" s="819"/>
      <c r="ESX29" s="819"/>
      <c r="ESY29" s="819"/>
      <c r="ESZ29" s="819"/>
      <c r="ETA29" s="819"/>
      <c r="ETB29" s="819"/>
      <c r="ETC29" s="819"/>
      <c r="ETD29" s="819"/>
      <c r="ETE29" s="819"/>
      <c r="ETF29" s="819"/>
      <c r="ETG29" s="819"/>
      <c r="ETH29" s="819"/>
      <c r="ETI29" s="819"/>
      <c r="ETJ29" s="819"/>
      <c r="ETK29" s="819"/>
      <c r="ETL29" s="819"/>
      <c r="ETM29" s="819"/>
      <c r="ETN29" s="819"/>
      <c r="ETO29" s="819"/>
      <c r="ETP29" s="819"/>
      <c r="ETQ29" s="819"/>
      <c r="ETR29" s="819"/>
      <c r="ETS29" s="819"/>
      <c r="ETT29" s="819"/>
      <c r="ETU29" s="819"/>
      <c r="ETV29" s="819"/>
      <c r="ETW29" s="819"/>
      <c r="ETX29" s="819"/>
      <c r="ETY29" s="819"/>
      <c r="ETZ29" s="819"/>
      <c r="EUA29" s="819"/>
      <c r="EUB29" s="819"/>
      <c r="EUC29" s="819"/>
      <c r="EUD29" s="819"/>
      <c r="EUE29" s="819"/>
      <c r="EUF29" s="819"/>
      <c r="EUG29" s="819"/>
      <c r="EUH29" s="819"/>
      <c r="EUI29" s="819"/>
      <c r="EUJ29" s="819"/>
      <c r="EUK29" s="819"/>
      <c r="EUL29" s="819"/>
      <c r="EUM29" s="819"/>
      <c r="EUN29" s="819"/>
      <c r="EUO29" s="819"/>
      <c r="EUP29" s="819"/>
      <c r="EUQ29" s="819"/>
      <c r="EUR29" s="819"/>
      <c r="EUS29" s="819"/>
      <c r="EUT29" s="819"/>
      <c r="EUU29" s="819"/>
      <c r="EUV29" s="819"/>
      <c r="EUW29" s="819"/>
      <c r="EUX29" s="819"/>
      <c r="EUY29" s="819"/>
      <c r="EUZ29" s="819"/>
      <c r="EVA29" s="819"/>
      <c r="EVB29" s="819"/>
      <c r="EVC29" s="819"/>
      <c r="EVD29" s="819"/>
      <c r="EVE29" s="819"/>
      <c r="EVF29" s="819"/>
      <c r="EVG29" s="819"/>
      <c r="EVH29" s="819"/>
      <c r="EVI29" s="819"/>
      <c r="EVJ29" s="819"/>
      <c r="EVK29" s="819"/>
      <c r="EVL29" s="819"/>
      <c r="EVM29" s="819"/>
      <c r="EVN29" s="819"/>
      <c r="EVO29" s="819"/>
      <c r="EVP29" s="819"/>
      <c r="EVQ29" s="819"/>
      <c r="EVR29" s="819"/>
      <c r="EVS29" s="819"/>
      <c r="EVT29" s="819"/>
      <c r="EVU29" s="819"/>
      <c r="EVV29" s="819"/>
      <c r="EVW29" s="819"/>
      <c r="EVX29" s="819"/>
      <c r="EVY29" s="819"/>
      <c r="EVZ29" s="819"/>
      <c r="EWA29" s="819"/>
      <c r="EWB29" s="819"/>
      <c r="EWC29" s="819"/>
      <c r="EWD29" s="819"/>
      <c r="EWE29" s="819"/>
      <c r="EWF29" s="819"/>
      <c r="EWG29" s="819"/>
      <c r="EWH29" s="819"/>
      <c r="EWI29" s="819"/>
      <c r="EWJ29" s="819"/>
      <c r="EWK29" s="819"/>
      <c r="EWL29" s="819"/>
      <c r="EWM29" s="819"/>
      <c r="EWN29" s="819"/>
      <c r="EWO29" s="819"/>
      <c r="EWP29" s="819"/>
      <c r="EWQ29" s="819"/>
      <c r="EWR29" s="819"/>
      <c r="EWS29" s="819"/>
      <c r="EWT29" s="819"/>
      <c r="EWU29" s="819"/>
      <c r="EWV29" s="819"/>
      <c r="EWW29" s="819"/>
      <c r="EWX29" s="819"/>
      <c r="EWY29" s="819"/>
      <c r="EWZ29" s="819"/>
      <c r="EXA29" s="819"/>
      <c r="EXB29" s="819"/>
      <c r="EXC29" s="819"/>
      <c r="EXD29" s="819"/>
      <c r="EXE29" s="819"/>
      <c r="EXF29" s="819"/>
      <c r="EXG29" s="819"/>
      <c r="EXH29" s="819"/>
      <c r="EXI29" s="819"/>
      <c r="EXJ29" s="819"/>
      <c r="EXK29" s="819"/>
      <c r="EXL29" s="819"/>
      <c r="EXM29" s="819"/>
      <c r="EXN29" s="819"/>
      <c r="EXO29" s="819"/>
      <c r="EXP29" s="819"/>
      <c r="EXQ29" s="819"/>
      <c r="EXR29" s="819"/>
      <c r="EXS29" s="819"/>
      <c r="EXT29" s="819"/>
      <c r="EXU29" s="819"/>
      <c r="EXV29" s="819"/>
      <c r="EXW29" s="819"/>
      <c r="EXX29" s="819"/>
      <c r="EXY29" s="819"/>
      <c r="EXZ29" s="819"/>
      <c r="EYA29" s="819"/>
      <c r="EYB29" s="819"/>
      <c r="EYC29" s="819"/>
      <c r="EYD29" s="819"/>
      <c r="EYE29" s="819"/>
      <c r="EYF29" s="819"/>
      <c r="EYG29" s="819"/>
      <c r="EYH29" s="819"/>
      <c r="EYI29" s="819"/>
      <c r="EYJ29" s="819"/>
      <c r="EYK29" s="819"/>
      <c r="EYL29" s="819"/>
      <c r="EYM29" s="819"/>
      <c r="EYN29" s="819"/>
      <c r="EYO29" s="819"/>
      <c r="EYP29" s="819"/>
      <c r="EYQ29" s="819"/>
      <c r="EYR29" s="819"/>
      <c r="EYS29" s="819"/>
      <c r="EYT29" s="819"/>
      <c r="EYU29" s="819"/>
      <c r="EYV29" s="819"/>
      <c r="EYW29" s="819"/>
      <c r="EYX29" s="819"/>
      <c r="EYY29" s="819"/>
      <c r="EYZ29" s="819"/>
      <c r="EZA29" s="819"/>
      <c r="EZB29" s="819"/>
      <c r="EZC29" s="819"/>
      <c r="EZD29" s="819"/>
      <c r="EZE29" s="819"/>
      <c r="EZF29" s="819"/>
      <c r="EZG29" s="819"/>
      <c r="EZH29" s="819"/>
      <c r="EZI29" s="819"/>
      <c r="EZJ29" s="819"/>
      <c r="EZK29" s="819"/>
      <c r="EZL29" s="819"/>
      <c r="EZM29" s="819"/>
      <c r="EZN29" s="819"/>
      <c r="EZO29" s="819"/>
      <c r="EZP29" s="819"/>
      <c r="EZQ29" s="819"/>
      <c r="EZR29" s="819"/>
      <c r="EZS29" s="819"/>
      <c r="EZT29" s="819"/>
      <c r="EZU29" s="819"/>
      <c r="EZV29" s="819"/>
      <c r="EZW29" s="819"/>
      <c r="EZX29" s="819"/>
      <c r="EZY29" s="819"/>
      <c r="EZZ29" s="819"/>
      <c r="FAA29" s="819"/>
      <c r="FAB29" s="819"/>
      <c r="FAC29" s="819"/>
      <c r="FAD29" s="819"/>
      <c r="FAE29" s="819"/>
      <c r="FAF29" s="819"/>
      <c r="FAG29" s="819"/>
      <c r="FAH29" s="819"/>
      <c r="FAI29" s="819"/>
      <c r="FAJ29" s="819"/>
      <c r="FAK29" s="819"/>
      <c r="FAL29" s="819"/>
      <c r="FAM29" s="819"/>
      <c r="FAN29" s="819"/>
      <c r="FAO29" s="819"/>
      <c r="FAP29" s="819"/>
      <c r="FAQ29" s="819"/>
      <c r="FAR29" s="819"/>
      <c r="FAS29" s="819"/>
      <c r="FAT29" s="819"/>
      <c r="FAU29" s="819"/>
      <c r="FAV29" s="819"/>
      <c r="FAW29" s="819"/>
      <c r="FAX29" s="819"/>
      <c r="FAY29" s="819"/>
      <c r="FAZ29" s="819"/>
      <c r="FBA29" s="819"/>
      <c r="FBB29" s="819"/>
      <c r="FBC29" s="819"/>
      <c r="FBD29" s="819"/>
      <c r="FBE29" s="819"/>
      <c r="FBF29" s="819"/>
      <c r="FBG29" s="819"/>
      <c r="FBH29" s="819"/>
      <c r="FBI29" s="819"/>
      <c r="FBJ29" s="819"/>
      <c r="FBK29" s="819"/>
      <c r="FBL29" s="819"/>
      <c r="FBM29" s="819"/>
      <c r="FBN29" s="819"/>
      <c r="FBO29" s="819"/>
      <c r="FBP29" s="819"/>
      <c r="FBQ29" s="819"/>
      <c r="FBR29" s="819"/>
      <c r="FBS29" s="819"/>
      <c r="FBT29" s="819"/>
      <c r="FBU29" s="819"/>
      <c r="FBV29" s="819"/>
      <c r="FBW29" s="819"/>
      <c r="FBX29" s="819"/>
      <c r="FBY29" s="819"/>
      <c r="FBZ29" s="819"/>
      <c r="FCA29" s="819"/>
      <c r="FCB29" s="819"/>
      <c r="FCC29" s="819"/>
      <c r="FCD29" s="819"/>
      <c r="FCE29" s="819"/>
      <c r="FCF29" s="819"/>
      <c r="FCG29" s="819"/>
      <c r="FCH29" s="819"/>
      <c r="FCI29" s="819"/>
      <c r="FCJ29" s="819"/>
      <c r="FCK29" s="819"/>
      <c r="FCL29" s="819"/>
      <c r="FCM29" s="819"/>
      <c r="FCN29" s="819"/>
      <c r="FCO29" s="819"/>
      <c r="FCP29" s="819"/>
      <c r="FCQ29" s="819"/>
      <c r="FCR29" s="819"/>
      <c r="FCS29" s="819"/>
      <c r="FCT29" s="819"/>
      <c r="FCU29" s="819"/>
      <c r="FCV29" s="819"/>
      <c r="FCW29" s="819"/>
      <c r="FCX29" s="819"/>
      <c r="FCY29" s="819"/>
      <c r="FCZ29" s="819"/>
      <c r="FDA29" s="819"/>
      <c r="FDB29" s="819"/>
      <c r="FDC29" s="819"/>
      <c r="FDD29" s="819"/>
      <c r="FDE29" s="819"/>
      <c r="FDF29" s="819"/>
      <c r="FDG29" s="819"/>
      <c r="FDH29" s="819"/>
      <c r="FDI29" s="819"/>
      <c r="FDJ29" s="819"/>
      <c r="FDK29" s="819"/>
      <c r="FDL29" s="819"/>
      <c r="FDM29" s="819"/>
      <c r="FDN29" s="819"/>
      <c r="FDO29" s="819"/>
      <c r="FDP29" s="819"/>
      <c r="FDQ29" s="819"/>
      <c r="FDR29" s="819"/>
      <c r="FDS29" s="819"/>
      <c r="FDT29" s="819"/>
      <c r="FDU29" s="819"/>
      <c r="FDV29" s="819"/>
      <c r="FDW29" s="819"/>
      <c r="FDX29" s="819"/>
      <c r="FDY29" s="819"/>
      <c r="FDZ29" s="819"/>
      <c r="FEA29" s="819"/>
      <c r="FEB29" s="819"/>
      <c r="FEC29" s="819"/>
      <c r="FED29" s="819"/>
      <c r="FEE29" s="819"/>
      <c r="FEF29" s="819"/>
      <c r="FEG29" s="819"/>
      <c r="FEH29" s="819"/>
      <c r="FEI29" s="819"/>
      <c r="FEJ29" s="819"/>
      <c r="FEK29" s="819"/>
      <c r="FEL29" s="819"/>
      <c r="FEM29" s="819"/>
      <c r="FEN29" s="819"/>
      <c r="FEO29" s="819"/>
      <c r="FEP29" s="819"/>
      <c r="FEQ29" s="819"/>
      <c r="FER29" s="819"/>
      <c r="FES29" s="819"/>
      <c r="FET29" s="819"/>
      <c r="FEU29" s="819"/>
      <c r="FEV29" s="819"/>
      <c r="FEW29" s="819"/>
      <c r="FEX29" s="819"/>
      <c r="FEY29" s="819"/>
      <c r="FEZ29" s="819"/>
      <c r="FFA29" s="819"/>
      <c r="FFB29" s="819"/>
      <c r="FFC29" s="819"/>
      <c r="FFD29" s="819"/>
      <c r="FFE29" s="819"/>
      <c r="FFF29" s="819"/>
      <c r="FFG29" s="819"/>
      <c r="FFH29" s="819"/>
      <c r="FFI29" s="819"/>
      <c r="FFJ29" s="819"/>
      <c r="FFK29" s="819"/>
      <c r="FFL29" s="819"/>
      <c r="FFM29" s="819"/>
      <c r="FFN29" s="819"/>
      <c r="FFO29" s="819"/>
      <c r="FFP29" s="819"/>
      <c r="FFQ29" s="819"/>
      <c r="FFR29" s="819"/>
      <c r="FFS29" s="819"/>
      <c r="FFT29" s="819"/>
      <c r="FFU29" s="819"/>
      <c r="FFV29" s="819"/>
      <c r="FFW29" s="819"/>
      <c r="FFX29" s="819"/>
      <c r="FFY29" s="819"/>
      <c r="FFZ29" s="819"/>
      <c r="FGA29" s="819"/>
      <c r="FGB29" s="819"/>
      <c r="FGC29" s="819"/>
      <c r="FGD29" s="819"/>
      <c r="FGE29" s="819"/>
      <c r="FGF29" s="819"/>
      <c r="FGG29" s="819"/>
      <c r="FGH29" s="819"/>
      <c r="FGI29" s="819"/>
      <c r="FGJ29" s="819"/>
      <c r="FGK29" s="819"/>
      <c r="FGL29" s="819"/>
      <c r="FGM29" s="819"/>
      <c r="FGN29" s="819"/>
      <c r="FGO29" s="819"/>
      <c r="FGP29" s="819"/>
      <c r="FGQ29" s="819"/>
      <c r="FGR29" s="819"/>
      <c r="FGS29" s="819"/>
      <c r="FGT29" s="819"/>
      <c r="FGU29" s="819"/>
      <c r="FGV29" s="819"/>
      <c r="FGW29" s="819"/>
      <c r="FGX29" s="819"/>
      <c r="FGY29" s="819"/>
      <c r="FGZ29" s="819"/>
      <c r="FHA29" s="819"/>
      <c r="FHB29" s="819"/>
      <c r="FHC29" s="819"/>
      <c r="FHD29" s="819"/>
      <c r="FHE29" s="819"/>
      <c r="FHF29" s="819"/>
      <c r="FHG29" s="819"/>
      <c r="FHH29" s="819"/>
      <c r="FHI29" s="819"/>
      <c r="FHJ29" s="819"/>
      <c r="FHK29" s="819"/>
      <c r="FHL29" s="819"/>
      <c r="FHM29" s="819"/>
      <c r="FHN29" s="819"/>
      <c r="FHO29" s="819"/>
      <c r="FHP29" s="819"/>
      <c r="FHQ29" s="819"/>
      <c r="FHR29" s="819"/>
      <c r="FHS29" s="819"/>
      <c r="FHT29" s="819"/>
      <c r="FHU29" s="819"/>
      <c r="FHV29" s="819"/>
      <c r="FHW29" s="819"/>
      <c r="FHX29" s="819"/>
      <c r="FHY29" s="819"/>
      <c r="FHZ29" s="819"/>
      <c r="FIA29" s="819"/>
      <c r="FIB29" s="819"/>
      <c r="FIC29" s="819"/>
      <c r="FID29" s="819"/>
      <c r="FIE29" s="819"/>
      <c r="FIF29" s="819"/>
      <c r="FIG29" s="819"/>
      <c r="FIH29" s="819"/>
      <c r="FII29" s="819"/>
      <c r="FIJ29" s="819"/>
      <c r="FIK29" s="819"/>
      <c r="FIL29" s="819"/>
      <c r="FIM29" s="819"/>
      <c r="FIN29" s="819"/>
      <c r="FIO29" s="819"/>
      <c r="FIP29" s="819"/>
      <c r="FIQ29" s="819"/>
      <c r="FIR29" s="819"/>
      <c r="FIS29" s="819"/>
      <c r="FIT29" s="819"/>
      <c r="FIU29" s="819"/>
      <c r="FIV29" s="819"/>
      <c r="FIW29" s="819"/>
      <c r="FIX29" s="819"/>
      <c r="FIY29" s="819"/>
      <c r="FIZ29" s="819"/>
      <c r="FJA29" s="819"/>
      <c r="FJB29" s="819"/>
      <c r="FJC29" s="819"/>
      <c r="FJD29" s="819"/>
      <c r="FJE29" s="819"/>
      <c r="FJF29" s="819"/>
      <c r="FJG29" s="819"/>
      <c r="FJH29" s="819"/>
      <c r="FJI29" s="819"/>
      <c r="FJJ29" s="819"/>
      <c r="FJK29" s="819"/>
      <c r="FJL29" s="819"/>
      <c r="FJM29" s="819"/>
      <c r="FJN29" s="819"/>
      <c r="FJO29" s="819"/>
      <c r="FJP29" s="819"/>
      <c r="FJQ29" s="819"/>
      <c r="FJR29" s="819"/>
      <c r="FJS29" s="819"/>
      <c r="FJT29" s="819"/>
      <c r="FJU29" s="819"/>
      <c r="FJV29" s="819"/>
      <c r="FJW29" s="819"/>
      <c r="FJX29" s="819"/>
      <c r="FJY29" s="819"/>
      <c r="FJZ29" s="819"/>
      <c r="FKA29" s="819"/>
      <c r="FKB29" s="819"/>
      <c r="FKC29" s="819"/>
      <c r="FKD29" s="819"/>
      <c r="FKE29" s="819"/>
      <c r="FKF29" s="819"/>
      <c r="FKG29" s="819"/>
      <c r="FKH29" s="819"/>
      <c r="FKI29" s="819"/>
      <c r="FKJ29" s="819"/>
      <c r="FKK29" s="819"/>
      <c r="FKL29" s="819"/>
      <c r="FKM29" s="819"/>
      <c r="FKN29" s="819"/>
      <c r="FKO29" s="819"/>
      <c r="FKP29" s="819"/>
      <c r="FKQ29" s="819"/>
      <c r="FKR29" s="819"/>
      <c r="FKS29" s="819"/>
      <c r="FKT29" s="819"/>
      <c r="FKU29" s="819"/>
      <c r="FKV29" s="819"/>
      <c r="FKW29" s="819"/>
      <c r="FKX29" s="819"/>
      <c r="FKY29" s="819"/>
      <c r="FKZ29" s="819"/>
      <c r="FLA29" s="819"/>
      <c r="FLB29" s="819"/>
      <c r="FLC29" s="819"/>
      <c r="FLD29" s="819"/>
      <c r="FLE29" s="819"/>
      <c r="FLF29" s="819"/>
      <c r="FLG29" s="819"/>
      <c r="FLH29" s="819"/>
      <c r="FLI29" s="819"/>
      <c r="FLJ29" s="819"/>
      <c r="FLK29" s="819"/>
      <c r="FLL29" s="819"/>
      <c r="FLM29" s="819"/>
      <c r="FLN29" s="819"/>
      <c r="FLO29" s="819"/>
      <c r="FLP29" s="819"/>
      <c r="FLQ29" s="819"/>
      <c r="FLR29" s="819"/>
      <c r="FLS29" s="819"/>
      <c r="FLT29" s="819"/>
      <c r="FLU29" s="819"/>
      <c r="FLV29" s="819"/>
      <c r="FLW29" s="819"/>
      <c r="FLX29" s="819"/>
      <c r="FLY29" s="819"/>
      <c r="FLZ29" s="819"/>
      <c r="FMA29" s="819"/>
      <c r="FMB29" s="819"/>
      <c r="FMC29" s="819"/>
      <c r="FMD29" s="819"/>
      <c r="FME29" s="819"/>
      <c r="FMF29" s="819"/>
      <c r="FMG29" s="819"/>
      <c r="FMH29" s="819"/>
      <c r="FMI29" s="819"/>
      <c r="FMJ29" s="819"/>
      <c r="FMK29" s="819"/>
      <c r="FML29" s="819"/>
      <c r="FMM29" s="819"/>
      <c r="FMN29" s="819"/>
      <c r="FMO29" s="819"/>
      <c r="FMP29" s="819"/>
      <c r="FMQ29" s="819"/>
      <c r="FMR29" s="819"/>
      <c r="FMS29" s="819"/>
      <c r="FMT29" s="819"/>
      <c r="FMU29" s="819"/>
      <c r="FMV29" s="819"/>
      <c r="FMW29" s="819"/>
      <c r="FMX29" s="819"/>
      <c r="FMY29" s="819"/>
      <c r="FMZ29" s="819"/>
      <c r="FNA29" s="819"/>
      <c r="FNB29" s="819"/>
      <c r="FNC29" s="819"/>
      <c r="FND29" s="819"/>
      <c r="FNE29" s="819"/>
      <c r="FNF29" s="819"/>
      <c r="FNG29" s="819"/>
      <c r="FNH29" s="819"/>
      <c r="FNI29" s="819"/>
      <c r="FNJ29" s="819"/>
      <c r="FNK29" s="819"/>
      <c r="FNL29" s="819"/>
      <c r="FNM29" s="819"/>
      <c r="FNN29" s="819"/>
      <c r="FNO29" s="819"/>
      <c r="FNP29" s="819"/>
      <c r="FNQ29" s="819"/>
      <c r="FNR29" s="819"/>
      <c r="FNS29" s="819"/>
      <c r="FNT29" s="819"/>
      <c r="FNU29" s="819"/>
      <c r="FNV29" s="819"/>
      <c r="FNW29" s="819"/>
      <c r="FNX29" s="819"/>
      <c r="FNY29" s="819"/>
      <c r="FNZ29" s="819"/>
      <c r="FOA29" s="819"/>
      <c r="FOB29" s="819"/>
      <c r="FOC29" s="819"/>
      <c r="FOD29" s="819"/>
      <c r="FOE29" s="819"/>
      <c r="FOF29" s="819"/>
      <c r="FOG29" s="819"/>
      <c r="FOH29" s="819"/>
      <c r="FOI29" s="819"/>
      <c r="FOJ29" s="819"/>
      <c r="FOK29" s="819"/>
      <c r="FOL29" s="819"/>
      <c r="FOM29" s="819"/>
      <c r="FON29" s="819"/>
      <c r="FOO29" s="819"/>
      <c r="FOP29" s="819"/>
      <c r="FOQ29" s="819"/>
      <c r="FOR29" s="819"/>
      <c r="FOS29" s="819"/>
      <c r="FOT29" s="819"/>
      <c r="FOU29" s="819"/>
      <c r="FOV29" s="819"/>
      <c r="FOW29" s="819"/>
      <c r="FOX29" s="819"/>
      <c r="FOY29" s="819"/>
      <c r="FOZ29" s="819"/>
      <c r="FPA29" s="819"/>
      <c r="FPB29" s="819"/>
      <c r="FPC29" s="819"/>
      <c r="FPD29" s="819"/>
      <c r="FPE29" s="819"/>
      <c r="FPF29" s="819"/>
      <c r="FPG29" s="819"/>
      <c r="FPH29" s="819"/>
      <c r="FPI29" s="819"/>
      <c r="FPJ29" s="819"/>
      <c r="FPK29" s="819"/>
      <c r="FPL29" s="819"/>
      <c r="FPM29" s="819"/>
      <c r="FPN29" s="819"/>
      <c r="FPO29" s="819"/>
      <c r="FPP29" s="819"/>
      <c r="FPQ29" s="819"/>
      <c r="FPR29" s="819"/>
      <c r="FPS29" s="819"/>
      <c r="FPT29" s="819"/>
      <c r="FPU29" s="819"/>
      <c r="FPV29" s="819"/>
      <c r="FPW29" s="819"/>
      <c r="FPX29" s="819"/>
      <c r="FPY29" s="819"/>
      <c r="FPZ29" s="819"/>
      <c r="FQA29" s="819"/>
      <c r="FQB29" s="819"/>
      <c r="FQC29" s="819"/>
      <c r="FQD29" s="819"/>
      <c r="FQE29" s="819"/>
      <c r="FQF29" s="819"/>
      <c r="FQG29" s="819"/>
      <c r="FQH29" s="819"/>
      <c r="FQI29" s="819"/>
      <c r="FQJ29" s="819"/>
      <c r="FQK29" s="819"/>
      <c r="FQL29" s="819"/>
      <c r="FQM29" s="819"/>
      <c r="FQN29" s="819"/>
      <c r="FQO29" s="819"/>
      <c r="FQP29" s="819"/>
      <c r="FQQ29" s="819"/>
      <c r="FQR29" s="819"/>
      <c r="FQS29" s="819"/>
      <c r="FQT29" s="819"/>
      <c r="FQU29" s="819"/>
      <c r="FQV29" s="819"/>
      <c r="FQW29" s="819"/>
      <c r="FQX29" s="819"/>
      <c r="FQY29" s="819"/>
      <c r="FQZ29" s="819"/>
      <c r="FRA29" s="819"/>
      <c r="FRB29" s="819"/>
      <c r="FRC29" s="819"/>
      <c r="FRD29" s="819"/>
      <c r="FRE29" s="819"/>
      <c r="FRF29" s="819"/>
      <c r="FRG29" s="819"/>
      <c r="FRH29" s="819"/>
      <c r="FRI29" s="819"/>
      <c r="FRJ29" s="819"/>
      <c r="FRK29" s="819"/>
      <c r="FRL29" s="819"/>
      <c r="FRM29" s="819"/>
      <c r="FRN29" s="819"/>
      <c r="FRO29" s="819"/>
      <c r="FRP29" s="819"/>
      <c r="FRQ29" s="819"/>
      <c r="FRR29" s="819"/>
      <c r="FRS29" s="819"/>
      <c r="FRT29" s="819"/>
      <c r="FRU29" s="819"/>
      <c r="FRV29" s="819"/>
      <c r="FRW29" s="819"/>
      <c r="FRX29" s="819"/>
      <c r="FRY29" s="819"/>
      <c r="FRZ29" s="819"/>
      <c r="FSA29" s="819"/>
      <c r="FSB29" s="819"/>
      <c r="FSC29" s="819"/>
      <c r="FSD29" s="819"/>
      <c r="FSE29" s="819"/>
      <c r="FSF29" s="819"/>
      <c r="FSG29" s="819"/>
      <c r="FSH29" s="819"/>
      <c r="FSI29" s="819"/>
      <c r="FSJ29" s="819"/>
      <c r="FSK29" s="819"/>
      <c r="FSL29" s="819"/>
      <c r="FSM29" s="819"/>
      <c r="FSN29" s="819"/>
      <c r="FSO29" s="819"/>
      <c r="FSP29" s="819"/>
      <c r="FSQ29" s="819"/>
      <c r="FSR29" s="819"/>
      <c r="FSS29" s="819"/>
      <c r="FST29" s="819"/>
      <c r="FSU29" s="819"/>
      <c r="FSV29" s="819"/>
      <c r="FSW29" s="819"/>
      <c r="FSX29" s="819"/>
      <c r="FSY29" s="819"/>
      <c r="FSZ29" s="819"/>
      <c r="FTA29" s="819"/>
      <c r="FTB29" s="819"/>
      <c r="FTC29" s="819"/>
      <c r="FTD29" s="819"/>
      <c r="FTE29" s="819"/>
      <c r="FTF29" s="819"/>
      <c r="FTG29" s="819"/>
      <c r="FTH29" s="819"/>
      <c r="FTI29" s="819"/>
      <c r="FTJ29" s="819"/>
      <c r="FTK29" s="819"/>
      <c r="FTL29" s="819"/>
      <c r="FTM29" s="819"/>
      <c r="FTN29" s="819"/>
      <c r="FTO29" s="819"/>
      <c r="FTP29" s="819"/>
      <c r="FTQ29" s="819"/>
      <c r="FTR29" s="819"/>
      <c r="FTS29" s="819"/>
      <c r="FTT29" s="819"/>
      <c r="FTU29" s="819"/>
      <c r="FTV29" s="819"/>
      <c r="FTW29" s="819"/>
      <c r="FTX29" s="819"/>
      <c r="FTY29" s="819"/>
      <c r="FTZ29" s="819"/>
      <c r="FUA29" s="819"/>
      <c r="FUB29" s="819"/>
      <c r="FUC29" s="819"/>
      <c r="FUD29" s="819"/>
      <c r="FUE29" s="819"/>
      <c r="FUF29" s="819"/>
      <c r="FUG29" s="819"/>
      <c r="FUH29" s="819"/>
      <c r="FUI29" s="819"/>
      <c r="FUJ29" s="819"/>
      <c r="FUK29" s="819"/>
      <c r="FUL29" s="819"/>
      <c r="FUM29" s="819"/>
      <c r="FUN29" s="819"/>
      <c r="FUO29" s="819"/>
      <c r="FUP29" s="819"/>
      <c r="FUQ29" s="819"/>
      <c r="FUR29" s="819"/>
      <c r="FUS29" s="819"/>
      <c r="FUT29" s="819"/>
      <c r="FUU29" s="819"/>
      <c r="FUV29" s="819"/>
      <c r="FUW29" s="819"/>
      <c r="FUX29" s="819"/>
      <c r="FUY29" s="819"/>
      <c r="FUZ29" s="819"/>
      <c r="FVA29" s="819"/>
      <c r="FVB29" s="819"/>
      <c r="FVC29" s="819"/>
      <c r="FVD29" s="819"/>
      <c r="FVE29" s="819"/>
      <c r="FVF29" s="819"/>
      <c r="FVG29" s="819"/>
      <c r="FVH29" s="819"/>
      <c r="FVI29" s="819"/>
      <c r="FVJ29" s="819"/>
      <c r="FVK29" s="819"/>
      <c r="FVL29" s="819"/>
      <c r="FVM29" s="819"/>
      <c r="FVN29" s="819"/>
      <c r="FVO29" s="819"/>
      <c r="FVP29" s="819"/>
      <c r="FVQ29" s="819"/>
      <c r="FVR29" s="819"/>
      <c r="FVS29" s="819"/>
      <c r="FVT29" s="819"/>
      <c r="FVU29" s="819"/>
      <c r="FVV29" s="819"/>
      <c r="FVW29" s="819"/>
      <c r="FVX29" s="819"/>
      <c r="FVY29" s="819"/>
      <c r="FVZ29" s="819"/>
      <c r="FWA29" s="819"/>
      <c r="FWB29" s="819"/>
      <c r="FWC29" s="819"/>
      <c r="FWD29" s="819"/>
      <c r="FWE29" s="819"/>
      <c r="FWF29" s="819"/>
      <c r="FWG29" s="819"/>
      <c r="FWH29" s="819"/>
      <c r="FWI29" s="819"/>
      <c r="FWJ29" s="819"/>
      <c r="FWK29" s="819"/>
      <c r="FWL29" s="819"/>
      <c r="FWM29" s="819"/>
      <c r="FWN29" s="819"/>
      <c r="FWO29" s="819"/>
      <c r="FWP29" s="819"/>
      <c r="FWQ29" s="819"/>
      <c r="FWR29" s="819"/>
      <c r="FWS29" s="819"/>
      <c r="FWT29" s="819"/>
      <c r="FWU29" s="819"/>
      <c r="FWV29" s="819"/>
      <c r="FWW29" s="819"/>
      <c r="FWX29" s="819"/>
      <c r="FWY29" s="819"/>
      <c r="FWZ29" s="819"/>
      <c r="FXA29" s="819"/>
      <c r="FXB29" s="819"/>
      <c r="FXC29" s="819"/>
      <c r="FXD29" s="819"/>
      <c r="FXE29" s="819"/>
      <c r="FXF29" s="819"/>
      <c r="FXG29" s="819"/>
      <c r="FXH29" s="819"/>
      <c r="FXI29" s="819"/>
      <c r="FXJ29" s="819"/>
      <c r="FXK29" s="819"/>
      <c r="FXL29" s="819"/>
      <c r="FXM29" s="819"/>
      <c r="FXN29" s="819"/>
      <c r="FXO29" s="819"/>
      <c r="FXP29" s="819"/>
      <c r="FXQ29" s="819"/>
      <c r="FXR29" s="819"/>
      <c r="FXS29" s="819"/>
      <c r="FXT29" s="819"/>
      <c r="FXU29" s="819"/>
      <c r="FXV29" s="819"/>
      <c r="FXW29" s="819"/>
      <c r="FXX29" s="819"/>
      <c r="FXY29" s="819"/>
      <c r="FXZ29" s="819"/>
      <c r="FYA29" s="819"/>
      <c r="FYB29" s="819"/>
      <c r="FYC29" s="819"/>
      <c r="FYD29" s="819"/>
      <c r="FYE29" s="819"/>
      <c r="FYF29" s="819"/>
      <c r="FYG29" s="819"/>
      <c r="FYH29" s="819"/>
      <c r="FYI29" s="819"/>
      <c r="FYJ29" s="819"/>
      <c r="FYK29" s="819"/>
      <c r="FYL29" s="819"/>
      <c r="FYM29" s="819"/>
      <c r="FYN29" s="819"/>
      <c r="FYO29" s="819"/>
      <c r="FYP29" s="819"/>
      <c r="FYQ29" s="819"/>
      <c r="FYR29" s="819"/>
      <c r="FYS29" s="819"/>
      <c r="FYT29" s="819"/>
      <c r="FYU29" s="819"/>
      <c r="FYV29" s="819"/>
      <c r="FYW29" s="819"/>
      <c r="FYX29" s="819"/>
      <c r="FYY29" s="819"/>
      <c r="FYZ29" s="819"/>
      <c r="FZA29" s="819"/>
      <c r="FZB29" s="819"/>
      <c r="FZC29" s="819"/>
      <c r="FZD29" s="819"/>
      <c r="FZE29" s="819"/>
      <c r="FZF29" s="819"/>
      <c r="FZG29" s="819"/>
      <c r="FZH29" s="819"/>
      <c r="FZI29" s="819"/>
      <c r="FZJ29" s="819"/>
      <c r="FZK29" s="819"/>
      <c r="FZL29" s="819"/>
      <c r="FZM29" s="819"/>
      <c r="FZN29" s="819"/>
      <c r="FZO29" s="819"/>
      <c r="FZP29" s="819"/>
      <c r="FZQ29" s="819"/>
      <c r="FZR29" s="819"/>
      <c r="FZS29" s="819"/>
      <c r="FZT29" s="819"/>
      <c r="FZU29" s="819"/>
      <c r="FZV29" s="819"/>
      <c r="FZW29" s="819"/>
      <c r="FZX29" s="819"/>
      <c r="FZY29" s="819"/>
      <c r="FZZ29" s="819"/>
      <c r="GAA29" s="819"/>
      <c r="GAB29" s="819"/>
      <c r="GAC29" s="819"/>
      <c r="GAD29" s="819"/>
      <c r="GAE29" s="819"/>
      <c r="GAF29" s="819"/>
      <c r="GAG29" s="819"/>
      <c r="GAH29" s="819"/>
      <c r="GAI29" s="819"/>
      <c r="GAJ29" s="819"/>
      <c r="GAK29" s="819"/>
      <c r="GAL29" s="819"/>
      <c r="GAM29" s="819"/>
      <c r="GAN29" s="819"/>
      <c r="GAO29" s="819"/>
      <c r="GAP29" s="819"/>
      <c r="GAQ29" s="819"/>
      <c r="GAR29" s="819"/>
      <c r="GAS29" s="819"/>
      <c r="GAT29" s="819"/>
      <c r="GAU29" s="819"/>
      <c r="GAV29" s="819"/>
      <c r="GAW29" s="819"/>
      <c r="GAX29" s="819"/>
      <c r="GAY29" s="819"/>
      <c r="GAZ29" s="819"/>
      <c r="GBA29" s="819"/>
      <c r="GBB29" s="819"/>
      <c r="GBC29" s="819"/>
      <c r="GBD29" s="819"/>
      <c r="GBE29" s="819"/>
      <c r="GBF29" s="819"/>
      <c r="GBG29" s="819"/>
      <c r="GBH29" s="819"/>
      <c r="GBI29" s="819"/>
      <c r="GBJ29" s="819"/>
      <c r="GBK29" s="819"/>
      <c r="GBL29" s="819"/>
      <c r="GBM29" s="819"/>
      <c r="GBN29" s="819"/>
      <c r="GBO29" s="819"/>
      <c r="GBP29" s="819"/>
      <c r="GBQ29" s="819"/>
      <c r="GBR29" s="819"/>
      <c r="GBS29" s="819"/>
      <c r="GBT29" s="819"/>
      <c r="GBU29" s="819"/>
      <c r="GBV29" s="819"/>
      <c r="GBW29" s="819"/>
      <c r="GBX29" s="819"/>
      <c r="GBY29" s="819"/>
      <c r="GBZ29" s="819"/>
      <c r="GCA29" s="819"/>
      <c r="GCB29" s="819"/>
      <c r="GCC29" s="819"/>
      <c r="GCD29" s="819"/>
      <c r="GCE29" s="819"/>
      <c r="GCF29" s="819"/>
      <c r="GCG29" s="819"/>
      <c r="GCH29" s="819"/>
      <c r="GCI29" s="819"/>
      <c r="GCJ29" s="819"/>
      <c r="GCK29" s="819"/>
      <c r="GCL29" s="819"/>
      <c r="GCM29" s="819"/>
      <c r="GCN29" s="819"/>
      <c r="GCO29" s="819"/>
      <c r="GCP29" s="819"/>
      <c r="GCQ29" s="819"/>
      <c r="GCR29" s="819"/>
      <c r="GCS29" s="819"/>
      <c r="GCT29" s="819"/>
      <c r="GCU29" s="819"/>
      <c r="GCV29" s="819"/>
      <c r="GCW29" s="819"/>
      <c r="GCX29" s="819"/>
      <c r="GCY29" s="819"/>
      <c r="GCZ29" s="819"/>
      <c r="GDA29" s="819"/>
      <c r="GDB29" s="819"/>
      <c r="GDC29" s="819"/>
      <c r="GDD29" s="819"/>
      <c r="GDE29" s="819"/>
      <c r="GDF29" s="819"/>
      <c r="GDG29" s="819"/>
      <c r="GDH29" s="819"/>
      <c r="GDI29" s="819"/>
      <c r="GDJ29" s="819"/>
      <c r="GDK29" s="819"/>
      <c r="GDL29" s="819"/>
      <c r="GDM29" s="819"/>
      <c r="GDN29" s="819"/>
      <c r="GDO29" s="819"/>
      <c r="GDP29" s="819"/>
      <c r="GDQ29" s="819"/>
      <c r="GDR29" s="819"/>
      <c r="GDS29" s="819"/>
      <c r="GDT29" s="819"/>
      <c r="GDU29" s="819"/>
      <c r="GDV29" s="819"/>
      <c r="GDW29" s="819"/>
      <c r="GDX29" s="819"/>
      <c r="GDY29" s="819"/>
      <c r="GDZ29" s="819"/>
      <c r="GEA29" s="819"/>
      <c r="GEB29" s="819"/>
      <c r="GEC29" s="819"/>
      <c r="GED29" s="819"/>
      <c r="GEE29" s="819"/>
      <c r="GEF29" s="819"/>
      <c r="GEG29" s="819"/>
      <c r="GEH29" s="819"/>
      <c r="GEI29" s="819"/>
      <c r="GEJ29" s="819"/>
      <c r="GEK29" s="819"/>
      <c r="GEL29" s="819"/>
      <c r="GEM29" s="819"/>
      <c r="GEN29" s="819"/>
      <c r="GEO29" s="819"/>
      <c r="GEP29" s="819"/>
      <c r="GEQ29" s="819"/>
      <c r="GER29" s="819"/>
      <c r="GES29" s="819"/>
      <c r="GET29" s="819"/>
      <c r="GEU29" s="819"/>
      <c r="GEV29" s="819"/>
      <c r="GEW29" s="819"/>
      <c r="GEX29" s="819"/>
      <c r="GEY29" s="819"/>
      <c r="GEZ29" s="819"/>
      <c r="GFA29" s="819"/>
      <c r="GFB29" s="819"/>
      <c r="GFC29" s="819"/>
      <c r="GFD29" s="819"/>
      <c r="GFE29" s="819"/>
      <c r="GFF29" s="819"/>
      <c r="GFG29" s="819"/>
      <c r="GFH29" s="819"/>
      <c r="GFI29" s="819"/>
      <c r="GFJ29" s="819"/>
      <c r="GFK29" s="819"/>
      <c r="GFL29" s="819"/>
      <c r="GFM29" s="819"/>
      <c r="GFN29" s="819"/>
      <c r="GFO29" s="819"/>
      <c r="GFP29" s="819"/>
      <c r="GFQ29" s="819"/>
      <c r="GFR29" s="819"/>
      <c r="GFS29" s="819"/>
      <c r="GFT29" s="819"/>
      <c r="GFU29" s="819"/>
      <c r="GFV29" s="819"/>
      <c r="GFW29" s="819"/>
      <c r="GFX29" s="819"/>
      <c r="GFY29" s="819"/>
      <c r="GFZ29" s="819"/>
      <c r="GGA29" s="819"/>
      <c r="GGB29" s="819"/>
      <c r="GGC29" s="819"/>
      <c r="GGD29" s="819"/>
      <c r="GGE29" s="819"/>
      <c r="GGF29" s="819"/>
      <c r="GGG29" s="819"/>
      <c r="GGH29" s="819"/>
      <c r="GGI29" s="819"/>
      <c r="GGJ29" s="819"/>
      <c r="GGK29" s="819"/>
      <c r="GGL29" s="819"/>
      <c r="GGM29" s="819"/>
      <c r="GGN29" s="819"/>
      <c r="GGO29" s="819"/>
      <c r="GGP29" s="819"/>
      <c r="GGQ29" s="819"/>
      <c r="GGR29" s="819"/>
      <c r="GGS29" s="819"/>
      <c r="GGT29" s="819"/>
      <c r="GGU29" s="819"/>
      <c r="GGV29" s="819"/>
      <c r="GGW29" s="819"/>
      <c r="GGX29" s="819"/>
      <c r="GGY29" s="819"/>
      <c r="GGZ29" s="819"/>
      <c r="GHA29" s="819"/>
      <c r="GHB29" s="819"/>
      <c r="GHC29" s="819"/>
      <c r="GHD29" s="819"/>
      <c r="GHE29" s="819"/>
      <c r="GHF29" s="819"/>
      <c r="GHG29" s="819"/>
      <c r="GHH29" s="819"/>
      <c r="GHI29" s="819"/>
      <c r="GHJ29" s="819"/>
      <c r="GHK29" s="819"/>
      <c r="GHL29" s="819"/>
      <c r="GHM29" s="819"/>
      <c r="GHN29" s="819"/>
      <c r="GHO29" s="819"/>
      <c r="GHP29" s="819"/>
      <c r="GHQ29" s="819"/>
      <c r="GHR29" s="819"/>
      <c r="GHS29" s="819"/>
      <c r="GHT29" s="819"/>
      <c r="GHU29" s="819"/>
      <c r="GHV29" s="819"/>
      <c r="GHW29" s="819"/>
      <c r="GHX29" s="819"/>
      <c r="GHY29" s="819"/>
      <c r="GHZ29" s="819"/>
      <c r="GIA29" s="819"/>
      <c r="GIB29" s="819"/>
      <c r="GIC29" s="819"/>
      <c r="GID29" s="819"/>
      <c r="GIE29" s="819"/>
      <c r="GIF29" s="819"/>
      <c r="GIG29" s="819"/>
      <c r="GIH29" s="819"/>
      <c r="GII29" s="819"/>
      <c r="GIJ29" s="819"/>
      <c r="GIK29" s="819"/>
      <c r="GIL29" s="819"/>
      <c r="GIM29" s="819"/>
      <c r="GIN29" s="819"/>
      <c r="GIO29" s="819"/>
      <c r="GIP29" s="819"/>
      <c r="GIQ29" s="819"/>
      <c r="GIR29" s="819"/>
      <c r="GIS29" s="819"/>
      <c r="GIT29" s="819"/>
      <c r="GIU29" s="819"/>
      <c r="GIV29" s="819"/>
      <c r="GIW29" s="819"/>
      <c r="GIX29" s="819"/>
      <c r="GIY29" s="819"/>
      <c r="GIZ29" s="819"/>
      <c r="GJA29" s="819"/>
      <c r="GJB29" s="819"/>
      <c r="GJC29" s="819"/>
      <c r="GJD29" s="819"/>
      <c r="GJE29" s="819"/>
      <c r="GJF29" s="819"/>
      <c r="GJG29" s="819"/>
      <c r="GJH29" s="819"/>
      <c r="GJI29" s="819"/>
      <c r="GJJ29" s="819"/>
      <c r="GJK29" s="819"/>
      <c r="GJL29" s="819"/>
      <c r="GJM29" s="819"/>
      <c r="GJN29" s="819"/>
      <c r="GJO29" s="819"/>
      <c r="GJP29" s="819"/>
      <c r="GJQ29" s="819"/>
      <c r="GJR29" s="819"/>
      <c r="GJS29" s="819"/>
      <c r="GJT29" s="819"/>
      <c r="GJU29" s="819"/>
      <c r="GJV29" s="819"/>
      <c r="GJW29" s="819"/>
      <c r="GJX29" s="819"/>
      <c r="GJY29" s="819"/>
      <c r="GJZ29" s="819"/>
      <c r="GKA29" s="819"/>
      <c r="GKB29" s="819"/>
      <c r="GKC29" s="819"/>
      <c r="GKD29" s="819"/>
      <c r="GKE29" s="819"/>
      <c r="GKF29" s="819"/>
      <c r="GKG29" s="819"/>
      <c r="GKH29" s="819"/>
      <c r="GKI29" s="819"/>
      <c r="GKJ29" s="819"/>
      <c r="GKK29" s="819"/>
      <c r="GKL29" s="819"/>
      <c r="GKM29" s="819"/>
      <c r="GKN29" s="819"/>
      <c r="GKO29" s="819"/>
      <c r="GKP29" s="819"/>
      <c r="GKQ29" s="819"/>
      <c r="GKR29" s="819"/>
      <c r="GKS29" s="819"/>
      <c r="GKT29" s="819"/>
      <c r="GKU29" s="819"/>
      <c r="GKV29" s="819"/>
      <c r="GKW29" s="819"/>
      <c r="GKX29" s="819"/>
      <c r="GKY29" s="819"/>
      <c r="GKZ29" s="819"/>
      <c r="GLA29" s="819"/>
      <c r="GLB29" s="819"/>
      <c r="GLC29" s="819"/>
      <c r="GLD29" s="819"/>
      <c r="GLE29" s="819"/>
      <c r="GLF29" s="819"/>
      <c r="GLG29" s="819"/>
      <c r="GLH29" s="819"/>
      <c r="GLI29" s="819"/>
      <c r="GLJ29" s="819"/>
      <c r="GLK29" s="819"/>
      <c r="GLL29" s="819"/>
      <c r="GLM29" s="819"/>
      <c r="GLN29" s="819"/>
      <c r="GLO29" s="819"/>
      <c r="GLP29" s="819"/>
      <c r="GLQ29" s="819"/>
      <c r="GLR29" s="819"/>
      <c r="GLS29" s="819"/>
      <c r="GLT29" s="819"/>
      <c r="GLU29" s="819"/>
      <c r="GLV29" s="819"/>
      <c r="GLW29" s="819"/>
      <c r="GLX29" s="819"/>
      <c r="GLY29" s="819"/>
      <c r="GLZ29" s="819"/>
      <c r="GMA29" s="819"/>
      <c r="GMB29" s="819"/>
      <c r="GMC29" s="819"/>
      <c r="GMD29" s="819"/>
      <c r="GME29" s="819"/>
      <c r="GMF29" s="819"/>
      <c r="GMG29" s="819"/>
      <c r="GMH29" s="819"/>
      <c r="GMI29" s="819"/>
      <c r="GMJ29" s="819"/>
      <c r="GMK29" s="819"/>
      <c r="GML29" s="819"/>
      <c r="GMM29" s="819"/>
      <c r="GMN29" s="819"/>
      <c r="GMO29" s="819"/>
      <c r="GMP29" s="819"/>
      <c r="GMQ29" s="819"/>
      <c r="GMR29" s="819"/>
      <c r="GMS29" s="819"/>
      <c r="GMT29" s="819"/>
      <c r="GMU29" s="819"/>
      <c r="GMV29" s="819"/>
      <c r="GMW29" s="819"/>
      <c r="GMX29" s="819"/>
      <c r="GMY29" s="819"/>
      <c r="GMZ29" s="819"/>
      <c r="GNA29" s="819"/>
      <c r="GNB29" s="819"/>
      <c r="GNC29" s="819"/>
      <c r="GND29" s="819"/>
      <c r="GNE29" s="819"/>
      <c r="GNF29" s="819"/>
      <c r="GNG29" s="819"/>
      <c r="GNH29" s="819"/>
      <c r="GNI29" s="819"/>
      <c r="GNJ29" s="819"/>
      <c r="GNK29" s="819"/>
      <c r="GNL29" s="819"/>
      <c r="GNM29" s="819"/>
      <c r="GNN29" s="819"/>
      <c r="GNO29" s="819"/>
      <c r="GNP29" s="819"/>
      <c r="GNQ29" s="819"/>
      <c r="GNR29" s="819"/>
      <c r="GNS29" s="819"/>
      <c r="GNT29" s="819"/>
      <c r="GNU29" s="819"/>
      <c r="GNV29" s="819"/>
      <c r="GNW29" s="819"/>
      <c r="GNX29" s="819"/>
      <c r="GNY29" s="819"/>
      <c r="GNZ29" s="819"/>
      <c r="GOA29" s="819"/>
      <c r="GOB29" s="819"/>
      <c r="GOC29" s="819"/>
      <c r="GOD29" s="819"/>
      <c r="GOE29" s="819"/>
      <c r="GOF29" s="819"/>
      <c r="GOG29" s="819"/>
      <c r="GOH29" s="819"/>
      <c r="GOI29" s="819"/>
      <c r="GOJ29" s="819"/>
      <c r="GOK29" s="819"/>
      <c r="GOL29" s="819"/>
      <c r="GOM29" s="819"/>
      <c r="GON29" s="819"/>
      <c r="GOO29" s="819"/>
      <c r="GOP29" s="819"/>
      <c r="GOQ29" s="819"/>
      <c r="GOR29" s="819"/>
      <c r="GOS29" s="819"/>
      <c r="GOT29" s="819"/>
      <c r="GOU29" s="819"/>
      <c r="GOV29" s="819"/>
      <c r="GOW29" s="819"/>
      <c r="GOX29" s="819"/>
      <c r="GOY29" s="819"/>
      <c r="GOZ29" s="819"/>
      <c r="GPA29" s="819"/>
      <c r="GPB29" s="819"/>
      <c r="GPC29" s="819"/>
      <c r="GPD29" s="819"/>
      <c r="GPE29" s="819"/>
      <c r="GPF29" s="819"/>
      <c r="GPG29" s="819"/>
      <c r="GPH29" s="819"/>
      <c r="GPI29" s="819"/>
      <c r="GPJ29" s="819"/>
      <c r="GPK29" s="819"/>
      <c r="GPL29" s="819"/>
      <c r="GPM29" s="819"/>
      <c r="GPN29" s="819"/>
      <c r="GPO29" s="819"/>
      <c r="GPP29" s="819"/>
      <c r="GPQ29" s="819"/>
      <c r="GPR29" s="819"/>
      <c r="GPS29" s="819"/>
      <c r="GPT29" s="819"/>
      <c r="GPU29" s="819"/>
      <c r="GPV29" s="819"/>
      <c r="GPW29" s="819"/>
      <c r="GPX29" s="819"/>
      <c r="GPY29" s="819"/>
      <c r="GPZ29" s="819"/>
      <c r="GQA29" s="819"/>
      <c r="GQB29" s="819"/>
      <c r="GQC29" s="819"/>
      <c r="GQD29" s="819"/>
      <c r="GQE29" s="819"/>
      <c r="GQF29" s="819"/>
      <c r="GQG29" s="819"/>
      <c r="GQH29" s="819"/>
      <c r="GQI29" s="819"/>
      <c r="GQJ29" s="819"/>
      <c r="GQK29" s="819"/>
      <c r="GQL29" s="819"/>
      <c r="GQM29" s="819"/>
      <c r="GQN29" s="819"/>
      <c r="GQO29" s="819"/>
      <c r="GQP29" s="819"/>
      <c r="GQQ29" s="819"/>
      <c r="GQR29" s="819"/>
      <c r="GQS29" s="819"/>
      <c r="GQT29" s="819"/>
      <c r="GQU29" s="819"/>
      <c r="GQV29" s="819"/>
      <c r="GQW29" s="819"/>
      <c r="GQX29" s="819"/>
      <c r="GQY29" s="819"/>
      <c r="GQZ29" s="819"/>
      <c r="GRA29" s="819"/>
      <c r="GRB29" s="819"/>
      <c r="GRC29" s="819"/>
      <c r="GRD29" s="819"/>
      <c r="GRE29" s="819"/>
      <c r="GRF29" s="819"/>
      <c r="GRG29" s="819"/>
      <c r="GRH29" s="819"/>
      <c r="GRI29" s="819"/>
      <c r="GRJ29" s="819"/>
      <c r="GRK29" s="819"/>
      <c r="GRL29" s="819"/>
      <c r="GRM29" s="819"/>
      <c r="GRN29" s="819"/>
      <c r="GRO29" s="819"/>
      <c r="GRP29" s="819"/>
      <c r="GRQ29" s="819"/>
      <c r="GRR29" s="819"/>
      <c r="GRS29" s="819"/>
      <c r="GRT29" s="819"/>
      <c r="GRU29" s="819"/>
      <c r="GRV29" s="819"/>
      <c r="GRW29" s="819"/>
      <c r="GRX29" s="819"/>
      <c r="GRY29" s="819"/>
      <c r="GRZ29" s="819"/>
      <c r="GSA29" s="819"/>
      <c r="GSB29" s="819"/>
      <c r="GSC29" s="819"/>
      <c r="GSD29" s="819"/>
      <c r="GSE29" s="819"/>
      <c r="GSF29" s="819"/>
      <c r="GSG29" s="819"/>
      <c r="GSH29" s="819"/>
      <c r="GSI29" s="819"/>
      <c r="GSJ29" s="819"/>
      <c r="GSK29" s="819"/>
      <c r="GSL29" s="819"/>
      <c r="GSM29" s="819"/>
      <c r="GSN29" s="819"/>
      <c r="GSO29" s="819"/>
      <c r="GSP29" s="819"/>
      <c r="GSQ29" s="819"/>
      <c r="GSR29" s="819"/>
      <c r="GSS29" s="819"/>
      <c r="GST29" s="819"/>
      <c r="GSU29" s="819"/>
      <c r="GSV29" s="819"/>
      <c r="GSW29" s="819"/>
      <c r="GSX29" s="819"/>
      <c r="GSY29" s="819"/>
      <c r="GSZ29" s="819"/>
      <c r="GTA29" s="819"/>
      <c r="GTB29" s="819"/>
      <c r="GTC29" s="819"/>
      <c r="GTD29" s="819"/>
      <c r="GTE29" s="819"/>
      <c r="GTF29" s="819"/>
      <c r="GTG29" s="819"/>
      <c r="GTH29" s="819"/>
      <c r="GTI29" s="819"/>
      <c r="GTJ29" s="819"/>
      <c r="GTK29" s="819"/>
      <c r="GTL29" s="819"/>
      <c r="GTM29" s="819"/>
      <c r="GTN29" s="819"/>
      <c r="GTO29" s="819"/>
      <c r="GTP29" s="819"/>
      <c r="GTQ29" s="819"/>
      <c r="GTR29" s="819"/>
      <c r="GTS29" s="819"/>
      <c r="GTT29" s="819"/>
      <c r="GTU29" s="819"/>
      <c r="GTV29" s="819"/>
      <c r="GTW29" s="819"/>
      <c r="GTX29" s="819"/>
      <c r="GTY29" s="819"/>
      <c r="GTZ29" s="819"/>
      <c r="GUA29" s="819"/>
      <c r="GUB29" s="819"/>
      <c r="GUC29" s="819"/>
      <c r="GUD29" s="819"/>
      <c r="GUE29" s="819"/>
      <c r="GUF29" s="819"/>
      <c r="GUG29" s="819"/>
      <c r="GUH29" s="819"/>
      <c r="GUI29" s="819"/>
      <c r="GUJ29" s="819"/>
      <c r="GUK29" s="819"/>
      <c r="GUL29" s="819"/>
      <c r="GUM29" s="819"/>
      <c r="GUN29" s="819"/>
      <c r="GUO29" s="819"/>
      <c r="GUP29" s="819"/>
      <c r="GUQ29" s="819"/>
      <c r="GUR29" s="819"/>
      <c r="GUS29" s="819"/>
      <c r="GUT29" s="819"/>
      <c r="GUU29" s="819"/>
      <c r="GUV29" s="819"/>
      <c r="GUW29" s="819"/>
      <c r="GUX29" s="819"/>
      <c r="GUY29" s="819"/>
      <c r="GUZ29" s="819"/>
      <c r="GVA29" s="819"/>
      <c r="GVB29" s="819"/>
      <c r="GVC29" s="819"/>
      <c r="GVD29" s="819"/>
      <c r="GVE29" s="819"/>
      <c r="GVF29" s="819"/>
      <c r="GVG29" s="819"/>
      <c r="GVH29" s="819"/>
      <c r="GVI29" s="819"/>
      <c r="GVJ29" s="819"/>
      <c r="GVK29" s="819"/>
      <c r="GVL29" s="819"/>
      <c r="GVM29" s="819"/>
      <c r="GVN29" s="819"/>
      <c r="GVO29" s="819"/>
      <c r="GVP29" s="819"/>
      <c r="GVQ29" s="819"/>
      <c r="GVR29" s="819"/>
      <c r="GVS29" s="819"/>
      <c r="GVT29" s="819"/>
      <c r="GVU29" s="819"/>
      <c r="GVV29" s="819"/>
      <c r="GVW29" s="819"/>
      <c r="GVX29" s="819"/>
      <c r="GVY29" s="819"/>
      <c r="GVZ29" s="819"/>
      <c r="GWA29" s="819"/>
      <c r="GWB29" s="819"/>
      <c r="GWC29" s="819"/>
      <c r="GWD29" s="819"/>
      <c r="GWE29" s="819"/>
      <c r="GWF29" s="819"/>
      <c r="GWG29" s="819"/>
      <c r="GWH29" s="819"/>
      <c r="GWI29" s="819"/>
      <c r="GWJ29" s="819"/>
      <c r="GWK29" s="819"/>
      <c r="GWL29" s="819"/>
      <c r="GWM29" s="819"/>
      <c r="GWN29" s="819"/>
      <c r="GWO29" s="819"/>
      <c r="GWP29" s="819"/>
      <c r="GWQ29" s="819"/>
      <c r="GWR29" s="819"/>
      <c r="GWS29" s="819"/>
      <c r="GWT29" s="819"/>
      <c r="GWU29" s="819"/>
      <c r="GWV29" s="819"/>
      <c r="GWW29" s="819"/>
      <c r="GWX29" s="819"/>
      <c r="GWY29" s="819"/>
      <c r="GWZ29" s="819"/>
      <c r="GXA29" s="819"/>
      <c r="GXB29" s="819"/>
      <c r="GXC29" s="819"/>
      <c r="GXD29" s="819"/>
      <c r="GXE29" s="819"/>
      <c r="GXF29" s="819"/>
      <c r="GXG29" s="819"/>
      <c r="GXH29" s="819"/>
      <c r="GXI29" s="819"/>
      <c r="GXJ29" s="819"/>
      <c r="GXK29" s="819"/>
      <c r="GXL29" s="819"/>
      <c r="GXM29" s="819"/>
      <c r="GXN29" s="819"/>
      <c r="GXO29" s="819"/>
      <c r="GXP29" s="819"/>
      <c r="GXQ29" s="819"/>
      <c r="GXR29" s="819"/>
      <c r="GXS29" s="819"/>
      <c r="GXT29" s="819"/>
      <c r="GXU29" s="819"/>
      <c r="GXV29" s="819"/>
      <c r="GXW29" s="819"/>
      <c r="GXX29" s="819"/>
      <c r="GXY29" s="819"/>
      <c r="GXZ29" s="819"/>
      <c r="GYA29" s="819"/>
      <c r="GYB29" s="819"/>
      <c r="GYC29" s="819"/>
      <c r="GYD29" s="819"/>
      <c r="GYE29" s="819"/>
      <c r="GYF29" s="819"/>
      <c r="GYG29" s="819"/>
      <c r="GYH29" s="819"/>
      <c r="GYI29" s="819"/>
      <c r="GYJ29" s="819"/>
      <c r="GYK29" s="819"/>
      <c r="GYL29" s="819"/>
      <c r="GYM29" s="819"/>
      <c r="GYN29" s="819"/>
      <c r="GYO29" s="819"/>
      <c r="GYP29" s="819"/>
      <c r="GYQ29" s="819"/>
      <c r="GYR29" s="819"/>
      <c r="GYS29" s="819"/>
      <c r="GYT29" s="819"/>
      <c r="GYU29" s="819"/>
      <c r="GYV29" s="819"/>
      <c r="GYW29" s="819"/>
      <c r="GYX29" s="819"/>
      <c r="GYY29" s="819"/>
      <c r="GYZ29" s="819"/>
      <c r="GZA29" s="819"/>
      <c r="GZB29" s="819"/>
      <c r="GZC29" s="819"/>
      <c r="GZD29" s="819"/>
      <c r="GZE29" s="819"/>
      <c r="GZF29" s="819"/>
      <c r="GZG29" s="819"/>
      <c r="GZH29" s="819"/>
      <c r="GZI29" s="819"/>
      <c r="GZJ29" s="819"/>
      <c r="GZK29" s="819"/>
      <c r="GZL29" s="819"/>
      <c r="GZM29" s="819"/>
      <c r="GZN29" s="819"/>
      <c r="GZO29" s="819"/>
      <c r="GZP29" s="819"/>
      <c r="GZQ29" s="819"/>
      <c r="GZR29" s="819"/>
      <c r="GZS29" s="819"/>
      <c r="GZT29" s="819"/>
      <c r="GZU29" s="819"/>
      <c r="GZV29" s="819"/>
      <c r="GZW29" s="819"/>
      <c r="GZX29" s="819"/>
      <c r="GZY29" s="819"/>
      <c r="GZZ29" s="819"/>
      <c r="HAA29" s="819"/>
      <c r="HAB29" s="819"/>
      <c r="HAC29" s="819"/>
      <c r="HAD29" s="819"/>
      <c r="HAE29" s="819"/>
      <c r="HAF29" s="819"/>
      <c r="HAG29" s="819"/>
      <c r="HAH29" s="819"/>
      <c r="HAI29" s="819"/>
      <c r="HAJ29" s="819"/>
      <c r="HAK29" s="819"/>
      <c r="HAL29" s="819"/>
      <c r="HAM29" s="819"/>
      <c r="HAN29" s="819"/>
      <c r="HAO29" s="819"/>
      <c r="HAP29" s="819"/>
      <c r="HAQ29" s="819"/>
      <c r="HAR29" s="819"/>
      <c r="HAS29" s="819"/>
      <c r="HAT29" s="819"/>
      <c r="HAU29" s="819"/>
      <c r="HAV29" s="819"/>
      <c r="HAW29" s="819"/>
      <c r="HAX29" s="819"/>
      <c r="HAY29" s="819"/>
      <c r="HAZ29" s="819"/>
      <c r="HBA29" s="819"/>
      <c r="HBB29" s="819"/>
      <c r="HBC29" s="819"/>
      <c r="HBD29" s="819"/>
      <c r="HBE29" s="819"/>
      <c r="HBF29" s="819"/>
      <c r="HBG29" s="819"/>
      <c r="HBH29" s="819"/>
      <c r="HBI29" s="819"/>
      <c r="HBJ29" s="819"/>
      <c r="HBK29" s="819"/>
      <c r="HBL29" s="819"/>
      <c r="HBM29" s="819"/>
      <c r="HBN29" s="819"/>
      <c r="HBO29" s="819"/>
      <c r="HBP29" s="819"/>
      <c r="HBQ29" s="819"/>
      <c r="HBR29" s="819"/>
      <c r="HBS29" s="819"/>
      <c r="HBT29" s="819"/>
      <c r="HBU29" s="819"/>
      <c r="HBV29" s="819"/>
      <c r="HBW29" s="819"/>
      <c r="HBX29" s="819"/>
      <c r="HBY29" s="819"/>
      <c r="HBZ29" s="819"/>
      <c r="HCA29" s="819"/>
      <c r="HCB29" s="819"/>
      <c r="HCC29" s="819"/>
      <c r="HCD29" s="819"/>
      <c r="HCE29" s="819"/>
      <c r="HCF29" s="819"/>
      <c r="HCG29" s="819"/>
      <c r="HCH29" s="819"/>
      <c r="HCI29" s="819"/>
      <c r="HCJ29" s="819"/>
      <c r="HCK29" s="819"/>
      <c r="HCL29" s="819"/>
      <c r="HCM29" s="819"/>
      <c r="HCN29" s="819"/>
      <c r="HCO29" s="819"/>
      <c r="HCP29" s="819"/>
      <c r="HCQ29" s="819"/>
      <c r="HCR29" s="819"/>
      <c r="HCS29" s="819"/>
      <c r="HCT29" s="819"/>
      <c r="HCU29" s="819"/>
      <c r="HCV29" s="819"/>
      <c r="HCW29" s="819"/>
      <c r="HCX29" s="819"/>
      <c r="HCY29" s="819"/>
      <c r="HCZ29" s="819"/>
      <c r="HDA29" s="819"/>
      <c r="HDB29" s="819"/>
      <c r="HDC29" s="819"/>
      <c r="HDD29" s="819"/>
      <c r="HDE29" s="819"/>
      <c r="HDF29" s="819"/>
      <c r="HDG29" s="819"/>
      <c r="HDH29" s="819"/>
      <c r="HDI29" s="819"/>
      <c r="HDJ29" s="819"/>
      <c r="HDK29" s="819"/>
      <c r="HDL29" s="819"/>
      <c r="HDM29" s="819"/>
      <c r="HDN29" s="819"/>
      <c r="HDO29" s="819"/>
      <c r="HDP29" s="819"/>
      <c r="HDQ29" s="819"/>
      <c r="HDR29" s="819"/>
      <c r="HDS29" s="819"/>
      <c r="HDT29" s="819"/>
      <c r="HDU29" s="819"/>
      <c r="HDV29" s="819"/>
      <c r="HDW29" s="819"/>
      <c r="HDX29" s="819"/>
      <c r="HDY29" s="819"/>
      <c r="HDZ29" s="819"/>
      <c r="HEA29" s="819"/>
      <c r="HEB29" s="819"/>
      <c r="HEC29" s="819"/>
      <c r="HED29" s="819"/>
      <c r="HEE29" s="819"/>
      <c r="HEF29" s="819"/>
      <c r="HEG29" s="819"/>
      <c r="HEH29" s="819"/>
      <c r="HEI29" s="819"/>
      <c r="HEJ29" s="819"/>
      <c r="HEK29" s="819"/>
      <c r="HEL29" s="819"/>
      <c r="HEM29" s="819"/>
      <c r="HEN29" s="819"/>
      <c r="HEO29" s="819"/>
      <c r="HEP29" s="819"/>
      <c r="HEQ29" s="819"/>
      <c r="HER29" s="819"/>
      <c r="HES29" s="819"/>
      <c r="HET29" s="819"/>
      <c r="HEU29" s="819"/>
      <c r="HEV29" s="819"/>
      <c r="HEW29" s="819"/>
      <c r="HEX29" s="819"/>
      <c r="HEY29" s="819"/>
      <c r="HEZ29" s="819"/>
      <c r="HFA29" s="819"/>
      <c r="HFB29" s="819"/>
      <c r="HFC29" s="819"/>
      <c r="HFD29" s="819"/>
      <c r="HFE29" s="819"/>
      <c r="HFF29" s="819"/>
      <c r="HFG29" s="819"/>
      <c r="HFH29" s="819"/>
      <c r="HFI29" s="819"/>
      <c r="HFJ29" s="819"/>
      <c r="HFK29" s="819"/>
      <c r="HFL29" s="819"/>
      <c r="HFM29" s="819"/>
      <c r="HFN29" s="819"/>
      <c r="HFO29" s="819"/>
      <c r="HFP29" s="819"/>
      <c r="HFQ29" s="819"/>
      <c r="HFR29" s="819"/>
      <c r="HFS29" s="819"/>
      <c r="HFT29" s="819"/>
      <c r="HFU29" s="819"/>
      <c r="HFV29" s="819"/>
      <c r="HFW29" s="819"/>
      <c r="HFX29" s="819"/>
      <c r="HFY29" s="819"/>
      <c r="HFZ29" s="819"/>
      <c r="HGA29" s="819"/>
      <c r="HGB29" s="819"/>
      <c r="HGC29" s="819"/>
      <c r="HGD29" s="819"/>
      <c r="HGE29" s="819"/>
      <c r="HGF29" s="819"/>
      <c r="HGG29" s="819"/>
      <c r="HGH29" s="819"/>
      <c r="HGI29" s="819"/>
      <c r="HGJ29" s="819"/>
      <c r="HGK29" s="819"/>
      <c r="HGL29" s="819"/>
      <c r="HGM29" s="819"/>
      <c r="HGN29" s="819"/>
      <c r="HGO29" s="819"/>
      <c r="HGP29" s="819"/>
      <c r="HGQ29" s="819"/>
      <c r="HGR29" s="819"/>
      <c r="HGS29" s="819"/>
      <c r="HGT29" s="819"/>
      <c r="HGU29" s="819"/>
      <c r="HGV29" s="819"/>
      <c r="HGW29" s="819"/>
      <c r="HGX29" s="819"/>
      <c r="HGY29" s="819"/>
      <c r="HGZ29" s="819"/>
      <c r="HHA29" s="819"/>
      <c r="HHB29" s="819"/>
      <c r="HHC29" s="819"/>
      <c r="HHD29" s="819"/>
      <c r="HHE29" s="819"/>
      <c r="HHF29" s="819"/>
      <c r="HHG29" s="819"/>
      <c r="HHH29" s="819"/>
      <c r="HHI29" s="819"/>
      <c r="HHJ29" s="819"/>
      <c r="HHK29" s="819"/>
      <c r="HHL29" s="819"/>
      <c r="HHM29" s="819"/>
      <c r="HHN29" s="819"/>
      <c r="HHO29" s="819"/>
      <c r="HHP29" s="819"/>
      <c r="HHQ29" s="819"/>
      <c r="HHR29" s="819"/>
      <c r="HHS29" s="819"/>
      <c r="HHT29" s="819"/>
      <c r="HHU29" s="819"/>
      <c r="HHV29" s="819"/>
      <c r="HHW29" s="819"/>
      <c r="HHX29" s="819"/>
      <c r="HHY29" s="819"/>
      <c r="HHZ29" s="819"/>
      <c r="HIA29" s="819"/>
      <c r="HIB29" s="819"/>
      <c r="HIC29" s="819"/>
      <c r="HID29" s="819"/>
      <c r="HIE29" s="819"/>
      <c r="HIF29" s="819"/>
      <c r="HIG29" s="819"/>
      <c r="HIH29" s="819"/>
      <c r="HII29" s="819"/>
      <c r="HIJ29" s="819"/>
      <c r="HIK29" s="819"/>
      <c r="HIL29" s="819"/>
      <c r="HIM29" s="819"/>
      <c r="HIN29" s="819"/>
      <c r="HIO29" s="819"/>
      <c r="HIP29" s="819"/>
      <c r="HIQ29" s="819"/>
      <c r="HIR29" s="819"/>
      <c r="HIS29" s="819"/>
      <c r="HIT29" s="819"/>
      <c r="HIU29" s="819"/>
      <c r="HIV29" s="819"/>
      <c r="HIW29" s="819"/>
      <c r="HIX29" s="819"/>
      <c r="HIY29" s="819"/>
      <c r="HIZ29" s="819"/>
      <c r="HJA29" s="819"/>
      <c r="HJB29" s="819"/>
      <c r="HJC29" s="819"/>
      <c r="HJD29" s="819"/>
      <c r="HJE29" s="819"/>
      <c r="HJF29" s="819"/>
      <c r="HJG29" s="819"/>
      <c r="HJH29" s="819"/>
      <c r="HJI29" s="819"/>
      <c r="HJJ29" s="819"/>
      <c r="HJK29" s="819"/>
      <c r="HJL29" s="819"/>
      <c r="HJM29" s="819"/>
      <c r="HJN29" s="819"/>
      <c r="HJO29" s="819"/>
      <c r="HJP29" s="819"/>
      <c r="HJQ29" s="819"/>
      <c r="HJR29" s="819"/>
      <c r="HJS29" s="819"/>
      <c r="HJT29" s="819"/>
      <c r="HJU29" s="819"/>
      <c r="HJV29" s="819"/>
      <c r="HJW29" s="819"/>
      <c r="HJX29" s="819"/>
      <c r="HJY29" s="819"/>
      <c r="HJZ29" s="819"/>
      <c r="HKA29" s="819"/>
      <c r="HKB29" s="819"/>
      <c r="HKC29" s="819"/>
      <c r="HKD29" s="819"/>
      <c r="HKE29" s="819"/>
      <c r="HKF29" s="819"/>
      <c r="HKG29" s="819"/>
      <c r="HKH29" s="819"/>
      <c r="HKI29" s="819"/>
      <c r="HKJ29" s="819"/>
      <c r="HKK29" s="819"/>
      <c r="HKL29" s="819"/>
      <c r="HKM29" s="819"/>
      <c r="HKN29" s="819"/>
      <c r="HKO29" s="819"/>
      <c r="HKP29" s="819"/>
      <c r="HKQ29" s="819"/>
      <c r="HKR29" s="819"/>
      <c r="HKS29" s="819"/>
      <c r="HKT29" s="819"/>
      <c r="HKU29" s="819"/>
      <c r="HKV29" s="819"/>
      <c r="HKW29" s="819"/>
      <c r="HKX29" s="819"/>
      <c r="HKY29" s="819"/>
      <c r="HKZ29" s="819"/>
      <c r="HLA29" s="819"/>
      <c r="HLB29" s="819"/>
      <c r="HLC29" s="819"/>
      <c r="HLD29" s="819"/>
      <c r="HLE29" s="819"/>
      <c r="HLF29" s="819"/>
      <c r="HLG29" s="819"/>
      <c r="HLH29" s="819"/>
      <c r="HLI29" s="819"/>
      <c r="HLJ29" s="819"/>
      <c r="HLK29" s="819"/>
      <c r="HLL29" s="819"/>
      <c r="HLM29" s="819"/>
      <c r="HLN29" s="819"/>
      <c r="HLO29" s="819"/>
      <c r="HLP29" s="819"/>
      <c r="HLQ29" s="819"/>
      <c r="HLR29" s="819"/>
      <c r="HLS29" s="819"/>
      <c r="HLT29" s="819"/>
      <c r="HLU29" s="819"/>
      <c r="HLV29" s="819"/>
      <c r="HLW29" s="819"/>
      <c r="HLX29" s="819"/>
      <c r="HLY29" s="819"/>
      <c r="HLZ29" s="819"/>
      <c r="HMA29" s="819"/>
      <c r="HMB29" s="819"/>
      <c r="HMC29" s="819"/>
      <c r="HMD29" s="819"/>
      <c r="HME29" s="819"/>
      <c r="HMF29" s="819"/>
      <c r="HMG29" s="819"/>
      <c r="HMH29" s="819"/>
      <c r="HMI29" s="819"/>
      <c r="HMJ29" s="819"/>
      <c r="HMK29" s="819"/>
      <c r="HML29" s="819"/>
      <c r="HMM29" s="819"/>
      <c r="HMN29" s="819"/>
      <c r="HMO29" s="819"/>
      <c r="HMP29" s="819"/>
      <c r="HMQ29" s="819"/>
      <c r="HMR29" s="819"/>
      <c r="HMS29" s="819"/>
      <c r="HMT29" s="819"/>
      <c r="HMU29" s="819"/>
      <c r="HMV29" s="819"/>
      <c r="HMW29" s="819"/>
      <c r="HMX29" s="819"/>
      <c r="HMY29" s="819"/>
      <c r="HMZ29" s="819"/>
      <c r="HNA29" s="819"/>
      <c r="HNB29" s="819"/>
      <c r="HNC29" s="819"/>
      <c r="HND29" s="819"/>
      <c r="HNE29" s="819"/>
      <c r="HNF29" s="819"/>
      <c r="HNG29" s="819"/>
      <c r="HNH29" s="819"/>
      <c r="HNI29" s="819"/>
      <c r="HNJ29" s="819"/>
      <c r="HNK29" s="819"/>
      <c r="HNL29" s="819"/>
      <c r="HNM29" s="819"/>
      <c r="HNN29" s="819"/>
      <c r="HNO29" s="819"/>
      <c r="HNP29" s="819"/>
      <c r="HNQ29" s="819"/>
      <c r="HNR29" s="819"/>
      <c r="HNS29" s="819"/>
      <c r="HNT29" s="819"/>
      <c r="HNU29" s="819"/>
      <c r="HNV29" s="819"/>
      <c r="HNW29" s="819"/>
      <c r="HNX29" s="819"/>
      <c r="HNY29" s="819"/>
      <c r="HNZ29" s="819"/>
      <c r="HOA29" s="819"/>
      <c r="HOB29" s="819"/>
      <c r="HOC29" s="819"/>
      <c r="HOD29" s="819"/>
      <c r="HOE29" s="819"/>
      <c r="HOF29" s="819"/>
      <c r="HOG29" s="819"/>
      <c r="HOH29" s="819"/>
      <c r="HOI29" s="819"/>
      <c r="HOJ29" s="819"/>
      <c r="HOK29" s="819"/>
      <c r="HOL29" s="819"/>
      <c r="HOM29" s="819"/>
      <c r="HON29" s="819"/>
      <c r="HOO29" s="819"/>
      <c r="HOP29" s="819"/>
      <c r="HOQ29" s="819"/>
      <c r="HOR29" s="819"/>
      <c r="HOS29" s="819"/>
      <c r="HOT29" s="819"/>
      <c r="HOU29" s="819"/>
      <c r="HOV29" s="819"/>
      <c r="HOW29" s="819"/>
      <c r="HOX29" s="819"/>
      <c r="HOY29" s="819"/>
      <c r="HOZ29" s="819"/>
      <c r="HPA29" s="819"/>
      <c r="HPB29" s="819"/>
      <c r="HPC29" s="819"/>
      <c r="HPD29" s="819"/>
      <c r="HPE29" s="819"/>
      <c r="HPF29" s="819"/>
      <c r="HPG29" s="819"/>
      <c r="HPH29" s="819"/>
      <c r="HPI29" s="819"/>
      <c r="HPJ29" s="819"/>
      <c r="HPK29" s="819"/>
      <c r="HPL29" s="819"/>
      <c r="HPM29" s="819"/>
      <c r="HPN29" s="819"/>
      <c r="HPO29" s="819"/>
      <c r="HPP29" s="819"/>
      <c r="HPQ29" s="819"/>
      <c r="HPR29" s="819"/>
      <c r="HPS29" s="819"/>
      <c r="HPT29" s="819"/>
      <c r="HPU29" s="819"/>
      <c r="HPV29" s="819"/>
      <c r="HPW29" s="819"/>
      <c r="HPX29" s="819"/>
      <c r="HPY29" s="819"/>
      <c r="HPZ29" s="819"/>
      <c r="HQA29" s="819"/>
      <c r="HQB29" s="819"/>
      <c r="HQC29" s="819"/>
      <c r="HQD29" s="819"/>
      <c r="HQE29" s="819"/>
      <c r="HQF29" s="819"/>
      <c r="HQG29" s="819"/>
      <c r="HQH29" s="819"/>
      <c r="HQI29" s="819"/>
      <c r="HQJ29" s="819"/>
      <c r="HQK29" s="819"/>
      <c r="HQL29" s="819"/>
      <c r="HQM29" s="819"/>
      <c r="HQN29" s="819"/>
      <c r="HQO29" s="819"/>
      <c r="HQP29" s="819"/>
      <c r="HQQ29" s="819"/>
      <c r="HQR29" s="819"/>
      <c r="HQS29" s="819"/>
      <c r="HQT29" s="819"/>
      <c r="HQU29" s="819"/>
      <c r="HQV29" s="819"/>
      <c r="HQW29" s="819"/>
      <c r="HQX29" s="819"/>
      <c r="HQY29" s="819"/>
      <c r="HQZ29" s="819"/>
      <c r="HRA29" s="819"/>
      <c r="HRB29" s="819"/>
      <c r="HRC29" s="819"/>
      <c r="HRD29" s="819"/>
      <c r="HRE29" s="819"/>
      <c r="HRF29" s="819"/>
      <c r="HRG29" s="819"/>
      <c r="HRH29" s="819"/>
      <c r="HRI29" s="819"/>
      <c r="HRJ29" s="819"/>
      <c r="HRK29" s="819"/>
      <c r="HRL29" s="819"/>
      <c r="HRM29" s="819"/>
      <c r="HRN29" s="819"/>
      <c r="HRO29" s="819"/>
      <c r="HRP29" s="819"/>
      <c r="HRQ29" s="819"/>
      <c r="HRR29" s="819"/>
      <c r="HRS29" s="819"/>
      <c r="HRT29" s="819"/>
      <c r="HRU29" s="819"/>
      <c r="HRV29" s="819"/>
      <c r="HRW29" s="819"/>
      <c r="HRX29" s="819"/>
      <c r="HRY29" s="819"/>
      <c r="HRZ29" s="819"/>
      <c r="HSA29" s="819"/>
      <c r="HSB29" s="819"/>
      <c r="HSC29" s="819"/>
      <c r="HSD29" s="819"/>
      <c r="HSE29" s="819"/>
      <c r="HSF29" s="819"/>
      <c r="HSG29" s="819"/>
      <c r="HSH29" s="819"/>
      <c r="HSI29" s="819"/>
      <c r="HSJ29" s="819"/>
      <c r="HSK29" s="819"/>
      <c r="HSL29" s="819"/>
      <c r="HSM29" s="819"/>
      <c r="HSN29" s="819"/>
      <c r="HSO29" s="819"/>
      <c r="HSP29" s="819"/>
      <c r="HSQ29" s="819"/>
      <c r="HSR29" s="819"/>
      <c r="HSS29" s="819"/>
      <c r="HST29" s="819"/>
      <c r="HSU29" s="819"/>
      <c r="HSV29" s="819"/>
      <c r="HSW29" s="819"/>
      <c r="HSX29" s="819"/>
      <c r="HSY29" s="819"/>
      <c r="HSZ29" s="819"/>
      <c r="HTA29" s="819"/>
      <c r="HTB29" s="819"/>
      <c r="HTC29" s="819"/>
      <c r="HTD29" s="819"/>
      <c r="HTE29" s="819"/>
      <c r="HTF29" s="819"/>
      <c r="HTG29" s="819"/>
      <c r="HTH29" s="819"/>
      <c r="HTI29" s="819"/>
      <c r="HTJ29" s="819"/>
      <c r="HTK29" s="819"/>
      <c r="HTL29" s="819"/>
      <c r="HTM29" s="819"/>
      <c r="HTN29" s="819"/>
      <c r="HTO29" s="819"/>
      <c r="HTP29" s="819"/>
      <c r="HTQ29" s="819"/>
      <c r="HTR29" s="819"/>
      <c r="HTS29" s="819"/>
      <c r="HTT29" s="819"/>
      <c r="HTU29" s="819"/>
      <c r="HTV29" s="819"/>
      <c r="HTW29" s="819"/>
      <c r="HTX29" s="819"/>
      <c r="HTY29" s="819"/>
      <c r="HTZ29" s="819"/>
      <c r="HUA29" s="819"/>
      <c r="HUB29" s="819"/>
      <c r="HUC29" s="819"/>
      <c r="HUD29" s="819"/>
      <c r="HUE29" s="819"/>
      <c r="HUF29" s="819"/>
      <c r="HUG29" s="819"/>
      <c r="HUH29" s="819"/>
      <c r="HUI29" s="819"/>
      <c r="HUJ29" s="819"/>
      <c r="HUK29" s="819"/>
      <c r="HUL29" s="819"/>
      <c r="HUM29" s="819"/>
      <c r="HUN29" s="819"/>
      <c r="HUO29" s="819"/>
      <c r="HUP29" s="819"/>
      <c r="HUQ29" s="819"/>
      <c r="HUR29" s="819"/>
      <c r="HUS29" s="819"/>
      <c r="HUT29" s="819"/>
      <c r="HUU29" s="819"/>
      <c r="HUV29" s="819"/>
      <c r="HUW29" s="819"/>
      <c r="HUX29" s="819"/>
      <c r="HUY29" s="819"/>
      <c r="HUZ29" s="819"/>
      <c r="HVA29" s="819"/>
      <c r="HVB29" s="819"/>
      <c r="HVC29" s="819"/>
      <c r="HVD29" s="819"/>
      <c r="HVE29" s="819"/>
      <c r="HVF29" s="819"/>
      <c r="HVG29" s="819"/>
      <c r="HVH29" s="819"/>
      <c r="HVI29" s="819"/>
      <c r="HVJ29" s="819"/>
      <c r="HVK29" s="819"/>
      <c r="HVL29" s="819"/>
      <c r="HVM29" s="819"/>
      <c r="HVN29" s="819"/>
      <c r="HVO29" s="819"/>
      <c r="HVP29" s="819"/>
      <c r="HVQ29" s="819"/>
      <c r="HVR29" s="819"/>
      <c r="HVS29" s="819"/>
      <c r="HVT29" s="819"/>
      <c r="HVU29" s="819"/>
      <c r="HVV29" s="819"/>
      <c r="HVW29" s="819"/>
      <c r="HVX29" s="819"/>
      <c r="HVY29" s="819"/>
      <c r="HVZ29" s="819"/>
      <c r="HWA29" s="819"/>
      <c r="HWB29" s="819"/>
      <c r="HWC29" s="819"/>
      <c r="HWD29" s="819"/>
      <c r="HWE29" s="819"/>
      <c r="HWF29" s="819"/>
      <c r="HWG29" s="819"/>
      <c r="HWH29" s="819"/>
      <c r="HWI29" s="819"/>
      <c r="HWJ29" s="819"/>
      <c r="HWK29" s="819"/>
      <c r="HWL29" s="819"/>
      <c r="HWM29" s="819"/>
      <c r="HWN29" s="819"/>
      <c r="HWO29" s="819"/>
      <c r="HWP29" s="819"/>
      <c r="HWQ29" s="819"/>
      <c r="HWR29" s="819"/>
      <c r="HWS29" s="819"/>
      <c r="HWT29" s="819"/>
      <c r="HWU29" s="819"/>
      <c r="HWV29" s="819"/>
      <c r="HWW29" s="819"/>
      <c r="HWX29" s="819"/>
      <c r="HWY29" s="819"/>
      <c r="HWZ29" s="819"/>
      <c r="HXA29" s="819"/>
      <c r="HXB29" s="819"/>
      <c r="HXC29" s="819"/>
      <c r="HXD29" s="819"/>
      <c r="HXE29" s="819"/>
      <c r="HXF29" s="819"/>
      <c r="HXG29" s="819"/>
      <c r="HXH29" s="819"/>
      <c r="HXI29" s="819"/>
      <c r="HXJ29" s="819"/>
      <c r="HXK29" s="819"/>
      <c r="HXL29" s="819"/>
      <c r="HXM29" s="819"/>
      <c r="HXN29" s="819"/>
      <c r="HXO29" s="819"/>
      <c r="HXP29" s="819"/>
      <c r="HXQ29" s="819"/>
      <c r="HXR29" s="819"/>
      <c r="HXS29" s="819"/>
      <c r="HXT29" s="819"/>
      <c r="HXU29" s="819"/>
      <c r="HXV29" s="819"/>
      <c r="HXW29" s="819"/>
      <c r="HXX29" s="819"/>
      <c r="HXY29" s="819"/>
      <c r="HXZ29" s="819"/>
      <c r="HYA29" s="819"/>
      <c r="HYB29" s="819"/>
      <c r="HYC29" s="819"/>
      <c r="HYD29" s="819"/>
      <c r="HYE29" s="819"/>
      <c r="HYF29" s="819"/>
      <c r="HYG29" s="819"/>
      <c r="HYH29" s="819"/>
      <c r="HYI29" s="819"/>
      <c r="HYJ29" s="819"/>
      <c r="HYK29" s="819"/>
      <c r="HYL29" s="819"/>
      <c r="HYM29" s="819"/>
      <c r="HYN29" s="819"/>
      <c r="HYO29" s="819"/>
      <c r="HYP29" s="819"/>
      <c r="HYQ29" s="819"/>
      <c r="HYR29" s="819"/>
      <c r="HYS29" s="819"/>
      <c r="HYT29" s="819"/>
      <c r="HYU29" s="819"/>
      <c r="HYV29" s="819"/>
      <c r="HYW29" s="819"/>
      <c r="HYX29" s="819"/>
      <c r="HYY29" s="819"/>
      <c r="HYZ29" s="819"/>
      <c r="HZA29" s="819"/>
      <c r="HZB29" s="819"/>
      <c r="HZC29" s="819"/>
      <c r="HZD29" s="819"/>
      <c r="HZE29" s="819"/>
      <c r="HZF29" s="819"/>
      <c r="HZG29" s="819"/>
      <c r="HZH29" s="819"/>
      <c r="HZI29" s="819"/>
      <c r="HZJ29" s="819"/>
      <c r="HZK29" s="819"/>
      <c r="HZL29" s="819"/>
      <c r="HZM29" s="819"/>
      <c r="HZN29" s="819"/>
      <c r="HZO29" s="819"/>
      <c r="HZP29" s="819"/>
      <c r="HZQ29" s="819"/>
      <c r="HZR29" s="819"/>
      <c r="HZS29" s="819"/>
      <c r="HZT29" s="819"/>
      <c r="HZU29" s="819"/>
      <c r="HZV29" s="819"/>
      <c r="HZW29" s="819"/>
      <c r="HZX29" s="819"/>
      <c r="HZY29" s="819"/>
      <c r="HZZ29" s="819"/>
      <c r="IAA29" s="819"/>
      <c r="IAB29" s="819"/>
      <c r="IAC29" s="819"/>
      <c r="IAD29" s="819"/>
      <c r="IAE29" s="819"/>
      <c r="IAF29" s="819"/>
      <c r="IAG29" s="819"/>
      <c r="IAH29" s="819"/>
      <c r="IAI29" s="819"/>
      <c r="IAJ29" s="819"/>
      <c r="IAK29" s="819"/>
      <c r="IAL29" s="819"/>
      <c r="IAM29" s="819"/>
      <c r="IAN29" s="819"/>
      <c r="IAO29" s="819"/>
      <c r="IAP29" s="819"/>
      <c r="IAQ29" s="819"/>
      <c r="IAR29" s="819"/>
      <c r="IAS29" s="819"/>
      <c r="IAT29" s="819"/>
      <c r="IAU29" s="819"/>
      <c r="IAV29" s="819"/>
      <c r="IAW29" s="819"/>
      <c r="IAX29" s="819"/>
      <c r="IAY29" s="819"/>
      <c r="IAZ29" s="819"/>
      <c r="IBA29" s="819"/>
      <c r="IBB29" s="819"/>
      <c r="IBC29" s="819"/>
      <c r="IBD29" s="819"/>
      <c r="IBE29" s="819"/>
      <c r="IBF29" s="819"/>
      <c r="IBG29" s="819"/>
      <c r="IBH29" s="819"/>
      <c r="IBI29" s="819"/>
      <c r="IBJ29" s="819"/>
      <c r="IBK29" s="819"/>
      <c r="IBL29" s="819"/>
      <c r="IBM29" s="819"/>
      <c r="IBN29" s="819"/>
      <c r="IBO29" s="819"/>
      <c r="IBP29" s="819"/>
      <c r="IBQ29" s="819"/>
      <c r="IBR29" s="819"/>
      <c r="IBS29" s="819"/>
      <c r="IBT29" s="819"/>
      <c r="IBU29" s="819"/>
      <c r="IBV29" s="819"/>
      <c r="IBW29" s="819"/>
      <c r="IBX29" s="819"/>
      <c r="IBY29" s="819"/>
      <c r="IBZ29" s="819"/>
      <c r="ICA29" s="819"/>
      <c r="ICB29" s="819"/>
      <c r="ICC29" s="819"/>
      <c r="ICD29" s="819"/>
      <c r="ICE29" s="819"/>
      <c r="ICF29" s="819"/>
      <c r="ICG29" s="819"/>
      <c r="ICH29" s="819"/>
      <c r="ICI29" s="819"/>
      <c r="ICJ29" s="819"/>
      <c r="ICK29" s="819"/>
      <c r="ICL29" s="819"/>
      <c r="ICM29" s="819"/>
      <c r="ICN29" s="819"/>
      <c r="ICO29" s="819"/>
      <c r="ICP29" s="819"/>
      <c r="ICQ29" s="819"/>
      <c r="ICR29" s="819"/>
      <c r="ICS29" s="819"/>
      <c r="ICT29" s="819"/>
      <c r="ICU29" s="819"/>
      <c r="ICV29" s="819"/>
      <c r="ICW29" s="819"/>
      <c r="ICX29" s="819"/>
      <c r="ICY29" s="819"/>
      <c r="ICZ29" s="819"/>
      <c r="IDA29" s="819"/>
      <c r="IDB29" s="819"/>
      <c r="IDC29" s="819"/>
      <c r="IDD29" s="819"/>
      <c r="IDE29" s="819"/>
      <c r="IDF29" s="819"/>
      <c r="IDG29" s="819"/>
      <c r="IDH29" s="819"/>
      <c r="IDI29" s="819"/>
      <c r="IDJ29" s="819"/>
      <c r="IDK29" s="819"/>
      <c r="IDL29" s="819"/>
      <c r="IDM29" s="819"/>
      <c r="IDN29" s="819"/>
      <c r="IDO29" s="819"/>
      <c r="IDP29" s="819"/>
      <c r="IDQ29" s="819"/>
      <c r="IDR29" s="819"/>
      <c r="IDS29" s="819"/>
      <c r="IDT29" s="819"/>
      <c r="IDU29" s="819"/>
      <c r="IDV29" s="819"/>
      <c r="IDW29" s="819"/>
      <c r="IDX29" s="819"/>
      <c r="IDY29" s="819"/>
      <c r="IDZ29" s="819"/>
      <c r="IEA29" s="819"/>
      <c r="IEB29" s="819"/>
      <c r="IEC29" s="819"/>
      <c r="IED29" s="819"/>
      <c r="IEE29" s="819"/>
      <c r="IEF29" s="819"/>
      <c r="IEG29" s="819"/>
      <c r="IEH29" s="819"/>
      <c r="IEI29" s="819"/>
      <c r="IEJ29" s="819"/>
      <c r="IEK29" s="819"/>
      <c r="IEL29" s="819"/>
      <c r="IEM29" s="819"/>
      <c r="IEN29" s="819"/>
      <c r="IEO29" s="819"/>
      <c r="IEP29" s="819"/>
      <c r="IEQ29" s="819"/>
      <c r="IER29" s="819"/>
      <c r="IES29" s="819"/>
      <c r="IET29" s="819"/>
      <c r="IEU29" s="819"/>
      <c r="IEV29" s="819"/>
      <c r="IEW29" s="819"/>
      <c r="IEX29" s="819"/>
      <c r="IEY29" s="819"/>
      <c r="IEZ29" s="819"/>
      <c r="IFA29" s="819"/>
      <c r="IFB29" s="819"/>
      <c r="IFC29" s="819"/>
      <c r="IFD29" s="819"/>
      <c r="IFE29" s="819"/>
      <c r="IFF29" s="819"/>
      <c r="IFG29" s="819"/>
      <c r="IFH29" s="819"/>
      <c r="IFI29" s="819"/>
      <c r="IFJ29" s="819"/>
      <c r="IFK29" s="819"/>
      <c r="IFL29" s="819"/>
      <c r="IFM29" s="819"/>
      <c r="IFN29" s="819"/>
      <c r="IFO29" s="819"/>
      <c r="IFP29" s="819"/>
      <c r="IFQ29" s="819"/>
      <c r="IFR29" s="819"/>
      <c r="IFS29" s="819"/>
      <c r="IFT29" s="819"/>
      <c r="IFU29" s="819"/>
      <c r="IFV29" s="819"/>
      <c r="IFW29" s="819"/>
      <c r="IFX29" s="819"/>
      <c r="IFY29" s="819"/>
      <c r="IFZ29" s="819"/>
      <c r="IGA29" s="819"/>
      <c r="IGB29" s="819"/>
      <c r="IGC29" s="819"/>
      <c r="IGD29" s="819"/>
      <c r="IGE29" s="819"/>
      <c r="IGF29" s="819"/>
      <c r="IGG29" s="819"/>
      <c r="IGH29" s="819"/>
      <c r="IGI29" s="819"/>
      <c r="IGJ29" s="819"/>
      <c r="IGK29" s="819"/>
      <c r="IGL29" s="819"/>
      <c r="IGM29" s="819"/>
      <c r="IGN29" s="819"/>
      <c r="IGO29" s="819"/>
      <c r="IGP29" s="819"/>
      <c r="IGQ29" s="819"/>
      <c r="IGR29" s="819"/>
      <c r="IGS29" s="819"/>
      <c r="IGT29" s="819"/>
      <c r="IGU29" s="819"/>
      <c r="IGV29" s="819"/>
      <c r="IGW29" s="819"/>
      <c r="IGX29" s="819"/>
      <c r="IGY29" s="819"/>
      <c r="IGZ29" s="819"/>
      <c r="IHA29" s="819"/>
      <c r="IHB29" s="819"/>
      <c r="IHC29" s="819"/>
      <c r="IHD29" s="819"/>
      <c r="IHE29" s="819"/>
      <c r="IHF29" s="819"/>
      <c r="IHG29" s="819"/>
      <c r="IHH29" s="819"/>
      <c r="IHI29" s="819"/>
      <c r="IHJ29" s="819"/>
      <c r="IHK29" s="819"/>
      <c r="IHL29" s="819"/>
      <c r="IHM29" s="819"/>
      <c r="IHN29" s="819"/>
      <c r="IHO29" s="819"/>
      <c r="IHP29" s="819"/>
      <c r="IHQ29" s="819"/>
      <c r="IHR29" s="819"/>
      <c r="IHS29" s="819"/>
      <c r="IHT29" s="819"/>
      <c r="IHU29" s="819"/>
      <c r="IHV29" s="819"/>
      <c r="IHW29" s="819"/>
      <c r="IHX29" s="819"/>
      <c r="IHY29" s="819"/>
      <c r="IHZ29" s="819"/>
      <c r="IIA29" s="819"/>
      <c r="IIB29" s="819"/>
      <c r="IIC29" s="819"/>
      <c r="IID29" s="819"/>
      <c r="IIE29" s="819"/>
      <c r="IIF29" s="819"/>
      <c r="IIG29" s="819"/>
      <c r="IIH29" s="819"/>
      <c r="III29" s="819"/>
      <c r="IIJ29" s="819"/>
      <c r="IIK29" s="819"/>
      <c r="IIL29" s="819"/>
      <c r="IIM29" s="819"/>
      <c r="IIN29" s="819"/>
      <c r="IIO29" s="819"/>
      <c r="IIP29" s="819"/>
      <c r="IIQ29" s="819"/>
      <c r="IIR29" s="819"/>
      <c r="IIS29" s="819"/>
      <c r="IIT29" s="819"/>
      <c r="IIU29" s="819"/>
      <c r="IIV29" s="819"/>
      <c r="IIW29" s="819"/>
      <c r="IIX29" s="819"/>
      <c r="IIY29" s="819"/>
      <c r="IIZ29" s="819"/>
      <c r="IJA29" s="819"/>
      <c r="IJB29" s="819"/>
      <c r="IJC29" s="819"/>
      <c r="IJD29" s="819"/>
      <c r="IJE29" s="819"/>
      <c r="IJF29" s="819"/>
      <c r="IJG29" s="819"/>
      <c r="IJH29" s="819"/>
      <c r="IJI29" s="819"/>
      <c r="IJJ29" s="819"/>
      <c r="IJK29" s="819"/>
      <c r="IJL29" s="819"/>
      <c r="IJM29" s="819"/>
      <c r="IJN29" s="819"/>
      <c r="IJO29" s="819"/>
      <c r="IJP29" s="819"/>
      <c r="IJQ29" s="819"/>
      <c r="IJR29" s="819"/>
      <c r="IJS29" s="819"/>
      <c r="IJT29" s="819"/>
      <c r="IJU29" s="819"/>
      <c r="IJV29" s="819"/>
      <c r="IJW29" s="819"/>
      <c r="IJX29" s="819"/>
      <c r="IJY29" s="819"/>
      <c r="IJZ29" s="819"/>
      <c r="IKA29" s="819"/>
      <c r="IKB29" s="819"/>
      <c r="IKC29" s="819"/>
      <c r="IKD29" s="819"/>
      <c r="IKE29" s="819"/>
      <c r="IKF29" s="819"/>
      <c r="IKG29" s="819"/>
      <c r="IKH29" s="819"/>
      <c r="IKI29" s="819"/>
      <c r="IKJ29" s="819"/>
      <c r="IKK29" s="819"/>
      <c r="IKL29" s="819"/>
      <c r="IKM29" s="819"/>
      <c r="IKN29" s="819"/>
      <c r="IKO29" s="819"/>
      <c r="IKP29" s="819"/>
      <c r="IKQ29" s="819"/>
      <c r="IKR29" s="819"/>
      <c r="IKS29" s="819"/>
      <c r="IKT29" s="819"/>
      <c r="IKU29" s="819"/>
      <c r="IKV29" s="819"/>
      <c r="IKW29" s="819"/>
      <c r="IKX29" s="819"/>
      <c r="IKY29" s="819"/>
      <c r="IKZ29" s="819"/>
      <c r="ILA29" s="819"/>
      <c r="ILB29" s="819"/>
      <c r="ILC29" s="819"/>
      <c r="ILD29" s="819"/>
      <c r="ILE29" s="819"/>
      <c r="ILF29" s="819"/>
      <c r="ILG29" s="819"/>
      <c r="ILH29" s="819"/>
      <c r="ILI29" s="819"/>
      <c r="ILJ29" s="819"/>
      <c r="ILK29" s="819"/>
      <c r="ILL29" s="819"/>
      <c r="ILM29" s="819"/>
      <c r="ILN29" s="819"/>
      <c r="ILO29" s="819"/>
      <c r="ILP29" s="819"/>
      <c r="ILQ29" s="819"/>
      <c r="ILR29" s="819"/>
      <c r="ILS29" s="819"/>
      <c r="ILT29" s="819"/>
      <c r="ILU29" s="819"/>
      <c r="ILV29" s="819"/>
      <c r="ILW29" s="819"/>
      <c r="ILX29" s="819"/>
      <c r="ILY29" s="819"/>
      <c r="ILZ29" s="819"/>
      <c r="IMA29" s="819"/>
      <c r="IMB29" s="819"/>
      <c r="IMC29" s="819"/>
      <c r="IMD29" s="819"/>
      <c r="IME29" s="819"/>
      <c r="IMF29" s="819"/>
      <c r="IMG29" s="819"/>
      <c r="IMH29" s="819"/>
      <c r="IMI29" s="819"/>
      <c r="IMJ29" s="819"/>
      <c r="IMK29" s="819"/>
      <c r="IML29" s="819"/>
      <c r="IMM29" s="819"/>
      <c r="IMN29" s="819"/>
      <c r="IMO29" s="819"/>
      <c r="IMP29" s="819"/>
      <c r="IMQ29" s="819"/>
      <c r="IMR29" s="819"/>
      <c r="IMS29" s="819"/>
      <c r="IMT29" s="819"/>
      <c r="IMU29" s="819"/>
      <c r="IMV29" s="819"/>
      <c r="IMW29" s="819"/>
      <c r="IMX29" s="819"/>
      <c r="IMY29" s="819"/>
      <c r="IMZ29" s="819"/>
      <c r="INA29" s="819"/>
      <c r="INB29" s="819"/>
      <c r="INC29" s="819"/>
      <c r="IND29" s="819"/>
      <c r="INE29" s="819"/>
      <c r="INF29" s="819"/>
      <c r="ING29" s="819"/>
      <c r="INH29" s="819"/>
      <c r="INI29" s="819"/>
      <c r="INJ29" s="819"/>
      <c r="INK29" s="819"/>
      <c r="INL29" s="819"/>
      <c r="INM29" s="819"/>
      <c r="INN29" s="819"/>
      <c r="INO29" s="819"/>
      <c r="INP29" s="819"/>
      <c r="INQ29" s="819"/>
      <c r="INR29" s="819"/>
      <c r="INS29" s="819"/>
      <c r="INT29" s="819"/>
      <c r="INU29" s="819"/>
      <c r="INV29" s="819"/>
      <c r="INW29" s="819"/>
      <c r="INX29" s="819"/>
      <c r="INY29" s="819"/>
      <c r="INZ29" s="819"/>
      <c r="IOA29" s="819"/>
      <c r="IOB29" s="819"/>
      <c r="IOC29" s="819"/>
      <c r="IOD29" s="819"/>
      <c r="IOE29" s="819"/>
      <c r="IOF29" s="819"/>
      <c r="IOG29" s="819"/>
      <c r="IOH29" s="819"/>
      <c r="IOI29" s="819"/>
      <c r="IOJ29" s="819"/>
      <c r="IOK29" s="819"/>
      <c r="IOL29" s="819"/>
      <c r="IOM29" s="819"/>
      <c r="ION29" s="819"/>
      <c r="IOO29" s="819"/>
      <c r="IOP29" s="819"/>
      <c r="IOQ29" s="819"/>
      <c r="IOR29" s="819"/>
      <c r="IOS29" s="819"/>
      <c r="IOT29" s="819"/>
      <c r="IOU29" s="819"/>
      <c r="IOV29" s="819"/>
      <c r="IOW29" s="819"/>
      <c r="IOX29" s="819"/>
      <c r="IOY29" s="819"/>
      <c r="IOZ29" s="819"/>
      <c r="IPA29" s="819"/>
      <c r="IPB29" s="819"/>
      <c r="IPC29" s="819"/>
      <c r="IPD29" s="819"/>
      <c r="IPE29" s="819"/>
      <c r="IPF29" s="819"/>
      <c r="IPG29" s="819"/>
      <c r="IPH29" s="819"/>
      <c r="IPI29" s="819"/>
      <c r="IPJ29" s="819"/>
      <c r="IPK29" s="819"/>
      <c r="IPL29" s="819"/>
      <c r="IPM29" s="819"/>
      <c r="IPN29" s="819"/>
      <c r="IPO29" s="819"/>
      <c r="IPP29" s="819"/>
      <c r="IPQ29" s="819"/>
      <c r="IPR29" s="819"/>
      <c r="IPS29" s="819"/>
      <c r="IPT29" s="819"/>
      <c r="IPU29" s="819"/>
      <c r="IPV29" s="819"/>
      <c r="IPW29" s="819"/>
      <c r="IPX29" s="819"/>
      <c r="IPY29" s="819"/>
      <c r="IPZ29" s="819"/>
      <c r="IQA29" s="819"/>
      <c r="IQB29" s="819"/>
      <c r="IQC29" s="819"/>
      <c r="IQD29" s="819"/>
      <c r="IQE29" s="819"/>
      <c r="IQF29" s="819"/>
      <c r="IQG29" s="819"/>
      <c r="IQH29" s="819"/>
      <c r="IQI29" s="819"/>
      <c r="IQJ29" s="819"/>
      <c r="IQK29" s="819"/>
      <c r="IQL29" s="819"/>
      <c r="IQM29" s="819"/>
      <c r="IQN29" s="819"/>
      <c r="IQO29" s="819"/>
      <c r="IQP29" s="819"/>
      <c r="IQQ29" s="819"/>
      <c r="IQR29" s="819"/>
      <c r="IQS29" s="819"/>
      <c r="IQT29" s="819"/>
      <c r="IQU29" s="819"/>
      <c r="IQV29" s="819"/>
      <c r="IQW29" s="819"/>
      <c r="IQX29" s="819"/>
      <c r="IQY29" s="819"/>
      <c r="IQZ29" s="819"/>
      <c r="IRA29" s="819"/>
      <c r="IRB29" s="819"/>
      <c r="IRC29" s="819"/>
      <c r="IRD29" s="819"/>
      <c r="IRE29" s="819"/>
      <c r="IRF29" s="819"/>
      <c r="IRG29" s="819"/>
      <c r="IRH29" s="819"/>
      <c r="IRI29" s="819"/>
      <c r="IRJ29" s="819"/>
      <c r="IRK29" s="819"/>
      <c r="IRL29" s="819"/>
      <c r="IRM29" s="819"/>
      <c r="IRN29" s="819"/>
      <c r="IRO29" s="819"/>
      <c r="IRP29" s="819"/>
      <c r="IRQ29" s="819"/>
      <c r="IRR29" s="819"/>
      <c r="IRS29" s="819"/>
      <c r="IRT29" s="819"/>
      <c r="IRU29" s="819"/>
      <c r="IRV29" s="819"/>
      <c r="IRW29" s="819"/>
      <c r="IRX29" s="819"/>
      <c r="IRY29" s="819"/>
      <c r="IRZ29" s="819"/>
      <c r="ISA29" s="819"/>
      <c r="ISB29" s="819"/>
      <c r="ISC29" s="819"/>
      <c r="ISD29" s="819"/>
      <c r="ISE29" s="819"/>
      <c r="ISF29" s="819"/>
      <c r="ISG29" s="819"/>
      <c r="ISH29" s="819"/>
      <c r="ISI29" s="819"/>
      <c r="ISJ29" s="819"/>
      <c r="ISK29" s="819"/>
      <c r="ISL29" s="819"/>
      <c r="ISM29" s="819"/>
      <c r="ISN29" s="819"/>
      <c r="ISO29" s="819"/>
      <c r="ISP29" s="819"/>
      <c r="ISQ29" s="819"/>
      <c r="ISR29" s="819"/>
      <c r="ISS29" s="819"/>
      <c r="IST29" s="819"/>
      <c r="ISU29" s="819"/>
      <c r="ISV29" s="819"/>
      <c r="ISW29" s="819"/>
      <c r="ISX29" s="819"/>
      <c r="ISY29" s="819"/>
      <c r="ISZ29" s="819"/>
      <c r="ITA29" s="819"/>
      <c r="ITB29" s="819"/>
      <c r="ITC29" s="819"/>
      <c r="ITD29" s="819"/>
      <c r="ITE29" s="819"/>
      <c r="ITF29" s="819"/>
      <c r="ITG29" s="819"/>
      <c r="ITH29" s="819"/>
      <c r="ITI29" s="819"/>
      <c r="ITJ29" s="819"/>
      <c r="ITK29" s="819"/>
      <c r="ITL29" s="819"/>
      <c r="ITM29" s="819"/>
      <c r="ITN29" s="819"/>
      <c r="ITO29" s="819"/>
      <c r="ITP29" s="819"/>
      <c r="ITQ29" s="819"/>
      <c r="ITR29" s="819"/>
      <c r="ITS29" s="819"/>
      <c r="ITT29" s="819"/>
      <c r="ITU29" s="819"/>
      <c r="ITV29" s="819"/>
      <c r="ITW29" s="819"/>
      <c r="ITX29" s="819"/>
      <c r="ITY29" s="819"/>
      <c r="ITZ29" s="819"/>
      <c r="IUA29" s="819"/>
      <c r="IUB29" s="819"/>
      <c r="IUC29" s="819"/>
      <c r="IUD29" s="819"/>
      <c r="IUE29" s="819"/>
      <c r="IUF29" s="819"/>
      <c r="IUG29" s="819"/>
      <c r="IUH29" s="819"/>
      <c r="IUI29" s="819"/>
      <c r="IUJ29" s="819"/>
      <c r="IUK29" s="819"/>
      <c r="IUL29" s="819"/>
      <c r="IUM29" s="819"/>
      <c r="IUN29" s="819"/>
      <c r="IUO29" s="819"/>
      <c r="IUP29" s="819"/>
      <c r="IUQ29" s="819"/>
      <c r="IUR29" s="819"/>
      <c r="IUS29" s="819"/>
      <c r="IUT29" s="819"/>
      <c r="IUU29" s="819"/>
      <c r="IUV29" s="819"/>
      <c r="IUW29" s="819"/>
      <c r="IUX29" s="819"/>
      <c r="IUY29" s="819"/>
      <c r="IUZ29" s="819"/>
      <c r="IVA29" s="819"/>
      <c r="IVB29" s="819"/>
      <c r="IVC29" s="819"/>
      <c r="IVD29" s="819"/>
      <c r="IVE29" s="819"/>
      <c r="IVF29" s="819"/>
      <c r="IVG29" s="819"/>
      <c r="IVH29" s="819"/>
      <c r="IVI29" s="819"/>
      <c r="IVJ29" s="819"/>
      <c r="IVK29" s="819"/>
      <c r="IVL29" s="819"/>
      <c r="IVM29" s="819"/>
      <c r="IVN29" s="819"/>
      <c r="IVO29" s="819"/>
      <c r="IVP29" s="819"/>
      <c r="IVQ29" s="819"/>
      <c r="IVR29" s="819"/>
      <c r="IVS29" s="819"/>
      <c r="IVT29" s="819"/>
      <c r="IVU29" s="819"/>
      <c r="IVV29" s="819"/>
      <c r="IVW29" s="819"/>
      <c r="IVX29" s="819"/>
      <c r="IVY29" s="819"/>
      <c r="IVZ29" s="819"/>
      <c r="IWA29" s="819"/>
      <c r="IWB29" s="819"/>
      <c r="IWC29" s="819"/>
      <c r="IWD29" s="819"/>
      <c r="IWE29" s="819"/>
      <c r="IWF29" s="819"/>
      <c r="IWG29" s="819"/>
      <c r="IWH29" s="819"/>
      <c r="IWI29" s="819"/>
      <c r="IWJ29" s="819"/>
      <c r="IWK29" s="819"/>
      <c r="IWL29" s="819"/>
      <c r="IWM29" s="819"/>
      <c r="IWN29" s="819"/>
      <c r="IWO29" s="819"/>
      <c r="IWP29" s="819"/>
      <c r="IWQ29" s="819"/>
      <c r="IWR29" s="819"/>
      <c r="IWS29" s="819"/>
      <c r="IWT29" s="819"/>
      <c r="IWU29" s="819"/>
      <c r="IWV29" s="819"/>
      <c r="IWW29" s="819"/>
      <c r="IWX29" s="819"/>
      <c r="IWY29" s="819"/>
      <c r="IWZ29" s="819"/>
      <c r="IXA29" s="819"/>
      <c r="IXB29" s="819"/>
      <c r="IXC29" s="819"/>
      <c r="IXD29" s="819"/>
      <c r="IXE29" s="819"/>
      <c r="IXF29" s="819"/>
      <c r="IXG29" s="819"/>
      <c r="IXH29" s="819"/>
      <c r="IXI29" s="819"/>
      <c r="IXJ29" s="819"/>
      <c r="IXK29" s="819"/>
      <c r="IXL29" s="819"/>
      <c r="IXM29" s="819"/>
      <c r="IXN29" s="819"/>
      <c r="IXO29" s="819"/>
      <c r="IXP29" s="819"/>
      <c r="IXQ29" s="819"/>
      <c r="IXR29" s="819"/>
      <c r="IXS29" s="819"/>
      <c r="IXT29" s="819"/>
      <c r="IXU29" s="819"/>
      <c r="IXV29" s="819"/>
      <c r="IXW29" s="819"/>
      <c r="IXX29" s="819"/>
      <c r="IXY29" s="819"/>
      <c r="IXZ29" s="819"/>
      <c r="IYA29" s="819"/>
      <c r="IYB29" s="819"/>
      <c r="IYC29" s="819"/>
      <c r="IYD29" s="819"/>
      <c r="IYE29" s="819"/>
      <c r="IYF29" s="819"/>
      <c r="IYG29" s="819"/>
      <c r="IYH29" s="819"/>
      <c r="IYI29" s="819"/>
      <c r="IYJ29" s="819"/>
      <c r="IYK29" s="819"/>
      <c r="IYL29" s="819"/>
      <c r="IYM29" s="819"/>
      <c r="IYN29" s="819"/>
      <c r="IYO29" s="819"/>
      <c r="IYP29" s="819"/>
      <c r="IYQ29" s="819"/>
      <c r="IYR29" s="819"/>
      <c r="IYS29" s="819"/>
      <c r="IYT29" s="819"/>
      <c r="IYU29" s="819"/>
      <c r="IYV29" s="819"/>
      <c r="IYW29" s="819"/>
      <c r="IYX29" s="819"/>
      <c r="IYY29" s="819"/>
      <c r="IYZ29" s="819"/>
      <c r="IZA29" s="819"/>
      <c r="IZB29" s="819"/>
      <c r="IZC29" s="819"/>
      <c r="IZD29" s="819"/>
      <c r="IZE29" s="819"/>
      <c r="IZF29" s="819"/>
      <c r="IZG29" s="819"/>
      <c r="IZH29" s="819"/>
      <c r="IZI29" s="819"/>
      <c r="IZJ29" s="819"/>
      <c r="IZK29" s="819"/>
      <c r="IZL29" s="819"/>
      <c r="IZM29" s="819"/>
      <c r="IZN29" s="819"/>
      <c r="IZO29" s="819"/>
      <c r="IZP29" s="819"/>
      <c r="IZQ29" s="819"/>
      <c r="IZR29" s="819"/>
      <c r="IZS29" s="819"/>
      <c r="IZT29" s="819"/>
      <c r="IZU29" s="819"/>
      <c r="IZV29" s="819"/>
      <c r="IZW29" s="819"/>
      <c r="IZX29" s="819"/>
      <c r="IZY29" s="819"/>
      <c r="IZZ29" s="819"/>
      <c r="JAA29" s="819"/>
      <c r="JAB29" s="819"/>
      <c r="JAC29" s="819"/>
      <c r="JAD29" s="819"/>
      <c r="JAE29" s="819"/>
      <c r="JAF29" s="819"/>
      <c r="JAG29" s="819"/>
      <c r="JAH29" s="819"/>
      <c r="JAI29" s="819"/>
      <c r="JAJ29" s="819"/>
      <c r="JAK29" s="819"/>
      <c r="JAL29" s="819"/>
      <c r="JAM29" s="819"/>
      <c r="JAN29" s="819"/>
      <c r="JAO29" s="819"/>
      <c r="JAP29" s="819"/>
      <c r="JAQ29" s="819"/>
      <c r="JAR29" s="819"/>
      <c r="JAS29" s="819"/>
      <c r="JAT29" s="819"/>
      <c r="JAU29" s="819"/>
      <c r="JAV29" s="819"/>
      <c r="JAW29" s="819"/>
      <c r="JAX29" s="819"/>
      <c r="JAY29" s="819"/>
      <c r="JAZ29" s="819"/>
      <c r="JBA29" s="819"/>
      <c r="JBB29" s="819"/>
      <c r="JBC29" s="819"/>
      <c r="JBD29" s="819"/>
      <c r="JBE29" s="819"/>
      <c r="JBF29" s="819"/>
      <c r="JBG29" s="819"/>
      <c r="JBH29" s="819"/>
      <c r="JBI29" s="819"/>
      <c r="JBJ29" s="819"/>
      <c r="JBK29" s="819"/>
      <c r="JBL29" s="819"/>
      <c r="JBM29" s="819"/>
      <c r="JBN29" s="819"/>
      <c r="JBO29" s="819"/>
      <c r="JBP29" s="819"/>
      <c r="JBQ29" s="819"/>
      <c r="JBR29" s="819"/>
      <c r="JBS29" s="819"/>
      <c r="JBT29" s="819"/>
      <c r="JBU29" s="819"/>
      <c r="JBV29" s="819"/>
      <c r="JBW29" s="819"/>
      <c r="JBX29" s="819"/>
      <c r="JBY29" s="819"/>
      <c r="JBZ29" s="819"/>
      <c r="JCA29" s="819"/>
      <c r="JCB29" s="819"/>
      <c r="JCC29" s="819"/>
      <c r="JCD29" s="819"/>
      <c r="JCE29" s="819"/>
      <c r="JCF29" s="819"/>
      <c r="JCG29" s="819"/>
      <c r="JCH29" s="819"/>
      <c r="JCI29" s="819"/>
      <c r="JCJ29" s="819"/>
      <c r="JCK29" s="819"/>
      <c r="JCL29" s="819"/>
      <c r="JCM29" s="819"/>
      <c r="JCN29" s="819"/>
      <c r="JCO29" s="819"/>
      <c r="JCP29" s="819"/>
      <c r="JCQ29" s="819"/>
      <c r="JCR29" s="819"/>
      <c r="JCS29" s="819"/>
      <c r="JCT29" s="819"/>
      <c r="JCU29" s="819"/>
      <c r="JCV29" s="819"/>
      <c r="JCW29" s="819"/>
      <c r="JCX29" s="819"/>
      <c r="JCY29" s="819"/>
      <c r="JCZ29" s="819"/>
      <c r="JDA29" s="819"/>
      <c r="JDB29" s="819"/>
      <c r="JDC29" s="819"/>
      <c r="JDD29" s="819"/>
      <c r="JDE29" s="819"/>
      <c r="JDF29" s="819"/>
      <c r="JDG29" s="819"/>
      <c r="JDH29" s="819"/>
      <c r="JDI29" s="819"/>
      <c r="JDJ29" s="819"/>
      <c r="JDK29" s="819"/>
      <c r="JDL29" s="819"/>
      <c r="JDM29" s="819"/>
      <c r="JDN29" s="819"/>
      <c r="JDO29" s="819"/>
      <c r="JDP29" s="819"/>
      <c r="JDQ29" s="819"/>
      <c r="JDR29" s="819"/>
      <c r="JDS29" s="819"/>
      <c r="JDT29" s="819"/>
      <c r="JDU29" s="819"/>
      <c r="JDV29" s="819"/>
      <c r="JDW29" s="819"/>
      <c r="JDX29" s="819"/>
      <c r="JDY29" s="819"/>
      <c r="JDZ29" s="819"/>
      <c r="JEA29" s="819"/>
      <c r="JEB29" s="819"/>
      <c r="JEC29" s="819"/>
      <c r="JED29" s="819"/>
      <c r="JEE29" s="819"/>
      <c r="JEF29" s="819"/>
      <c r="JEG29" s="819"/>
      <c r="JEH29" s="819"/>
      <c r="JEI29" s="819"/>
      <c r="JEJ29" s="819"/>
      <c r="JEK29" s="819"/>
      <c r="JEL29" s="819"/>
      <c r="JEM29" s="819"/>
      <c r="JEN29" s="819"/>
      <c r="JEO29" s="819"/>
      <c r="JEP29" s="819"/>
      <c r="JEQ29" s="819"/>
      <c r="JER29" s="819"/>
      <c r="JES29" s="819"/>
      <c r="JET29" s="819"/>
      <c r="JEU29" s="819"/>
      <c r="JEV29" s="819"/>
      <c r="JEW29" s="819"/>
      <c r="JEX29" s="819"/>
      <c r="JEY29" s="819"/>
      <c r="JEZ29" s="819"/>
      <c r="JFA29" s="819"/>
      <c r="JFB29" s="819"/>
      <c r="JFC29" s="819"/>
      <c r="JFD29" s="819"/>
      <c r="JFE29" s="819"/>
      <c r="JFF29" s="819"/>
      <c r="JFG29" s="819"/>
      <c r="JFH29" s="819"/>
      <c r="JFI29" s="819"/>
      <c r="JFJ29" s="819"/>
      <c r="JFK29" s="819"/>
      <c r="JFL29" s="819"/>
      <c r="JFM29" s="819"/>
      <c r="JFN29" s="819"/>
      <c r="JFO29" s="819"/>
      <c r="JFP29" s="819"/>
      <c r="JFQ29" s="819"/>
      <c r="JFR29" s="819"/>
      <c r="JFS29" s="819"/>
      <c r="JFT29" s="819"/>
      <c r="JFU29" s="819"/>
      <c r="JFV29" s="819"/>
      <c r="JFW29" s="819"/>
      <c r="JFX29" s="819"/>
      <c r="JFY29" s="819"/>
      <c r="JFZ29" s="819"/>
      <c r="JGA29" s="819"/>
      <c r="JGB29" s="819"/>
      <c r="JGC29" s="819"/>
      <c r="JGD29" s="819"/>
      <c r="JGE29" s="819"/>
      <c r="JGF29" s="819"/>
      <c r="JGG29" s="819"/>
      <c r="JGH29" s="819"/>
      <c r="JGI29" s="819"/>
      <c r="JGJ29" s="819"/>
      <c r="JGK29" s="819"/>
      <c r="JGL29" s="819"/>
      <c r="JGM29" s="819"/>
      <c r="JGN29" s="819"/>
      <c r="JGO29" s="819"/>
      <c r="JGP29" s="819"/>
      <c r="JGQ29" s="819"/>
      <c r="JGR29" s="819"/>
      <c r="JGS29" s="819"/>
      <c r="JGT29" s="819"/>
      <c r="JGU29" s="819"/>
      <c r="JGV29" s="819"/>
      <c r="JGW29" s="819"/>
      <c r="JGX29" s="819"/>
      <c r="JGY29" s="819"/>
      <c r="JGZ29" s="819"/>
      <c r="JHA29" s="819"/>
      <c r="JHB29" s="819"/>
      <c r="JHC29" s="819"/>
      <c r="JHD29" s="819"/>
      <c r="JHE29" s="819"/>
      <c r="JHF29" s="819"/>
      <c r="JHG29" s="819"/>
      <c r="JHH29" s="819"/>
      <c r="JHI29" s="819"/>
      <c r="JHJ29" s="819"/>
      <c r="JHK29" s="819"/>
      <c r="JHL29" s="819"/>
      <c r="JHM29" s="819"/>
      <c r="JHN29" s="819"/>
      <c r="JHO29" s="819"/>
      <c r="JHP29" s="819"/>
      <c r="JHQ29" s="819"/>
      <c r="JHR29" s="819"/>
      <c r="JHS29" s="819"/>
      <c r="JHT29" s="819"/>
      <c r="JHU29" s="819"/>
      <c r="JHV29" s="819"/>
      <c r="JHW29" s="819"/>
      <c r="JHX29" s="819"/>
      <c r="JHY29" s="819"/>
      <c r="JHZ29" s="819"/>
      <c r="JIA29" s="819"/>
      <c r="JIB29" s="819"/>
      <c r="JIC29" s="819"/>
      <c r="JID29" s="819"/>
      <c r="JIE29" s="819"/>
      <c r="JIF29" s="819"/>
      <c r="JIG29" s="819"/>
      <c r="JIH29" s="819"/>
      <c r="JII29" s="819"/>
      <c r="JIJ29" s="819"/>
      <c r="JIK29" s="819"/>
      <c r="JIL29" s="819"/>
      <c r="JIM29" s="819"/>
      <c r="JIN29" s="819"/>
      <c r="JIO29" s="819"/>
      <c r="JIP29" s="819"/>
      <c r="JIQ29" s="819"/>
      <c r="JIR29" s="819"/>
      <c r="JIS29" s="819"/>
      <c r="JIT29" s="819"/>
      <c r="JIU29" s="819"/>
      <c r="JIV29" s="819"/>
      <c r="JIW29" s="819"/>
      <c r="JIX29" s="819"/>
      <c r="JIY29" s="819"/>
      <c r="JIZ29" s="819"/>
      <c r="JJA29" s="819"/>
      <c r="JJB29" s="819"/>
      <c r="JJC29" s="819"/>
      <c r="JJD29" s="819"/>
      <c r="JJE29" s="819"/>
      <c r="JJF29" s="819"/>
      <c r="JJG29" s="819"/>
      <c r="JJH29" s="819"/>
      <c r="JJI29" s="819"/>
      <c r="JJJ29" s="819"/>
      <c r="JJK29" s="819"/>
      <c r="JJL29" s="819"/>
      <c r="JJM29" s="819"/>
      <c r="JJN29" s="819"/>
      <c r="JJO29" s="819"/>
      <c r="JJP29" s="819"/>
      <c r="JJQ29" s="819"/>
      <c r="JJR29" s="819"/>
      <c r="JJS29" s="819"/>
      <c r="JJT29" s="819"/>
      <c r="JJU29" s="819"/>
      <c r="JJV29" s="819"/>
      <c r="JJW29" s="819"/>
      <c r="JJX29" s="819"/>
      <c r="JJY29" s="819"/>
      <c r="JJZ29" s="819"/>
      <c r="JKA29" s="819"/>
      <c r="JKB29" s="819"/>
      <c r="JKC29" s="819"/>
      <c r="JKD29" s="819"/>
      <c r="JKE29" s="819"/>
      <c r="JKF29" s="819"/>
      <c r="JKG29" s="819"/>
      <c r="JKH29" s="819"/>
      <c r="JKI29" s="819"/>
      <c r="JKJ29" s="819"/>
      <c r="JKK29" s="819"/>
      <c r="JKL29" s="819"/>
      <c r="JKM29" s="819"/>
      <c r="JKN29" s="819"/>
      <c r="JKO29" s="819"/>
      <c r="JKP29" s="819"/>
      <c r="JKQ29" s="819"/>
      <c r="JKR29" s="819"/>
      <c r="JKS29" s="819"/>
      <c r="JKT29" s="819"/>
      <c r="JKU29" s="819"/>
      <c r="JKV29" s="819"/>
      <c r="JKW29" s="819"/>
      <c r="JKX29" s="819"/>
      <c r="JKY29" s="819"/>
      <c r="JKZ29" s="819"/>
      <c r="JLA29" s="819"/>
      <c r="JLB29" s="819"/>
      <c r="JLC29" s="819"/>
      <c r="JLD29" s="819"/>
      <c r="JLE29" s="819"/>
      <c r="JLF29" s="819"/>
      <c r="JLG29" s="819"/>
      <c r="JLH29" s="819"/>
      <c r="JLI29" s="819"/>
      <c r="JLJ29" s="819"/>
      <c r="JLK29" s="819"/>
      <c r="JLL29" s="819"/>
      <c r="JLM29" s="819"/>
      <c r="JLN29" s="819"/>
      <c r="JLO29" s="819"/>
      <c r="JLP29" s="819"/>
      <c r="JLQ29" s="819"/>
      <c r="JLR29" s="819"/>
      <c r="JLS29" s="819"/>
      <c r="JLT29" s="819"/>
      <c r="JLU29" s="819"/>
      <c r="JLV29" s="819"/>
      <c r="JLW29" s="819"/>
      <c r="JLX29" s="819"/>
      <c r="JLY29" s="819"/>
      <c r="JLZ29" s="819"/>
      <c r="JMA29" s="819"/>
      <c r="JMB29" s="819"/>
      <c r="JMC29" s="819"/>
      <c r="JMD29" s="819"/>
      <c r="JME29" s="819"/>
      <c r="JMF29" s="819"/>
      <c r="JMG29" s="819"/>
      <c r="JMH29" s="819"/>
      <c r="JMI29" s="819"/>
      <c r="JMJ29" s="819"/>
      <c r="JMK29" s="819"/>
      <c r="JML29" s="819"/>
      <c r="JMM29" s="819"/>
      <c r="JMN29" s="819"/>
      <c r="JMO29" s="819"/>
      <c r="JMP29" s="819"/>
      <c r="JMQ29" s="819"/>
      <c r="JMR29" s="819"/>
      <c r="JMS29" s="819"/>
      <c r="JMT29" s="819"/>
      <c r="JMU29" s="819"/>
      <c r="JMV29" s="819"/>
      <c r="JMW29" s="819"/>
      <c r="JMX29" s="819"/>
      <c r="JMY29" s="819"/>
      <c r="JMZ29" s="819"/>
      <c r="JNA29" s="819"/>
      <c r="JNB29" s="819"/>
      <c r="JNC29" s="819"/>
      <c r="JND29" s="819"/>
      <c r="JNE29" s="819"/>
      <c r="JNF29" s="819"/>
      <c r="JNG29" s="819"/>
      <c r="JNH29" s="819"/>
      <c r="JNI29" s="819"/>
      <c r="JNJ29" s="819"/>
      <c r="JNK29" s="819"/>
      <c r="JNL29" s="819"/>
      <c r="JNM29" s="819"/>
      <c r="JNN29" s="819"/>
      <c r="JNO29" s="819"/>
      <c r="JNP29" s="819"/>
      <c r="JNQ29" s="819"/>
      <c r="JNR29" s="819"/>
      <c r="JNS29" s="819"/>
      <c r="JNT29" s="819"/>
      <c r="JNU29" s="819"/>
      <c r="JNV29" s="819"/>
      <c r="JNW29" s="819"/>
      <c r="JNX29" s="819"/>
      <c r="JNY29" s="819"/>
      <c r="JNZ29" s="819"/>
      <c r="JOA29" s="819"/>
      <c r="JOB29" s="819"/>
      <c r="JOC29" s="819"/>
      <c r="JOD29" s="819"/>
      <c r="JOE29" s="819"/>
      <c r="JOF29" s="819"/>
      <c r="JOG29" s="819"/>
      <c r="JOH29" s="819"/>
      <c r="JOI29" s="819"/>
      <c r="JOJ29" s="819"/>
      <c r="JOK29" s="819"/>
      <c r="JOL29" s="819"/>
      <c r="JOM29" s="819"/>
      <c r="JON29" s="819"/>
      <c r="JOO29" s="819"/>
      <c r="JOP29" s="819"/>
      <c r="JOQ29" s="819"/>
      <c r="JOR29" s="819"/>
      <c r="JOS29" s="819"/>
      <c r="JOT29" s="819"/>
      <c r="JOU29" s="819"/>
      <c r="JOV29" s="819"/>
      <c r="JOW29" s="819"/>
      <c r="JOX29" s="819"/>
      <c r="JOY29" s="819"/>
      <c r="JOZ29" s="819"/>
      <c r="JPA29" s="819"/>
      <c r="JPB29" s="819"/>
      <c r="JPC29" s="819"/>
      <c r="JPD29" s="819"/>
      <c r="JPE29" s="819"/>
      <c r="JPF29" s="819"/>
      <c r="JPG29" s="819"/>
      <c r="JPH29" s="819"/>
      <c r="JPI29" s="819"/>
      <c r="JPJ29" s="819"/>
      <c r="JPK29" s="819"/>
      <c r="JPL29" s="819"/>
      <c r="JPM29" s="819"/>
      <c r="JPN29" s="819"/>
      <c r="JPO29" s="819"/>
      <c r="JPP29" s="819"/>
      <c r="JPQ29" s="819"/>
      <c r="JPR29" s="819"/>
      <c r="JPS29" s="819"/>
      <c r="JPT29" s="819"/>
      <c r="JPU29" s="819"/>
      <c r="JPV29" s="819"/>
      <c r="JPW29" s="819"/>
      <c r="JPX29" s="819"/>
      <c r="JPY29" s="819"/>
      <c r="JPZ29" s="819"/>
      <c r="JQA29" s="819"/>
      <c r="JQB29" s="819"/>
      <c r="JQC29" s="819"/>
      <c r="JQD29" s="819"/>
      <c r="JQE29" s="819"/>
      <c r="JQF29" s="819"/>
      <c r="JQG29" s="819"/>
      <c r="JQH29" s="819"/>
      <c r="JQI29" s="819"/>
      <c r="JQJ29" s="819"/>
      <c r="JQK29" s="819"/>
      <c r="JQL29" s="819"/>
      <c r="JQM29" s="819"/>
      <c r="JQN29" s="819"/>
      <c r="JQO29" s="819"/>
      <c r="JQP29" s="819"/>
      <c r="JQQ29" s="819"/>
      <c r="JQR29" s="819"/>
      <c r="JQS29" s="819"/>
      <c r="JQT29" s="819"/>
      <c r="JQU29" s="819"/>
      <c r="JQV29" s="819"/>
      <c r="JQW29" s="819"/>
      <c r="JQX29" s="819"/>
      <c r="JQY29" s="819"/>
      <c r="JQZ29" s="819"/>
      <c r="JRA29" s="819"/>
      <c r="JRB29" s="819"/>
      <c r="JRC29" s="819"/>
      <c r="JRD29" s="819"/>
      <c r="JRE29" s="819"/>
      <c r="JRF29" s="819"/>
      <c r="JRG29" s="819"/>
      <c r="JRH29" s="819"/>
      <c r="JRI29" s="819"/>
      <c r="JRJ29" s="819"/>
      <c r="JRK29" s="819"/>
      <c r="JRL29" s="819"/>
      <c r="JRM29" s="819"/>
      <c r="JRN29" s="819"/>
      <c r="JRO29" s="819"/>
      <c r="JRP29" s="819"/>
      <c r="JRQ29" s="819"/>
      <c r="JRR29" s="819"/>
      <c r="JRS29" s="819"/>
      <c r="JRT29" s="819"/>
      <c r="JRU29" s="819"/>
      <c r="JRV29" s="819"/>
      <c r="JRW29" s="819"/>
      <c r="JRX29" s="819"/>
      <c r="JRY29" s="819"/>
      <c r="JRZ29" s="819"/>
      <c r="JSA29" s="819"/>
      <c r="JSB29" s="819"/>
      <c r="JSC29" s="819"/>
      <c r="JSD29" s="819"/>
      <c r="JSE29" s="819"/>
      <c r="JSF29" s="819"/>
      <c r="JSG29" s="819"/>
      <c r="JSH29" s="819"/>
      <c r="JSI29" s="819"/>
      <c r="JSJ29" s="819"/>
      <c r="JSK29" s="819"/>
      <c r="JSL29" s="819"/>
      <c r="JSM29" s="819"/>
      <c r="JSN29" s="819"/>
      <c r="JSO29" s="819"/>
      <c r="JSP29" s="819"/>
      <c r="JSQ29" s="819"/>
      <c r="JSR29" s="819"/>
      <c r="JSS29" s="819"/>
      <c r="JST29" s="819"/>
      <c r="JSU29" s="819"/>
      <c r="JSV29" s="819"/>
      <c r="JSW29" s="819"/>
      <c r="JSX29" s="819"/>
      <c r="JSY29" s="819"/>
      <c r="JSZ29" s="819"/>
      <c r="JTA29" s="819"/>
      <c r="JTB29" s="819"/>
      <c r="JTC29" s="819"/>
      <c r="JTD29" s="819"/>
      <c r="JTE29" s="819"/>
      <c r="JTF29" s="819"/>
      <c r="JTG29" s="819"/>
      <c r="JTH29" s="819"/>
      <c r="JTI29" s="819"/>
      <c r="JTJ29" s="819"/>
      <c r="JTK29" s="819"/>
      <c r="JTL29" s="819"/>
      <c r="JTM29" s="819"/>
      <c r="JTN29" s="819"/>
      <c r="JTO29" s="819"/>
      <c r="JTP29" s="819"/>
      <c r="JTQ29" s="819"/>
      <c r="JTR29" s="819"/>
      <c r="JTS29" s="819"/>
      <c r="JTT29" s="819"/>
      <c r="JTU29" s="819"/>
      <c r="JTV29" s="819"/>
      <c r="JTW29" s="819"/>
      <c r="JTX29" s="819"/>
      <c r="JTY29" s="819"/>
      <c r="JTZ29" s="819"/>
      <c r="JUA29" s="819"/>
      <c r="JUB29" s="819"/>
      <c r="JUC29" s="819"/>
      <c r="JUD29" s="819"/>
      <c r="JUE29" s="819"/>
      <c r="JUF29" s="819"/>
      <c r="JUG29" s="819"/>
      <c r="JUH29" s="819"/>
      <c r="JUI29" s="819"/>
      <c r="JUJ29" s="819"/>
      <c r="JUK29" s="819"/>
      <c r="JUL29" s="819"/>
      <c r="JUM29" s="819"/>
      <c r="JUN29" s="819"/>
      <c r="JUO29" s="819"/>
      <c r="JUP29" s="819"/>
      <c r="JUQ29" s="819"/>
      <c r="JUR29" s="819"/>
      <c r="JUS29" s="819"/>
      <c r="JUT29" s="819"/>
      <c r="JUU29" s="819"/>
      <c r="JUV29" s="819"/>
      <c r="JUW29" s="819"/>
      <c r="JUX29" s="819"/>
      <c r="JUY29" s="819"/>
      <c r="JUZ29" s="819"/>
      <c r="JVA29" s="819"/>
      <c r="JVB29" s="819"/>
      <c r="JVC29" s="819"/>
      <c r="JVD29" s="819"/>
      <c r="JVE29" s="819"/>
      <c r="JVF29" s="819"/>
      <c r="JVG29" s="819"/>
      <c r="JVH29" s="819"/>
      <c r="JVI29" s="819"/>
      <c r="JVJ29" s="819"/>
      <c r="JVK29" s="819"/>
      <c r="JVL29" s="819"/>
      <c r="JVM29" s="819"/>
      <c r="JVN29" s="819"/>
      <c r="JVO29" s="819"/>
      <c r="JVP29" s="819"/>
      <c r="JVQ29" s="819"/>
      <c r="JVR29" s="819"/>
      <c r="JVS29" s="819"/>
      <c r="JVT29" s="819"/>
      <c r="JVU29" s="819"/>
      <c r="JVV29" s="819"/>
      <c r="JVW29" s="819"/>
      <c r="JVX29" s="819"/>
      <c r="JVY29" s="819"/>
      <c r="JVZ29" s="819"/>
      <c r="JWA29" s="819"/>
      <c r="JWB29" s="819"/>
      <c r="JWC29" s="819"/>
      <c r="JWD29" s="819"/>
      <c r="JWE29" s="819"/>
      <c r="JWF29" s="819"/>
      <c r="JWG29" s="819"/>
      <c r="JWH29" s="819"/>
      <c r="JWI29" s="819"/>
      <c r="JWJ29" s="819"/>
      <c r="JWK29" s="819"/>
      <c r="JWL29" s="819"/>
      <c r="JWM29" s="819"/>
      <c r="JWN29" s="819"/>
      <c r="JWO29" s="819"/>
      <c r="JWP29" s="819"/>
      <c r="JWQ29" s="819"/>
      <c r="JWR29" s="819"/>
      <c r="JWS29" s="819"/>
      <c r="JWT29" s="819"/>
      <c r="JWU29" s="819"/>
      <c r="JWV29" s="819"/>
      <c r="JWW29" s="819"/>
      <c r="JWX29" s="819"/>
      <c r="JWY29" s="819"/>
      <c r="JWZ29" s="819"/>
      <c r="JXA29" s="819"/>
      <c r="JXB29" s="819"/>
      <c r="JXC29" s="819"/>
      <c r="JXD29" s="819"/>
      <c r="JXE29" s="819"/>
      <c r="JXF29" s="819"/>
      <c r="JXG29" s="819"/>
      <c r="JXH29" s="819"/>
      <c r="JXI29" s="819"/>
      <c r="JXJ29" s="819"/>
      <c r="JXK29" s="819"/>
      <c r="JXL29" s="819"/>
      <c r="JXM29" s="819"/>
      <c r="JXN29" s="819"/>
      <c r="JXO29" s="819"/>
      <c r="JXP29" s="819"/>
      <c r="JXQ29" s="819"/>
      <c r="JXR29" s="819"/>
      <c r="JXS29" s="819"/>
      <c r="JXT29" s="819"/>
      <c r="JXU29" s="819"/>
      <c r="JXV29" s="819"/>
      <c r="JXW29" s="819"/>
      <c r="JXX29" s="819"/>
      <c r="JXY29" s="819"/>
      <c r="JXZ29" s="819"/>
      <c r="JYA29" s="819"/>
      <c r="JYB29" s="819"/>
      <c r="JYC29" s="819"/>
      <c r="JYD29" s="819"/>
      <c r="JYE29" s="819"/>
      <c r="JYF29" s="819"/>
      <c r="JYG29" s="819"/>
      <c r="JYH29" s="819"/>
      <c r="JYI29" s="819"/>
      <c r="JYJ29" s="819"/>
      <c r="JYK29" s="819"/>
      <c r="JYL29" s="819"/>
      <c r="JYM29" s="819"/>
      <c r="JYN29" s="819"/>
      <c r="JYO29" s="819"/>
      <c r="JYP29" s="819"/>
      <c r="JYQ29" s="819"/>
      <c r="JYR29" s="819"/>
      <c r="JYS29" s="819"/>
      <c r="JYT29" s="819"/>
      <c r="JYU29" s="819"/>
      <c r="JYV29" s="819"/>
      <c r="JYW29" s="819"/>
      <c r="JYX29" s="819"/>
      <c r="JYY29" s="819"/>
      <c r="JYZ29" s="819"/>
      <c r="JZA29" s="819"/>
      <c r="JZB29" s="819"/>
      <c r="JZC29" s="819"/>
      <c r="JZD29" s="819"/>
      <c r="JZE29" s="819"/>
      <c r="JZF29" s="819"/>
      <c r="JZG29" s="819"/>
      <c r="JZH29" s="819"/>
      <c r="JZI29" s="819"/>
      <c r="JZJ29" s="819"/>
      <c r="JZK29" s="819"/>
      <c r="JZL29" s="819"/>
      <c r="JZM29" s="819"/>
      <c r="JZN29" s="819"/>
      <c r="JZO29" s="819"/>
      <c r="JZP29" s="819"/>
      <c r="JZQ29" s="819"/>
      <c r="JZR29" s="819"/>
      <c r="JZS29" s="819"/>
      <c r="JZT29" s="819"/>
      <c r="JZU29" s="819"/>
      <c r="JZV29" s="819"/>
      <c r="JZW29" s="819"/>
      <c r="JZX29" s="819"/>
      <c r="JZY29" s="819"/>
      <c r="JZZ29" s="819"/>
      <c r="KAA29" s="819"/>
      <c r="KAB29" s="819"/>
      <c r="KAC29" s="819"/>
      <c r="KAD29" s="819"/>
      <c r="KAE29" s="819"/>
      <c r="KAF29" s="819"/>
      <c r="KAG29" s="819"/>
      <c r="KAH29" s="819"/>
      <c r="KAI29" s="819"/>
      <c r="KAJ29" s="819"/>
      <c r="KAK29" s="819"/>
      <c r="KAL29" s="819"/>
      <c r="KAM29" s="819"/>
      <c r="KAN29" s="819"/>
      <c r="KAO29" s="819"/>
      <c r="KAP29" s="819"/>
      <c r="KAQ29" s="819"/>
      <c r="KAR29" s="819"/>
      <c r="KAS29" s="819"/>
      <c r="KAT29" s="819"/>
      <c r="KAU29" s="819"/>
      <c r="KAV29" s="819"/>
      <c r="KAW29" s="819"/>
      <c r="KAX29" s="819"/>
      <c r="KAY29" s="819"/>
      <c r="KAZ29" s="819"/>
      <c r="KBA29" s="819"/>
      <c r="KBB29" s="819"/>
      <c r="KBC29" s="819"/>
      <c r="KBD29" s="819"/>
      <c r="KBE29" s="819"/>
      <c r="KBF29" s="819"/>
      <c r="KBG29" s="819"/>
      <c r="KBH29" s="819"/>
      <c r="KBI29" s="819"/>
      <c r="KBJ29" s="819"/>
      <c r="KBK29" s="819"/>
      <c r="KBL29" s="819"/>
      <c r="KBM29" s="819"/>
      <c r="KBN29" s="819"/>
      <c r="KBO29" s="819"/>
      <c r="KBP29" s="819"/>
      <c r="KBQ29" s="819"/>
      <c r="KBR29" s="819"/>
      <c r="KBS29" s="819"/>
      <c r="KBT29" s="819"/>
      <c r="KBU29" s="819"/>
      <c r="KBV29" s="819"/>
      <c r="KBW29" s="819"/>
      <c r="KBX29" s="819"/>
      <c r="KBY29" s="819"/>
      <c r="KBZ29" s="819"/>
      <c r="KCA29" s="819"/>
      <c r="KCB29" s="819"/>
      <c r="KCC29" s="819"/>
      <c r="KCD29" s="819"/>
      <c r="KCE29" s="819"/>
      <c r="KCF29" s="819"/>
      <c r="KCG29" s="819"/>
      <c r="KCH29" s="819"/>
      <c r="KCI29" s="819"/>
      <c r="KCJ29" s="819"/>
      <c r="KCK29" s="819"/>
      <c r="KCL29" s="819"/>
      <c r="KCM29" s="819"/>
      <c r="KCN29" s="819"/>
      <c r="KCO29" s="819"/>
      <c r="KCP29" s="819"/>
      <c r="KCQ29" s="819"/>
      <c r="KCR29" s="819"/>
      <c r="KCS29" s="819"/>
      <c r="KCT29" s="819"/>
      <c r="KCU29" s="819"/>
      <c r="KCV29" s="819"/>
      <c r="KCW29" s="819"/>
      <c r="KCX29" s="819"/>
      <c r="KCY29" s="819"/>
      <c r="KCZ29" s="819"/>
      <c r="KDA29" s="819"/>
      <c r="KDB29" s="819"/>
      <c r="KDC29" s="819"/>
      <c r="KDD29" s="819"/>
      <c r="KDE29" s="819"/>
      <c r="KDF29" s="819"/>
      <c r="KDG29" s="819"/>
      <c r="KDH29" s="819"/>
      <c r="KDI29" s="819"/>
      <c r="KDJ29" s="819"/>
      <c r="KDK29" s="819"/>
      <c r="KDL29" s="819"/>
      <c r="KDM29" s="819"/>
      <c r="KDN29" s="819"/>
      <c r="KDO29" s="819"/>
      <c r="KDP29" s="819"/>
      <c r="KDQ29" s="819"/>
      <c r="KDR29" s="819"/>
      <c r="KDS29" s="819"/>
      <c r="KDT29" s="819"/>
      <c r="KDU29" s="819"/>
      <c r="KDV29" s="819"/>
      <c r="KDW29" s="819"/>
      <c r="KDX29" s="819"/>
      <c r="KDY29" s="819"/>
      <c r="KDZ29" s="819"/>
      <c r="KEA29" s="819"/>
      <c r="KEB29" s="819"/>
      <c r="KEC29" s="819"/>
      <c r="KED29" s="819"/>
      <c r="KEE29" s="819"/>
      <c r="KEF29" s="819"/>
      <c r="KEG29" s="819"/>
      <c r="KEH29" s="819"/>
      <c r="KEI29" s="819"/>
      <c r="KEJ29" s="819"/>
      <c r="KEK29" s="819"/>
      <c r="KEL29" s="819"/>
      <c r="KEM29" s="819"/>
      <c r="KEN29" s="819"/>
      <c r="KEO29" s="819"/>
      <c r="KEP29" s="819"/>
      <c r="KEQ29" s="819"/>
      <c r="KER29" s="819"/>
      <c r="KES29" s="819"/>
      <c r="KET29" s="819"/>
      <c r="KEU29" s="819"/>
      <c r="KEV29" s="819"/>
      <c r="KEW29" s="819"/>
      <c r="KEX29" s="819"/>
      <c r="KEY29" s="819"/>
      <c r="KEZ29" s="819"/>
      <c r="KFA29" s="819"/>
      <c r="KFB29" s="819"/>
      <c r="KFC29" s="819"/>
      <c r="KFD29" s="819"/>
      <c r="KFE29" s="819"/>
      <c r="KFF29" s="819"/>
      <c r="KFG29" s="819"/>
      <c r="KFH29" s="819"/>
      <c r="KFI29" s="819"/>
      <c r="KFJ29" s="819"/>
      <c r="KFK29" s="819"/>
      <c r="KFL29" s="819"/>
      <c r="KFM29" s="819"/>
      <c r="KFN29" s="819"/>
      <c r="KFO29" s="819"/>
      <c r="KFP29" s="819"/>
      <c r="KFQ29" s="819"/>
      <c r="KFR29" s="819"/>
      <c r="KFS29" s="819"/>
      <c r="KFT29" s="819"/>
      <c r="KFU29" s="819"/>
      <c r="KFV29" s="819"/>
      <c r="KFW29" s="819"/>
      <c r="KFX29" s="819"/>
      <c r="KFY29" s="819"/>
      <c r="KFZ29" s="819"/>
      <c r="KGA29" s="819"/>
      <c r="KGB29" s="819"/>
      <c r="KGC29" s="819"/>
      <c r="KGD29" s="819"/>
      <c r="KGE29" s="819"/>
      <c r="KGF29" s="819"/>
      <c r="KGG29" s="819"/>
      <c r="KGH29" s="819"/>
      <c r="KGI29" s="819"/>
      <c r="KGJ29" s="819"/>
      <c r="KGK29" s="819"/>
      <c r="KGL29" s="819"/>
      <c r="KGM29" s="819"/>
      <c r="KGN29" s="819"/>
      <c r="KGO29" s="819"/>
      <c r="KGP29" s="819"/>
      <c r="KGQ29" s="819"/>
      <c r="KGR29" s="819"/>
      <c r="KGS29" s="819"/>
      <c r="KGT29" s="819"/>
      <c r="KGU29" s="819"/>
      <c r="KGV29" s="819"/>
      <c r="KGW29" s="819"/>
      <c r="KGX29" s="819"/>
      <c r="KGY29" s="819"/>
      <c r="KGZ29" s="819"/>
      <c r="KHA29" s="819"/>
      <c r="KHB29" s="819"/>
      <c r="KHC29" s="819"/>
      <c r="KHD29" s="819"/>
      <c r="KHE29" s="819"/>
      <c r="KHF29" s="819"/>
      <c r="KHG29" s="819"/>
      <c r="KHH29" s="819"/>
      <c r="KHI29" s="819"/>
      <c r="KHJ29" s="819"/>
      <c r="KHK29" s="819"/>
      <c r="KHL29" s="819"/>
      <c r="KHM29" s="819"/>
      <c r="KHN29" s="819"/>
      <c r="KHO29" s="819"/>
      <c r="KHP29" s="819"/>
      <c r="KHQ29" s="819"/>
      <c r="KHR29" s="819"/>
      <c r="KHS29" s="819"/>
      <c r="KHT29" s="819"/>
      <c r="KHU29" s="819"/>
      <c r="KHV29" s="819"/>
      <c r="KHW29" s="819"/>
      <c r="KHX29" s="819"/>
      <c r="KHY29" s="819"/>
      <c r="KHZ29" s="819"/>
      <c r="KIA29" s="819"/>
      <c r="KIB29" s="819"/>
      <c r="KIC29" s="819"/>
      <c r="KID29" s="819"/>
      <c r="KIE29" s="819"/>
      <c r="KIF29" s="819"/>
      <c r="KIG29" s="819"/>
      <c r="KIH29" s="819"/>
      <c r="KII29" s="819"/>
      <c r="KIJ29" s="819"/>
      <c r="KIK29" s="819"/>
      <c r="KIL29" s="819"/>
      <c r="KIM29" s="819"/>
      <c r="KIN29" s="819"/>
      <c r="KIO29" s="819"/>
      <c r="KIP29" s="819"/>
      <c r="KIQ29" s="819"/>
      <c r="KIR29" s="819"/>
      <c r="KIS29" s="819"/>
      <c r="KIT29" s="819"/>
      <c r="KIU29" s="819"/>
      <c r="KIV29" s="819"/>
      <c r="KIW29" s="819"/>
      <c r="KIX29" s="819"/>
      <c r="KIY29" s="819"/>
      <c r="KIZ29" s="819"/>
      <c r="KJA29" s="819"/>
      <c r="KJB29" s="819"/>
      <c r="KJC29" s="819"/>
      <c r="KJD29" s="819"/>
      <c r="KJE29" s="819"/>
      <c r="KJF29" s="819"/>
      <c r="KJG29" s="819"/>
      <c r="KJH29" s="819"/>
      <c r="KJI29" s="819"/>
      <c r="KJJ29" s="819"/>
      <c r="KJK29" s="819"/>
      <c r="KJL29" s="819"/>
      <c r="KJM29" s="819"/>
      <c r="KJN29" s="819"/>
      <c r="KJO29" s="819"/>
      <c r="KJP29" s="819"/>
      <c r="KJQ29" s="819"/>
      <c r="KJR29" s="819"/>
      <c r="KJS29" s="819"/>
      <c r="KJT29" s="819"/>
      <c r="KJU29" s="819"/>
      <c r="KJV29" s="819"/>
      <c r="KJW29" s="819"/>
      <c r="KJX29" s="819"/>
      <c r="KJY29" s="819"/>
      <c r="KJZ29" s="819"/>
      <c r="KKA29" s="819"/>
      <c r="KKB29" s="819"/>
      <c r="KKC29" s="819"/>
      <c r="KKD29" s="819"/>
      <c r="KKE29" s="819"/>
      <c r="KKF29" s="819"/>
      <c r="KKG29" s="819"/>
      <c r="KKH29" s="819"/>
      <c r="KKI29" s="819"/>
      <c r="KKJ29" s="819"/>
      <c r="KKK29" s="819"/>
      <c r="KKL29" s="819"/>
      <c r="KKM29" s="819"/>
      <c r="KKN29" s="819"/>
      <c r="KKO29" s="819"/>
      <c r="KKP29" s="819"/>
      <c r="KKQ29" s="819"/>
      <c r="KKR29" s="819"/>
      <c r="KKS29" s="819"/>
      <c r="KKT29" s="819"/>
      <c r="KKU29" s="819"/>
      <c r="KKV29" s="819"/>
      <c r="KKW29" s="819"/>
      <c r="KKX29" s="819"/>
      <c r="KKY29" s="819"/>
      <c r="KKZ29" s="819"/>
      <c r="KLA29" s="819"/>
      <c r="KLB29" s="819"/>
      <c r="KLC29" s="819"/>
      <c r="KLD29" s="819"/>
      <c r="KLE29" s="819"/>
      <c r="KLF29" s="819"/>
      <c r="KLG29" s="819"/>
      <c r="KLH29" s="819"/>
      <c r="KLI29" s="819"/>
      <c r="KLJ29" s="819"/>
      <c r="KLK29" s="819"/>
      <c r="KLL29" s="819"/>
      <c r="KLM29" s="819"/>
      <c r="KLN29" s="819"/>
      <c r="KLO29" s="819"/>
      <c r="KLP29" s="819"/>
      <c r="KLQ29" s="819"/>
      <c r="KLR29" s="819"/>
      <c r="KLS29" s="819"/>
      <c r="KLT29" s="819"/>
      <c r="KLU29" s="819"/>
      <c r="KLV29" s="819"/>
      <c r="KLW29" s="819"/>
      <c r="KLX29" s="819"/>
      <c r="KLY29" s="819"/>
      <c r="KLZ29" s="819"/>
      <c r="KMA29" s="819"/>
      <c r="KMB29" s="819"/>
      <c r="KMC29" s="819"/>
      <c r="KMD29" s="819"/>
      <c r="KME29" s="819"/>
      <c r="KMF29" s="819"/>
      <c r="KMG29" s="819"/>
      <c r="KMH29" s="819"/>
      <c r="KMI29" s="819"/>
      <c r="KMJ29" s="819"/>
      <c r="KMK29" s="819"/>
      <c r="KML29" s="819"/>
      <c r="KMM29" s="819"/>
      <c r="KMN29" s="819"/>
      <c r="KMO29" s="819"/>
      <c r="KMP29" s="819"/>
      <c r="KMQ29" s="819"/>
      <c r="KMR29" s="819"/>
      <c r="KMS29" s="819"/>
      <c r="KMT29" s="819"/>
      <c r="KMU29" s="819"/>
      <c r="KMV29" s="819"/>
      <c r="KMW29" s="819"/>
      <c r="KMX29" s="819"/>
      <c r="KMY29" s="819"/>
      <c r="KMZ29" s="819"/>
      <c r="KNA29" s="819"/>
      <c r="KNB29" s="819"/>
      <c r="KNC29" s="819"/>
      <c r="KND29" s="819"/>
      <c r="KNE29" s="819"/>
      <c r="KNF29" s="819"/>
      <c r="KNG29" s="819"/>
      <c r="KNH29" s="819"/>
      <c r="KNI29" s="819"/>
      <c r="KNJ29" s="819"/>
      <c r="KNK29" s="819"/>
      <c r="KNL29" s="819"/>
      <c r="KNM29" s="819"/>
      <c r="KNN29" s="819"/>
      <c r="KNO29" s="819"/>
      <c r="KNP29" s="819"/>
      <c r="KNQ29" s="819"/>
      <c r="KNR29" s="819"/>
      <c r="KNS29" s="819"/>
      <c r="KNT29" s="819"/>
      <c r="KNU29" s="819"/>
      <c r="KNV29" s="819"/>
      <c r="KNW29" s="819"/>
      <c r="KNX29" s="819"/>
      <c r="KNY29" s="819"/>
      <c r="KNZ29" s="819"/>
      <c r="KOA29" s="819"/>
      <c r="KOB29" s="819"/>
      <c r="KOC29" s="819"/>
      <c r="KOD29" s="819"/>
      <c r="KOE29" s="819"/>
      <c r="KOF29" s="819"/>
      <c r="KOG29" s="819"/>
      <c r="KOH29" s="819"/>
      <c r="KOI29" s="819"/>
      <c r="KOJ29" s="819"/>
      <c r="KOK29" s="819"/>
      <c r="KOL29" s="819"/>
      <c r="KOM29" s="819"/>
      <c r="KON29" s="819"/>
      <c r="KOO29" s="819"/>
      <c r="KOP29" s="819"/>
      <c r="KOQ29" s="819"/>
      <c r="KOR29" s="819"/>
      <c r="KOS29" s="819"/>
      <c r="KOT29" s="819"/>
      <c r="KOU29" s="819"/>
      <c r="KOV29" s="819"/>
      <c r="KOW29" s="819"/>
      <c r="KOX29" s="819"/>
      <c r="KOY29" s="819"/>
      <c r="KOZ29" s="819"/>
      <c r="KPA29" s="819"/>
      <c r="KPB29" s="819"/>
      <c r="KPC29" s="819"/>
      <c r="KPD29" s="819"/>
      <c r="KPE29" s="819"/>
      <c r="KPF29" s="819"/>
      <c r="KPG29" s="819"/>
      <c r="KPH29" s="819"/>
      <c r="KPI29" s="819"/>
      <c r="KPJ29" s="819"/>
      <c r="KPK29" s="819"/>
      <c r="KPL29" s="819"/>
      <c r="KPM29" s="819"/>
      <c r="KPN29" s="819"/>
      <c r="KPO29" s="819"/>
      <c r="KPP29" s="819"/>
      <c r="KPQ29" s="819"/>
      <c r="KPR29" s="819"/>
      <c r="KPS29" s="819"/>
      <c r="KPT29" s="819"/>
      <c r="KPU29" s="819"/>
      <c r="KPV29" s="819"/>
      <c r="KPW29" s="819"/>
      <c r="KPX29" s="819"/>
      <c r="KPY29" s="819"/>
      <c r="KPZ29" s="819"/>
      <c r="KQA29" s="819"/>
      <c r="KQB29" s="819"/>
      <c r="KQC29" s="819"/>
      <c r="KQD29" s="819"/>
      <c r="KQE29" s="819"/>
      <c r="KQF29" s="819"/>
      <c r="KQG29" s="819"/>
      <c r="KQH29" s="819"/>
      <c r="KQI29" s="819"/>
      <c r="KQJ29" s="819"/>
      <c r="KQK29" s="819"/>
      <c r="KQL29" s="819"/>
      <c r="KQM29" s="819"/>
      <c r="KQN29" s="819"/>
      <c r="KQO29" s="819"/>
      <c r="KQP29" s="819"/>
      <c r="KQQ29" s="819"/>
      <c r="KQR29" s="819"/>
      <c r="KQS29" s="819"/>
      <c r="KQT29" s="819"/>
      <c r="KQU29" s="819"/>
      <c r="KQV29" s="819"/>
      <c r="KQW29" s="819"/>
      <c r="KQX29" s="819"/>
      <c r="KQY29" s="819"/>
      <c r="KQZ29" s="819"/>
      <c r="KRA29" s="819"/>
      <c r="KRB29" s="819"/>
      <c r="KRC29" s="819"/>
      <c r="KRD29" s="819"/>
      <c r="KRE29" s="819"/>
      <c r="KRF29" s="819"/>
      <c r="KRG29" s="819"/>
      <c r="KRH29" s="819"/>
      <c r="KRI29" s="819"/>
      <c r="KRJ29" s="819"/>
      <c r="KRK29" s="819"/>
      <c r="KRL29" s="819"/>
      <c r="KRM29" s="819"/>
      <c r="KRN29" s="819"/>
      <c r="KRO29" s="819"/>
      <c r="KRP29" s="819"/>
      <c r="KRQ29" s="819"/>
      <c r="KRR29" s="819"/>
      <c r="KRS29" s="819"/>
      <c r="KRT29" s="819"/>
      <c r="KRU29" s="819"/>
      <c r="KRV29" s="819"/>
      <c r="KRW29" s="819"/>
      <c r="KRX29" s="819"/>
      <c r="KRY29" s="819"/>
      <c r="KRZ29" s="819"/>
      <c r="KSA29" s="819"/>
      <c r="KSB29" s="819"/>
      <c r="KSC29" s="819"/>
      <c r="KSD29" s="819"/>
      <c r="KSE29" s="819"/>
      <c r="KSF29" s="819"/>
      <c r="KSG29" s="819"/>
      <c r="KSH29" s="819"/>
      <c r="KSI29" s="819"/>
      <c r="KSJ29" s="819"/>
      <c r="KSK29" s="819"/>
      <c r="KSL29" s="819"/>
      <c r="KSM29" s="819"/>
      <c r="KSN29" s="819"/>
      <c r="KSO29" s="819"/>
      <c r="KSP29" s="819"/>
      <c r="KSQ29" s="819"/>
      <c r="KSR29" s="819"/>
      <c r="KSS29" s="819"/>
      <c r="KST29" s="819"/>
      <c r="KSU29" s="819"/>
      <c r="KSV29" s="819"/>
      <c r="KSW29" s="819"/>
      <c r="KSX29" s="819"/>
      <c r="KSY29" s="819"/>
      <c r="KSZ29" s="819"/>
      <c r="KTA29" s="819"/>
      <c r="KTB29" s="819"/>
      <c r="KTC29" s="819"/>
      <c r="KTD29" s="819"/>
      <c r="KTE29" s="819"/>
      <c r="KTF29" s="819"/>
      <c r="KTG29" s="819"/>
      <c r="KTH29" s="819"/>
      <c r="KTI29" s="819"/>
      <c r="KTJ29" s="819"/>
      <c r="KTK29" s="819"/>
      <c r="KTL29" s="819"/>
      <c r="KTM29" s="819"/>
      <c r="KTN29" s="819"/>
      <c r="KTO29" s="819"/>
      <c r="KTP29" s="819"/>
      <c r="KTQ29" s="819"/>
      <c r="KTR29" s="819"/>
      <c r="KTS29" s="819"/>
      <c r="KTT29" s="819"/>
      <c r="KTU29" s="819"/>
      <c r="KTV29" s="819"/>
      <c r="KTW29" s="819"/>
      <c r="KTX29" s="819"/>
      <c r="KTY29" s="819"/>
      <c r="KTZ29" s="819"/>
      <c r="KUA29" s="819"/>
      <c r="KUB29" s="819"/>
      <c r="KUC29" s="819"/>
      <c r="KUD29" s="819"/>
      <c r="KUE29" s="819"/>
      <c r="KUF29" s="819"/>
      <c r="KUG29" s="819"/>
      <c r="KUH29" s="819"/>
      <c r="KUI29" s="819"/>
      <c r="KUJ29" s="819"/>
      <c r="KUK29" s="819"/>
      <c r="KUL29" s="819"/>
      <c r="KUM29" s="819"/>
      <c r="KUN29" s="819"/>
      <c r="KUO29" s="819"/>
      <c r="KUP29" s="819"/>
      <c r="KUQ29" s="819"/>
      <c r="KUR29" s="819"/>
      <c r="KUS29" s="819"/>
      <c r="KUT29" s="819"/>
      <c r="KUU29" s="819"/>
      <c r="KUV29" s="819"/>
      <c r="KUW29" s="819"/>
      <c r="KUX29" s="819"/>
      <c r="KUY29" s="819"/>
      <c r="KUZ29" s="819"/>
      <c r="KVA29" s="819"/>
      <c r="KVB29" s="819"/>
      <c r="KVC29" s="819"/>
      <c r="KVD29" s="819"/>
      <c r="KVE29" s="819"/>
      <c r="KVF29" s="819"/>
      <c r="KVG29" s="819"/>
      <c r="KVH29" s="819"/>
      <c r="KVI29" s="819"/>
      <c r="KVJ29" s="819"/>
      <c r="KVK29" s="819"/>
      <c r="KVL29" s="819"/>
      <c r="KVM29" s="819"/>
      <c r="KVN29" s="819"/>
      <c r="KVO29" s="819"/>
      <c r="KVP29" s="819"/>
      <c r="KVQ29" s="819"/>
      <c r="KVR29" s="819"/>
      <c r="KVS29" s="819"/>
      <c r="KVT29" s="819"/>
      <c r="KVU29" s="819"/>
      <c r="KVV29" s="819"/>
      <c r="KVW29" s="819"/>
      <c r="KVX29" s="819"/>
      <c r="KVY29" s="819"/>
      <c r="KVZ29" s="819"/>
      <c r="KWA29" s="819"/>
      <c r="KWB29" s="819"/>
      <c r="KWC29" s="819"/>
      <c r="KWD29" s="819"/>
      <c r="KWE29" s="819"/>
      <c r="KWF29" s="819"/>
      <c r="KWG29" s="819"/>
      <c r="KWH29" s="819"/>
      <c r="KWI29" s="819"/>
      <c r="KWJ29" s="819"/>
      <c r="KWK29" s="819"/>
      <c r="KWL29" s="819"/>
      <c r="KWM29" s="819"/>
      <c r="KWN29" s="819"/>
      <c r="KWO29" s="819"/>
      <c r="KWP29" s="819"/>
      <c r="KWQ29" s="819"/>
      <c r="KWR29" s="819"/>
      <c r="KWS29" s="819"/>
      <c r="KWT29" s="819"/>
      <c r="KWU29" s="819"/>
      <c r="KWV29" s="819"/>
      <c r="KWW29" s="819"/>
      <c r="KWX29" s="819"/>
      <c r="KWY29" s="819"/>
      <c r="KWZ29" s="819"/>
      <c r="KXA29" s="819"/>
      <c r="KXB29" s="819"/>
      <c r="KXC29" s="819"/>
      <c r="KXD29" s="819"/>
      <c r="KXE29" s="819"/>
      <c r="KXF29" s="819"/>
      <c r="KXG29" s="819"/>
      <c r="KXH29" s="819"/>
      <c r="KXI29" s="819"/>
      <c r="KXJ29" s="819"/>
      <c r="KXK29" s="819"/>
      <c r="KXL29" s="819"/>
      <c r="KXM29" s="819"/>
      <c r="KXN29" s="819"/>
      <c r="KXO29" s="819"/>
      <c r="KXP29" s="819"/>
      <c r="KXQ29" s="819"/>
      <c r="KXR29" s="819"/>
      <c r="KXS29" s="819"/>
      <c r="KXT29" s="819"/>
      <c r="KXU29" s="819"/>
      <c r="KXV29" s="819"/>
      <c r="KXW29" s="819"/>
      <c r="KXX29" s="819"/>
      <c r="KXY29" s="819"/>
      <c r="KXZ29" s="819"/>
      <c r="KYA29" s="819"/>
      <c r="KYB29" s="819"/>
      <c r="KYC29" s="819"/>
      <c r="KYD29" s="819"/>
      <c r="KYE29" s="819"/>
      <c r="KYF29" s="819"/>
      <c r="KYG29" s="819"/>
      <c r="KYH29" s="819"/>
      <c r="KYI29" s="819"/>
      <c r="KYJ29" s="819"/>
      <c r="KYK29" s="819"/>
      <c r="KYL29" s="819"/>
      <c r="KYM29" s="819"/>
      <c r="KYN29" s="819"/>
      <c r="KYO29" s="819"/>
      <c r="KYP29" s="819"/>
      <c r="KYQ29" s="819"/>
      <c r="KYR29" s="819"/>
      <c r="KYS29" s="819"/>
      <c r="KYT29" s="819"/>
      <c r="KYU29" s="819"/>
      <c r="KYV29" s="819"/>
      <c r="KYW29" s="819"/>
      <c r="KYX29" s="819"/>
      <c r="KYY29" s="819"/>
      <c r="KYZ29" s="819"/>
      <c r="KZA29" s="819"/>
      <c r="KZB29" s="819"/>
      <c r="KZC29" s="819"/>
      <c r="KZD29" s="819"/>
      <c r="KZE29" s="819"/>
      <c r="KZF29" s="819"/>
      <c r="KZG29" s="819"/>
      <c r="KZH29" s="819"/>
      <c r="KZI29" s="819"/>
      <c r="KZJ29" s="819"/>
      <c r="KZK29" s="819"/>
      <c r="KZL29" s="819"/>
      <c r="KZM29" s="819"/>
      <c r="KZN29" s="819"/>
      <c r="KZO29" s="819"/>
      <c r="KZP29" s="819"/>
      <c r="KZQ29" s="819"/>
      <c r="KZR29" s="819"/>
      <c r="KZS29" s="819"/>
      <c r="KZT29" s="819"/>
      <c r="KZU29" s="819"/>
      <c r="KZV29" s="819"/>
      <c r="KZW29" s="819"/>
      <c r="KZX29" s="819"/>
      <c r="KZY29" s="819"/>
      <c r="KZZ29" s="819"/>
      <c r="LAA29" s="819"/>
      <c r="LAB29" s="819"/>
      <c r="LAC29" s="819"/>
      <c r="LAD29" s="819"/>
      <c r="LAE29" s="819"/>
      <c r="LAF29" s="819"/>
      <c r="LAG29" s="819"/>
      <c r="LAH29" s="819"/>
      <c r="LAI29" s="819"/>
      <c r="LAJ29" s="819"/>
      <c r="LAK29" s="819"/>
      <c r="LAL29" s="819"/>
      <c r="LAM29" s="819"/>
      <c r="LAN29" s="819"/>
      <c r="LAO29" s="819"/>
      <c r="LAP29" s="819"/>
      <c r="LAQ29" s="819"/>
      <c r="LAR29" s="819"/>
      <c r="LAS29" s="819"/>
      <c r="LAT29" s="819"/>
      <c r="LAU29" s="819"/>
      <c r="LAV29" s="819"/>
      <c r="LAW29" s="819"/>
      <c r="LAX29" s="819"/>
      <c r="LAY29" s="819"/>
      <c r="LAZ29" s="819"/>
      <c r="LBA29" s="819"/>
      <c r="LBB29" s="819"/>
      <c r="LBC29" s="819"/>
      <c r="LBD29" s="819"/>
      <c r="LBE29" s="819"/>
      <c r="LBF29" s="819"/>
      <c r="LBG29" s="819"/>
      <c r="LBH29" s="819"/>
      <c r="LBI29" s="819"/>
      <c r="LBJ29" s="819"/>
      <c r="LBK29" s="819"/>
      <c r="LBL29" s="819"/>
      <c r="LBM29" s="819"/>
      <c r="LBN29" s="819"/>
      <c r="LBO29" s="819"/>
      <c r="LBP29" s="819"/>
      <c r="LBQ29" s="819"/>
      <c r="LBR29" s="819"/>
      <c r="LBS29" s="819"/>
      <c r="LBT29" s="819"/>
      <c r="LBU29" s="819"/>
      <c r="LBV29" s="819"/>
      <c r="LBW29" s="819"/>
      <c r="LBX29" s="819"/>
      <c r="LBY29" s="819"/>
      <c r="LBZ29" s="819"/>
      <c r="LCA29" s="819"/>
      <c r="LCB29" s="819"/>
      <c r="LCC29" s="819"/>
      <c r="LCD29" s="819"/>
      <c r="LCE29" s="819"/>
      <c r="LCF29" s="819"/>
      <c r="LCG29" s="819"/>
      <c r="LCH29" s="819"/>
      <c r="LCI29" s="819"/>
      <c r="LCJ29" s="819"/>
      <c r="LCK29" s="819"/>
      <c r="LCL29" s="819"/>
      <c r="LCM29" s="819"/>
      <c r="LCN29" s="819"/>
      <c r="LCO29" s="819"/>
      <c r="LCP29" s="819"/>
      <c r="LCQ29" s="819"/>
      <c r="LCR29" s="819"/>
      <c r="LCS29" s="819"/>
      <c r="LCT29" s="819"/>
      <c r="LCU29" s="819"/>
      <c r="LCV29" s="819"/>
      <c r="LCW29" s="819"/>
      <c r="LCX29" s="819"/>
      <c r="LCY29" s="819"/>
      <c r="LCZ29" s="819"/>
      <c r="LDA29" s="819"/>
      <c r="LDB29" s="819"/>
      <c r="LDC29" s="819"/>
      <c r="LDD29" s="819"/>
      <c r="LDE29" s="819"/>
      <c r="LDF29" s="819"/>
      <c r="LDG29" s="819"/>
      <c r="LDH29" s="819"/>
      <c r="LDI29" s="819"/>
      <c r="LDJ29" s="819"/>
      <c r="LDK29" s="819"/>
      <c r="LDL29" s="819"/>
      <c r="LDM29" s="819"/>
      <c r="LDN29" s="819"/>
      <c r="LDO29" s="819"/>
      <c r="LDP29" s="819"/>
      <c r="LDQ29" s="819"/>
      <c r="LDR29" s="819"/>
      <c r="LDS29" s="819"/>
      <c r="LDT29" s="819"/>
      <c r="LDU29" s="819"/>
      <c r="LDV29" s="819"/>
      <c r="LDW29" s="819"/>
      <c r="LDX29" s="819"/>
      <c r="LDY29" s="819"/>
      <c r="LDZ29" s="819"/>
      <c r="LEA29" s="819"/>
      <c r="LEB29" s="819"/>
      <c r="LEC29" s="819"/>
      <c r="LED29" s="819"/>
      <c r="LEE29" s="819"/>
      <c r="LEF29" s="819"/>
      <c r="LEG29" s="819"/>
      <c r="LEH29" s="819"/>
      <c r="LEI29" s="819"/>
      <c r="LEJ29" s="819"/>
      <c r="LEK29" s="819"/>
      <c r="LEL29" s="819"/>
      <c r="LEM29" s="819"/>
      <c r="LEN29" s="819"/>
      <c r="LEO29" s="819"/>
      <c r="LEP29" s="819"/>
      <c r="LEQ29" s="819"/>
      <c r="LER29" s="819"/>
      <c r="LES29" s="819"/>
      <c r="LET29" s="819"/>
      <c r="LEU29" s="819"/>
      <c r="LEV29" s="819"/>
      <c r="LEW29" s="819"/>
      <c r="LEX29" s="819"/>
      <c r="LEY29" s="819"/>
      <c r="LEZ29" s="819"/>
      <c r="LFA29" s="819"/>
      <c r="LFB29" s="819"/>
      <c r="LFC29" s="819"/>
      <c r="LFD29" s="819"/>
      <c r="LFE29" s="819"/>
      <c r="LFF29" s="819"/>
      <c r="LFG29" s="819"/>
      <c r="LFH29" s="819"/>
      <c r="LFI29" s="819"/>
      <c r="LFJ29" s="819"/>
      <c r="LFK29" s="819"/>
      <c r="LFL29" s="819"/>
      <c r="LFM29" s="819"/>
      <c r="LFN29" s="819"/>
      <c r="LFO29" s="819"/>
      <c r="LFP29" s="819"/>
      <c r="LFQ29" s="819"/>
      <c r="LFR29" s="819"/>
      <c r="LFS29" s="819"/>
      <c r="LFT29" s="819"/>
      <c r="LFU29" s="819"/>
      <c r="LFV29" s="819"/>
      <c r="LFW29" s="819"/>
      <c r="LFX29" s="819"/>
      <c r="LFY29" s="819"/>
      <c r="LFZ29" s="819"/>
      <c r="LGA29" s="819"/>
      <c r="LGB29" s="819"/>
      <c r="LGC29" s="819"/>
      <c r="LGD29" s="819"/>
      <c r="LGE29" s="819"/>
      <c r="LGF29" s="819"/>
      <c r="LGG29" s="819"/>
      <c r="LGH29" s="819"/>
      <c r="LGI29" s="819"/>
      <c r="LGJ29" s="819"/>
      <c r="LGK29" s="819"/>
      <c r="LGL29" s="819"/>
      <c r="LGM29" s="819"/>
      <c r="LGN29" s="819"/>
      <c r="LGO29" s="819"/>
      <c r="LGP29" s="819"/>
      <c r="LGQ29" s="819"/>
      <c r="LGR29" s="819"/>
      <c r="LGS29" s="819"/>
      <c r="LGT29" s="819"/>
      <c r="LGU29" s="819"/>
      <c r="LGV29" s="819"/>
      <c r="LGW29" s="819"/>
      <c r="LGX29" s="819"/>
      <c r="LGY29" s="819"/>
      <c r="LGZ29" s="819"/>
      <c r="LHA29" s="819"/>
      <c r="LHB29" s="819"/>
      <c r="LHC29" s="819"/>
      <c r="LHD29" s="819"/>
      <c r="LHE29" s="819"/>
      <c r="LHF29" s="819"/>
      <c r="LHG29" s="819"/>
      <c r="LHH29" s="819"/>
      <c r="LHI29" s="819"/>
      <c r="LHJ29" s="819"/>
      <c r="LHK29" s="819"/>
      <c r="LHL29" s="819"/>
      <c r="LHM29" s="819"/>
      <c r="LHN29" s="819"/>
      <c r="LHO29" s="819"/>
      <c r="LHP29" s="819"/>
      <c r="LHQ29" s="819"/>
      <c r="LHR29" s="819"/>
      <c r="LHS29" s="819"/>
      <c r="LHT29" s="819"/>
      <c r="LHU29" s="819"/>
      <c r="LHV29" s="819"/>
      <c r="LHW29" s="819"/>
      <c r="LHX29" s="819"/>
      <c r="LHY29" s="819"/>
      <c r="LHZ29" s="819"/>
      <c r="LIA29" s="819"/>
      <c r="LIB29" s="819"/>
      <c r="LIC29" s="819"/>
      <c r="LID29" s="819"/>
      <c r="LIE29" s="819"/>
      <c r="LIF29" s="819"/>
      <c r="LIG29" s="819"/>
      <c r="LIH29" s="819"/>
      <c r="LII29" s="819"/>
      <c r="LIJ29" s="819"/>
      <c r="LIK29" s="819"/>
      <c r="LIL29" s="819"/>
      <c r="LIM29" s="819"/>
      <c r="LIN29" s="819"/>
      <c r="LIO29" s="819"/>
      <c r="LIP29" s="819"/>
      <c r="LIQ29" s="819"/>
      <c r="LIR29" s="819"/>
      <c r="LIS29" s="819"/>
      <c r="LIT29" s="819"/>
      <c r="LIU29" s="819"/>
      <c r="LIV29" s="819"/>
      <c r="LIW29" s="819"/>
      <c r="LIX29" s="819"/>
      <c r="LIY29" s="819"/>
      <c r="LIZ29" s="819"/>
      <c r="LJA29" s="819"/>
      <c r="LJB29" s="819"/>
      <c r="LJC29" s="819"/>
      <c r="LJD29" s="819"/>
      <c r="LJE29" s="819"/>
      <c r="LJF29" s="819"/>
      <c r="LJG29" s="819"/>
      <c r="LJH29" s="819"/>
      <c r="LJI29" s="819"/>
      <c r="LJJ29" s="819"/>
      <c r="LJK29" s="819"/>
      <c r="LJL29" s="819"/>
      <c r="LJM29" s="819"/>
      <c r="LJN29" s="819"/>
      <c r="LJO29" s="819"/>
      <c r="LJP29" s="819"/>
      <c r="LJQ29" s="819"/>
      <c r="LJR29" s="819"/>
      <c r="LJS29" s="819"/>
      <c r="LJT29" s="819"/>
      <c r="LJU29" s="819"/>
      <c r="LJV29" s="819"/>
      <c r="LJW29" s="819"/>
      <c r="LJX29" s="819"/>
      <c r="LJY29" s="819"/>
      <c r="LJZ29" s="819"/>
      <c r="LKA29" s="819"/>
      <c r="LKB29" s="819"/>
      <c r="LKC29" s="819"/>
      <c r="LKD29" s="819"/>
      <c r="LKE29" s="819"/>
      <c r="LKF29" s="819"/>
      <c r="LKG29" s="819"/>
      <c r="LKH29" s="819"/>
      <c r="LKI29" s="819"/>
      <c r="LKJ29" s="819"/>
      <c r="LKK29" s="819"/>
      <c r="LKL29" s="819"/>
      <c r="LKM29" s="819"/>
      <c r="LKN29" s="819"/>
      <c r="LKO29" s="819"/>
      <c r="LKP29" s="819"/>
      <c r="LKQ29" s="819"/>
      <c r="LKR29" s="819"/>
      <c r="LKS29" s="819"/>
      <c r="LKT29" s="819"/>
      <c r="LKU29" s="819"/>
      <c r="LKV29" s="819"/>
      <c r="LKW29" s="819"/>
      <c r="LKX29" s="819"/>
      <c r="LKY29" s="819"/>
      <c r="LKZ29" s="819"/>
      <c r="LLA29" s="819"/>
      <c r="LLB29" s="819"/>
      <c r="LLC29" s="819"/>
      <c r="LLD29" s="819"/>
      <c r="LLE29" s="819"/>
      <c r="LLF29" s="819"/>
      <c r="LLG29" s="819"/>
      <c r="LLH29" s="819"/>
      <c r="LLI29" s="819"/>
      <c r="LLJ29" s="819"/>
      <c r="LLK29" s="819"/>
      <c r="LLL29" s="819"/>
      <c r="LLM29" s="819"/>
      <c r="LLN29" s="819"/>
      <c r="LLO29" s="819"/>
      <c r="LLP29" s="819"/>
      <c r="LLQ29" s="819"/>
      <c r="LLR29" s="819"/>
      <c r="LLS29" s="819"/>
      <c r="LLT29" s="819"/>
      <c r="LLU29" s="819"/>
      <c r="LLV29" s="819"/>
      <c r="LLW29" s="819"/>
      <c r="LLX29" s="819"/>
      <c r="LLY29" s="819"/>
      <c r="LLZ29" s="819"/>
      <c r="LMA29" s="819"/>
      <c r="LMB29" s="819"/>
      <c r="LMC29" s="819"/>
      <c r="LMD29" s="819"/>
      <c r="LME29" s="819"/>
      <c r="LMF29" s="819"/>
      <c r="LMG29" s="819"/>
      <c r="LMH29" s="819"/>
      <c r="LMI29" s="819"/>
      <c r="LMJ29" s="819"/>
      <c r="LMK29" s="819"/>
      <c r="LML29" s="819"/>
      <c r="LMM29" s="819"/>
      <c r="LMN29" s="819"/>
      <c r="LMO29" s="819"/>
      <c r="LMP29" s="819"/>
      <c r="LMQ29" s="819"/>
      <c r="LMR29" s="819"/>
      <c r="LMS29" s="819"/>
      <c r="LMT29" s="819"/>
      <c r="LMU29" s="819"/>
      <c r="LMV29" s="819"/>
      <c r="LMW29" s="819"/>
      <c r="LMX29" s="819"/>
      <c r="LMY29" s="819"/>
      <c r="LMZ29" s="819"/>
      <c r="LNA29" s="819"/>
      <c r="LNB29" s="819"/>
      <c r="LNC29" s="819"/>
      <c r="LND29" s="819"/>
      <c r="LNE29" s="819"/>
      <c r="LNF29" s="819"/>
      <c r="LNG29" s="819"/>
      <c r="LNH29" s="819"/>
      <c r="LNI29" s="819"/>
      <c r="LNJ29" s="819"/>
      <c r="LNK29" s="819"/>
      <c r="LNL29" s="819"/>
      <c r="LNM29" s="819"/>
      <c r="LNN29" s="819"/>
      <c r="LNO29" s="819"/>
      <c r="LNP29" s="819"/>
      <c r="LNQ29" s="819"/>
      <c r="LNR29" s="819"/>
      <c r="LNS29" s="819"/>
      <c r="LNT29" s="819"/>
      <c r="LNU29" s="819"/>
      <c r="LNV29" s="819"/>
      <c r="LNW29" s="819"/>
      <c r="LNX29" s="819"/>
      <c r="LNY29" s="819"/>
      <c r="LNZ29" s="819"/>
      <c r="LOA29" s="819"/>
      <c r="LOB29" s="819"/>
      <c r="LOC29" s="819"/>
      <c r="LOD29" s="819"/>
      <c r="LOE29" s="819"/>
      <c r="LOF29" s="819"/>
      <c r="LOG29" s="819"/>
      <c r="LOH29" s="819"/>
      <c r="LOI29" s="819"/>
      <c r="LOJ29" s="819"/>
      <c r="LOK29" s="819"/>
      <c r="LOL29" s="819"/>
      <c r="LOM29" s="819"/>
      <c r="LON29" s="819"/>
      <c r="LOO29" s="819"/>
      <c r="LOP29" s="819"/>
      <c r="LOQ29" s="819"/>
      <c r="LOR29" s="819"/>
      <c r="LOS29" s="819"/>
      <c r="LOT29" s="819"/>
      <c r="LOU29" s="819"/>
      <c r="LOV29" s="819"/>
      <c r="LOW29" s="819"/>
      <c r="LOX29" s="819"/>
      <c r="LOY29" s="819"/>
      <c r="LOZ29" s="819"/>
      <c r="LPA29" s="819"/>
      <c r="LPB29" s="819"/>
      <c r="LPC29" s="819"/>
      <c r="LPD29" s="819"/>
      <c r="LPE29" s="819"/>
      <c r="LPF29" s="819"/>
      <c r="LPG29" s="819"/>
      <c r="LPH29" s="819"/>
      <c r="LPI29" s="819"/>
      <c r="LPJ29" s="819"/>
      <c r="LPK29" s="819"/>
      <c r="LPL29" s="819"/>
      <c r="LPM29" s="819"/>
      <c r="LPN29" s="819"/>
      <c r="LPO29" s="819"/>
      <c r="LPP29" s="819"/>
      <c r="LPQ29" s="819"/>
      <c r="LPR29" s="819"/>
      <c r="LPS29" s="819"/>
      <c r="LPT29" s="819"/>
      <c r="LPU29" s="819"/>
      <c r="LPV29" s="819"/>
      <c r="LPW29" s="819"/>
      <c r="LPX29" s="819"/>
      <c r="LPY29" s="819"/>
      <c r="LPZ29" s="819"/>
      <c r="LQA29" s="819"/>
      <c r="LQB29" s="819"/>
      <c r="LQC29" s="819"/>
      <c r="LQD29" s="819"/>
      <c r="LQE29" s="819"/>
      <c r="LQF29" s="819"/>
      <c r="LQG29" s="819"/>
      <c r="LQH29" s="819"/>
      <c r="LQI29" s="819"/>
      <c r="LQJ29" s="819"/>
      <c r="LQK29" s="819"/>
      <c r="LQL29" s="819"/>
      <c r="LQM29" s="819"/>
      <c r="LQN29" s="819"/>
      <c r="LQO29" s="819"/>
      <c r="LQP29" s="819"/>
      <c r="LQQ29" s="819"/>
      <c r="LQR29" s="819"/>
      <c r="LQS29" s="819"/>
      <c r="LQT29" s="819"/>
      <c r="LQU29" s="819"/>
      <c r="LQV29" s="819"/>
      <c r="LQW29" s="819"/>
      <c r="LQX29" s="819"/>
      <c r="LQY29" s="819"/>
      <c r="LQZ29" s="819"/>
      <c r="LRA29" s="819"/>
      <c r="LRB29" s="819"/>
      <c r="LRC29" s="819"/>
      <c r="LRD29" s="819"/>
      <c r="LRE29" s="819"/>
      <c r="LRF29" s="819"/>
      <c r="LRG29" s="819"/>
      <c r="LRH29" s="819"/>
      <c r="LRI29" s="819"/>
      <c r="LRJ29" s="819"/>
      <c r="LRK29" s="819"/>
      <c r="LRL29" s="819"/>
      <c r="LRM29" s="819"/>
      <c r="LRN29" s="819"/>
      <c r="LRO29" s="819"/>
      <c r="LRP29" s="819"/>
      <c r="LRQ29" s="819"/>
      <c r="LRR29" s="819"/>
      <c r="LRS29" s="819"/>
      <c r="LRT29" s="819"/>
      <c r="LRU29" s="819"/>
      <c r="LRV29" s="819"/>
      <c r="LRW29" s="819"/>
      <c r="LRX29" s="819"/>
      <c r="LRY29" s="819"/>
      <c r="LRZ29" s="819"/>
      <c r="LSA29" s="819"/>
      <c r="LSB29" s="819"/>
      <c r="LSC29" s="819"/>
      <c r="LSD29" s="819"/>
      <c r="LSE29" s="819"/>
      <c r="LSF29" s="819"/>
      <c r="LSG29" s="819"/>
      <c r="LSH29" s="819"/>
      <c r="LSI29" s="819"/>
      <c r="LSJ29" s="819"/>
      <c r="LSK29" s="819"/>
      <c r="LSL29" s="819"/>
      <c r="LSM29" s="819"/>
      <c r="LSN29" s="819"/>
      <c r="LSO29" s="819"/>
      <c r="LSP29" s="819"/>
      <c r="LSQ29" s="819"/>
      <c r="LSR29" s="819"/>
      <c r="LSS29" s="819"/>
      <c r="LST29" s="819"/>
      <c r="LSU29" s="819"/>
      <c r="LSV29" s="819"/>
      <c r="LSW29" s="819"/>
      <c r="LSX29" s="819"/>
      <c r="LSY29" s="819"/>
      <c r="LSZ29" s="819"/>
      <c r="LTA29" s="819"/>
      <c r="LTB29" s="819"/>
      <c r="LTC29" s="819"/>
      <c r="LTD29" s="819"/>
      <c r="LTE29" s="819"/>
      <c r="LTF29" s="819"/>
      <c r="LTG29" s="819"/>
      <c r="LTH29" s="819"/>
      <c r="LTI29" s="819"/>
      <c r="LTJ29" s="819"/>
      <c r="LTK29" s="819"/>
      <c r="LTL29" s="819"/>
      <c r="LTM29" s="819"/>
      <c r="LTN29" s="819"/>
      <c r="LTO29" s="819"/>
      <c r="LTP29" s="819"/>
      <c r="LTQ29" s="819"/>
      <c r="LTR29" s="819"/>
      <c r="LTS29" s="819"/>
      <c r="LTT29" s="819"/>
      <c r="LTU29" s="819"/>
      <c r="LTV29" s="819"/>
      <c r="LTW29" s="819"/>
      <c r="LTX29" s="819"/>
      <c r="LTY29" s="819"/>
      <c r="LTZ29" s="819"/>
      <c r="LUA29" s="819"/>
      <c r="LUB29" s="819"/>
      <c r="LUC29" s="819"/>
      <c r="LUD29" s="819"/>
      <c r="LUE29" s="819"/>
      <c r="LUF29" s="819"/>
      <c r="LUG29" s="819"/>
      <c r="LUH29" s="819"/>
      <c r="LUI29" s="819"/>
      <c r="LUJ29" s="819"/>
      <c r="LUK29" s="819"/>
      <c r="LUL29" s="819"/>
      <c r="LUM29" s="819"/>
      <c r="LUN29" s="819"/>
      <c r="LUO29" s="819"/>
      <c r="LUP29" s="819"/>
      <c r="LUQ29" s="819"/>
      <c r="LUR29" s="819"/>
      <c r="LUS29" s="819"/>
      <c r="LUT29" s="819"/>
      <c r="LUU29" s="819"/>
      <c r="LUV29" s="819"/>
      <c r="LUW29" s="819"/>
      <c r="LUX29" s="819"/>
      <c r="LUY29" s="819"/>
      <c r="LUZ29" s="819"/>
      <c r="LVA29" s="819"/>
      <c r="LVB29" s="819"/>
      <c r="LVC29" s="819"/>
      <c r="LVD29" s="819"/>
      <c r="LVE29" s="819"/>
      <c r="LVF29" s="819"/>
      <c r="LVG29" s="819"/>
      <c r="LVH29" s="819"/>
      <c r="LVI29" s="819"/>
      <c r="LVJ29" s="819"/>
      <c r="LVK29" s="819"/>
      <c r="LVL29" s="819"/>
      <c r="LVM29" s="819"/>
      <c r="LVN29" s="819"/>
      <c r="LVO29" s="819"/>
      <c r="LVP29" s="819"/>
      <c r="LVQ29" s="819"/>
      <c r="LVR29" s="819"/>
      <c r="LVS29" s="819"/>
      <c r="LVT29" s="819"/>
      <c r="LVU29" s="819"/>
      <c r="LVV29" s="819"/>
      <c r="LVW29" s="819"/>
      <c r="LVX29" s="819"/>
      <c r="LVY29" s="819"/>
      <c r="LVZ29" s="819"/>
      <c r="LWA29" s="819"/>
      <c r="LWB29" s="819"/>
      <c r="LWC29" s="819"/>
      <c r="LWD29" s="819"/>
      <c r="LWE29" s="819"/>
      <c r="LWF29" s="819"/>
      <c r="LWG29" s="819"/>
      <c r="LWH29" s="819"/>
      <c r="LWI29" s="819"/>
      <c r="LWJ29" s="819"/>
      <c r="LWK29" s="819"/>
      <c r="LWL29" s="819"/>
      <c r="LWM29" s="819"/>
      <c r="LWN29" s="819"/>
      <c r="LWO29" s="819"/>
      <c r="LWP29" s="819"/>
      <c r="LWQ29" s="819"/>
      <c r="LWR29" s="819"/>
      <c r="LWS29" s="819"/>
      <c r="LWT29" s="819"/>
      <c r="LWU29" s="819"/>
      <c r="LWV29" s="819"/>
      <c r="LWW29" s="819"/>
      <c r="LWX29" s="819"/>
      <c r="LWY29" s="819"/>
      <c r="LWZ29" s="819"/>
      <c r="LXA29" s="819"/>
      <c r="LXB29" s="819"/>
      <c r="LXC29" s="819"/>
      <c r="LXD29" s="819"/>
      <c r="LXE29" s="819"/>
      <c r="LXF29" s="819"/>
      <c r="LXG29" s="819"/>
      <c r="LXH29" s="819"/>
      <c r="LXI29" s="819"/>
      <c r="LXJ29" s="819"/>
      <c r="LXK29" s="819"/>
      <c r="LXL29" s="819"/>
      <c r="LXM29" s="819"/>
      <c r="LXN29" s="819"/>
      <c r="LXO29" s="819"/>
      <c r="LXP29" s="819"/>
      <c r="LXQ29" s="819"/>
      <c r="LXR29" s="819"/>
      <c r="LXS29" s="819"/>
      <c r="LXT29" s="819"/>
      <c r="LXU29" s="819"/>
      <c r="LXV29" s="819"/>
      <c r="LXW29" s="819"/>
      <c r="LXX29" s="819"/>
      <c r="LXY29" s="819"/>
      <c r="LXZ29" s="819"/>
      <c r="LYA29" s="819"/>
      <c r="LYB29" s="819"/>
      <c r="LYC29" s="819"/>
      <c r="LYD29" s="819"/>
      <c r="LYE29" s="819"/>
      <c r="LYF29" s="819"/>
      <c r="LYG29" s="819"/>
      <c r="LYH29" s="819"/>
      <c r="LYI29" s="819"/>
      <c r="LYJ29" s="819"/>
      <c r="LYK29" s="819"/>
      <c r="LYL29" s="819"/>
      <c r="LYM29" s="819"/>
      <c r="LYN29" s="819"/>
      <c r="LYO29" s="819"/>
      <c r="LYP29" s="819"/>
      <c r="LYQ29" s="819"/>
      <c r="LYR29" s="819"/>
      <c r="LYS29" s="819"/>
      <c r="LYT29" s="819"/>
      <c r="LYU29" s="819"/>
      <c r="LYV29" s="819"/>
      <c r="LYW29" s="819"/>
      <c r="LYX29" s="819"/>
      <c r="LYY29" s="819"/>
      <c r="LYZ29" s="819"/>
      <c r="LZA29" s="819"/>
      <c r="LZB29" s="819"/>
      <c r="LZC29" s="819"/>
      <c r="LZD29" s="819"/>
      <c r="LZE29" s="819"/>
      <c r="LZF29" s="819"/>
      <c r="LZG29" s="819"/>
      <c r="LZH29" s="819"/>
      <c r="LZI29" s="819"/>
      <c r="LZJ29" s="819"/>
      <c r="LZK29" s="819"/>
      <c r="LZL29" s="819"/>
      <c r="LZM29" s="819"/>
      <c r="LZN29" s="819"/>
      <c r="LZO29" s="819"/>
      <c r="LZP29" s="819"/>
      <c r="LZQ29" s="819"/>
      <c r="LZR29" s="819"/>
      <c r="LZS29" s="819"/>
      <c r="LZT29" s="819"/>
      <c r="LZU29" s="819"/>
      <c r="LZV29" s="819"/>
      <c r="LZW29" s="819"/>
      <c r="LZX29" s="819"/>
      <c r="LZY29" s="819"/>
      <c r="LZZ29" s="819"/>
      <c r="MAA29" s="819"/>
      <c r="MAB29" s="819"/>
      <c r="MAC29" s="819"/>
      <c r="MAD29" s="819"/>
      <c r="MAE29" s="819"/>
      <c r="MAF29" s="819"/>
      <c r="MAG29" s="819"/>
      <c r="MAH29" s="819"/>
      <c r="MAI29" s="819"/>
      <c r="MAJ29" s="819"/>
      <c r="MAK29" s="819"/>
      <c r="MAL29" s="819"/>
      <c r="MAM29" s="819"/>
      <c r="MAN29" s="819"/>
      <c r="MAO29" s="819"/>
      <c r="MAP29" s="819"/>
      <c r="MAQ29" s="819"/>
      <c r="MAR29" s="819"/>
      <c r="MAS29" s="819"/>
      <c r="MAT29" s="819"/>
      <c r="MAU29" s="819"/>
      <c r="MAV29" s="819"/>
      <c r="MAW29" s="819"/>
      <c r="MAX29" s="819"/>
      <c r="MAY29" s="819"/>
      <c r="MAZ29" s="819"/>
      <c r="MBA29" s="819"/>
      <c r="MBB29" s="819"/>
      <c r="MBC29" s="819"/>
      <c r="MBD29" s="819"/>
      <c r="MBE29" s="819"/>
      <c r="MBF29" s="819"/>
      <c r="MBG29" s="819"/>
      <c r="MBH29" s="819"/>
      <c r="MBI29" s="819"/>
      <c r="MBJ29" s="819"/>
      <c r="MBK29" s="819"/>
      <c r="MBL29" s="819"/>
      <c r="MBM29" s="819"/>
      <c r="MBN29" s="819"/>
      <c r="MBO29" s="819"/>
      <c r="MBP29" s="819"/>
      <c r="MBQ29" s="819"/>
      <c r="MBR29" s="819"/>
      <c r="MBS29" s="819"/>
      <c r="MBT29" s="819"/>
      <c r="MBU29" s="819"/>
      <c r="MBV29" s="819"/>
      <c r="MBW29" s="819"/>
      <c r="MBX29" s="819"/>
      <c r="MBY29" s="819"/>
      <c r="MBZ29" s="819"/>
      <c r="MCA29" s="819"/>
      <c r="MCB29" s="819"/>
      <c r="MCC29" s="819"/>
      <c r="MCD29" s="819"/>
      <c r="MCE29" s="819"/>
      <c r="MCF29" s="819"/>
      <c r="MCG29" s="819"/>
      <c r="MCH29" s="819"/>
      <c r="MCI29" s="819"/>
      <c r="MCJ29" s="819"/>
      <c r="MCK29" s="819"/>
      <c r="MCL29" s="819"/>
      <c r="MCM29" s="819"/>
      <c r="MCN29" s="819"/>
      <c r="MCO29" s="819"/>
      <c r="MCP29" s="819"/>
      <c r="MCQ29" s="819"/>
      <c r="MCR29" s="819"/>
      <c r="MCS29" s="819"/>
      <c r="MCT29" s="819"/>
      <c r="MCU29" s="819"/>
      <c r="MCV29" s="819"/>
      <c r="MCW29" s="819"/>
      <c r="MCX29" s="819"/>
      <c r="MCY29" s="819"/>
      <c r="MCZ29" s="819"/>
      <c r="MDA29" s="819"/>
      <c r="MDB29" s="819"/>
      <c r="MDC29" s="819"/>
      <c r="MDD29" s="819"/>
      <c r="MDE29" s="819"/>
      <c r="MDF29" s="819"/>
      <c r="MDG29" s="819"/>
      <c r="MDH29" s="819"/>
      <c r="MDI29" s="819"/>
      <c r="MDJ29" s="819"/>
      <c r="MDK29" s="819"/>
      <c r="MDL29" s="819"/>
      <c r="MDM29" s="819"/>
      <c r="MDN29" s="819"/>
      <c r="MDO29" s="819"/>
      <c r="MDP29" s="819"/>
      <c r="MDQ29" s="819"/>
      <c r="MDR29" s="819"/>
      <c r="MDS29" s="819"/>
      <c r="MDT29" s="819"/>
      <c r="MDU29" s="819"/>
      <c r="MDV29" s="819"/>
      <c r="MDW29" s="819"/>
      <c r="MDX29" s="819"/>
      <c r="MDY29" s="819"/>
      <c r="MDZ29" s="819"/>
      <c r="MEA29" s="819"/>
      <c r="MEB29" s="819"/>
      <c r="MEC29" s="819"/>
      <c r="MED29" s="819"/>
      <c r="MEE29" s="819"/>
      <c r="MEF29" s="819"/>
      <c r="MEG29" s="819"/>
      <c r="MEH29" s="819"/>
      <c r="MEI29" s="819"/>
      <c r="MEJ29" s="819"/>
      <c r="MEK29" s="819"/>
      <c r="MEL29" s="819"/>
      <c r="MEM29" s="819"/>
      <c r="MEN29" s="819"/>
      <c r="MEO29" s="819"/>
      <c r="MEP29" s="819"/>
      <c r="MEQ29" s="819"/>
      <c r="MER29" s="819"/>
      <c r="MES29" s="819"/>
      <c r="MET29" s="819"/>
      <c r="MEU29" s="819"/>
      <c r="MEV29" s="819"/>
      <c r="MEW29" s="819"/>
      <c r="MEX29" s="819"/>
      <c r="MEY29" s="819"/>
      <c r="MEZ29" s="819"/>
      <c r="MFA29" s="819"/>
      <c r="MFB29" s="819"/>
      <c r="MFC29" s="819"/>
      <c r="MFD29" s="819"/>
      <c r="MFE29" s="819"/>
      <c r="MFF29" s="819"/>
      <c r="MFG29" s="819"/>
      <c r="MFH29" s="819"/>
      <c r="MFI29" s="819"/>
      <c r="MFJ29" s="819"/>
      <c r="MFK29" s="819"/>
      <c r="MFL29" s="819"/>
      <c r="MFM29" s="819"/>
      <c r="MFN29" s="819"/>
      <c r="MFO29" s="819"/>
      <c r="MFP29" s="819"/>
      <c r="MFQ29" s="819"/>
      <c r="MFR29" s="819"/>
      <c r="MFS29" s="819"/>
      <c r="MFT29" s="819"/>
      <c r="MFU29" s="819"/>
      <c r="MFV29" s="819"/>
      <c r="MFW29" s="819"/>
      <c r="MFX29" s="819"/>
      <c r="MFY29" s="819"/>
      <c r="MFZ29" s="819"/>
      <c r="MGA29" s="819"/>
      <c r="MGB29" s="819"/>
      <c r="MGC29" s="819"/>
      <c r="MGD29" s="819"/>
      <c r="MGE29" s="819"/>
      <c r="MGF29" s="819"/>
      <c r="MGG29" s="819"/>
      <c r="MGH29" s="819"/>
      <c r="MGI29" s="819"/>
      <c r="MGJ29" s="819"/>
      <c r="MGK29" s="819"/>
      <c r="MGL29" s="819"/>
      <c r="MGM29" s="819"/>
      <c r="MGN29" s="819"/>
      <c r="MGO29" s="819"/>
      <c r="MGP29" s="819"/>
      <c r="MGQ29" s="819"/>
      <c r="MGR29" s="819"/>
      <c r="MGS29" s="819"/>
      <c r="MGT29" s="819"/>
      <c r="MGU29" s="819"/>
      <c r="MGV29" s="819"/>
      <c r="MGW29" s="819"/>
      <c r="MGX29" s="819"/>
      <c r="MGY29" s="819"/>
      <c r="MGZ29" s="819"/>
      <c r="MHA29" s="819"/>
      <c r="MHB29" s="819"/>
      <c r="MHC29" s="819"/>
      <c r="MHD29" s="819"/>
      <c r="MHE29" s="819"/>
      <c r="MHF29" s="819"/>
      <c r="MHG29" s="819"/>
      <c r="MHH29" s="819"/>
      <c r="MHI29" s="819"/>
      <c r="MHJ29" s="819"/>
      <c r="MHK29" s="819"/>
      <c r="MHL29" s="819"/>
      <c r="MHM29" s="819"/>
      <c r="MHN29" s="819"/>
      <c r="MHO29" s="819"/>
      <c r="MHP29" s="819"/>
      <c r="MHQ29" s="819"/>
      <c r="MHR29" s="819"/>
      <c r="MHS29" s="819"/>
      <c r="MHT29" s="819"/>
      <c r="MHU29" s="819"/>
      <c r="MHV29" s="819"/>
      <c r="MHW29" s="819"/>
      <c r="MHX29" s="819"/>
      <c r="MHY29" s="819"/>
      <c r="MHZ29" s="819"/>
      <c r="MIA29" s="819"/>
      <c r="MIB29" s="819"/>
      <c r="MIC29" s="819"/>
      <c r="MID29" s="819"/>
      <c r="MIE29" s="819"/>
      <c r="MIF29" s="819"/>
      <c r="MIG29" s="819"/>
      <c r="MIH29" s="819"/>
      <c r="MII29" s="819"/>
      <c r="MIJ29" s="819"/>
      <c r="MIK29" s="819"/>
      <c r="MIL29" s="819"/>
      <c r="MIM29" s="819"/>
      <c r="MIN29" s="819"/>
      <c r="MIO29" s="819"/>
      <c r="MIP29" s="819"/>
      <c r="MIQ29" s="819"/>
      <c r="MIR29" s="819"/>
      <c r="MIS29" s="819"/>
      <c r="MIT29" s="819"/>
      <c r="MIU29" s="819"/>
      <c r="MIV29" s="819"/>
      <c r="MIW29" s="819"/>
      <c r="MIX29" s="819"/>
      <c r="MIY29" s="819"/>
      <c r="MIZ29" s="819"/>
      <c r="MJA29" s="819"/>
      <c r="MJB29" s="819"/>
      <c r="MJC29" s="819"/>
      <c r="MJD29" s="819"/>
      <c r="MJE29" s="819"/>
      <c r="MJF29" s="819"/>
      <c r="MJG29" s="819"/>
      <c r="MJH29" s="819"/>
      <c r="MJI29" s="819"/>
      <c r="MJJ29" s="819"/>
      <c r="MJK29" s="819"/>
      <c r="MJL29" s="819"/>
      <c r="MJM29" s="819"/>
      <c r="MJN29" s="819"/>
      <c r="MJO29" s="819"/>
      <c r="MJP29" s="819"/>
      <c r="MJQ29" s="819"/>
      <c r="MJR29" s="819"/>
      <c r="MJS29" s="819"/>
      <c r="MJT29" s="819"/>
      <c r="MJU29" s="819"/>
      <c r="MJV29" s="819"/>
      <c r="MJW29" s="819"/>
      <c r="MJX29" s="819"/>
      <c r="MJY29" s="819"/>
      <c r="MJZ29" s="819"/>
      <c r="MKA29" s="819"/>
      <c r="MKB29" s="819"/>
      <c r="MKC29" s="819"/>
      <c r="MKD29" s="819"/>
      <c r="MKE29" s="819"/>
      <c r="MKF29" s="819"/>
      <c r="MKG29" s="819"/>
      <c r="MKH29" s="819"/>
      <c r="MKI29" s="819"/>
      <c r="MKJ29" s="819"/>
      <c r="MKK29" s="819"/>
      <c r="MKL29" s="819"/>
      <c r="MKM29" s="819"/>
      <c r="MKN29" s="819"/>
      <c r="MKO29" s="819"/>
      <c r="MKP29" s="819"/>
      <c r="MKQ29" s="819"/>
      <c r="MKR29" s="819"/>
      <c r="MKS29" s="819"/>
      <c r="MKT29" s="819"/>
      <c r="MKU29" s="819"/>
      <c r="MKV29" s="819"/>
      <c r="MKW29" s="819"/>
      <c r="MKX29" s="819"/>
      <c r="MKY29" s="819"/>
      <c r="MKZ29" s="819"/>
      <c r="MLA29" s="819"/>
      <c r="MLB29" s="819"/>
      <c r="MLC29" s="819"/>
      <c r="MLD29" s="819"/>
      <c r="MLE29" s="819"/>
      <c r="MLF29" s="819"/>
      <c r="MLG29" s="819"/>
      <c r="MLH29" s="819"/>
      <c r="MLI29" s="819"/>
      <c r="MLJ29" s="819"/>
      <c r="MLK29" s="819"/>
      <c r="MLL29" s="819"/>
      <c r="MLM29" s="819"/>
      <c r="MLN29" s="819"/>
      <c r="MLO29" s="819"/>
      <c r="MLP29" s="819"/>
      <c r="MLQ29" s="819"/>
      <c r="MLR29" s="819"/>
      <c r="MLS29" s="819"/>
      <c r="MLT29" s="819"/>
      <c r="MLU29" s="819"/>
      <c r="MLV29" s="819"/>
      <c r="MLW29" s="819"/>
      <c r="MLX29" s="819"/>
      <c r="MLY29" s="819"/>
      <c r="MLZ29" s="819"/>
      <c r="MMA29" s="819"/>
      <c r="MMB29" s="819"/>
      <c r="MMC29" s="819"/>
      <c r="MMD29" s="819"/>
      <c r="MME29" s="819"/>
      <c r="MMF29" s="819"/>
      <c r="MMG29" s="819"/>
      <c r="MMH29" s="819"/>
      <c r="MMI29" s="819"/>
      <c r="MMJ29" s="819"/>
      <c r="MMK29" s="819"/>
      <c r="MML29" s="819"/>
      <c r="MMM29" s="819"/>
      <c r="MMN29" s="819"/>
      <c r="MMO29" s="819"/>
      <c r="MMP29" s="819"/>
      <c r="MMQ29" s="819"/>
      <c r="MMR29" s="819"/>
      <c r="MMS29" s="819"/>
      <c r="MMT29" s="819"/>
      <c r="MMU29" s="819"/>
      <c r="MMV29" s="819"/>
      <c r="MMW29" s="819"/>
      <c r="MMX29" s="819"/>
      <c r="MMY29" s="819"/>
      <c r="MMZ29" s="819"/>
      <c r="MNA29" s="819"/>
      <c r="MNB29" s="819"/>
      <c r="MNC29" s="819"/>
      <c r="MND29" s="819"/>
      <c r="MNE29" s="819"/>
      <c r="MNF29" s="819"/>
      <c r="MNG29" s="819"/>
      <c r="MNH29" s="819"/>
      <c r="MNI29" s="819"/>
      <c r="MNJ29" s="819"/>
      <c r="MNK29" s="819"/>
      <c r="MNL29" s="819"/>
      <c r="MNM29" s="819"/>
      <c r="MNN29" s="819"/>
      <c r="MNO29" s="819"/>
      <c r="MNP29" s="819"/>
      <c r="MNQ29" s="819"/>
      <c r="MNR29" s="819"/>
      <c r="MNS29" s="819"/>
      <c r="MNT29" s="819"/>
      <c r="MNU29" s="819"/>
      <c r="MNV29" s="819"/>
      <c r="MNW29" s="819"/>
      <c r="MNX29" s="819"/>
      <c r="MNY29" s="819"/>
      <c r="MNZ29" s="819"/>
      <c r="MOA29" s="819"/>
      <c r="MOB29" s="819"/>
      <c r="MOC29" s="819"/>
      <c r="MOD29" s="819"/>
      <c r="MOE29" s="819"/>
      <c r="MOF29" s="819"/>
      <c r="MOG29" s="819"/>
      <c r="MOH29" s="819"/>
      <c r="MOI29" s="819"/>
      <c r="MOJ29" s="819"/>
      <c r="MOK29" s="819"/>
      <c r="MOL29" s="819"/>
      <c r="MOM29" s="819"/>
      <c r="MON29" s="819"/>
      <c r="MOO29" s="819"/>
      <c r="MOP29" s="819"/>
      <c r="MOQ29" s="819"/>
      <c r="MOR29" s="819"/>
      <c r="MOS29" s="819"/>
      <c r="MOT29" s="819"/>
      <c r="MOU29" s="819"/>
      <c r="MOV29" s="819"/>
      <c r="MOW29" s="819"/>
      <c r="MOX29" s="819"/>
      <c r="MOY29" s="819"/>
      <c r="MOZ29" s="819"/>
      <c r="MPA29" s="819"/>
      <c r="MPB29" s="819"/>
      <c r="MPC29" s="819"/>
      <c r="MPD29" s="819"/>
      <c r="MPE29" s="819"/>
      <c r="MPF29" s="819"/>
      <c r="MPG29" s="819"/>
      <c r="MPH29" s="819"/>
      <c r="MPI29" s="819"/>
      <c r="MPJ29" s="819"/>
      <c r="MPK29" s="819"/>
      <c r="MPL29" s="819"/>
      <c r="MPM29" s="819"/>
      <c r="MPN29" s="819"/>
      <c r="MPO29" s="819"/>
      <c r="MPP29" s="819"/>
      <c r="MPQ29" s="819"/>
      <c r="MPR29" s="819"/>
      <c r="MPS29" s="819"/>
      <c r="MPT29" s="819"/>
      <c r="MPU29" s="819"/>
      <c r="MPV29" s="819"/>
      <c r="MPW29" s="819"/>
      <c r="MPX29" s="819"/>
      <c r="MPY29" s="819"/>
      <c r="MPZ29" s="819"/>
      <c r="MQA29" s="819"/>
      <c r="MQB29" s="819"/>
      <c r="MQC29" s="819"/>
      <c r="MQD29" s="819"/>
      <c r="MQE29" s="819"/>
      <c r="MQF29" s="819"/>
      <c r="MQG29" s="819"/>
      <c r="MQH29" s="819"/>
      <c r="MQI29" s="819"/>
      <c r="MQJ29" s="819"/>
      <c r="MQK29" s="819"/>
      <c r="MQL29" s="819"/>
      <c r="MQM29" s="819"/>
      <c r="MQN29" s="819"/>
      <c r="MQO29" s="819"/>
      <c r="MQP29" s="819"/>
      <c r="MQQ29" s="819"/>
      <c r="MQR29" s="819"/>
      <c r="MQS29" s="819"/>
      <c r="MQT29" s="819"/>
      <c r="MQU29" s="819"/>
      <c r="MQV29" s="819"/>
      <c r="MQW29" s="819"/>
      <c r="MQX29" s="819"/>
      <c r="MQY29" s="819"/>
      <c r="MQZ29" s="819"/>
      <c r="MRA29" s="819"/>
      <c r="MRB29" s="819"/>
      <c r="MRC29" s="819"/>
      <c r="MRD29" s="819"/>
      <c r="MRE29" s="819"/>
      <c r="MRF29" s="819"/>
      <c r="MRG29" s="819"/>
      <c r="MRH29" s="819"/>
      <c r="MRI29" s="819"/>
      <c r="MRJ29" s="819"/>
      <c r="MRK29" s="819"/>
      <c r="MRL29" s="819"/>
      <c r="MRM29" s="819"/>
      <c r="MRN29" s="819"/>
      <c r="MRO29" s="819"/>
      <c r="MRP29" s="819"/>
      <c r="MRQ29" s="819"/>
      <c r="MRR29" s="819"/>
      <c r="MRS29" s="819"/>
      <c r="MRT29" s="819"/>
      <c r="MRU29" s="819"/>
      <c r="MRV29" s="819"/>
      <c r="MRW29" s="819"/>
      <c r="MRX29" s="819"/>
      <c r="MRY29" s="819"/>
      <c r="MRZ29" s="819"/>
      <c r="MSA29" s="819"/>
      <c r="MSB29" s="819"/>
      <c r="MSC29" s="819"/>
      <c r="MSD29" s="819"/>
      <c r="MSE29" s="819"/>
      <c r="MSF29" s="819"/>
      <c r="MSG29" s="819"/>
      <c r="MSH29" s="819"/>
      <c r="MSI29" s="819"/>
      <c r="MSJ29" s="819"/>
      <c r="MSK29" s="819"/>
      <c r="MSL29" s="819"/>
      <c r="MSM29" s="819"/>
      <c r="MSN29" s="819"/>
      <c r="MSO29" s="819"/>
      <c r="MSP29" s="819"/>
      <c r="MSQ29" s="819"/>
      <c r="MSR29" s="819"/>
      <c r="MSS29" s="819"/>
      <c r="MST29" s="819"/>
      <c r="MSU29" s="819"/>
      <c r="MSV29" s="819"/>
      <c r="MSW29" s="819"/>
      <c r="MSX29" s="819"/>
      <c r="MSY29" s="819"/>
      <c r="MSZ29" s="819"/>
      <c r="MTA29" s="819"/>
      <c r="MTB29" s="819"/>
      <c r="MTC29" s="819"/>
      <c r="MTD29" s="819"/>
      <c r="MTE29" s="819"/>
      <c r="MTF29" s="819"/>
      <c r="MTG29" s="819"/>
      <c r="MTH29" s="819"/>
      <c r="MTI29" s="819"/>
      <c r="MTJ29" s="819"/>
      <c r="MTK29" s="819"/>
      <c r="MTL29" s="819"/>
      <c r="MTM29" s="819"/>
      <c r="MTN29" s="819"/>
      <c r="MTO29" s="819"/>
      <c r="MTP29" s="819"/>
      <c r="MTQ29" s="819"/>
      <c r="MTR29" s="819"/>
      <c r="MTS29" s="819"/>
      <c r="MTT29" s="819"/>
      <c r="MTU29" s="819"/>
      <c r="MTV29" s="819"/>
      <c r="MTW29" s="819"/>
      <c r="MTX29" s="819"/>
      <c r="MTY29" s="819"/>
      <c r="MTZ29" s="819"/>
      <c r="MUA29" s="819"/>
      <c r="MUB29" s="819"/>
      <c r="MUC29" s="819"/>
      <c r="MUD29" s="819"/>
      <c r="MUE29" s="819"/>
      <c r="MUF29" s="819"/>
      <c r="MUG29" s="819"/>
      <c r="MUH29" s="819"/>
      <c r="MUI29" s="819"/>
      <c r="MUJ29" s="819"/>
      <c r="MUK29" s="819"/>
      <c r="MUL29" s="819"/>
      <c r="MUM29" s="819"/>
      <c r="MUN29" s="819"/>
      <c r="MUO29" s="819"/>
      <c r="MUP29" s="819"/>
      <c r="MUQ29" s="819"/>
      <c r="MUR29" s="819"/>
      <c r="MUS29" s="819"/>
      <c r="MUT29" s="819"/>
      <c r="MUU29" s="819"/>
      <c r="MUV29" s="819"/>
      <c r="MUW29" s="819"/>
      <c r="MUX29" s="819"/>
      <c r="MUY29" s="819"/>
      <c r="MUZ29" s="819"/>
      <c r="MVA29" s="819"/>
      <c r="MVB29" s="819"/>
      <c r="MVC29" s="819"/>
      <c r="MVD29" s="819"/>
      <c r="MVE29" s="819"/>
      <c r="MVF29" s="819"/>
      <c r="MVG29" s="819"/>
      <c r="MVH29" s="819"/>
      <c r="MVI29" s="819"/>
      <c r="MVJ29" s="819"/>
      <c r="MVK29" s="819"/>
      <c r="MVL29" s="819"/>
      <c r="MVM29" s="819"/>
      <c r="MVN29" s="819"/>
      <c r="MVO29" s="819"/>
      <c r="MVP29" s="819"/>
      <c r="MVQ29" s="819"/>
      <c r="MVR29" s="819"/>
      <c r="MVS29" s="819"/>
      <c r="MVT29" s="819"/>
      <c r="MVU29" s="819"/>
      <c r="MVV29" s="819"/>
      <c r="MVW29" s="819"/>
      <c r="MVX29" s="819"/>
      <c r="MVY29" s="819"/>
      <c r="MVZ29" s="819"/>
      <c r="MWA29" s="819"/>
      <c r="MWB29" s="819"/>
      <c r="MWC29" s="819"/>
      <c r="MWD29" s="819"/>
      <c r="MWE29" s="819"/>
      <c r="MWF29" s="819"/>
      <c r="MWG29" s="819"/>
      <c r="MWH29" s="819"/>
      <c r="MWI29" s="819"/>
      <c r="MWJ29" s="819"/>
      <c r="MWK29" s="819"/>
      <c r="MWL29" s="819"/>
      <c r="MWM29" s="819"/>
      <c r="MWN29" s="819"/>
      <c r="MWO29" s="819"/>
      <c r="MWP29" s="819"/>
      <c r="MWQ29" s="819"/>
      <c r="MWR29" s="819"/>
      <c r="MWS29" s="819"/>
      <c r="MWT29" s="819"/>
      <c r="MWU29" s="819"/>
      <c r="MWV29" s="819"/>
      <c r="MWW29" s="819"/>
      <c r="MWX29" s="819"/>
      <c r="MWY29" s="819"/>
      <c r="MWZ29" s="819"/>
      <c r="MXA29" s="819"/>
      <c r="MXB29" s="819"/>
      <c r="MXC29" s="819"/>
      <c r="MXD29" s="819"/>
      <c r="MXE29" s="819"/>
      <c r="MXF29" s="819"/>
      <c r="MXG29" s="819"/>
      <c r="MXH29" s="819"/>
      <c r="MXI29" s="819"/>
      <c r="MXJ29" s="819"/>
      <c r="MXK29" s="819"/>
      <c r="MXL29" s="819"/>
      <c r="MXM29" s="819"/>
      <c r="MXN29" s="819"/>
      <c r="MXO29" s="819"/>
      <c r="MXP29" s="819"/>
      <c r="MXQ29" s="819"/>
      <c r="MXR29" s="819"/>
      <c r="MXS29" s="819"/>
      <c r="MXT29" s="819"/>
      <c r="MXU29" s="819"/>
      <c r="MXV29" s="819"/>
      <c r="MXW29" s="819"/>
      <c r="MXX29" s="819"/>
      <c r="MXY29" s="819"/>
      <c r="MXZ29" s="819"/>
      <c r="MYA29" s="819"/>
      <c r="MYB29" s="819"/>
      <c r="MYC29" s="819"/>
      <c r="MYD29" s="819"/>
      <c r="MYE29" s="819"/>
      <c r="MYF29" s="819"/>
      <c r="MYG29" s="819"/>
      <c r="MYH29" s="819"/>
      <c r="MYI29" s="819"/>
      <c r="MYJ29" s="819"/>
      <c r="MYK29" s="819"/>
      <c r="MYL29" s="819"/>
      <c r="MYM29" s="819"/>
      <c r="MYN29" s="819"/>
      <c r="MYO29" s="819"/>
      <c r="MYP29" s="819"/>
      <c r="MYQ29" s="819"/>
      <c r="MYR29" s="819"/>
      <c r="MYS29" s="819"/>
      <c r="MYT29" s="819"/>
      <c r="MYU29" s="819"/>
      <c r="MYV29" s="819"/>
      <c r="MYW29" s="819"/>
      <c r="MYX29" s="819"/>
      <c r="MYY29" s="819"/>
      <c r="MYZ29" s="819"/>
      <c r="MZA29" s="819"/>
      <c r="MZB29" s="819"/>
      <c r="MZC29" s="819"/>
      <c r="MZD29" s="819"/>
      <c r="MZE29" s="819"/>
      <c r="MZF29" s="819"/>
      <c r="MZG29" s="819"/>
      <c r="MZH29" s="819"/>
      <c r="MZI29" s="819"/>
      <c r="MZJ29" s="819"/>
      <c r="MZK29" s="819"/>
      <c r="MZL29" s="819"/>
      <c r="MZM29" s="819"/>
      <c r="MZN29" s="819"/>
      <c r="MZO29" s="819"/>
      <c r="MZP29" s="819"/>
      <c r="MZQ29" s="819"/>
      <c r="MZR29" s="819"/>
      <c r="MZS29" s="819"/>
      <c r="MZT29" s="819"/>
      <c r="MZU29" s="819"/>
      <c r="MZV29" s="819"/>
      <c r="MZW29" s="819"/>
      <c r="MZX29" s="819"/>
      <c r="MZY29" s="819"/>
      <c r="MZZ29" s="819"/>
      <c r="NAA29" s="819"/>
      <c r="NAB29" s="819"/>
      <c r="NAC29" s="819"/>
      <c r="NAD29" s="819"/>
      <c r="NAE29" s="819"/>
      <c r="NAF29" s="819"/>
      <c r="NAG29" s="819"/>
      <c r="NAH29" s="819"/>
      <c r="NAI29" s="819"/>
      <c r="NAJ29" s="819"/>
      <c r="NAK29" s="819"/>
      <c r="NAL29" s="819"/>
      <c r="NAM29" s="819"/>
      <c r="NAN29" s="819"/>
      <c r="NAO29" s="819"/>
      <c r="NAP29" s="819"/>
      <c r="NAQ29" s="819"/>
      <c r="NAR29" s="819"/>
      <c r="NAS29" s="819"/>
      <c r="NAT29" s="819"/>
      <c r="NAU29" s="819"/>
      <c r="NAV29" s="819"/>
      <c r="NAW29" s="819"/>
      <c r="NAX29" s="819"/>
      <c r="NAY29" s="819"/>
      <c r="NAZ29" s="819"/>
      <c r="NBA29" s="819"/>
      <c r="NBB29" s="819"/>
      <c r="NBC29" s="819"/>
      <c r="NBD29" s="819"/>
      <c r="NBE29" s="819"/>
      <c r="NBF29" s="819"/>
      <c r="NBG29" s="819"/>
      <c r="NBH29" s="819"/>
      <c r="NBI29" s="819"/>
      <c r="NBJ29" s="819"/>
      <c r="NBK29" s="819"/>
      <c r="NBL29" s="819"/>
      <c r="NBM29" s="819"/>
      <c r="NBN29" s="819"/>
      <c r="NBO29" s="819"/>
      <c r="NBP29" s="819"/>
      <c r="NBQ29" s="819"/>
      <c r="NBR29" s="819"/>
      <c r="NBS29" s="819"/>
      <c r="NBT29" s="819"/>
      <c r="NBU29" s="819"/>
      <c r="NBV29" s="819"/>
      <c r="NBW29" s="819"/>
      <c r="NBX29" s="819"/>
      <c r="NBY29" s="819"/>
      <c r="NBZ29" s="819"/>
      <c r="NCA29" s="819"/>
      <c r="NCB29" s="819"/>
      <c r="NCC29" s="819"/>
      <c r="NCD29" s="819"/>
      <c r="NCE29" s="819"/>
      <c r="NCF29" s="819"/>
      <c r="NCG29" s="819"/>
      <c r="NCH29" s="819"/>
      <c r="NCI29" s="819"/>
      <c r="NCJ29" s="819"/>
      <c r="NCK29" s="819"/>
      <c r="NCL29" s="819"/>
      <c r="NCM29" s="819"/>
      <c r="NCN29" s="819"/>
      <c r="NCO29" s="819"/>
      <c r="NCP29" s="819"/>
      <c r="NCQ29" s="819"/>
      <c r="NCR29" s="819"/>
      <c r="NCS29" s="819"/>
      <c r="NCT29" s="819"/>
      <c r="NCU29" s="819"/>
      <c r="NCV29" s="819"/>
      <c r="NCW29" s="819"/>
      <c r="NCX29" s="819"/>
      <c r="NCY29" s="819"/>
      <c r="NCZ29" s="819"/>
      <c r="NDA29" s="819"/>
      <c r="NDB29" s="819"/>
      <c r="NDC29" s="819"/>
      <c r="NDD29" s="819"/>
      <c r="NDE29" s="819"/>
      <c r="NDF29" s="819"/>
      <c r="NDG29" s="819"/>
      <c r="NDH29" s="819"/>
      <c r="NDI29" s="819"/>
      <c r="NDJ29" s="819"/>
      <c r="NDK29" s="819"/>
      <c r="NDL29" s="819"/>
      <c r="NDM29" s="819"/>
      <c r="NDN29" s="819"/>
      <c r="NDO29" s="819"/>
      <c r="NDP29" s="819"/>
      <c r="NDQ29" s="819"/>
      <c r="NDR29" s="819"/>
      <c r="NDS29" s="819"/>
      <c r="NDT29" s="819"/>
      <c r="NDU29" s="819"/>
      <c r="NDV29" s="819"/>
      <c r="NDW29" s="819"/>
      <c r="NDX29" s="819"/>
      <c r="NDY29" s="819"/>
      <c r="NDZ29" s="819"/>
      <c r="NEA29" s="819"/>
      <c r="NEB29" s="819"/>
      <c r="NEC29" s="819"/>
      <c r="NED29" s="819"/>
      <c r="NEE29" s="819"/>
      <c r="NEF29" s="819"/>
      <c r="NEG29" s="819"/>
      <c r="NEH29" s="819"/>
      <c r="NEI29" s="819"/>
      <c r="NEJ29" s="819"/>
      <c r="NEK29" s="819"/>
      <c r="NEL29" s="819"/>
      <c r="NEM29" s="819"/>
      <c r="NEN29" s="819"/>
      <c r="NEO29" s="819"/>
      <c r="NEP29" s="819"/>
      <c r="NEQ29" s="819"/>
      <c r="NER29" s="819"/>
      <c r="NES29" s="819"/>
      <c r="NET29" s="819"/>
      <c r="NEU29" s="819"/>
      <c r="NEV29" s="819"/>
      <c r="NEW29" s="819"/>
      <c r="NEX29" s="819"/>
      <c r="NEY29" s="819"/>
      <c r="NEZ29" s="819"/>
      <c r="NFA29" s="819"/>
      <c r="NFB29" s="819"/>
      <c r="NFC29" s="819"/>
      <c r="NFD29" s="819"/>
      <c r="NFE29" s="819"/>
      <c r="NFF29" s="819"/>
      <c r="NFG29" s="819"/>
      <c r="NFH29" s="819"/>
      <c r="NFI29" s="819"/>
      <c r="NFJ29" s="819"/>
      <c r="NFK29" s="819"/>
      <c r="NFL29" s="819"/>
      <c r="NFM29" s="819"/>
      <c r="NFN29" s="819"/>
      <c r="NFO29" s="819"/>
      <c r="NFP29" s="819"/>
      <c r="NFQ29" s="819"/>
      <c r="NFR29" s="819"/>
      <c r="NFS29" s="819"/>
      <c r="NFT29" s="819"/>
      <c r="NFU29" s="819"/>
      <c r="NFV29" s="819"/>
      <c r="NFW29" s="819"/>
      <c r="NFX29" s="819"/>
      <c r="NFY29" s="819"/>
      <c r="NFZ29" s="819"/>
      <c r="NGA29" s="819"/>
      <c r="NGB29" s="819"/>
      <c r="NGC29" s="819"/>
      <c r="NGD29" s="819"/>
      <c r="NGE29" s="819"/>
      <c r="NGF29" s="819"/>
      <c r="NGG29" s="819"/>
      <c r="NGH29" s="819"/>
      <c r="NGI29" s="819"/>
      <c r="NGJ29" s="819"/>
      <c r="NGK29" s="819"/>
      <c r="NGL29" s="819"/>
      <c r="NGM29" s="819"/>
      <c r="NGN29" s="819"/>
      <c r="NGO29" s="819"/>
      <c r="NGP29" s="819"/>
      <c r="NGQ29" s="819"/>
      <c r="NGR29" s="819"/>
      <c r="NGS29" s="819"/>
      <c r="NGT29" s="819"/>
      <c r="NGU29" s="819"/>
      <c r="NGV29" s="819"/>
      <c r="NGW29" s="819"/>
      <c r="NGX29" s="819"/>
      <c r="NGY29" s="819"/>
      <c r="NGZ29" s="819"/>
      <c r="NHA29" s="819"/>
      <c r="NHB29" s="819"/>
      <c r="NHC29" s="819"/>
      <c r="NHD29" s="819"/>
      <c r="NHE29" s="819"/>
      <c r="NHF29" s="819"/>
      <c r="NHG29" s="819"/>
      <c r="NHH29" s="819"/>
      <c r="NHI29" s="819"/>
      <c r="NHJ29" s="819"/>
      <c r="NHK29" s="819"/>
      <c r="NHL29" s="819"/>
      <c r="NHM29" s="819"/>
      <c r="NHN29" s="819"/>
      <c r="NHO29" s="819"/>
      <c r="NHP29" s="819"/>
      <c r="NHQ29" s="819"/>
      <c r="NHR29" s="819"/>
      <c r="NHS29" s="819"/>
      <c r="NHT29" s="819"/>
      <c r="NHU29" s="819"/>
      <c r="NHV29" s="819"/>
      <c r="NHW29" s="819"/>
      <c r="NHX29" s="819"/>
      <c r="NHY29" s="819"/>
      <c r="NHZ29" s="819"/>
      <c r="NIA29" s="819"/>
      <c r="NIB29" s="819"/>
      <c r="NIC29" s="819"/>
      <c r="NID29" s="819"/>
      <c r="NIE29" s="819"/>
      <c r="NIF29" s="819"/>
      <c r="NIG29" s="819"/>
      <c r="NIH29" s="819"/>
      <c r="NII29" s="819"/>
      <c r="NIJ29" s="819"/>
      <c r="NIK29" s="819"/>
      <c r="NIL29" s="819"/>
      <c r="NIM29" s="819"/>
      <c r="NIN29" s="819"/>
      <c r="NIO29" s="819"/>
      <c r="NIP29" s="819"/>
      <c r="NIQ29" s="819"/>
      <c r="NIR29" s="819"/>
      <c r="NIS29" s="819"/>
      <c r="NIT29" s="819"/>
      <c r="NIU29" s="819"/>
      <c r="NIV29" s="819"/>
      <c r="NIW29" s="819"/>
      <c r="NIX29" s="819"/>
      <c r="NIY29" s="819"/>
      <c r="NIZ29" s="819"/>
      <c r="NJA29" s="819"/>
      <c r="NJB29" s="819"/>
      <c r="NJC29" s="819"/>
      <c r="NJD29" s="819"/>
      <c r="NJE29" s="819"/>
      <c r="NJF29" s="819"/>
      <c r="NJG29" s="819"/>
      <c r="NJH29" s="819"/>
      <c r="NJI29" s="819"/>
      <c r="NJJ29" s="819"/>
      <c r="NJK29" s="819"/>
      <c r="NJL29" s="819"/>
      <c r="NJM29" s="819"/>
      <c r="NJN29" s="819"/>
      <c r="NJO29" s="819"/>
      <c r="NJP29" s="819"/>
      <c r="NJQ29" s="819"/>
      <c r="NJR29" s="819"/>
      <c r="NJS29" s="819"/>
      <c r="NJT29" s="819"/>
      <c r="NJU29" s="819"/>
      <c r="NJV29" s="819"/>
      <c r="NJW29" s="819"/>
      <c r="NJX29" s="819"/>
      <c r="NJY29" s="819"/>
      <c r="NJZ29" s="819"/>
      <c r="NKA29" s="819"/>
      <c r="NKB29" s="819"/>
      <c r="NKC29" s="819"/>
      <c r="NKD29" s="819"/>
      <c r="NKE29" s="819"/>
      <c r="NKF29" s="819"/>
      <c r="NKG29" s="819"/>
      <c r="NKH29" s="819"/>
      <c r="NKI29" s="819"/>
      <c r="NKJ29" s="819"/>
      <c r="NKK29" s="819"/>
      <c r="NKL29" s="819"/>
      <c r="NKM29" s="819"/>
      <c r="NKN29" s="819"/>
      <c r="NKO29" s="819"/>
      <c r="NKP29" s="819"/>
      <c r="NKQ29" s="819"/>
      <c r="NKR29" s="819"/>
      <c r="NKS29" s="819"/>
      <c r="NKT29" s="819"/>
      <c r="NKU29" s="819"/>
      <c r="NKV29" s="819"/>
      <c r="NKW29" s="819"/>
      <c r="NKX29" s="819"/>
      <c r="NKY29" s="819"/>
      <c r="NKZ29" s="819"/>
      <c r="NLA29" s="819"/>
      <c r="NLB29" s="819"/>
      <c r="NLC29" s="819"/>
      <c r="NLD29" s="819"/>
      <c r="NLE29" s="819"/>
      <c r="NLF29" s="819"/>
      <c r="NLG29" s="819"/>
      <c r="NLH29" s="819"/>
      <c r="NLI29" s="819"/>
      <c r="NLJ29" s="819"/>
      <c r="NLK29" s="819"/>
      <c r="NLL29" s="819"/>
      <c r="NLM29" s="819"/>
      <c r="NLN29" s="819"/>
      <c r="NLO29" s="819"/>
      <c r="NLP29" s="819"/>
      <c r="NLQ29" s="819"/>
      <c r="NLR29" s="819"/>
      <c r="NLS29" s="819"/>
      <c r="NLT29" s="819"/>
      <c r="NLU29" s="819"/>
      <c r="NLV29" s="819"/>
      <c r="NLW29" s="819"/>
      <c r="NLX29" s="819"/>
      <c r="NLY29" s="819"/>
      <c r="NLZ29" s="819"/>
      <c r="NMA29" s="819"/>
      <c r="NMB29" s="819"/>
      <c r="NMC29" s="819"/>
      <c r="NMD29" s="819"/>
      <c r="NME29" s="819"/>
      <c r="NMF29" s="819"/>
      <c r="NMG29" s="819"/>
      <c r="NMH29" s="819"/>
      <c r="NMI29" s="819"/>
      <c r="NMJ29" s="819"/>
      <c r="NMK29" s="819"/>
      <c r="NML29" s="819"/>
      <c r="NMM29" s="819"/>
      <c r="NMN29" s="819"/>
      <c r="NMO29" s="819"/>
      <c r="NMP29" s="819"/>
      <c r="NMQ29" s="819"/>
      <c r="NMR29" s="819"/>
      <c r="NMS29" s="819"/>
      <c r="NMT29" s="819"/>
      <c r="NMU29" s="819"/>
      <c r="NMV29" s="819"/>
      <c r="NMW29" s="819"/>
      <c r="NMX29" s="819"/>
      <c r="NMY29" s="819"/>
      <c r="NMZ29" s="819"/>
      <c r="NNA29" s="819"/>
      <c r="NNB29" s="819"/>
      <c r="NNC29" s="819"/>
      <c r="NND29" s="819"/>
      <c r="NNE29" s="819"/>
      <c r="NNF29" s="819"/>
      <c r="NNG29" s="819"/>
      <c r="NNH29" s="819"/>
      <c r="NNI29" s="819"/>
      <c r="NNJ29" s="819"/>
      <c r="NNK29" s="819"/>
      <c r="NNL29" s="819"/>
      <c r="NNM29" s="819"/>
      <c r="NNN29" s="819"/>
      <c r="NNO29" s="819"/>
      <c r="NNP29" s="819"/>
      <c r="NNQ29" s="819"/>
      <c r="NNR29" s="819"/>
      <c r="NNS29" s="819"/>
      <c r="NNT29" s="819"/>
      <c r="NNU29" s="819"/>
      <c r="NNV29" s="819"/>
      <c r="NNW29" s="819"/>
      <c r="NNX29" s="819"/>
      <c r="NNY29" s="819"/>
      <c r="NNZ29" s="819"/>
      <c r="NOA29" s="819"/>
      <c r="NOB29" s="819"/>
      <c r="NOC29" s="819"/>
      <c r="NOD29" s="819"/>
      <c r="NOE29" s="819"/>
      <c r="NOF29" s="819"/>
      <c r="NOG29" s="819"/>
      <c r="NOH29" s="819"/>
      <c r="NOI29" s="819"/>
      <c r="NOJ29" s="819"/>
      <c r="NOK29" s="819"/>
      <c r="NOL29" s="819"/>
      <c r="NOM29" s="819"/>
      <c r="NON29" s="819"/>
      <c r="NOO29" s="819"/>
      <c r="NOP29" s="819"/>
      <c r="NOQ29" s="819"/>
      <c r="NOR29" s="819"/>
      <c r="NOS29" s="819"/>
      <c r="NOT29" s="819"/>
      <c r="NOU29" s="819"/>
      <c r="NOV29" s="819"/>
      <c r="NOW29" s="819"/>
      <c r="NOX29" s="819"/>
      <c r="NOY29" s="819"/>
      <c r="NOZ29" s="819"/>
      <c r="NPA29" s="819"/>
      <c r="NPB29" s="819"/>
      <c r="NPC29" s="819"/>
      <c r="NPD29" s="819"/>
      <c r="NPE29" s="819"/>
      <c r="NPF29" s="819"/>
      <c r="NPG29" s="819"/>
      <c r="NPH29" s="819"/>
      <c r="NPI29" s="819"/>
      <c r="NPJ29" s="819"/>
      <c r="NPK29" s="819"/>
      <c r="NPL29" s="819"/>
      <c r="NPM29" s="819"/>
      <c r="NPN29" s="819"/>
      <c r="NPO29" s="819"/>
      <c r="NPP29" s="819"/>
      <c r="NPQ29" s="819"/>
      <c r="NPR29" s="819"/>
      <c r="NPS29" s="819"/>
      <c r="NPT29" s="819"/>
      <c r="NPU29" s="819"/>
      <c r="NPV29" s="819"/>
      <c r="NPW29" s="819"/>
      <c r="NPX29" s="819"/>
      <c r="NPY29" s="819"/>
      <c r="NPZ29" s="819"/>
      <c r="NQA29" s="819"/>
      <c r="NQB29" s="819"/>
      <c r="NQC29" s="819"/>
      <c r="NQD29" s="819"/>
      <c r="NQE29" s="819"/>
      <c r="NQF29" s="819"/>
      <c r="NQG29" s="819"/>
      <c r="NQH29" s="819"/>
      <c r="NQI29" s="819"/>
      <c r="NQJ29" s="819"/>
      <c r="NQK29" s="819"/>
      <c r="NQL29" s="819"/>
      <c r="NQM29" s="819"/>
      <c r="NQN29" s="819"/>
      <c r="NQO29" s="819"/>
      <c r="NQP29" s="819"/>
      <c r="NQQ29" s="819"/>
      <c r="NQR29" s="819"/>
      <c r="NQS29" s="819"/>
      <c r="NQT29" s="819"/>
      <c r="NQU29" s="819"/>
      <c r="NQV29" s="819"/>
      <c r="NQW29" s="819"/>
      <c r="NQX29" s="819"/>
      <c r="NQY29" s="819"/>
      <c r="NQZ29" s="819"/>
      <c r="NRA29" s="819"/>
      <c r="NRB29" s="819"/>
      <c r="NRC29" s="819"/>
      <c r="NRD29" s="819"/>
      <c r="NRE29" s="819"/>
      <c r="NRF29" s="819"/>
      <c r="NRG29" s="819"/>
      <c r="NRH29" s="819"/>
      <c r="NRI29" s="819"/>
      <c r="NRJ29" s="819"/>
      <c r="NRK29" s="819"/>
      <c r="NRL29" s="819"/>
      <c r="NRM29" s="819"/>
      <c r="NRN29" s="819"/>
      <c r="NRO29" s="819"/>
      <c r="NRP29" s="819"/>
      <c r="NRQ29" s="819"/>
      <c r="NRR29" s="819"/>
      <c r="NRS29" s="819"/>
      <c r="NRT29" s="819"/>
      <c r="NRU29" s="819"/>
      <c r="NRV29" s="819"/>
      <c r="NRW29" s="819"/>
      <c r="NRX29" s="819"/>
      <c r="NRY29" s="819"/>
      <c r="NRZ29" s="819"/>
      <c r="NSA29" s="819"/>
      <c r="NSB29" s="819"/>
      <c r="NSC29" s="819"/>
      <c r="NSD29" s="819"/>
      <c r="NSE29" s="819"/>
      <c r="NSF29" s="819"/>
      <c r="NSG29" s="819"/>
      <c r="NSH29" s="819"/>
      <c r="NSI29" s="819"/>
      <c r="NSJ29" s="819"/>
      <c r="NSK29" s="819"/>
      <c r="NSL29" s="819"/>
      <c r="NSM29" s="819"/>
      <c r="NSN29" s="819"/>
      <c r="NSO29" s="819"/>
      <c r="NSP29" s="819"/>
      <c r="NSQ29" s="819"/>
      <c r="NSR29" s="819"/>
      <c r="NSS29" s="819"/>
      <c r="NST29" s="819"/>
      <c r="NSU29" s="819"/>
      <c r="NSV29" s="819"/>
      <c r="NSW29" s="819"/>
      <c r="NSX29" s="819"/>
      <c r="NSY29" s="819"/>
      <c r="NSZ29" s="819"/>
      <c r="NTA29" s="819"/>
      <c r="NTB29" s="819"/>
      <c r="NTC29" s="819"/>
      <c r="NTD29" s="819"/>
      <c r="NTE29" s="819"/>
      <c r="NTF29" s="819"/>
      <c r="NTG29" s="819"/>
      <c r="NTH29" s="819"/>
      <c r="NTI29" s="819"/>
      <c r="NTJ29" s="819"/>
      <c r="NTK29" s="819"/>
      <c r="NTL29" s="819"/>
      <c r="NTM29" s="819"/>
      <c r="NTN29" s="819"/>
      <c r="NTO29" s="819"/>
      <c r="NTP29" s="819"/>
      <c r="NTQ29" s="819"/>
      <c r="NTR29" s="819"/>
      <c r="NTS29" s="819"/>
      <c r="NTT29" s="819"/>
      <c r="NTU29" s="819"/>
      <c r="NTV29" s="819"/>
      <c r="NTW29" s="819"/>
      <c r="NTX29" s="819"/>
      <c r="NTY29" s="819"/>
      <c r="NTZ29" s="819"/>
      <c r="NUA29" s="819"/>
      <c r="NUB29" s="819"/>
      <c r="NUC29" s="819"/>
      <c r="NUD29" s="819"/>
      <c r="NUE29" s="819"/>
      <c r="NUF29" s="819"/>
      <c r="NUG29" s="819"/>
      <c r="NUH29" s="819"/>
      <c r="NUI29" s="819"/>
      <c r="NUJ29" s="819"/>
      <c r="NUK29" s="819"/>
      <c r="NUL29" s="819"/>
      <c r="NUM29" s="819"/>
      <c r="NUN29" s="819"/>
      <c r="NUO29" s="819"/>
      <c r="NUP29" s="819"/>
      <c r="NUQ29" s="819"/>
      <c r="NUR29" s="819"/>
      <c r="NUS29" s="819"/>
      <c r="NUT29" s="819"/>
      <c r="NUU29" s="819"/>
      <c r="NUV29" s="819"/>
      <c r="NUW29" s="819"/>
      <c r="NUX29" s="819"/>
      <c r="NUY29" s="819"/>
      <c r="NUZ29" s="819"/>
      <c r="NVA29" s="819"/>
      <c r="NVB29" s="819"/>
      <c r="NVC29" s="819"/>
      <c r="NVD29" s="819"/>
      <c r="NVE29" s="819"/>
      <c r="NVF29" s="819"/>
      <c r="NVG29" s="819"/>
      <c r="NVH29" s="819"/>
      <c r="NVI29" s="819"/>
      <c r="NVJ29" s="819"/>
      <c r="NVK29" s="819"/>
      <c r="NVL29" s="819"/>
      <c r="NVM29" s="819"/>
      <c r="NVN29" s="819"/>
      <c r="NVO29" s="819"/>
      <c r="NVP29" s="819"/>
      <c r="NVQ29" s="819"/>
      <c r="NVR29" s="819"/>
      <c r="NVS29" s="819"/>
      <c r="NVT29" s="819"/>
      <c r="NVU29" s="819"/>
      <c r="NVV29" s="819"/>
      <c r="NVW29" s="819"/>
      <c r="NVX29" s="819"/>
      <c r="NVY29" s="819"/>
      <c r="NVZ29" s="819"/>
      <c r="NWA29" s="819"/>
      <c r="NWB29" s="819"/>
      <c r="NWC29" s="819"/>
      <c r="NWD29" s="819"/>
      <c r="NWE29" s="819"/>
      <c r="NWF29" s="819"/>
      <c r="NWG29" s="819"/>
      <c r="NWH29" s="819"/>
      <c r="NWI29" s="819"/>
      <c r="NWJ29" s="819"/>
      <c r="NWK29" s="819"/>
      <c r="NWL29" s="819"/>
      <c r="NWM29" s="819"/>
      <c r="NWN29" s="819"/>
      <c r="NWO29" s="819"/>
      <c r="NWP29" s="819"/>
      <c r="NWQ29" s="819"/>
      <c r="NWR29" s="819"/>
      <c r="NWS29" s="819"/>
      <c r="NWT29" s="819"/>
      <c r="NWU29" s="819"/>
      <c r="NWV29" s="819"/>
      <c r="NWW29" s="819"/>
      <c r="NWX29" s="819"/>
      <c r="NWY29" s="819"/>
      <c r="NWZ29" s="819"/>
      <c r="NXA29" s="819"/>
      <c r="NXB29" s="819"/>
      <c r="NXC29" s="819"/>
      <c r="NXD29" s="819"/>
      <c r="NXE29" s="819"/>
      <c r="NXF29" s="819"/>
      <c r="NXG29" s="819"/>
      <c r="NXH29" s="819"/>
      <c r="NXI29" s="819"/>
      <c r="NXJ29" s="819"/>
      <c r="NXK29" s="819"/>
      <c r="NXL29" s="819"/>
      <c r="NXM29" s="819"/>
      <c r="NXN29" s="819"/>
      <c r="NXO29" s="819"/>
      <c r="NXP29" s="819"/>
      <c r="NXQ29" s="819"/>
      <c r="NXR29" s="819"/>
      <c r="NXS29" s="819"/>
      <c r="NXT29" s="819"/>
      <c r="NXU29" s="819"/>
      <c r="NXV29" s="819"/>
      <c r="NXW29" s="819"/>
      <c r="NXX29" s="819"/>
      <c r="NXY29" s="819"/>
      <c r="NXZ29" s="819"/>
      <c r="NYA29" s="819"/>
      <c r="NYB29" s="819"/>
      <c r="NYC29" s="819"/>
      <c r="NYD29" s="819"/>
      <c r="NYE29" s="819"/>
      <c r="NYF29" s="819"/>
      <c r="NYG29" s="819"/>
      <c r="NYH29" s="819"/>
      <c r="NYI29" s="819"/>
      <c r="NYJ29" s="819"/>
      <c r="NYK29" s="819"/>
      <c r="NYL29" s="819"/>
      <c r="NYM29" s="819"/>
      <c r="NYN29" s="819"/>
      <c r="NYO29" s="819"/>
      <c r="NYP29" s="819"/>
      <c r="NYQ29" s="819"/>
      <c r="NYR29" s="819"/>
      <c r="NYS29" s="819"/>
      <c r="NYT29" s="819"/>
      <c r="NYU29" s="819"/>
      <c r="NYV29" s="819"/>
      <c r="NYW29" s="819"/>
      <c r="NYX29" s="819"/>
      <c r="NYY29" s="819"/>
      <c r="NYZ29" s="819"/>
      <c r="NZA29" s="819"/>
      <c r="NZB29" s="819"/>
      <c r="NZC29" s="819"/>
      <c r="NZD29" s="819"/>
      <c r="NZE29" s="819"/>
      <c r="NZF29" s="819"/>
      <c r="NZG29" s="819"/>
      <c r="NZH29" s="819"/>
      <c r="NZI29" s="819"/>
      <c r="NZJ29" s="819"/>
      <c r="NZK29" s="819"/>
      <c r="NZL29" s="819"/>
      <c r="NZM29" s="819"/>
      <c r="NZN29" s="819"/>
      <c r="NZO29" s="819"/>
      <c r="NZP29" s="819"/>
      <c r="NZQ29" s="819"/>
      <c r="NZR29" s="819"/>
      <c r="NZS29" s="819"/>
      <c r="NZT29" s="819"/>
      <c r="NZU29" s="819"/>
      <c r="NZV29" s="819"/>
      <c r="NZW29" s="819"/>
      <c r="NZX29" s="819"/>
      <c r="NZY29" s="819"/>
      <c r="NZZ29" s="819"/>
      <c r="OAA29" s="819"/>
      <c r="OAB29" s="819"/>
      <c r="OAC29" s="819"/>
      <c r="OAD29" s="819"/>
      <c r="OAE29" s="819"/>
      <c r="OAF29" s="819"/>
      <c r="OAG29" s="819"/>
      <c r="OAH29" s="819"/>
      <c r="OAI29" s="819"/>
      <c r="OAJ29" s="819"/>
      <c r="OAK29" s="819"/>
      <c r="OAL29" s="819"/>
      <c r="OAM29" s="819"/>
      <c r="OAN29" s="819"/>
      <c r="OAO29" s="819"/>
      <c r="OAP29" s="819"/>
      <c r="OAQ29" s="819"/>
      <c r="OAR29" s="819"/>
      <c r="OAS29" s="819"/>
      <c r="OAT29" s="819"/>
      <c r="OAU29" s="819"/>
      <c r="OAV29" s="819"/>
      <c r="OAW29" s="819"/>
      <c r="OAX29" s="819"/>
      <c r="OAY29" s="819"/>
      <c r="OAZ29" s="819"/>
      <c r="OBA29" s="819"/>
      <c r="OBB29" s="819"/>
      <c r="OBC29" s="819"/>
      <c r="OBD29" s="819"/>
      <c r="OBE29" s="819"/>
      <c r="OBF29" s="819"/>
      <c r="OBG29" s="819"/>
      <c r="OBH29" s="819"/>
      <c r="OBI29" s="819"/>
      <c r="OBJ29" s="819"/>
      <c r="OBK29" s="819"/>
      <c r="OBL29" s="819"/>
      <c r="OBM29" s="819"/>
      <c r="OBN29" s="819"/>
      <c r="OBO29" s="819"/>
      <c r="OBP29" s="819"/>
      <c r="OBQ29" s="819"/>
      <c r="OBR29" s="819"/>
      <c r="OBS29" s="819"/>
      <c r="OBT29" s="819"/>
      <c r="OBU29" s="819"/>
      <c r="OBV29" s="819"/>
      <c r="OBW29" s="819"/>
      <c r="OBX29" s="819"/>
      <c r="OBY29" s="819"/>
      <c r="OBZ29" s="819"/>
      <c r="OCA29" s="819"/>
      <c r="OCB29" s="819"/>
      <c r="OCC29" s="819"/>
      <c r="OCD29" s="819"/>
      <c r="OCE29" s="819"/>
      <c r="OCF29" s="819"/>
      <c r="OCG29" s="819"/>
      <c r="OCH29" s="819"/>
      <c r="OCI29" s="819"/>
      <c r="OCJ29" s="819"/>
      <c r="OCK29" s="819"/>
      <c r="OCL29" s="819"/>
      <c r="OCM29" s="819"/>
      <c r="OCN29" s="819"/>
      <c r="OCO29" s="819"/>
      <c r="OCP29" s="819"/>
      <c r="OCQ29" s="819"/>
      <c r="OCR29" s="819"/>
      <c r="OCS29" s="819"/>
      <c r="OCT29" s="819"/>
      <c r="OCU29" s="819"/>
      <c r="OCV29" s="819"/>
      <c r="OCW29" s="819"/>
      <c r="OCX29" s="819"/>
      <c r="OCY29" s="819"/>
      <c r="OCZ29" s="819"/>
      <c r="ODA29" s="819"/>
      <c r="ODB29" s="819"/>
      <c r="ODC29" s="819"/>
      <c r="ODD29" s="819"/>
      <c r="ODE29" s="819"/>
      <c r="ODF29" s="819"/>
      <c r="ODG29" s="819"/>
      <c r="ODH29" s="819"/>
      <c r="ODI29" s="819"/>
      <c r="ODJ29" s="819"/>
      <c r="ODK29" s="819"/>
      <c r="ODL29" s="819"/>
      <c r="ODM29" s="819"/>
      <c r="ODN29" s="819"/>
      <c r="ODO29" s="819"/>
      <c r="ODP29" s="819"/>
      <c r="ODQ29" s="819"/>
      <c r="ODR29" s="819"/>
      <c r="ODS29" s="819"/>
      <c r="ODT29" s="819"/>
      <c r="ODU29" s="819"/>
      <c r="ODV29" s="819"/>
      <c r="ODW29" s="819"/>
      <c r="ODX29" s="819"/>
      <c r="ODY29" s="819"/>
      <c r="ODZ29" s="819"/>
      <c r="OEA29" s="819"/>
      <c r="OEB29" s="819"/>
      <c r="OEC29" s="819"/>
      <c r="OED29" s="819"/>
      <c r="OEE29" s="819"/>
      <c r="OEF29" s="819"/>
      <c r="OEG29" s="819"/>
      <c r="OEH29" s="819"/>
      <c r="OEI29" s="819"/>
      <c r="OEJ29" s="819"/>
      <c r="OEK29" s="819"/>
      <c r="OEL29" s="819"/>
      <c r="OEM29" s="819"/>
      <c r="OEN29" s="819"/>
      <c r="OEO29" s="819"/>
      <c r="OEP29" s="819"/>
      <c r="OEQ29" s="819"/>
      <c r="OER29" s="819"/>
      <c r="OES29" s="819"/>
      <c r="OET29" s="819"/>
      <c r="OEU29" s="819"/>
      <c r="OEV29" s="819"/>
      <c r="OEW29" s="819"/>
      <c r="OEX29" s="819"/>
      <c r="OEY29" s="819"/>
      <c r="OEZ29" s="819"/>
      <c r="OFA29" s="819"/>
      <c r="OFB29" s="819"/>
      <c r="OFC29" s="819"/>
      <c r="OFD29" s="819"/>
      <c r="OFE29" s="819"/>
      <c r="OFF29" s="819"/>
      <c r="OFG29" s="819"/>
      <c r="OFH29" s="819"/>
      <c r="OFI29" s="819"/>
      <c r="OFJ29" s="819"/>
      <c r="OFK29" s="819"/>
      <c r="OFL29" s="819"/>
      <c r="OFM29" s="819"/>
      <c r="OFN29" s="819"/>
      <c r="OFO29" s="819"/>
      <c r="OFP29" s="819"/>
      <c r="OFQ29" s="819"/>
      <c r="OFR29" s="819"/>
      <c r="OFS29" s="819"/>
      <c r="OFT29" s="819"/>
      <c r="OFU29" s="819"/>
      <c r="OFV29" s="819"/>
      <c r="OFW29" s="819"/>
      <c r="OFX29" s="819"/>
      <c r="OFY29" s="819"/>
      <c r="OFZ29" s="819"/>
      <c r="OGA29" s="819"/>
      <c r="OGB29" s="819"/>
      <c r="OGC29" s="819"/>
      <c r="OGD29" s="819"/>
      <c r="OGE29" s="819"/>
      <c r="OGF29" s="819"/>
      <c r="OGG29" s="819"/>
      <c r="OGH29" s="819"/>
      <c r="OGI29" s="819"/>
      <c r="OGJ29" s="819"/>
      <c r="OGK29" s="819"/>
      <c r="OGL29" s="819"/>
      <c r="OGM29" s="819"/>
      <c r="OGN29" s="819"/>
      <c r="OGO29" s="819"/>
      <c r="OGP29" s="819"/>
      <c r="OGQ29" s="819"/>
      <c r="OGR29" s="819"/>
      <c r="OGS29" s="819"/>
      <c r="OGT29" s="819"/>
      <c r="OGU29" s="819"/>
      <c r="OGV29" s="819"/>
      <c r="OGW29" s="819"/>
      <c r="OGX29" s="819"/>
      <c r="OGY29" s="819"/>
      <c r="OGZ29" s="819"/>
      <c r="OHA29" s="819"/>
      <c r="OHB29" s="819"/>
      <c r="OHC29" s="819"/>
      <c r="OHD29" s="819"/>
      <c r="OHE29" s="819"/>
      <c r="OHF29" s="819"/>
      <c r="OHG29" s="819"/>
      <c r="OHH29" s="819"/>
      <c r="OHI29" s="819"/>
      <c r="OHJ29" s="819"/>
      <c r="OHK29" s="819"/>
      <c r="OHL29" s="819"/>
      <c r="OHM29" s="819"/>
      <c r="OHN29" s="819"/>
      <c r="OHO29" s="819"/>
      <c r="OHP29" s="819"/>
      <c r="OHQ29" s="819"/>
      <c r="OHR29" s="819"/>
      <c r="OHS29" s="819"/>
      <c r="OHT29" s="819"/>
      <c r="OHU29" s="819"/>
      <c r="OHV29" s="819"/>
      <c r="OHW29" s="819"/>
      <c r="OHX29" s="819"/>
      <c r="OHY29" s="819"/>
      <c r="OHZ29" s="819"/>
      <c r="OIA29" s="819"/>
      <c r="OIB29" s="819"/>
      <c r="OIC29" s="819"/>
      <c r="OID29" s="819"/>
      <c r="OIE29" s="819"/>
      <c r="OIF29" s="819"/>
      <c r="OIG29" s="819"/>
      <c r="OIH29" s="819"/>
      <c r="OII29" s="819"/>
      <c r="OIJ29" s="819"/>
      <c r="OIK29" s="819"/>
      <c r="OIL29" s="819"/>
      <c r="OIM29" s="819"/>
      <c r="OIN29" s="819"/>
      <c r="OIO29" s="819"/>
      <c r="OIP29" s="819"/>
      <c r="OIQ29" s="819"/>
      <c r="OIR29" s="819"/>
      <c r="OIS29" s="819"/>
      <c r="OIT29" s="819"/>
      <c r="OIU29" s="819"/>
      <c r="OIV29" s="819"/>
      <c r="OIW29" s="819"/>
      <c r="OIX29" s="819"/>
      <c r="OIY29" s="819"/>
      <c r="OIZ29" s="819"/>
      <c r="OJA29" s="819"/>
      <c r="OJB29" s="819"/>
      <c r="OJC29" s="819"/>
      <c r="OJD29" s="819"/>
      <c r="OJE29" s="819"/>
      <c r="OJF29" s="819"/>
      <c r="OJG29" s="819"/>
      <c r="OJH29" s="819"/>
      <c r="OJI29" s="819"/>
      <c r="OJJ29" s="819"/>
      <c r="OJK29" s="819"/>
      <c r="OJL29" s="819"/>
      <c r="OJM29" s="819"/>
      <c r="OJN29" s="819"/>
      <c r="OJO29" s="819"/>
      <c r="OJP29" s="819"/>
      <c r="OJQ29" s="819"/>
      <c r="OJR29" s="819"/>
      <c r="OJS29" s="819"/>
      <c r="OJT29" s="819"/>
      <c r="OJU29" s="819"/>
      <c r="OJV29" s="819"/>
      <c r="OJW29" s="819"/>
      <c r="OJX29" s="819"/>
      <c r="OJY29" s="819"/>
      <c r="OJZ29" s="819"/>
      <c r="OKA29" s="819"/>
      <c r="OKB29" s="819"/>
      <c r="OKC29" s="819"/>
      <c r="OKD29" s="819"/>
      <c r="OKE29" s="819"/>
      <c r="OKF29" s="819"/>
      <c r="OKG29" s="819"/>
      <c r="OKH29" s="819"/>
      <c r="OKI29" s="819"/>
      <c r="OKJ29" s="819"/>
      <c r="OKK29" s="819"/>
      <c r="OKL29" s="819"/>
      <c r="OKM29" s="819"/>
      <c r="OKN29" s="819"/>
      <c r="OKO29" s="819"/>
      <c r="OKP29" s="819"/>
      <c r="OKQ29" s="819"/>
      <c r="OKR29" s="819"/>
      <c r="OKS29" s="819"/>
      <c r="OKT29" s="819"/>
      <c r="OKU29" s="819"/>
      <c r="OKV29" s="819"/>
      <c r="OKW29" s="819"/>
      <c r="OKX29" s="819"/>
      <c r="OKY29" s="819"/>
      <c r="OKZ29" s="819"/>
      <c r="OLA29" s="819"/>
      <c r="OLB29" s="819"/>
      <c r="OLC29" s="819"/>
      <c r="OLD29" s="819"/>
      <c r="OLE29" s="819"/>
      <c r="OLF29" s="819"/>
      <c r="OLG29" s="819"/>
      <c r="OLH29" s="819"/>
      <c r="OLI29" s="819"/>
      <c r="OLJ29" s="819"/>
      <c r="OLK29" s="819"/>
      <c r="OLL29" s="819"/>
      <c r="OLM29" s="819"/>
      <c r="OLN29" s="819"/>
      <c r="OLO29" s="819"/>
      <c r="OLP29" s="819"/>
      <c r="OLQ29" s="819"/>
      <c r="OLR29" s="819"/>
      <c r="OLS29" s="819"/>
      <c r="OLT29" s="819"/>
      <c r="OLU29" s="819"/>
      <c r="OLV29" s="819"/>
      <c r="OLW29" s="819"/>
      <c r="OLX29" s="819"/>
      <c r="OLY29" s="819"/>
      <c r="OLZ29" s="819"/>
      <c r="OMA29" s="819"/>
      <c r="OMB29" s="819"/>
      <c r="OMC29" s="819"/>
      <c r="OMD29" s="819"/>
      <c r="OME29" s="819"/>
      <c r="OMF29" s="819"/>
      <c r="OMG29" s="819"/>
      <c r="OMH29" s="819"/>
      <c r="OMI29" s="819"/>
      <c r="OMJ29" s="819"/>
      <c r="OMK29" s="819"/>
      <c r="OML29" s="819"/>
      <c r="OMM29" s="819"/>
      <c r="OMN29" s="819"/>
      <c r="OMO29" s="819"/>
      <c r="OMP29" s="819"/>
      <c r="OMQ29" s="819"/>
      <c r="OMR29" s="819"/>
      <c r="OMS29" s="819"/>
      <c r="OMT29" s="819"/>
      <c r="OMU29" s="819"/>
      <c r="OMV29" s="819"/>
      <c r="OMW29" s="819"/>
      <c r="OMX29" s="819"/>
      <c r="OMY29" s="819"/>
      <c r="OMZ29" s="819"/>
      <c r="ONA29" s="819"/>
      <c r="ONB29" s="819"/>
      <c r="ONC29" s="819"/>
      <c r="OND29" s="819"/>
      <c r="ONE29" s="819"/>
      <c r="ONF29" s="819"/>
      <c r="ONG29" s="819"/>
      <c r="ONH29" s="819"/>
      <c r="ONI29" s="819"/>
      <c r="ONJ29" s="819"/>
      <c r="ONK29" s="819"/>
      <c r="ONL29" s="819"/>
      <c r="ONM29" s="819"/>
      <c r="ONN29" s="819"/>
      <c r="ONO29" s="819"/>
      <c r="ONP29" s="819"/>
      <c r="ONQ29" s="819"/>
      <c r="ONR29" s="819"/>
      <c r="ONS29" s="819"/>
      <c r="ONT29" s="819"/>
      <c r="ONU29" s="819"/>
      <c r="ONV29" s="819"/>
      <c r="ONW29" s="819"/>
      <c r="ONX29" s="819"/>
      <c r="ONY29" s="819"/>
      <c r="ONZ29" s="819"/>
      <c r="OOA29" s="819"/>
      <c r="OOB29" s="819"/>
      <c r="OOC29" s="819"/>
      <c r="OOD29" s="819"/>
      <c r="OOE29" s="819"/>
      <c r="OOF29" s="819"/>
      <c r="OOG29" s="819"/>
      <c r="OOH29" s="819"/>
      <c r="OOI29" s="819"/>
      <c r="OOJ29" s="819"/>
      <c r="OOK29" s="819"/>
      <c r="OOL29" s="819"/>
      <c r="OOM29" s="819"/>
      <c r="OON29" s="819"/>
      <c r="OOO29" s="819"/>
      <c r="OOP29" s="819"/>
      <c r="OOQ29" s="819"/>
      <c r="OOR29" s="819"/>
      <c r="OOS29" s="819"/>
      <c r="OOT29" s="819"/>
      <c r="OOU29" s="819"/>
      <c r="OOV29" s="819"/>
      <c r="OOW29" s="819"/>
      <c r="OOX29" s="819"/>
      <c r="OOY29" s="819"/>
      <c r="OOZ29" s="819"/>
      <c r="OPA29" s="819"/>
      <c r="OPB29" s="819"/>
      <c r="OPC29" s="819"/>
      <c r="OPD29" s="819"/>
      <c r="OPE29" s="819"/>
      <c r="OPF29" s="819"/>
      <c r="OPG29" s="819"/>
      <c r="OPH29" s="819"/>
      <c r="OPI29" s="819"/>
      <c r="OPJ29" s="819"/>
      <c r="OPK29" s="819"/>
      <c r="OPL29" s="819"/>
      <c r="OPM29" s="819"/>
      <c r="OPN29" s="819"/>
      <c r="OPO29" s="819"/>
      <c r="OPP29" s="819"/>
      <c r="OPQ29" s="819"/>
      <c r="OPR29" s="819"/>
      <c r="OPS29" s="819"/>
      <c r="OPT29" s="819"/>
      <c r="OPU29" s="819"/>
      <c r="OPV29" s="819"/>
      <c r="OPW29" s="819"/>
      <c r="OPX29" s="819"/>
      <c r="OPY29" s="819"/>
      <c r="OPZ29" s="819"/>
      <c r="OQA29" s="819"/>
      <c r="OQB29" s="819"/>
      <c r="OQC29" s="819"/>
      <c r="OQD29" s="819"/>
      <c r="OQE29" s="819"/>
      <c r="OQF29" s="819"/>
      <c r="OQG29" s="819"/>
      <c r="OQH29" s="819"/>
      <c r="OQI29" s="819"/>
      <c r="OQJ29" s="819"/>
      <c r="OQK29" s="819"/>
      <c r="OQL29" s="819"/>
      <c r="OQM29" s="819"/>
      <c r="OQN29" s="819"/>
      <c r="OQO29" s="819"/>
      <c r="OQP29" s="819"/>
      <c r="OQQ29" s="819"/>
      <c r="OQR29" s="819"/>
      <c r="OQS29" s="819"/>
      <c r="OQT29" s="819"/>
      <c r="OQU29" s="819"/>
      <c r="OQV29" s="819"/>
      <c r="OQW29" s="819"/>
      <c r="OQX29" s="819"/>
      <c r="OQY29" s="819"/>
      <c r="OQZ29" s="819"/>
      <c r="ORA29" s="819"/>
      <c r="ORB29" s="819"/>
      <c r="ORC29" s="819"/>
      <c r="ORD29" s="819"/>
      <c r="ORE29" s="819"/>
      <c r="ORF29" s="819"/>
      <c r="ORG29" s="819"/>
      <c r="ORH29" s="819"/>
      <c r="ORI29" s="819"/>
      <c r="ORJ29" s="819"/>
      <c r="ORK29" s="819"/>
      <c r="ORL29" s="819"/>
      <c r="ORM29" s="819"/>
      <c r="ORN29" s="819"/>
      <c r="ORO29" s="819"/>
      <c r="ORP29" s="819"/>
      <c r="ORQ29" s="819"/>
      <c r="ORR29" s="819"/>
      <c r="ORS29" s="819"/>
      <c r="ORT29" s="819"/>
      <c r="ORU29" s="819"/>
      <c r="ORV29" s="819"/>
      <c r="ORW29" s="819"/>
      <c r="ORX29" s="819"/>
      <c r="ORY29" s="819"/>
      <c r="ORZ29" s="819"/>
      <c r="OSA29" s="819"/>
      <c r="OSB29" s="819"/>
      <c r="OSC29" s="819"/>
      <c r="OSD29" s="819"/>
      <c r="OSE29" s="819"/>
      <c r="OSF29" s="819"/>
      <c r="OSG29" s="819"/>
      <c r="OSH29" s="819"/>
      <c r="OSI29" s="819"/>
      <c r="OSJ29" s="819"/>
      <c r="OSK29" s="819"/>
      <c r="OSL29" s="819"/>
      <c r="OSM29" s="819"/>
      <c r="OSN29" s="819"/>
      <c r="OSO29" s="819"/>
      <c r="OSP29" s="819"/>
      <c r="OSQ29" s="819"/>
      <c r="OSR29" s="819"/>
      <c r="OSS29" s="819"/>
      <c r="OST29" s="819"/>
      <c r="OSU29" s="819"/>
      <c r="OSV29" s="819"/>
      <c r="OSW29" s="819"/>
      <c r="OSX29" s="819"/>
      <c r="OSY29" s="819"/>
      <c r="OSZ29" s="819"/>
      <c r="OTA29" s="819"/>
      <c r="OTB29" s="819"/>
      <c r="OTC29" s="819"/>
      <c r="OTD29" s="819"/>
      <c r="OTE29" s="819"/>
      <c r="OTF29" s="819"/>
      <c r="OTG29" s="819"/>
      <c r="OTH29" s="819"/>
      <c r="OTI29" s="819"/>
      <c r="OTJ29" s="819"/>
      <c r="OTK29" s="819"/>
      <c r="OTL29" s="819"/>
      <c r="OTM29" s="819"/>
      <c r="OTN29" s="819"/>
      <c r="OTO29" s="819"/>
      <c r="OTP29" s="819"/>
      <c r="OTQ29" s="819"/>
      <c r="OTR29" s="819"/>
      <c r="OTS29" s="819"/>
      <c r="OTT29" s="819"/>
      <c r="OTU29" s="819"/>
      <c r="OTV29" s="819"/>
      <c r="OTW29" s="819"/>
      <c r="OTX29" s="819"/>
      <c r="OTY29" s="819"/>
      <c r="OTZ29" s="819"/>
      <c r="OUA29" s="819"/>
      <c r="OUB29" s="819"/>
      <c r="OUC29" s="819"/>
      <c r="OUD29" s="819"/>
      <c r="OUE29" s="819"/>
      <c r="OUF29" s="819"/>
      <c r="OUG29" s="819"/>
      <c r="OUH29" s="819"/>
      <c r="OUI29" s="819"/>
      <c r="OUJ29" s="819"/>
      <c r="OUK29" s="819"/>
      <c r="OUL29" s="819"/>
      <c r="OUM29" s="819"/>
      <c r="OUN29" s="819"/>
      <c r="OUO29" s="819"/>
      <c r="OUP29" s="819"/>
      <c r="OUQ29" s="819"/>
      <c r="OUR29" s="819"/>
      <c r="OUS29" s="819"/>
      <c r="OUT29" s="819"/>
      <c r="OUU29" s="819"/>
      <c r="OUV29" s="819"/>
      <c r="OUW29" s="819"/>
      <c r="OUX29" s="819"/>
      <c r="OUY29" s="819"/>
      <c r="OUZ29" s="819"/>
      <c r="OVA29" s="819"/>
      <c r="OVB29" s="819"/>
      <c r="OVC29" s="819"/>
      <c r="OVD29" s="819"/>
      <c r="OVE29" s="819"/>
      <c r="OVF29" s="819"/>
      <c r="OVG29" s="819"/>
      <c r="OVH29" s="819"/>
      <c r="OVI29" s="819"/>
      <c r="OVJ29" s="819"/>
      <c r="OVK29" s="819"/>
      <c r="OVL29" s="819"/>
      <c r="OVM29" s="819"/>
      <c r="OVN29" s="819"/>
      <c r="OVO29" s="819"/>
      <c r="OVP29" s="819"/>
      <c r="OVQ29" s="819"/>
      <c r="OVR29" s="819"/>
      <c r="OVS29" s="819"/>
      <c r="OVT29" s="819"/>
      <c r="OVU29" s="819"/>
      <c r="OVV29" s="819"/>
      <c r="OVW29" s="819"/>
      <c r="OVX29" s="819"/>
      <c r="OVY29" s="819"/>
      <c r="OVZ29" s="819"/>
      <c r="OWA29" s="819"/>
      <c r="OWB29" s="819"/>
      <c r="OWC29" s="819"/>
      <c r="OWD29" s="819"/>
      <c r="OWE29" s="819"/>
      <c r="OWF29" s="819"/>
      <c r="OWG29" s="819"/>
      <c r="OWH29" s="819"/>
      <c r="OWI29" s="819"/>
      <c r="OWJ29" s="819"/>
      <c r="OWK29" s="819"/>
      <c r="OWL29" s="819"/>
      <c r="OWM29" s="819"/>
      <c r="OWN29" s="819"/>
      <c r="OWO29" s="819"/>
      <c r="OWP29" s="819"/>
      <c r="OWQ29" s="819"/>
      <c r="OWR29" s="819"/>
      <c r="OWS29" s="819"/>
      <c r="OWT29" s="819"/>
      <c r="OWU29" s="819"/>
      <c r="OWV29" s="819"/>
      <c r="OWW29" s="819"/>
      <c r="OWX29" s="819"/>
      <c r="OWY29" s="819"/>
      <c r="OWZ29" s="819"/>
      <c r="OXA29" s="819"/>
      <c r="OXB29" s="819"/>
      <c r="OXC29" s="819"/>
      <c r="OXD29" s="819"/>
      <c r="OXE29" s="819"/>
      <c r="OXF29" s="819"/>
      <c r="OXG29" s="819"/>
      <c r="OXH29" s="819"/>
      <c r="OXI29" s="819"/>
      <c r="OXJ29" s="819"/>
      <c r="OXK29" s="819"/>
      <c r="OXL29" s="819"/>
      <c r="OXM29" s="819"/>
      <c r="OXN29" s="819"/>
      <c r="OXO29" s="819"/>
      <c r="OXP29" s="819"/>
      <c r="OXQ29" s="819"/>
      <c r="OXR29" s="819"/>
      <c r="OXS29" s="819"/>
      <c r="OXT29" s="819"/>
      <c r="OXU29" s="819"/>
      <c r="OXV29" s="819"/>
      <c r="OXW29" s="819"/>
      <c r="OXX29" s="819"/>
      <c r="OXY29" s="819"/>
      <c r="OXZ29" s="819"/>
      <c r="OYA29" s="819"/>
      <c r="OYB29" s="819"/>
      <c r="OYC29" s="819"/>
      <c r="OYD29" s="819"/>
      <c r="OYE29" s="819"/>
      <c r="OYF29" s="819"/>
      <c r="OYG29" s="819"/>
      <c r="OYH29" s="819"/>
      <c r="OYI29" s="819"/>
      <c r="OYJ29" s="819"/>
      <c r="OYK29" s="819"/>
      <c r="OYL29" s="819"/>
      <c r="OYM29" s="819"/>
      <c r="OYN29" s="819"/>
      <c r="OYO29" s="819"/>
      <c r="OYP29" s="819"/>
      <c r="OYQ29" s="819"/>
      <c r="OYR29" s="819"/>
      <c r="OYS29" s="819"/>
      <c r="OYT29" s="819"/>
      <c r="OYU29" s="819"/>
      <c r="OYV29" s="819"/>
      <c r="OYW29" s="819"/>
      <c r="OYX29" s="819"/>
      <c r="OYY29" s="819"/>
      <c r="OYZ29" s="819"/>
      <c r="OZA29" s="819"/>
      <c r="OZB29" s="819"/>
      <c r="OZC29" s="819"/>
      <c r="OZD29" s="819"/>
      <c r="OZE29" s="819"/>
      <c r="OZF29" s="819"/>
      <c r="OZG29" s="819"/>
      <c r="OZH29" s="819"/>
      <c r="OZI29" s="819"/>
      <c r="OZJ29" s="819"/>
      <c r="OZK29" s="819"/>
      <c r="OZL29" s="819"/>
      <c r="OZM29" s="819"/>
      <c r="OZN29" s="819"/>
      <c r="OZO29" s="819"/>
      <c r="OZP29" s="819"/>
      <c r="OZQ29" s="819"/>
      <c r="OZR29" s="819"/>
      <c r="OZS29" s="819"/>
      <c r="OZT29" s="819"/>
      <c r="OZU29" s="819"/>
      <c r="OZV29" s="819"/>
      <c r="OZW29" s="819"/>
      <c r="OZX29" s="819"/>
      <c r="OZY29" s="819"/>
      <c r="OZZ29" s="819"/>
      <c r="PAA29" s="819"/>
      <c r="PAB29" s="819"/>
      <c r="PAC29" s="819"/>
      <c r="PAD29" s="819"/>
      <c r="PAE29" s="819"/>
      <c r="PAF29" s="819"/>
      <c r="PAG29" s="819"/>
      <c r="PAH29" s="819"/>
      <c r="PAI29" s="819"/>
      <c r="PAJ29" s="819"/>
      <c r="PAK29" s="819"/>
      <c r="PAL29" s="819"/>
      <c r="PAM29" s="819"/>
      <c r="PAN29" s="819"/>
      <c r="PAO29" s="819"/>
      <c r="PAP29" s="819"/>
      <c r="PAQ29" s="819"/>
      <c r="PAR29" s="819"/>
      <c r="PAS29" s="819"/>
      <c r="PAT29" s="819"/>
      <c r="PAU29" s="819"/>
      <c r="PAV29" s="819"/>
      <c r="PAW29" s="819"/>
      <c r="PAX29" s="819"/>
      <c r="PAY29" s="819"/>
      <c r="PAZ29" s="819"/>
      <c r="PBA29" s="819"/>
      <c r="PBB29" s="819"/>
      <c r="PBC29" s="819"/>
      <c r="PBD29" s="819"/>
      <c r="PBE29" s="819"/>
      <c r="PBF29" s="819"/>
      <c r="PBG29" s="819"/>
      <c r="PBH29" s="819"/>
      <c r="PBI29" s="819"/>
      <c r="PBJ29" s="819"/>
      <c r="PBK29" s="819"/>
      <c r="PBL29" s="819"/>
      <c r="PBM29" s="819"/>
      <c r="PBN29" s="819"/>
      <c r="PBO29" s="819"/>
      <c r="PBP29" s="819"/>
      <c r="PBQ29" s="819"/>
      <c r="PBR29" s="819"/>
      <c r="PBS29" s="819"/>
      <c r="PBT29" s="819"/>
      <c r="PBU29" s="819"/>
      <c r="PBV29" s="819"/>
      <c r="PBW29" s="819"/>
      <c r="PBX29" s="819"/>
      <c r="PBY29" s="819"/>
      <c r="PBZ29" s="819"/>
      <c r="PCA29" s="819"/>
      <c r="PCB29" s="819"/>
      <c r="PCC29" s="819"/>
      <c r="PCD29" s="819"/>
      <c r="PCE29" s="819"/>
      <c r="PCF29" s="819"/>
      <c r="PCG29" s="819"/>
      <c r="PCH29" s="819"/>
      <c r="PCI29" s="819"/>
      <c r="PCJ29" s="819"/>
      <c r="PCK29" s="819"/>
      <c r="PCL29" s="819"/>
      <c r="PCM29" s="819"/>
      <c r="PCN29" s="819"/>
      <c r="PCO29" s="819"/>
      <c r="PCP29" s="819"/>
      <c r="PCQ29" s="819"/>
      <c r="PCR29" s="819"/>
      <c r="PCS29" s="819"/>
      <c r="PCT29" s="819"/>
      <c r="PCU29" s="819"/>
      <c r="PCV29" s="819"/>
      <c r="PCW29" s="819"/>
      <c r="PCX29" s="819"/>
      <c r="PCY29" s="819"/>
      <c r="PCZ29" s="819"/>
      <c r="PDA29" s="819"/>
      <c r="PDB29" s="819"/>
      <c r="PDC29" s="819"/>
      <c r="PDD29" s="819"/>
      <c r="PDE29" s="819"/>
      <c r="PDF29" s="819"/>
      <c r="PDG29" s="819"/>
      <c r="PDH29" s="819"/>
      <c r="PDI29" s="819"/>
      <c r="PDJ29" s="819"/>
      <c r="PDK29" s="819"/>
      <c r="PDL29" s="819"/>
      <c r="PDM29" s="819"/>
      <c r="PDN29" s="819"/>
      <c r="PDO29" s="819"/>
      <c r="PDP29" s="819"/>
      <c r="PDQ29" s="819"/>
      <c r="PDR29" s="819"/>
      <c r="PDS29" s="819"/>
      <c r="PDT29" s="819"/>
      <c r="PDU29" s="819"/>
      <c r="PDV29" s="819"/>
      <c r="PDW29" s="819"/>
      <c r="PDX29" s="819"/>
      <c r="PDY29" s="819"/>
      <c r="PDZ29" s="819"/>
      <c r="PEA29" s="819"/>
      <c r="PEB29" s="819"/>
      <c r="PEC29" s="819"/>
      <c r="PED29" s="819"/>
      <c r="PEE29" s="819"/>
      <c r="PEF29" s="819"/>
      <c r="PEG29" s="819"/>
      <c r="PEH29" s="819"/>
      <c r="PEI29" s="819"/>
      <c r="PEJ29" s="819"/>
      <c r="PEK29" s="819"/>
      <c r="PEL29" s="819"/>
      <c r="PEM29" s="819"/>
      <c r="PEN29" s="819"/>
      <c r="PEO29" s="819"/>
      <c r="PEP29" s="819"/>
      <c r="PEQ29" s="819"/>
      <c r="PER29" s="819"/>
      <c r="PES29" s="819"/>
      <c r="PET29" s="819"/>
      <c r="PEU29" s="819"/>
      <c r="PEV29" s="819"/>
      <c r="PEW29" s="819"/>
      <c r="PEX29" s="819"/>
      <c r="PEY29" s="819"/>
      <c r="PEZ29" s="819"/>
      <c r="PFA29" s="819"/>
      <c r="PFB29" s="819"/>
      <c r="PFC29" s="819"/>
      <c r="PFD29" s="819"/>
      <c r="PFE29" s="819"/>
      <c r="PFF29" s="819"/>
      <c r="PFG29" s="819"/>
      <c r="PFH29" s="819"/>
      <c r="PFI29" s="819"/>
      <c r="PFJ29" s="819"/>
      <c r="PFK29" s="819"/>
      <c r="PFL29" s="819"/>
      <c r="PFM29" s="819"/>
      <c r="PFN29" s="819"/>
      <c r="PFO29" s="819"/>
      <c r="PFP29" s="819"/>
      <c r="PFQ29" s="819"/>
      <c r="PFR29" s="819"/>
      <c r="PFS29" s="819"/>
      <c r="PFT29" s="819"/>
      <c r="PFU29" s="819"/>
      <c r="PFV29" s="819"/>
      <c r="PFW29" s="819"/>
      <c r="PFX29" s="819"/>
      <c r="PFY29" s="819"/>
      <c r="PFZ29" s="819"/>
      <c r="PGA29" s="819"/>
      <c r="PGB29" s="819"/>
      <c r="PGC29" s="819"/>
      <c r="PGD29" s="819"/>
      <c r="PGE29" s="819"/>
      <c r="PGF29" s="819"/>
      <c r="PGG29" s="819"/>
      <c r="PGH29" s="819"/>
      <c r="PGI29" s="819"/>
      <c r="PGJ29" s="819"/>
      <c r="PGK29" s="819"/>
      <c r="PGL29" s="819"/>
      <c r="PGM29" s="819"/>
      <c r="PGN29" s="819"/>
      <c r="PGO29" s="819"/>
      <c r="PGP29" s="819"/>
      <c r="PGQ29" s="819"/>
      <c r="PGR29" s="819"/>
      <c r="PGS29" s="819"/>
      <c r="PGT29" s="819"/>
      <c r="PGU29" s="819"/>
      <c r="PGV29" s="819"/>
      <c r="PGW29" s="819"/>
      <c r="PGX29" s="819"/>
      <c r="PGY29" s="819"/>
      <c r="PGZ29" s="819"/>
      <c r="PHA29" s="819"/>
      <c r="PHB29" s="819"/>
      <c r="PHC29" s="819"/>
      <c r="PHD29" s="819"/>
      <c r="PHE29" s="819"/>
      <c r="PHF29" s="819"/>
      <c r="PHG29" s="819"/>
      <c r="PHH29" s="819"/>
      <c r="PHI29" s="819"/>
      <c r="PHJ29" s="819"/>
      <c r="PHK29" s="819"/>
      <c r="PHL29" s="819"/>
      <c r="PHM29" s="819"/>
      <c r="PHN29" s="819"/>
      <c r="PHO29" s="819"/>
      <c r="PHP29" s="819"/>
      <c r="PHQ29" s="819"/>
      <c r="PHR29" s="819"/>
      <c r="PHS29" s="819"/>
      <c r="PHT29" s="819"/>
      <c r="PHU29" s="819"/>
      <c r="PHV29" s="819"/>
      <c r="PHW29" s="819"/>
      <c r="PHX29" s="819"/>
      <c r="PHY29" s="819"/>
      <c r="PHZ29" s="819"/>
      <c r="PIA29" s="819"/>
      <c r="PIB29" s="819"/>
      <c r="PIC29" s="819"/>
      <c r="PID29" s="819"/>
      <c r="PIE29" s="819"/>
      <c r="PIF29" s="819"/>
      <c r="PIG29" s="819"/>
      <c r="PIH29" s="819"/>
      <c r="PII29" s="819"/>
      <c r="PIJ29" s="819"/>
      <c r="PIK29" s="819"/>
      <c r="PIL29" s="819"/>
      <c r="PIM29" s="819"/>
      <c r="PIN29" s="819"/>
      <c r="PIO29" s="819"/>
      <c r="PIP29" s="819"/>
      <c r="PIQ29" s="819"/>
      <c r="PIR29" s="819"/>
      <c r="PIS29" s="819"/>
      <c r="PIT29" s="819"/>
      <c r="PIU29" s="819"/>
      <c r="PIV29" s="819"/>
      <c r="PIW29" s="819"/>
      <c r="PIX29" s="819"/>
      <c r="PIY29" s="819"/>
      <c r="PIZ29" s="819"/>
      <c r="PJA29" s="819"/>
      <c r="PJB29" s="819"/>
      <c r="PJC29" s="819"/>
      <c r="PJD29" s="819"/>
      <c r="PJE29" s="819"/>
      <c r="PJF29" s="819"/>
      <c r="PJG29" s="819"/>
      <c r="PJH29" s="819"/>
      <c r="PJI29" s="819"/>
      <c r="PJJ29" s="819"/>
      <c r="PJK29" s="819"/>
      <c r="PJL29" s="819"/>
      <c r="PJM29" s="819"/>
      <c r="PJN29" s="819"/>
      <c r="PJO29" s="819"/>
      <c r="PJP29" s="819"/>
      <c r="PJQ29" s="819"/>
      <c r="PJR29" s="819"/>
      <c r="PJS29" s="819"/>
      <c r="PJT29" s="819"/>
      <c r="PJU29" s="819"/>
      <c r="PJV29" s="819"/>
      <c r="PJW29" s="819"/>
      <c r="PJX29" s="819"/>
      <c r="PJY29" s="819"/>
      <c r="PJZ29" s="819"/>
      <c r="PKA29" s="819"/>
      <c r="PKB29" s="819"/>
      <c r="PKC29" s="819"/>
      <c r="PKD29" s="819"/>
      <c r="PKE29" s="819"/>
      <c r="PKF29" s="819"/>
      <c r="PKG29" s="819"/>
      <c r="PKH29" s="819"/>
      <c r="PKI29" s="819"/>
      <c r="PKJ29" s="819"/>
      <c r="PKK29" s="819"/>
      <c r="PKL29" s="819"/>
      <c r="PKM29" s="819"/>
      <c r="PKN29" s="819"/>
      <c r="PKO29" s="819"/>
      <c r="PKP29" s="819"/>
      <c r="PKQ29" s="819"/>
      <c r="PKR29" s="819"/>
      <c r="PKS29" s="819"/>
      <c r="PKT29" s="819"/>
      <c r="PKU29" s="819"/>
      <c r="PKV29" s="819"/>
      <c r="PKW29" s="819"/>
      <c r="PKX29" s="819"/>
      <c r="PKY29" s="819"/>
      <c r="PKZ29" s="819"/>
      <c r="PLA29" s="819"/>
      <c r="PLB29" s="819"/>
      <c r="PLC29" s="819"/>
      <c r="PLD29" s="819"/>
      <c r="PLE29" s="819"/>
      <c r="PLF29" s="819"/>
      <c r="PLG29" s="819"/>
      <c r="PLH29" s="819"/>
      <c r="PLI29" s="819"/>
      <c r="PLJ29" s="819"/>
      <c r="PLK29" s="819"/>
      <c r="PLL29" s="819"/>
      <c r="PLM29" s="819"/>
      <c r="PLN29" s="819"/>
      <c r="PLO29" s="819"/>
      <c r="PLP29" s="819"/>
      <c r="PLQ29" s="819"/>
      <c r="PLR29" s="819"/>
      <c r="PLS29" s="819"/>
      <c r="PLT29" s="819"/>
      <c r="PLU29" s="819"/>
      <c r="PLV29" s="819"/>
      <c r="PLW29" s="819"/>
      <c r="PLX29" s="819"/>
      <c r="PLY29" s="819"/>
      <c r="PLZ29" s="819"/>
      <c r="PMA29" s="819"/>
      <c r="PMB29" s="819"/>
      <c r="PMC29" s="819"/>
      <c r="PMD29" s="819"/>
      <c r="PME29" s="819"/>
      <c r="PMF29" s="819"/>
      <c r="PMG29" s="819"/>
      <c r="PMH29" s="819"/>
      <c r="PMI29" s="819"/>
      <c r="PMJ29" s="819"/>
      <c r="PMK29" s="819"/>
      <c r="PML29" s="819"/>
      <c r="PMM29" s="819"/>
      <c r="PMN29" s="819"/>
      <c r="PMO29" s="819"/>
      <c r="PMP29" s="819"/>
      <c r="PMQ29" s="819"/>
      <c r="PMR29" s="819"/>
      <c r="PMS29" s="819"/>
      <c r="PMT29" s="819"/>
      <c r="PMU29" s="819"/>
      <c r="PMV29" s="819"/>
      <c r="PMW29" s="819"/>
      <c r="PMX29" s="819"/>
      <c r="PMY29" s="819"/>
      <c r="PMZ29" s="819"/>
      <c r="PNA29" s="819"/>
      <c r="PNB29" s="819"/>
      <c r="PNC29" s="819"/>
      <c r="PND29" s="819"/>
      <c r="PNE29" s="819"/>
      <c r="PNF29" s="819"/>
      <c r="PNG29" s="819"/>
      <c r="PNH29" s="819"/>
      <c r="PNI29" s="819"/>
      <c r="PNJ29" s="819"/>
      <c r="PNK29" s="819"/>
      <c r="PNL29" s="819"/>
      <c r="PNM29" s="819"/>
      <c r="PNN29" s="819"/>
      <c r="PNO29" s="819"/>
      <c r="PNP29" s="819"/>
      <c r="PNQ29" s="819"/>
      <c r="PNR29" s="819"/>
      <c r="PNS29" s="819"/>
      <c r="PNT29" s="819"/>
      <c r="PNU29" s="819"/>
      <c r="PNV29" s="819"/>
      <c r="PNW29" s="819"/>
      <c r="PNX29" s="819"/>
      <c r="PNY29" s="819"/>
      <c r="PNZ29" s="819"/>
      <c r="POA29" s="819"/>
      <c r="POB29" s="819"/>
      <c r="POC29" s="819"/>
      <c r="POD29" s="819"/>
      <c r="POE29" s="819"/>
      <c r="POF29" s="819"/>
      <c r="POG29" s="819"/>
      <c r="POH29" s="819"/>
      <c r="POI29" s="819"/>
      <c r="POJ29" s="819"/>
      <c r="POK29" s="819"/>
      <c r="POL29" s="819"/>
      <c r="POM29" s="819"/>
      <c r="PON29" s="819"/>
      <c r="POO29" s="819"/>
      <c r="POP29" s="819"/>
      <c r="POQ29" s="819"/>
      <c r="POR29" s="819"/>
      <c r="POS29" s="819"/>
      <c r="POT29" s="819"/>
      <c r="POU29" s="819"/>
      <c r="POV29" s="819"/>
      <c r="POW29" s="819"/>
      <c r="POX29" s="819"/>
      <c r="POY29" s="819"/>
      <c r="POZ29" s="819"/>
      <c r="PPA29" s="819"/>
      <c r="PPB29" s="819"/>
      <c r="PPC29" s="819"/>
      <c r="PPD29" s="819"/>
      <c r="PPE29" s="819"/>
      <c r="PPF29" s="819"/>
      <c r="PPG29" s="819"/>
      <c r="PPH29" s="819"/>
      <c r="PPI29" s="819"/>
      <c r="PPJ29" s="819"/>
      <c r="PPK29" s="819"/>
      <c r="PPL29" s="819"/>
      <c r="PPM29" s="819"/>
      <c r="PPN29" s="819"/>
      <c r="PPO29" s="819"/>
      <c r="PPP29" s="819"/>
      <c r="PPQ29" s="819"/>
      <c r="PPR29" s="819"/>
      <c r="PPS29" s="819"/>
      <c r="PPT29" s="819"/>
      <c r="PPU29" s="819"/>
      <c r="PPV29" s="819"/>
      <c r="PPW29" s="819"/>
      <c r="PPX29" s="819"/>
      <c r="PPY29" s="819"/>
      <c r="PPZ29" s="819"/>
      <c r="PQA29" s="819"/>
      <c r="PQB29" s="819"/>
      <c r="PQC29" s="819"/>
      <c r="PQD29" s="819"/>
      <c r="PQE29" s="819"/>
      <c r="PQF29" s="819"/>
      <c r="PQG29" s="819"/>
      <c r="PQH29" s="819"/>
      <c r="PQI29" s="819"/>
      <c r="PQJ29" s="819"/>
      <c r="PQK29" s="819"/>
      <c r="PQL29" s="819"/>
      <c r="PQM29" s="819"/>
      <c r="PQN29" s="819"/>
      <c r="PQO29" s="819"/>
      <c r="PQP29" s="819"/>
      <c r="PQQ29" s="819"/>
      <c r="PQR29" s="819"/>
      <c r="PQS29" s="819"/>
      <c r="PQT29" s="819"/>
      <c r="PQU29" s="819"/>
      <c r="PQV29" s="819"/>
      <c r="PQW29" s="819"/>
      <c r="PQX29" s="819"/>
      <c r="PQY29" s="819"/>
      <c r="PQZ29" s="819"/>
      <c r="PRA29" s="819"/>
      <c r="PRB29" s="819"/>
      <c r="PRC29" s="819"/>
      <c r="PRD29" s="819"/>
      <c r="PRE29" s="819"/>
      <c r="PRF29" s="819"/>
      <c r="PRG29" s="819"/>
      <c r="PRH29" s="819"/>
      <c r="PRI29" s="819"/>
      <c r="PRJ29" s="819"/>
      <c r="PRK29" s="819"/>
      <c r="PRL29" s="819"/>
      <c r="PRM29" s="819"/>
      <c r="PRN29" s="819"/>
      <c r="PRO29" s="819"/>
      <c r="PRP29" s="819"/>
      <c r="PRQ29" s="819"/>
      <c r="PRR29" s="819"/>
      <c r="PRS29" s="819"/>
      <c r="PRT29" s="819"/>
      <c r="PRU29" s="819"/>
      <c r="PRV29" s="819"/>
      <c r="PRW29" s="819"/>
      <c r="PRX29" s="819"/>
      <c r="PRY29" s="819"/>
      <c r="PRZ29" s="819"/>
      <c r="PSA29" s="819"/>
      <c r="PSB29" s="819"/>
      <c r="PSC29" s="819"/>
      <c r="PSD29" s="819"/>
      <c r="PSE29" s="819"/>
      <c r="PSF29" s="819"/>
      <c r="PSG29" s="819"/>
      <c r="PSH29" s="819"/>
      <c r="PSI29" s="819"/>
      <c r="PSJ29" s="819"/>
      <c r="PSK29" s="819"/>
      <c r="PSL29" s="819"/>
      <c r="PSM29" s="819"/>
      <c r="PSN29" s="819"/>
      <c r="PSO29" s="819"/>
      <c r="PSP29" s="819"/>
      <c r="PSQ29" s="819"/>
      <c r="PSR29" s="819"/>
      <c r="PSS29" s="819"/>
      <c r="PST29" s="819"/>
      <c r="PSU29" s="819"/>
      <c r="PSV29" s="819"/>
      <c r="PSW29" s="819"/>
      <c r="PSX29" s="819"/>
      <c r="PSY29" s="819"/>
      <c r="PSZ29" s="819"/>
      <c r="PTA29" s="819"/>
      <c r="PTB29" s="819"/>
      <c r="PTC29" s="819"/>
      <c r="PTD29" s="819"/>
      <c r="PTE29" s="819"/>
      <c r="PTF29" s="819"/>
      <c r="PTG29" s="819"/>
      <c r="PTH29" s="819"/>
      <c r="PTI29" s="819"/>
      <c r="PTJ29" s="819"/>
      <c r="PTK29" s="819"/>
      <c r="PTL29" s="819"/>
      <c r="PTM29" s="819"/>
      <c r="PTN29" s="819"/>
      <c r="PTO29" s="819"/>
      <c r="PTP29" s="819"/>
      <c r="PTQ29" s="819"/>
      <c r="PTR29" s="819"/>
      <c r="PTS29" s="819"/>
      <c r="PTT29" s="819"/>
      <c r="PTU29" s="819"/>
      <c r="PTV29" s="819"/>
      <c r="PTW29" s="819"/>
      <c r="PTX29" s="819"/>
      <c r="PTY29" s="819"/>
      <c r="PTZ29" s="819"/>
      <c r="PUA29" s="819"/>
      <c r="PUB29" s="819"/>
      <c r="PUC29" s="819"/>
      <c r="PUD29" s="819"/>
      <c r="PUE29" s="819"/>
      <c r="PUF29" s="819"/>
      <c r="PUG29" s="819"/>
      <c r="PUH29" s="819"/>
      <c r="PUI29" s="819"/>
      <c r="PUJ29" s="819"/>
      <c r="PUK29" s="819"/>
      <c r="PUL29" s="819"/>
      <c r="PUM29" s="819"/>
      <c r="PUN29" s="819"/>
      <c r="PUO29" s="819"/>
      <c r="PUP29" s="819"/>
      <c r="PUQ29" s="819"/>
      <c r="PUR29" s="819"/>
      <c r="PUS29" s="819"/>
      <c r="PUT29" s="819"/>
      <c r="PUU29" s="819"/>
      <c r="PUV29" s="819"/>
      <c r="PUW29" s="819"/>
      <c r="PUX29" s="819"/>
      <c r="PUY29" s="819"/>
      <c r="PUZ29" s="819"/>
      <c r="PVA29" s="819"/>
      <c r="PVB29" s="819"/>
      <c r="PVC29" s="819"/>
      <c r="PVD29" s="819"/>
      <c r="PVE29" s="819"/>
      <c r="PVF29" s="819"/>
      <c r="PVG29" s="819"/>
      <c r="PVH29" s="819"/>
      <c r="PVI29" s="819"/>
      <c r="PVJ29" s="819"/>
      <c r="PVK29" s="819"/>
      <c r="PVL29" s="819"/>
      <c r="PVM29" s="819"/>
      <c r="PVN29" s="819"/>
      <c r="PVO29" s="819"/>
      <c r="PVP29" s="819"/>
      <c r="PVQ29" s="819"/>
      <c r="PVR29" s="819"/>
      <c r="PVS29" s="819"/>
      <c r="PVT29" s="819"/>
      <c r="PVU29" s="819"/>
      <c r="PVV29" s="819"/>
      <c r="PVW29" s="819"/>
      <c r="PVX29" s="819"/>
      <c r="PVY29" s="819"/>
      <c r="PVZ29" s="819"/>
      <c r="PWA29" s="819"/>
      <c r="PWB29" s="819"/>
      <c r="PWC29" s="819"/>
      <c r="PWD29" s="819"/>
      <c r="PWE29" s="819"/>
      <c r="PWF29" s="819"/>
      <c r="PWG29" s="819"/>
      <c r="PWH29" s="819"/>
      <c r="PWI29" s="819"/>
      <c r="PWJ29" s="819"/>
      <c r="PWK29" s="819"/>
      <c r="PWL29" s="819"/>
      <c r="PWM29" s="819"/>
      <c r="PWN29" s="819"/>
      <c r="PWO29" s="819"/>
      <c r="PWP29" s="819"/>
      <c r="PWQ29" s="819"/>
      <c r="PWR29" s="819"/>
      <c r="PWS29" s="819"/>
      <c r="PWT29" s="819"/>
      <c r="PWU29" s="819"/>
      <c r="PWV29" s="819"/>
      <c r="PWW29" s="819"/>
      <c r="PWX29" s="819"/>
      <c r="PWY29" s="819"/>
      <c r="PWZ29" s="819"/>
      <c r="PXA29" s="819"/>
      <c r="PXB29" s="819"/>
      <c r="PXC29" s="819"/>
      <c r="PXD29" s="819"/>
      <c r="PXE29" s="819"/>
      <c r="PXF29" s="819"/>
      <c r="PXG29" s="819"/>
      <c r="PXH29" s="819"/>
      <c r="PXI29" s="819"/>
      <c r="PXJ29" s="819"/>
      <c r="PXK29" s="819"/>
      <c r="PXL29" s="819"/>
      <c r="PXM29" s="819"/>
      <c r="PXN29" s="819"/>
      <c r="PXO29" s="819"/>
      <c r="PXP29" s="819"/>
      <c r="PXQ29" s="819"/>
      <c r="PXR29" s="819"/>
      <c r="PXS29" s="819"/>
      <c r="PXT29" s="819"/>
      <c r="PXU29" s="819"/>
      <c r="PXV29" s="819"/>
      <c r="PXW29" s="819"/>
      <c r="PXX29" s="819"/>
      <c r="PXY29" s="819"/>
      <c r="PXZ29" s="819"/>
      <c r="PYA29" s="819"/>
      <c r="PYB29" s="819"/>
      <c r="PYC29" s="819"/>
      <c r="PYD29" s="819"/>
      <c r="PYE29" s="819"/>
      <c r="PYF29" s="819"/>
      <c r="PYG29" s="819"/>
      <c r="PYH29" s="819"/>
      <c r="PYI29" s="819"/>
      <c r="PYJ29" s="819"/>
      <c r="PYK29" s="819"/>
      <c r="PYL29" s="819"/>
      <c r="PYM29" s="819"/>
      <c r="PYN29" s="819"/>
      <c r="PYO29" s="819"/>
      <c r="PYP29" s="819"/>
      <c r="PYQ29" s="819"/>
      <c r="PYR29" s="819"/>
      <c r="PYS29" s="819"/>
      <c r="PYT29" s="819"/>
      <c r="PYU29" s="819"/>
      <c r="PYV29" s="819"/>
      <c r="PYW29" s="819"/>
      <c r="PYX29" s="819"/>
      <c r="PYY29" s="819"/>
      <c r="PYZ29" s="819"/>
      <c r="PZA29" s="819"/>
      <c r="PZB29" s="819"/>
      <c r="PZC29" s="819"/>
      <c r="PZD29" s="819"/>
      <c r="PZE29" s="819"/>
      <c r="PZF29" s="819"/>
      <c r="PZG29" s="819"/>
      <c r="PZH29" s="819"/>
      <c r="PZI29" s="819"/>
      <c r="PZJ29" s="819"/>
      <c r="PZK29" s="819"/>
      <c r="PZL29" s="819"/>
      <c r="PZM29" s="819"/>
      <c r="PZN29" s="819"/>
      <c r="PZO29" s="819"/>
      <c r="PZP29" s="819"/>
      <c r="PZQ29" s="819"/>
      <c r="PZR29" s="819"/>
      <c r="PZS29" s="819"/>
      <c r="PZT29" s="819"/>
      <c r="PZU29" s="819"/>
      <c r="PZV29" s="819"/>
      <c r="PZW29" s="819"/>
      <c r="PZX29" s="819"/>
      <c r="PZY29" s="819"/>
      <c r="PZZ29" s="819"/>
      <c r="QAA29" s="819"/>
      <c r="QAB29" s="819"/>
      <c r="QAC29" s="819"/>
      <c r="QAD29" s="819"/>
      <c r="QAE29" s="819"/>
      <c r="QAF29" s="819"/>
      <c r="QAG29" s="819"/>
      <c r="QAH29" s="819"/>
      <c r="QAI29" s="819"/>
      <c r="QAJ29" s="819"/>
      <c r="QAK29" s="819"/>
      <c r="QAL29" s="819"/>
      <c r="QAM29" s="819"/>
      <c r="QAN29" s="819"/>
      <c r="QAO29" s="819"/>
      <c r="QAP29" s="819"/>
      <c r="QAQ29" s="819"/>
      <c r="QAR29" s="819"/>
      <c r="QAS29" s="819"/>
      <c r="QAT29" s="819"/>
      <c r="QAU29" s="819"/>
      <c r="QAV29" s="819"/>
      <c r="QAW29" s="819"/>
      <c r="QAX29" s="819"/>
      <c r="QAY29" s="819"/>
      <c r="QAZ29" s="819"/>
      <c r="QBA29" s="819"/>
      <c r="QBB29" s="819"/>
      <c r="QBC29" s="819"/>
      <c r="QBD29" s="819"/>
      <c r="QBE29" s="819"/>
      <c r="QBF29" s="819"/>
      <c r="QBG29" s="819"/>
      <c r="QBH29" s="819"/>
      <c r="QBI29" s="819"/>
      <c r="QBJ29" s="819"/>
      <c r="QBK29" s="819"/>
      <c r="QBL29" s="819"/>
      <c r="QBM29" s="819"/>
      <c r="QBN29" s="819"/>
      <c r="QBO29" s="819"/>
      <c r="QBP29" s="819"/>
      <c r="QBQ29" s="819"/>
      <c r="QBR29" s="819"/>
      <c r="QBS29" s="819"/>
      <c r="QBT29" s="819"/>
      <c r="QBU29" s="819"/>
      <c r="QBV29" s="819"/>
      <c r="QBW29" s="819"/>
      <c r="QBX29" s="819"/>
      <c r="QBY29" s="819"/>
      <c r="QBZ29" s="819"/>
      <c r="QCA29" s="819"/>
      <c r="QCB29" s="819"/>
      <c r="QCC29" s="819"/>
      <c r="QCD29" s="819"/>
      <c r="QCE29" s="819"/>
      <c r="QCF29" s="819"/>
      <c r="QCG29" s="819"/>
      <c r="QCH29" s="819"/>
      <c r="QCI29" s="819"/>
      <c r="QCJ29" s="819"/>
      <c r="QCK29" s="819"/>
      <c r="QCL29" s="819"/>
      <c r="QCM29" s="819"/>
      <c r="QCN29" s="819"/>
      <c r="QCO29" s="819"/>
      <c r="QCP29" s="819"/>
      <c r="QCQ29" s="819"/>
      <c r="QCR29" s="819"/>
      <c r="QCS29" s="819"/>
      <c r="QCT29" s="819"/>
      <c r="QCU29" s="819"/>
      <c r="QCV29" s="819"/>
      <c r="QCW29" s="819"/>
      <c r="QCX29" s="819"/>
      <c r="QCY29" s="819"/>
      <c r="QCZ29" s="819"/>
      <c r="QDA29" s="819"/>
      <c r="QDB29" s="819"/>
      <c r="QDC29" s="819"/>
      <c r="QDD29" s="819"/>
      <c r="QDE29" s="819"/>
      <c r="QDF29" s="819"/>
      <c r="QDG29" s="819"/>
      <c r="QDH29" s="819"/>
      <c r="QDI29" s="819"/>
      <c r="QDJ29" s="819"/>
      <c r="QDK29" s="819"/>
      <c r="QDL29" s="819"/>
      <c r="QDM29" s="819"/>
      <c r="QDN29" s="819"/>
      <c r="QDO29" s="819"/>
      <c r="QDP29" s="819"/>
      <c r="QDQ29" s="819"/>
      <c r="QDR29" s="819"/>
      <c r="QDS29" s="819"/>
      <c r="QDT29" s="819"/>
      <c r="QDU29" s="819"/>
      <c r="QDV29" s="819"/>
      <c r="QDW29" s="819"/>
      <c r="QDX29" s="819"/>
      <c r="QDY29" s="819"/>
      <c r="QDZ29" s="819"/>
      <c r="QEA29" s="819"/>
      <c r="QEB29" s="819"/>
      <c r="QEC29" s="819"/>
      <c r="QED29" s="819"/>
      <c r="QEE29" s="819"/>
      <c r="QEF29" s="819"/>
      <c r="QEG29" s="819"/>
      <c r="QEH29" s="819"/>
      <c r="QEI29" s="819"/>
      <c r="QEJ29" s="819"/>
      <c r="QEK29" s="819"/>
      <c r="QEL29" s="819"/>
      <c r="QEM29" s="819"/>
      <c r="QEN29" s="819"/>
      <c r="QEO29" s="819"/>
      <c r="QEP29" s="819"/>
      <c r="QEQ29" s="819"/>
      <c r="QER29" s="819"/>
      <c r="QES29" s="819"/>
      <c r="QET29" s="819"/>
      <c r="QEU29" s="819"/>
      <c r="QEV29" s="819"/>
      <c r="QEW29" s="819"/>
      <c r="QEX29" s="819"/>
      <c r="QEY29" s="819"/>
      <c r="QEZ29" s="819"/>
      <c r="QFA29" s="819"/>
      <c r="QFB29" s="819"/>
      <c r="QFC29" s="819"/>
      <c r="QFD29" s="819"/>
      <c r="QFE29" s="819"/>
      <c r="QFF29" s="819"/>
      <c r="QFG29" s="819"/>
      <c r="QFH29" s="819"/>
      <c r="QFI29" s="819"/>
      <c r="QFJ29" s="819"/>
      <c r="QFK29" s="819"/>
      <c r="QFL29" s="819"/>
      <c r="QFM29" s="819"/>
      <c r="QFN29" s="819"/>
      <c r="QFO29" s="819"/>
      <c r="QFP29" s="819"/>
      <c r="QFQ29" s="819"/>
      <c r="QFR29" s="819"/>
      <c r="QFS29" s="819"/>
      <c r="QFT29" s="819"/>
      <c r="QFU29" s="819"/>
      <c r="QFV29" s="819"/>
      <c r="QFW29" s="819"/>
      <c r="QFX29" s="819"/>
      <c r="QFY29" s="819"/>
      <c r="QFZ29" s="819"/>
      <c r="QGA29" s="819"/>
      <c r="QGB29" s="819"/>
      <c r="QGC29" s="819"/>
      <c r="QGD29" s="819"/>
      <c r="QGE29" s="819"/>
      <c r="QGF29" s="819"/>
      <c r="QGG29" s="819"/>
      <c r="QGH29" s="819"/>
      <c r="QGI29" s="819"/>
      <c r="QGJ29" s="819"/>
      <c r="QGK29" s="819"/>
      <c r="QGL29" s="819"/>
      <c r="QGM29" s="819"/>
      <c r="QGN29" s="819"/>
      <c r="QGO29" s="819"/>
      <c r="QGP29" s="819"/>
      <c r="QGQ29" s="819"/>
      <c r="QGR29" s="819"/>
      <c r="QGS29" s="819"/>
      <c r="QGT29" s="819"/>
      <c r="QGU29" s="819"/>
      <c r="QGV29" s="819"/>
      <c r="QGW29" s="819"/>
      <c r="QGX29" s="819"/>
      <c r="QGY29" s="819"/>
      <c r="QGZ29" s="819"/>
      <c r="QHA29" s="819"/>
      <c r="QHB29" s="819"/>
      <c r="QHC29" s="819"/>
      <c r="QHD29" s="819"/>
      <c r="QHE29" s="819"/>
      <c r="QHF29" s="819"/>
      <c r="QHG29" s="819"/>
      <c r="QHH29" s="819"/>
      <c r="QHI29" s="819"/>
      <c r="QHJ29" s="819"/>
      <c r="QHK29" s="819"/>
      <c r="QHL29" s="819"/>
      <c r="QHM29" s="819"/>
      <c r="QHN29" s="819"/>
      <c r="QHO29" s="819"/>
      <c r="QHP29" s="819"/>
      <c r="QHQ29" s="819"/>
      <c r="QHR29" s="819"/>
      <c r="QHS29" s="819"/>
      <c r="QHT29" s="819"/>
      <c r="QHU29" s="819"/>
      <c r="QHV29" s="819"/>
      <c r="QHW29" s="819"/>
      <c r="QHX29" s="819"/>
      <c r="QHY29" s="819"/>
      <c r="QHZ29" s="819"/>
      <c r="QIA29" s="819"/>
      <c r="QIB29" s="819"/>
      <c r="QIC29" s="819"/>
      <c r="QID29" s="819"/>
      <c r="QIE29" s="819"/>
      <c r="QIF29" s="819"/>
      <c r="QIG29" s="819"/>
      <c r="QIH29" s="819"/>
      <c r="QII29" s="819"/>
      <c r="QIJ29" s="819"/>
      <c r="QIK29" s="819"/>
      <c r="QIL29" s="819"/>
      <c r="QIM29" s="819"/>
      <c r="QIN29" s="819"/>
      <c r="QIO29" s="819"/>
      <c r="QIP29" s="819"/>
      <c r="QIQ29" s="819"/>
      <c r="QIR29" s="819"/>
      <c r="QIS29" s="819"/>
      <c r="QIT29" s="819"/>
      <c r="QIU29" s="819"/>
      <c r="QIV29" s="819"/>
      <c r="QIW29" s="819"/>
      <c r="QIX29" s="819"/>
      <c r="QIY29" s="819"/>
      <c r="QIZ29" s="819"/>
      <c r="QJA29" s="819"/>
      <c r="QJB29" s="819"/>
      <c r="QJC29" s="819"/>
      <c r="QJD29" s="819"/>
      <c r="QJE29" s="819"/>
      <c r="QJF29" s="819"/>
      <c r="QJG29" s="819"/>
      <c r="QJH29" s="819"/>
      <c r="QJI29" s="819"/>
      <c r="QJJ29" s="819"/>
      <c r="QJK29" s="819"/>
      <c r="QJL29" s="819"/>
      <c r="QJM29" s="819"/>
      <c r="QJN29" s="819"/>
      <c r="QJO29" s="819"/>
      <c r="QJP29" s="819"/>
      <c r="QJQ29" s="819"/>
      <c r="QJR29" s="819"/>
      <c r="QJS29" s="819"/>
      <c r="QJT29" s="819"/>
      <c r="QJU29" s="819"/>
      <c r="QJV29" s="819"/>
      <c r="QJW29" s="819"/>
      <c r="QJX29" s="819"/>
      <c r="QJY29" s="819"/>
      <c r="QJZ29" s="819"/>
      <c r="QKA29" s="819"/>
      <c r="QKB29" s="819"/>
      <c r="QKC29" s="819"/>
      <c r="QKD29" s="819"/>
      <c r="QKE29" s="819"/>
      <c r="QKF29" s="819"/>
      <c r="QKG29" s="819"/>
      <c r="QKH29" s="819"/>
      <c r="QKI29" s="819"/>
      <c r="QKJ29" s="819"/>
      <c r="QKK29" s="819"/>
      <c r="QKL29" s="819"/>
      <c r="QKM29" s="819"/>
      <c r="QKN29" s="819"/>
      <c r="QKO29" s="819"/>
      <c r="QKP29" s="819"/>
      <c r="QKQ29" s="819"/>
      <c r="QKR29" s="819"/>
      <c r="QKS29" s="819"/>
      <c r="QKT29" s="819"/>
      <c r="QKU29" s="819"/>
      <c r="QKV29" s="819"/>
      <c r="QKW29" s="819"/>
      <c r="QKX29" s="819"/>
      <c r="QKY29" s="819"/>
      <c r="QKZ29" s="819"/>
      <c r="QLA29" s="819"/>
      <c r="QLB29" s="819"/>
      <c r="QLC29" s="819"/>
      <c r="QLD29" s="819"/>
      <c r="QLE29" s="819"/>
      <c r="QLF29" s="819"/>
      <c r="QLG29" s="819"/>
      <c r="QLH29" s="819"/>
      <c r="QLI29" s="819"/>
      <c r="QLJ29" s="819"/>
      <c r="QLK29" s="819"/>
      <c r="QLL29" s="819"/>
      <c r="QLM29" s="819"/>
      <c r="QLN29" s="819"/>
      <c r="QLO29" s="819"/>
      <c r="QLP29" s="819"/>
      <c r="QLQ29" s="819"/>
      <c r="QLR29" s="819"/>
      <c r="QLS29" s="819"/>
      <c r="QLT29" s="819"/>
      <c r="QLU29" s="819"/>
      <c r="QLV29" s="819"/>
      <c r="QLW29" s="819"/>
      <c r="QLX29" s="819"/>
      <c r="QLY29" s="819"/>
      <c r="QLZ29" s="819"/>
      <c r="QMA29" s="819"/>
      <c r="QMB29" s="819"/>
      <c r="QMC29" s="819"/>
      <c r="QMD29" s="819"/>
      <c r="QME29" s="819"/>
      <c r="QMF29" s="819"/>
      <c r="QMG29" s="819"/>
      <c r="QMH29" s="819"/>
      <c r="QMI29" s="819"/>
      <c r="QMJ29" s="819"/>
      <c r="QMK29" s="819"/>
      <c r="QML29" s="819"/>
      <c r="QMM29" s="819"/>
      <c r="QMN29" s="819"/>
      <c r="QMO29" s="819"/>
      <c r="QMP29" s="819"/>
      <c r="QMQ29" s="819"/>
      <c r="QMR29" s="819"/>
      <c r="QMS29" s="819"/>
      <c r="QMT29" s="819"/>
      <c r="QMU29" s="819"/>
      <c r="QMV29" s="819"/>
      <c r="QMW29" s="819"/>
      <c r="QMX29" s="819"/>
      <c r="QMY29" s="819"/>
      <c r="QMZ29" s="819"/>
      <c r="QNA29" s="819"/>
      <c r="QNB29" s="819"/>
      <c r="QNC29" s="819"/>
      <c r="QND29" s="819"/>
      <c r="QNE29" s="819"/>
      <c r="QNF29" s="819"/>
      <c r="QNG29" s="819"/>
      <c r="QNH29" s="819"/>
      <c r="QNI29" s="819"/>
      <c r="QNJ29" s="819"/>
      <c r="QNK29" s="819"/>
      <c r="QNL29" s="819"/>
      <c r="QNM29" s="819"/>
      <c r="QNN29" s="819"/>
      <c r="QNO29" s="819"/>
      <c r="QNP29" s="819"/>
      <c r="QNQ29" s="819"/>
      <c r="QNR29" s="819"/>
      <c r="QNS29" s="819"/>
      <c r="QNT29" s="819"/>
      <c r="QNU29" s="819"/>
      <c r="QNV29" s="819"/>
      <c r="QNW29" s="819"/>
      <c r="QNX29" s="819"/>
      <c r="QNY29" s="819"/>
      <c r="QNZ29" s="819"/>
      <c r="QOA29" s="819"/>
      <c r="QOB29" s="819"/>
      <c r="QOC29" s="819"/>
      <c r="QOD29" s="819"/>
      <c r="QOE29" s="819"/>
      <c r="QOF29" s="819"/>
      <c r="QOG29" s="819"/>
      <c r="QOH29" s="819"/>
      <c r="QOI29" s="819"/>
      <c r="QOJ29" s="819"/>
      <c r="QOK29" s="819"/>
      <c r="QOL29" s="819"/>
      <c r="QOM29" s="819"/>
      <c r="QON29" s="819"/>
      <c r="QOO29" s="819"/>
      <c r="QOP29" s="819"/>
      <c r="QOQ29" s="819"/>
      <c r="QOR29" s="819"/>
      <c r="QOS29" s="819"/>
      <c r="QOT29" s="819"/>
      <c r="QOU29" s="819"/>
      <c r="QOV29" s="819"/>
      <c r="QOW29" s="819"/>
      <c r="QOX29" s="819"/>
      <c r="QOY29" s="819"/>
      <c r="QOZ29" s="819"/>
      <c r="QPA29" s="819"/>
      <c r="QPB29" s="819"/>
      <c r="QPC29" s="819"/>
      <c r="QPD29" s="819"/>
      <c r="QPE29" s="819"/>
      <c r="QPF29" s="819"/>
      <c r="QPG29" s="819"/>
      <c r="QPH29" s="819"/>
      <c r="QPI29" s="819"/>
      <c r="QPJ29" s="819"/>
      <c r="QPK29" s="819"/>
      <c r="QPL29" s="819"/>
      <c r="QPM29" s="819"/>
      <c r="QPN29" s="819"/>
      <c r="QPO29" s="819"/>
      <c r="QPP29" s="819"/>
      <c r="QPQ29" s="819"/>
      <c r="QPR29" s="819"/>
      <c r="QPS29" s="819"/>
      <c r="QPT29" s="819"/>
      <c r="QPU29" s="819"/>
      <c r="QPV29" s="819"/>
      <c r="QPW29" s="819"/>
      <c r="QPX29" s="819"/>
      <c r="QPY29" s="819"/>
      <c r="QPZ29" s="819"/>
      <c r="QQA29" s="819"/>
      <c r="QQB29" s="819"/>
      <c r="QQC29" s="819"/>
      <c r="QQD29" s="819"/>
      <c r="QQE29" s="819"/>
      <c r="QQF29" s="819"/>
      <c r="QQG29" s="819"/>
      <c r="QQH29" s="819"/>
      <c r="QQI29" s="819"/>
      <c r="QQJ29" s="819"/>
      <c r="QQK29" s="819"/>
      <c r="QQL29" s="819"/>
      <c r="QQM29" s="819"/>
      <c r="QQN29" s="819"/>
      <c r="QQO29" s="819"/>
      <c r="QQP29" s="819"/>
      <c r="QQQ29" s="819"/>
      <c r="QQR29" s="819"/>
      <c r="QQS29" s="819"/>
      <c r="QQT29" s="819"/>
      <c r="QQU29" s="819"/>
      <c r="QQV29" s="819"/>
      <c r="QQW29" s="819"/>
      <c r="QQX29" s="819"/>
      <c r="QQY29" s="819"/>
      <c r="QQZ29" s="819"/>
      <c r="QRA29" s="819"/>
      <c r="QRB29" s="819"/>
      <c r="QRC29" s="819"/>
      <c r="QRD29" s="819"/>
      <c r="QRE29" s="819"/>
      <c r="QRF29" s="819"/>
      <c r="QRG29" s="819"/>
      <c r="QRH29" s="819"/>
      <c r="QRI29" s="819"/>
      <c r="QRJ29" s="819"/>
      <c r="QRK29" s="819"/>
      <c r="QRL29" s="819"/>
      <c r="QRM29" s="819"/>
      <c r="QRN29" s="819"/>
      <c r="QRO29" s="819"/>
      <c r="QRP29" s="819"/>
      <c r="QRQ29" s="819"/>
      <c r="QRR29" s="819"/>
      <c r="QRS29" s="819"/>
      <c r="QRT29" s="819"/>
      <c r="QRU29" s="819"/>
      <c r="QRV29" s="819"/>
      <c r="QRW29" s="819"/>
      <c r="QRX29" s="819"/>
      <c r="QRY29" s="819"/>
      <c r="QRZ29" s="819"/>
      <c r="QSA29" s="819"/>
      <c r="QSB29" s="819"/>
      <c r="QSC29" s="819"/>
      <c r="QSD29" s="819"/>
      <c r="QSE29" s="819"/>
      <c r="QSF29" s="819"/>
      <c r="QSG29" s="819"/>
      <c r="QSH29" s="819"/>
      <c r="QSI29" s="819"/>
      <c r="QSJ29" s="819"/>
      <c r="QSK29" s="819"/>
      <c r="QSL29" s="819"/>
      <c r="QSM29" s="819"/>
      <c r="QSN29" s="819"/>
      <c r="QSO29" s="819"/>
      <c r="QSP29" s="819"/>
      <c r="QSQ29" s="819"/>
      <c r="QSR29" s="819"/>
      <c r="QSS29" s="819"/>
      <c r="QST29" s="819"/>
      <c r="QSU29" s="819"/>
      <c r="QSV29" s="819"/>
      <c r="QSW29" s="819"/>
      <c r="QSX29" s="819"/>
      <c r="QSY29" s="819"/>
      <c r="QSZ29" s="819"/>
      <c r="QTA29" s="819"/>
      <c r="QTB29" s="819"/>
      <c r="QTC29" s="819"/>
      <c r="QTD29" s="819"/>
      <c r="QTE29" s="819"/>
      <c r="QTF29" s="819"/>
      <c r="QTG29" s="819"/>
      <c r="QTH29" s="819"/>
      <c r="QTI29" s="819"/>
      <c r="QTJ29" s="819"/>
      <c r="QTK29" s="819"/>
      <c r="QTL29" s="819"/>
      <c r="QTM29" s="819"/>
      <c r="QTN29" s="819"/>
      <c r="QTO29" s="819"/>
      <c r="QTP29" s="819"/>
      <c r="QTQ29" s="819"/>
      <c r="QTR29" s="819"/>
      <c r="QTS29" s="819"/>
      <c r="QTT29" s="819"/>
      <c r="QTU29" s="819"/>
      <c r="QTV29" s="819"/>
      <c r="QTW29" s="819"/>
      <c r="QTX29" s="819"/>
      <c r="QTY29" s="819"/>
      <c r="QTZ29" s="819"/>
      <c r="QUA29" s="819"/>
      <c r="QUB29" s="819"/>
      <c r="QUC29" s="819"/>
      <c r="QUD29" s="819"/>
      <c r="QUE29" s="819"/>
      <c r="QUF29" s="819"/>
      <c r="QUG29" s="819"/>
      <c r="QUH29" s="819"/>
      <c r="QUI29" s="819"/>
      <c r="QUJ29" s="819"/>
      <c r="QUK29" s="819"/>
      <c r="QUL29" s="819"/>
      <c r="QUM29" s="819"/>
      <c r="QUN29" s="819"/>
      <c r="QUO29" s="819"/>
      <c r="QUP29" s="819"/>
      <c r="QUQ29" s="819"/>
      <c r="QUR29" s="819"/>
      <c r="QUS29" s="819"/>
      <c r="QUT29" s="819"/>
      <c r="QUU29" s="819"/>
      <c r="QUV29" s="819"/>
      <c r="QUW29" s="819"/>
      <c r="QUX29" s="819"/>
      <c r="QUY29" s="819"/>
      <c r="QUZ29" s="819"/>
      <c r="QVA29" s="819"/>
      <c r="QVB29" s="819"/>
      <c r="QVC29" s="819"/>
      <c r="QVD29" s="819"/>
      <c r="QVE29" s="819"/>
      <c r="QVF29" s="819"/>
      <c r="QVG29" s="819"/>
      <c r="QVH29" s="819"/>
      <c r="QVI29" s="819"/>
      <c r="QVJ29" s="819"/>
      <c r="QVK29" s="819"/>
      <c r="QVL29" s="819"/>
      <c r="QVM29" s="819"/>
      <c r="QVN29" s="819"/>
      <c r="QVO29" s="819"/>
      <c r="QVP29" s="819"/>
      <c r="QVQ29" s="819"/>
      <c r="QVR29" s="819"/>
      <c r="QVS29" s="819"/>
      <c r="QVT29" s="819"/>
      <c r="QVU29" s="819"/>
      <c r="QVV29" s="819"/>
      <c r="QVW29" s="819"/>
      <c r="QVX29" s="819"/>
      <c r="QVY29" s="819"/>
      <c r="QVZ29" s="819"/>
      <c r="QWA29" s="819"/>
      <c r="QWB29" s="819"/>
      <c r="QWC29" s="819"/>
      <c r="QWD29" s="819"/>
      <c r="QWE29" s="819"/>
      <c r="QWF29" s="819"/>
      <c r="QWG29" s="819"/>
      <c r="QWH29" s="819"/>
      <c r="QWI29" s="819"/>
      <c r="QWJ29" s="819"/>
      <c r="QWK29" s="819"/>
      <c r="QWL29" s="819"/>
      <c r="QWM29" s="819"/>
      <c r="QWN29" s="819"/>
      <c r="QWO29" s="819"/>
      <c r="QWP29" s="819"/>
      <c r="QWQ29" s="819"/>
      <c r="QWR29" s="819"/>
      <c r="QWS29" s="819"/>
      <c r="QWT29" s="819"/>
      <c r="QWU29" s="819"/>
      <c r="QWV29" s="819"/>
      <c r="QWW29" s="819"/>
      <c r="QWX29" s="819"/>
      <c r="QWY29" s="819"/>
      <c r="QWZ29" s="819"/>
      <c r="QXA29" s="819"/>
      <c r="QXB29" s="819"/>
      <c r="QXC29" s="819"/>
      <c r="QXD29" s="819"/>
      <c r="QXE29" s="819"/>
      <c r="QXF29" s="819"/>
      <c r="QXG29" s="819"/>
      <c r="QXH29" s="819"/>
      <c r="QXI29" s="819"/>
      <c r="QXJ29" s="819"/>
      <c r="QXK29" s="819"/>
      <c r="QXL29" s="819"/>
      <c r="QXM29" s="819"/>
      <c r="QXN29" s="819"/>
      <c r="QXO29" s="819"/>
      <c r="QXP29" s="819"/>
      <c r="QXQ29" s="819"/>
      <c r="QXR29" s="819"/>
      <c r="QXS29" s="819"/>
      <c r="QXT29" s="819"/>
      <c r="QXU29" s="819"/>
      <c r="QXV29" s="819"/>
      <c r="QXW29" s="819"/>
      <c r="QXX29" s="819"/>
      <c r="QXY29" s="819"/>
      <c r="QXZ29" s="819"/>
      <c r="QYA29" s="819"/>
      <c r="QYB29" s="819"/>
      <c r="QYC29" s="819"/>
      <c r="QYD29" s="819"/>
      <c r="QYE29" s="819"/>
      <c r="QYF29" s="819"/>
      <c r="QYG29" s="819"/>
      <c r="QYH29" s="819"/>
      <c r="QYI29" s="819"/>
      <c r="QYJ29" s="819"/>
      <c r="QYK29" s="819"/>
      <c r="QYL29" s="819"/>
      <c r="QYM29" s="819"/>
      <c r="QYN29" s="819"/>
      <c r="QYO29" s="819"/>
      <c r="QYP29" s="819"/>
      <c r="QYQ29" s="819"/>
      <c r="QYR29" s="819"/>
      <c r="QYS29" s="819"/>
      <c r="QYT29" s="819"/>
      <c r="QYU29" s="819"/>
      <c r="QYV29" s="819"/>
      <c r="QYW29" s="819"/>
      <c r="QYX29" s="819"/>
      <c r="QYY29" s="819"/>
      <c r="QYZ29" s="819"/>
      <c r="QZA29" s="819"/>
      <c r="QZB29" s="819"/>
      <c r="QZC29" s="819"/>
      <c r="QZD29" s="819"/>
      <c r="QZE29" s="819"/>
      <c r="QZF29" s="819"/>
      <c r="QZG29" s="819"/>
      <c r="QZH29" s="819"/>
      <c r="QZI29" s="819"/>
      <c r="QZJ29" s="819"/>
      <c r="QZK29" s="819"/>
      <c r="QZL29" s="819"/>
      <c r="QZM29" s="819"/>
      <c r="QZN29" s="819"/>
      <c r="QZO29" s="819"/>
      <c r="QZP29" s="819"/>
      <c r="QZQ29" s="819"/>
      <c r="QZR29" s="819"/>
      <c r="QZS29" s="819"/>
      <c r="QZT29" s="819"/>
      <c r="QZU29" s="819"/>
      <c r="QZV29" s="819"/>
      <c r="QZW29" s="819"/>
      <c r="QZX29" s="819"/>
      <c r="QZY29" s="819"/>
      <c r="QZZ29" s="819"/>
      <c r="RAA29" s="819"/>
      <c r="RAB29" s="819"/>
      <c r="RAC29" s="819"/>
      <c r="RAD29" s="819"/>
      <c r="RAE29" s="819"/>
      <c r="RAF29" s="819"/>
      <c r="RAG29" s="819"/>
      <c r="RAH29" s="819"/>
      <c r="RAI29" s="819"/>
      <c r="RAJ29" s="819"/>
      <c r="RAK29" s="819"/>
      <c r="RAL29" s="819"/>
      <c r="RAM29" s="819"/>
      <c r="RAN29" s="819"/>
      <c r="RAO29" s="819"/>
      <c r="RAP29" s="819"/>
      <c r="RAQ29" s="819"/>
      <c r="RAR29" s="819"/>
      <c r="RAS29" s="819"/>
      <c r="RAT29" s="819"/>
      <c r="RAU29" s="819"/>
      <c r="RAV29" s="819"/>
      <c r="RAW29" s="819"/>
      <c r="RAX29" s="819"/>
      <c r="RAY29" s="819"/>
      <c r="RAZ29" s="819"/>
      <c r="RBA29" s="819"/>
      <c r="RBB29" s="819"/>
      <c r="RBC29" s="819"/>
      <c r="RBD29" s="819"/>
      <c r="RBE29" s="819"/>
      <c r="RBF29" s="819"/>
      <c r="RBG29" s="819"/>
      <c r="RBH29" s="819"/>
      <c r="RBI29" s="819"/>
      <c r="RBJ29" s="819"/>
      <c r="RBK29" s="819"/>
      <c r="RBL29" s="819"/>
      <c r="RBM29" s="819"/>
      <c r="RBN29" s="819"/>
      <c r="RBO29" s="819"/>
      <c r="RBP29" s="819"/>
      <c r="RBQ29" s="819"/>
      <c r="RBR29" s="819"/>
      <c r="RBS29" s="819"/>
      <c r="RBT29" s="819"/>
      <c r="RBU29" s="819"/>
      <c r="RBV29" s="819"/>
      <c r="RBW29" s="819"/>
      <c r="RBX29" s="819"/>
      <c r="RBY29" s="819"/>
      <c r="RBZ29" s="819"/>
      <c r="RCA29" s="819"/>
      <c r="RCB29" s="819"/>
      <c r="RCC29" s="819"/>
      <c r="RCD29" s="819"/>
      <c r="RCE29" s="819"/>
      <c r="RCF29" s="819"/>
      <c r="RCG29" s="819"/>
      <c r="RCH29" s="819"/>
      <c r="RCI29" s="819"/>
      <c r="RCJ29" s="819"/>
      <c r="RCK29" s="819"/>
      <c r="RCL29" s="819"/>
      <c r="RCM29" s="819"/>
      <c r="RCN29" s="819"/>
      <c r="RCO29" s="819"/>
      <c r="RCP29" s="819"/>
      <c r="RCQ29" s="819"/>
      <c r="RCR29" s="819"/>
      <c r="RCS29" s="819"/>
      <c r="RCT29" s="819"/>
      <c r="RCU29" s="819"/>
      <c r="RCV29" s="819"/>
      <c r="RCW29" s="819"/>
      <c r="RCX29" s="819"/>
      <c r="RCY29" s="819"/>
      <c r="RCZ29" s="819"/>
      <c r="RDA29" s="819"/>
      <c r="RDB29" s="819"/>
      <c r="RDC29" s="819"/>
      <c r="RDD29" s="819"/>
      <c r="RDE29" s="819"/>
      <c r="RDF29" s="819"/>
      <c r="RDG29" s="819"/>
      <c r="RDH29" s="819"/>
      <c r="RDI29" s="819"/>
      <c r="RDJ29" s="819"/>
      <c r="RDK29" s="819"/>
      <c r="RDL29" s="819"/>
      <c r="RDM29" s="819"/>
      <c r="RDN29" s="819"/>
      <c r="RDO29" s="819"/>
      <c r="RDP29" s="819"/>
      <c r="RDQ29" s="819"/>
      <c r="RDR29" s="819"/>
      <c r="RDS29" s="819"/>
      <c r="RDT29" s="819"/>
      <c r="RDU29" s="819"/>
      <c r="RDV29" s="819"/>
      <c r="RDW29" s="819"/>
      <c r="RDX29" s="819"/>
      <c r="RDY29" s="819"/>
      <c r="RDZ29" s="819"/>
      <c r="REA29" s="819"/>
      <c r="REB29" s="819"/>
      <c r="REC29" s="819"/>
      <c r="RED29" s="819"/>
      <c r="REE29" s="819"/>
      <c r="REF29" s="819"/>
      <c r="REG29" s="819"/>
      <c r="REH29" s="819"/>
      <c r="REI29" s="819"/>
      <c r="REJ29" s="819"/>
      <c r="REK29" s="819"/>
      <c r="REL29" s="819"/>
      <c r="REM29" s="819"/>
      <c r="REN29" s="819"/>
      <c r="REO29" s="819"/>
      <c r="REP29" s="819"/>
      <c r="REQ29" s="819"/>
      <c r="RER29" s="819"/>
      <c r="RES29" s="819"/>
      <c r="RET29" s="819"/>
      <c r="REU29" s="819"/>
      <c r="REV29" s="819"/>
      <c r="REW29" s="819"/>
      <c r="REX29" s="819"/>
      <c r="REY29" s="819"/>
      <c r="REZ29" s="819"/>
      <c r="RFA29" s="819"/>
      <c r="RFB29" s="819"/>
      <c r="RFC29" s="819"/>
      <c r="RFD29" s="819"/>
      <c r="RFE29" s="819"/>
      <c r="RFF29" s="819"/>
      <c r="RFG29" s="819"/>
      <c r="RFH29" s="819"/>
      <c r="RFI29" s="819"/>
      <c r="RFJ29" s="819"/>
      <c r="RFK29" s="819"/>
      <c r="RFL29" s="819"/>
      <c r="RFM29" s="819"/>
      <c r="RFN29" s="819"/>
      <c r="RFO29" s="819"/>
      <c r="RFP29" s="819"/>
      <c r="RFQ29" s="819"/>
      <c r="RFR29" s="819"/>
      <c r="RFS29" s="819"/>
      <c r="RFT29" s="819"/>
      <c r="RFU29" s="819"/>
      <c r="RFV29" s="819"/>
      <c r="RFW29" s="819"/>
      <c r="RFX29" s="819"/>
      <c r="RFY29" s="819"/>
      <c r="RFZ29" s="819"/>
      <c r="RGA29" s="819"/>
      <c r="RGB29" s="819"/>
      <c r="RGC29" s="819"/>
      <c r="RGD29" s="819"/>
      <c r="RGE29" s="819"/>
      <c r="RGF29" s="819"/>
      <c r="RGG29" s="819"/>
      <c r="RGH29" s="819"/>
      <c r="RGI29" s="819"/>
      <c r="RGJ29" s="819"/>
      <c r="RGK29" s="819"/>
      <c r="RGL29" s="819"/>
      <c r="RGM29" s="819"/>
      <c r="RGN29" s="819"/>
      <c r="RGO29" s="819"/>
      <c r="RGP29" s="819"/>
      <c r="RGQ29" s="819"/>
      <c r="RGR29" s="819"/>
      <c r="RGS29" s="819"/>
      <c r="RGT29" s="819"/>
      <c r="RGU29" s="819"/>
      <c r="RGV29" s="819"/>
      <c r="RGW29" s="819"/>
      <c r="RGX29" s="819"/>
      <c r="RGY29" s="819"/>
      <c r="RGZ29" s="819"/>
      <c r="RHA29" s="819"/>
      <c r="RHB29" s="819"/>
      <c r="RHC29" s="819"/>
      <c r="RHD29" s="819"/>
      <c r="RHE29" s="819"/>
      <c r="RHF29" s="819"/>
      <c r="RHG29" s="819"/>
      <c r="RHH29" s="819"/>
      <c r="RHI29" s="819"/>
      <c r="RHJ29" s="819"/>
      <c r="RHK29" s="819"/>
      <c r="RHL29" s="819"/>
      <c r="RHM29" s="819"/>
      <c r="RHN29" s="819"/>
      <c r="RHO29" s="819"/>
      <c r="RHP29" s="819"/>
      <c r="RHQ29" s="819"/>
      <c r="RHR29" s="819"/>
      <c r="RHS29" s="819"/>
      <c r="RHT29" s="819"/>
      <c r="RHU29" s="819"/>
      <c r="RHV29" s="819"/>
      <c r="RHW29" s="819"/>
      <c r="RHX29" s="819"/>
      <c r="RHY29" s="819"/>
      <c r="RHZ29" s="819"/>
      <c r="RIA29" s="819"/>
      <c r="RIB29" s="819"/>
      <c r="RIC29" s="819"/>
      <c r="RID29" s="819"/>
      <c r="RIE29" s="819"/>
      <c r="RIF29" s="819"/>
      <c r="RIG29" s="819"/>
      <c r="RIH29" s="819"/>
      <c r="RII29" s="819"/>
      <c r="RIJ29" s="819"/>
      <c r="RIK29" s="819"/>
      <c r="RIL29" s="819"/>
      <c r="RIM29" s="819"/>
      <c r="RIN29" s="819"/>
      <c r="RIO29" s="819"/>
      <c r="RIP29" s="819"/>
      <c r="RIQ29" s="819"/>
      <c r="RIR29" s="819"/>
      <c r="RIS29" s="819"/>
      <c r="RIT29" s="819"/>
      <c r="RIU29" s="819"/>
      <c r="RIV29" s="819"/>
      <c r="RIW29" s="819"/>
      <c r="RIX29" s="819"/>
      <c r="RIY29" s="819"/>
      <c r="RIZ29" s="819"/>
      <c r="RJA29" s="819"/>
      <c r="RJB29" s="819"/>
      <c r="RJC29" s="819"/>
      <c r="RJD29" s="819"/>
      <c r="RJE29" s="819"/>
      <c r="RJF29" s="819"/>
      <c r="RJG29" s="819"/>
      <c r="RJH29" s="819"/>
      <c r="RJI29" s="819"/>
      <c r="RJJ29" s="819"/>
      <c r="RJK29" s="819"/>
      <c r="RJL29" s="819"/>
      <c r="RJM29" s="819"/>
      <c r="RJN29" s="819"/>
      <c r="RJO29" s="819"/>
      <c r="RJP29" s="819"/>
      <c r="RJQ29" s="819"/>
      <c r="RJR29" s="819"/>
      <c r="RJS29" s="819"/>
      <c r="RJT29" s="819"/>
      <c r="RJU29" s="819"/>
      <c r="RJV29" s="819"/>
      <c r="RJW29" s="819"/>
      <c r="RJX29" s="819"/>
      <c r="RJY29" s="819"/>
      <c r="RJZ29" s="819"/>
      <c r="RKA29" s="819"/>
      <c r="RKB29" s="819"/>
      <c r="RKC29" s="819"/>
      <c r="RKD29" s="819"/>
      <c r="RKE29" s="819"/>
      <c r="RKF29" s="819"/>
      <c r="RKG29" s="819"/>
      <c r="RKH29" s="819"/>
      <c r="RKI29" s="819"/>
      <c r="RKJ29" s="819"/>
      <c r="RKK29" s="819"/>
      <c r="RKL29" s="819"/>
      <c r="RKM29" s="819"/>
      <c r="RKN29" s="819"/>
      <c r="RKO29" s="819"/>
      <c r="RKP29" s="819"/>
      <c r="RKQ29" s="819"/>
      <c r="RKR29" s="819"/>
      <c r="RKS29" s="819"/>
      <c r="RKT29" s="819"/>
      <c r="RKU29" s="819"/>
      <c r="RKV29" s="819"/>
      <c r="RKW29" s="819"/>
      <c r="RKX29" s="819"/>
      <c r="RKY29" s="819"/>
      <c r="RKZ29" s="819"/>
      <c r="RLA29" s="819"/>
      <c r="RLB29" s="819"/>
      <c r="RLC29" s="819"/>
      <c r="RLD29" s="819"/>
      <c r="RLE29" s="819"/>
      <c r="RLF29" s="819"/>
      <c r="RLG29" s="819"/>
      <c r="RLH29" s="819"/>
      <c r="RLI29" s="819"/>
      <c r="RLJ29" s="819"/>
      <c r="RLK29" s="819"/>
      <c r="RLL29" s="819"/>
      <c r="RLM29" s="819"/>
      <c r="RLN29" s="819"/>
      <c r="RLO29" s="819"/>
      <c r="RLP29" s="819"/>
      <c r="RLQ29" s="819"/>
      <c r="RLR29" s="819"/>
      <c r="RLS29" s="819"/>
      <c r="RLT29" s="819"/>
      <c r="RLU29" s="819"/>
      <c r="RLV29" s="819"/>
      <c r="RLW29" s="819"/>
      <c r="RLX29" s="819"/>
      <c r="RLY29" s="819"/>
      <c r="RLZ29" s="819"/>
      <c r="RMA29" s="819"/>
      <c r="RMB29" s="819"/>
      <c r="RMC29" s="819"/>
      <c r="RMD29" s="819"/>
      <c r="RME29" s="819"/>
      <c r="RMF29" s="819"/>
      <c r="RMG29" s="819"/>
      <c r="RMH29" s="819"/>
      <c r="RMI29" s="819"/>
      <c r="RMJ29" s="819"/>
      <c r="RMK29" s="819"/>
      <c r="RML29" s="819"/>
      <c r="RMM29" s="819"/>
      <c r="RMN29" s="819"/>
      <c r="RMO29" s="819"/>
      <c r="RMP29" s="819"/>
      <c r="RMQ29" s="819"/>
      <c r="RMR29" s="819"/>
      <c r="RMS29" s="819"/>
      <c r="RMT29" s="819"/>
      <c r="RMU29" s="819"/>
      <c r="RMV29" s="819"/>
      <c r="RMW29" s="819"/>
      <c r="RMX29" s="819"/>
      <c r="RMY29" s="819"/>
      <c r="RMZ29" s="819"/>
      <c r="RNA29" s="819"/>
      <c r="RNB29" s="819"/>
      <c r="RNC29" s="819"/>
      <c r="RND29" s="819"/>
      <c r="RNE29" s="819"/>
      <c r="RNF29" s="819"/>
      <c r="RNG29" s="819"/>
      <c r="RNH29" s="819"/>
      <c r="RNI29" s="819"/>
      <c r="RNJ29" s="819"/>
      <c r="RNK29" s="819"/>
      <c r="RNL29" s="819"/>
      <c r="RNM29" s="819"/>
      <c r="RNN29" s="819"/>
      <c r="RNO29" s="819"/>
      <c r="RNP29" s="819"/>
      <c r="RNQ29" s="819"/>
      <c r="RNR29" s="819"/>
      <c r="RNS29" s="819"/>
      <c r="RNT29" s="819"/>
      <c r="RNU29" s="819"/>
      <c r="RNV29" s="819"/>
      <c r="RNW29" s="819"/>
      <c r="RNX29" s="819"/>
      <c r="RNY29" s="819"/>
      <c r="RNZ29" s="819"/>
      <c r="ROA29" s="819"/>
      <c r="ROB29" s="819"/>
      <c r="ROC29" s="819"/>
      <c r="ROD29" s="819"/>
      <c r="ROE29" s="819"/>
      <c r="ROF29" s="819"/>
      <c r="ROG29" s="819"/>
      <c r="ROH29" s="819"/>
      <c r="ROI29" s="819"/>
      <c r="ROJ29" s="819"/>
      <c r="ROK29" s="819"/>
      <c r="ROL29" s="819"/>
      <c r="ROM29" s="819"/>
      <c r="RON29" s="819"/>
      <c r="ROO29" s="819"/>
      <c r="ROP29" s="819"/>
      <c r="ROQ29" s="819"/>
      <c r="ROR29" s="819"/>
      <c r="ROS29" s="819"/>
      <c r="ROT29" s="819"/>
      <c r="ROU29" s="819"/>
      <c r="ROV29" s="819"/>
      <c r="ROW29" s="819"/>
      <c r="ROX29" s="819"/>
      <c r="ROY29" s="819"/>
      <c r="ROZ29" s="819"/>
      <c r="RPA29" s="819"/>
      <c r="RPB29" s="819"/>
      <c r="RPC29" s="819"/>
      <c r="RPD29" s="819"/>
      <c r="RPE29" s="819"/>
      <c r="RPF29" s="819"/>
      <c r="RPG29" s="819"/>
      <c r="RPH29" s="819"/>
      <c r="RPI29" s="819"/>
      <c r="RPJ29" s="819"/>
      <c r="RPK29" s="819"/>
      <c r="RPL29" s="819"/>
      <c r="RPM29" s="819"/>
      <c r="RPN29" s="819"/>
      <c r="RPO29" s="819"/>
      <c r="RPP29" s="819"/>
      <c r="RPQ29" s="819"/>
      <c r="RPR29" s="819"/>
      <c r="RPS29" s="819"/>
      <c r="RPT29" s="819"/>
      <c r="RPU29" s="819"/>
      <c r="RPV29" s="819"/>
      <c r="RPW29" s="819"/>
      <c r="RPX29" s="819"/>
      <c r="RPY29" s="819"/>
      <c r="RPZ29" s="819"/>
      <c r="RQA29" s="819"/>
      <c r="RQB29" s="819"/>
      <c r="RQC29" s="819"/>
      <c r="RQD29" s="819"/>
      <c r="RQE29" s="819"/>
      <c r="RQF29" s="819"/>
      <c r="RQG29" s="819"/>
      <c r="RQH29" s="819"/>
      <c r="RQI29" s="819"/>
      <c r="RQJ29" s="819"/>
      <c r="RQK29" s="819"/>
      <c r="RQL29" s="819"/>
      <c r="RQM29" s="819"/>
      <c r="RQN29" s="819"/>
      <c r="RQO29" s="819"/>
      <c r="RQP29" s="819"/>
      <c r="RQQ29" s="819"/>
      <c r="RQR29" s="819"/>
      <c r="RQS29" s="819"/>
      <c r="RQT29" s="819"/>
      <c r="RQU29" s="819"/>
      <c r="RQV29" s="819"/>
      <c r="RQW29" s="819"/>
      <c r="RQX29" s="819"/>
      <c r="RQY29" s="819"/>
      <c r="RQZ29" s="819"/>
      <c r="RRA29" s="819"/>
      <c r="RRB29" s="819"/>
      <c r="RRC29" s="819"/>
      <c r="RRD29" s="819"/>
      <c r="RRE29" s="819"/>
      <c r="RRF29" s="819"/>
      <c r="RRG29" s="819"/>
      <c r="RRH29" s="819"/>
      <c r="RRI29" s="819"/>
      <c r="RRJ29" s="819"/>
      <c r="RRK29" s="819"/>
      <c r="RRL29" s="819"/>
      <c r="RRM29" s="819"/>
      <c r="RRN29" s="819"/>
      <c r="RRO29" s="819"/>
      <c r="RRP29" s="819"/>
      <c r="RRQ29" s="819"/>
      <c r="RRR29" s="819"/>
      <c r="RRS29" s="819"/>
      <c r="RRT29" s="819"/>
      <c r="RRU29" s="819"/>
      <c r="RRV29" s="819"/>
      <c r="RRW29" s="819"/>
      <c r="RRX29" s="819"/>
      <c r="RRY29" s="819"/>
      <c r="RRZ29" s="819"/>
      <c r="RSA29" s="819"/>
      <c r="RSB29" s="819"/>
      <c r="RSC29" s="819"/>
      <c r="RSD29" s="819"/>
      <c r="RSE29" s="819"/>
      <c r="RSF29" s="819"/>
      <c r="RSG29" s="819"/>
      <c r="RSH29" s="819"/>
      <c r="RSI29" s="819"/>
      <c r="RSJ29" s="819"/>
      <c r="RSK29" s="819"/>
      <c r="RSL29" s="819"/>
      <c r="RSM29" s="819"/>
      <c r="RSN29" s="819"/>
      <c r="RSO29" s="819"/>
      <c r="RSP29" s="819"/>
      <c r="RSQ29" s="819"/>
      <c r="RSR29" s="819"/>
      <c r="RSS29" s="819"/>
      <c r="RST29" s="819"/>
      <c r="RSU29" s="819"/>
      <c r="RSV29" s="819"/>
      <c r="RSW29" s="819"/>
      <c r="RSX29" s="819"/>
      <c r="RSY29" s="819"/>
      <c r="RSZ29" s="819"/>
      <c r="RTA29" s="819"/>
      <c r="RTB29" s="819"/>
      <c r="RTC29" s="819"/>
      <c r="RTD29" s="819"/>
      <c r="RTE29" s="819"/>
      <c r="RTF29" s="819"/>
      <c r="RTG29" s="819"/>
      <c r="RTH29" s="819"/>
      <c r="RTI29" s="819"/>
      <c r="RTJ29" s="819"/>
      <c r="RTK29" s="819"/>
      <c r="RTL29" s="819"/>
      <c r="RTM29" s="819"/>
      <c r="RTN29" s="819"/>
      <c r="RTO29" s="819"/>
      <c r="RTP29" s="819"/>
      <c r="RTQ29" s="819"/>
      <c r="RTR29" s="819"/>
      <c r="RTS29" s="819"/>
      <c r="RTT29" s="819"/>
      <c r="RTU29" s="819"/>
      <c r="RTV29" s="819"/>
      <c r="RTW29" s="819"/>
      <c r="RTX29" s="819"/>
      <c r="RTY29" s="819"/>
      <c r="RTZ29" s="819"/>
      <c r="RUA29" s="819"/>
      <c r="RUB29" s="819"/>
      <c r="RUC29" s="819"/>
      <c r="RUD29" s="819"/>
      <c r="RUE29" s="819"/>
      <c r="RUF29" s="819"/>
      <c r="RUG29" s="819"/>
      <c r="RUH29" s="819"/>
      <c r="RUI29" s="819"/>
      <c r="RUJ29" s="819"/>
      <c r="RUK29" s="819"/>
      <c r="RUL29" s="819"/>
      <c r="RUM29" s="819"/>
      <c r="RUN29" s="819"/>
      <c r="RUO29" s="819"/>
      <c r="RUP29" s="819"/>
      <c r="RUQ29" s="819"/>
      <c r="RUR29" s="819"/>
      <c r="RUS29" s="819"/>
      <c r="RUT29" s="819"/>
      <c r="RUU29" s="819"/>
      <c r="RUV29" s="819"/>
      <c r="RUW29" s="819"/>
      <c r="RUX29" s="819"/>
      <c r="RUY29" s="819"/>
      <c r="RUZ29" s="819"/>
      <c r="RVA29" s="819"/>
      <c r="RVB29" s="819"/>
      <c r="RVC29" s="819"/>
      <c r="RVD29" s="819"/>
      <c r="RVE29" s="819"/>
      <c r="RVF29" s="819"/>
      <c r="RVG29" s="819"/>
      <c r="RVH29" s="819"/>
      <c r="RVI29" s="819"/>
      <c r="RVJ29" s="819"/>
      <c r="RVK29" s="819"/>
      <c r="RVL29" s="819"/>
      <c r="RVM29" s="819"/>
      <c r="RVN29" s="819"/>
      <c r="RVO29" s="819"/>
      <c r="RVP29" s="819"/>
      <c r="RVQ29" s="819"/>
      <c r="RVR29" s="819"/>
      <c r="RVS29" s="819"/>
      <c r="RVT29" s="819"/>
      <c r="RVU29" s="819"/>
      <c r="RVV29" s="819"/>
      <c r="RVW29" s="819"/>
      <c r="RVX29" s="819"/>
      <c r="RVY29" s="819"/>
      <c r="RVZ29" s="819"/>
      <c r="RWA29" s="819"/>
      <c r="RWB29" s="819"/>
      <c r="RWC29" s="819"/>
      <c r="RWD29" s="819"/>
      <c r="RWE29" s="819"/>
      <c r="RWF29" s="819"/>
      <c r="RWG29" s="819"/>
      <c r="RWH29" s="819"/>
      <c r="RWI29" s="819"/>
      <c r="RWJ29" s="819"/>
      <c r="RWK29" s="819"/>
      <c r="RWL29" s="819"/>
      <c r="RWM29" s="819"/>
      <c r="RWN29" s="819"/>
      <c r="RWO29" s="819"/>
      <c r="RWP29" s="819"/>
      <c r="RWQ29" s="819"/>
      <c r="RWR29" s="819"/>
      <c r="RWS29" s="819"/>
      <c r="RWT29" s="819"/>
      <c r="RWU29" s="819"/>
      <c r="RWV29" s="819"/>
      <c r="RWW29" s="819"/>
      <c r="RWX29" s="819"/>
      <c r="RWY29" s="819"/>
      <c r="RWZ29" s="819"/>
      <c r="RXA29" s="819"/>
      <c r="RXB29" s="819"/>
      <c r="RXC29" s="819"/>
      <c r="RXD29" s="819"/>
      <c r="RXE29" s="819"/>
      <c r="RXF29" s="819"/>
      <c r="RXG29" s="819"/>
      <c r="RXH29" s="819"/>
      <c r="RXI29" s="819"/>
      <c r="RXJ29" s="819"/>
      <c r="RXK29" s="819"/>
      <c r="RXL29" s="819"/>
      <c r="RXM29" s="819"/>
      <c r="RXN29" s="819"/>
      <c r="RXO29" s="819"/>
      <c r="RXP29" s="819"/>
      <c r="RXQ29" s="819"/>
      <c r="RXR29" s="819"/>
      <c r="RXS29" s="819"/>
      <c r="RXT29" s="819"/>
      <c r="RXU29" s="819"/>
      <c r="RXV29" s="819"/>
      <c r="RXW29" s="819"/>
      <c r="RXX29" s="819"/>
      <c r="RXY29" s="819"/>
      <c r="RXZ29" s="819"/>
      <c r="RYA29" s="819"/>
      <c r="RYB29" s="819"/>
      <c r="RYC29" s="819"/>
      <c r="RYD29" s="819"/>
      <c r="RYE29" s="819"/>
      <c r="RYF29" s="819"/>
      <c r="RYG29" s="819"/>
      <c r="RYH29" s="819"/>
      <c r="RYI29" s="819"/>
      <c r="RYJ29" s="819"/>
      <c r="RYK29" s="819"/>
      <c r="RYL29" s="819"/>
      <c r="RYM29" s="819"/>
      <c r="RYN29" s="819"/>
      <c r="RYO29" s="819"/>
      <c r="RYP29" s="819"/>
      <c r="RYQ29" s="819"/>
      <c r="RYR29" s="819"/>
      <c r="RYS29" s="819"/>
      <c r="RYT29" s="819"/>
      <c r="RYU29" s="819"/>
      <c r="RYV29" s="819"/>
      <c r="RYW29" s="819"/>
      <c r="RYX29" s="819"/>
      <c r="RYY29" s="819"/>
      <c r="RYZ29" s="819"/>
      <c r="RZA29" s="819"/>
      <c r="RZB29" s="819"/>
      <c r="RZC29" s="819"/>
      <c r="RZD29" s="819"/>
      <c r="RZE29" s="819"/>
      <c r="RZF29" s="819"/>
      <c r="RZG29" s="819"/>
      <c r="RZH29" s="819"/>
      <c r="RZI29" s="819"/>
      <c r="RZJ29" s="819"/>
      <c r="RZK29" s="819"/>
      <c r="RZL29" s="819"/>
      <c r="RZM29" s="819"/>
      <c r="RZN29" s="819"/>
      <c r="RZO29" s="819"/>
      <c r="RZP29" s="819"/>
      <c r="RZQ29" s="819"/>
      <c r="RZR29" s="819"/>
      <c r="RZS29" s="819"/>
      <c r="RZT29" s="819"/>
      <c r="RZU29" s="819"/>
      <c r="RZV29" s="819"/>
      <c r="RZW29" s="819"/>
      <c r="RZX29" s="819"/>
      <c r="RZY29" s="819"/>
      <c r="RZZ29" s="819"/>
      <c r="SAA29" s="819"/>
      <c r="SAB29" s="819"/>
      <c r="SAC29" s="819"/>
      <c r="SAD29" s="819"/>
      <c r="SAE29" s="819"/>
      <c r="SAF29" s="819"/>
      <c r="SAG29" s="819"/>
      <c r="SAH29" s="819"/>
      <c r="SAI29" s="819"/>
      <c r="SAJ29" s="819"/>
      <c r="SAK29" s="819"/>
      <c r="SAL29" s="819"/>
      <c r="SAM29" s="819"/>
      <c r="SAN29" s="819"/>
      <c r="SAO29" s="819"/>
      <c r="SAP29" s="819"/>
      <c r="SAQ29" s="819"/>
      <c r="SAR29" s="819"/>
      <c r="SAS29" s="819"/>
      <c r="SAT29" s="819"/>
      <c r="SAU29" s="819"/>
      <c r="SAV29" s="819"/>
      <c r="SAW29" s="819"/>
      <c r="SAX29" s="819"/>
      <c r="SAY29" s="819"/>
      <c r="SAZ29" s="819"/>
      <c r="SBA29" s="819"/>
      <c r="SBB29" s="819"/>
      <c r="SBC29" s="819"/>
      <c r="SBD29" s="819"/>
      <c r="SBE29" s="819"/>
      <c r="SBF29" s="819"/>
      <c r="SBG29" s="819"/>
      <c r="SBH29" s="819"/>
      <c r="SBI29" s="819"/>
      <c r="SBJ29" s="819"/>
      <c r="SBK29" s="819"/>
      <c r="SBL29" s="819"/>
      <c r="SBM29" s="819"/>
      <c r="SBN29" s="819"/>
      <c r="SBO29" s="819"/>
      <c r="SBP29" s="819"/>
      <c r="SBQ29" s="819"/>
      <c r="SBR29" s="819"/>
      <c r="SBS29" s="819"/>
      <c r="SBT29" s="819"/>
      <c r="SBU29" s="819"/>
      <c r="SBV29" s="819"/>
      <c r="SBW29" s="819"/>
      <c r="SBX29" s="819"/>
      <c r="SBY29" s="819"/>
      <c r="SBZ29" s="819"/>
      <c r="SCA29" s="819"/>
      <c r="SCB29" s="819"/>
      <c r="SCC29" s="819"/>
      <c r="SCD29" s="819"/>
      <c r="SCE29" s="819"/>
      <c r="SCF29" s="819"/>
      <c r="SCG29" s="819"/>
      <c r="SCH29" s="819"/>
      <c r="SCI29" s="819"/>
      <c r="SCJ29" s="819"/>
      <c r="SCK29" s="819"/>
      <c r="SCL29" s="819"/>
      <c r="SCM29" s="819"/>
      <c r="SCN29" s="819"/>
      <c r="SCO29" s="819"/>
      <c r="SCP29" s="819"/>
      <c r="SCQ29" s="819"/>
      <c r="SCR29" s="819"/>
      <c r="SCS29" s="819"/>
      <c r="SCT29" s="819"/>
      <c r="SCU29" s="819"/>
      <c r="SCV29" s="819"/>
      <c r="SCW29" s="819"/>
      <c r="SCX29" s="819"/>
      <c r="SCY29" s="819"/>
      <c r="SCZ29" s="819"/>
      <c r="SDA29" s="819"/>
      <c r="SDB29" s="819"/>
      <c r="SDC29" s="819"/>
      <c r="SDD29" s="819"/>
      <c r="SDE29" s="819"/>
      <c r="SDF29" s="819"/>
      <c r="SDG29" s="819"/>
      <c r="SDH29" s="819"/>
      <c r="SDI29" s="819"/>
      <c r="SDJ29" s="819"/>
      <c r="SDK29" s="819"/>
      <c r="SDL29" s="819"/>
      <c r="SDM29" s="819"/>
      <c r="SDN29" s="819"/>
      <c r="SDO29" s="819"/>
      <c r="SDP29" s="819"/>
      <c r="SDQ29" s="819"/>
      <c r="SDR29" s="819"/>
      <c r="SDS29" s="819"/>
      <c r="SDT29" s="819"/>
      <c r="SDU29" s="819"/>
      <c r="SDV29" s="819"/>
      <c r="SDW29" s="819"/>
      <c r="SDX29" s="819"/>
      <c r="SDY29" s="819"/>
      <c r="SDZ29" s="819"/>
      <c r="SEA29" s="819"/>
      <c r="SEB29" s="819"/>
      <c r="SEC29" s="819"/>
      <c r="SED29" s="819"/>
      <c r="SEE29" s="819"/>
      <c r="SEF29" s="819"/>
      <c r="SEG29" s="819"/>
      <c r="SEH29" s="819"/>
      <c r="SEI29" s="819"/>
      <c r="SEJ29" s="819"/>
      <c r="SEK29" s="819"/>
      <c r="SEL29" s="819"/>
      <c r="SEM29" s="819"/>
      <c r="SEN29" s="819"/>
      <c r="SEO29" s="819"/>
      <c r="SEP29" s="819"/>
      <c r="SEQ29" s="819"/>
      <c r="SER29" s="819"/>
      <c r="SES29" s="819"/>
      <c r="SET29" s="819"/>
      <c r="SEU29" s="819"/>
      <c r="SEV29" s="819"/>
      <c r="SEW29" s="819"/>
      <c r="SEX29" s="819"/>
      <c r="SEY29" s="819"/>
      <c r="SEZ29" s="819"/>
      <c r="SFA29" s="819"/>
      <c r="SFB29" s="819"/>
      <c r="SFC29" s="819"/>
      <c r="SFD29" s="819"/>
      <c r="SFE29" s="819"/>
      <c r="SFF29" s="819"/>
      <c r="SFG29" s="819"/>
      <c r="SFH29" s="819"/>
      <c r="SFI29" s="819"/>
      <c r="SFJ29" s="819"/>
      <c r="SFK29" s="819"/>
      <c r="SFL29" s="819"/>
      <c r="SFM29" s="819"/>
      <c r="SFN29" s="819"/>
      <c r="SFO29" s="819"/>
      <c r="SFP29" s="819"/>
      <c r="SFQ29" s="819"/>
      <c r="SFR29" s="819"/>
      <c r="SFS29" s="819"/>
      <c r="SFT29" s="819"/>
      <c r="SFU29" s="819"/>
      <c r="SFV29" s="819"/>
      <c r="SFW29" s="819"/>
      <c r="SFX29" s="819"/>
      <c r="SFY29" s="819"/>
      <c r="SFZ29" s="819"/>
      <c r="SGA29" s="819"/>
      <c r="SGB29" s="819"/>
      <c r="SGC29" s="819"/>
      <c r="SGD29" s="819"/>
      <c r="SGE29" s="819"/>
      <c r="SGF29" s="819"/>
      <c r="SGG29" s="819"/>
      <c r="SGH29" s="819"/>
      <c r="SGI29" s="819"/>
      <c r="SGJ29" s="819"/>
      <c r="SGK29" s="819"/>
      <c r="SGL29" s="819"/>
      <c r="SGM29" s="819"/>
      <c r="SGN29" s="819"/>
      <c r="SGO29" s="819"/>
      <c r="SGP29" s="819"/>
      <c r="SGQ29" s="819"/>
      <c r="SGR29" s="819"/>
      <c r="SGS29" s="819"/>
      <c r="SGT29" s="819"/>
      <c r="SGU29" s="819"/>
      <c r="SGV29" s="819"/>
      <c r="SGW29" s="819"/>
      <c r="SGX29" s="819"/>
      <c r="SGY29" s="819"/>
      <c r="SGZ29" s="819"/>
      <c r="SHA29" s="819"/>
      <c r="SHB29" s="819"/>
      <c r="SHC29" s="819"/>
      <c r="SHD29" s="819"/>
      <c r="SHE29" s="819"/>
      <c r="SHF29" s="819"/>
      <c r="SHG29" s="819"/>
      <c r="SHH29" s="819"/>
      <c r="SHI29" s="819"/>
      <c r="SHJ29" s="819"/>
      <c r="SHK29" s="819"/>
      <c r="SHL29" s="819"/>
      <c r="SHM29" s="819"/>
      <c r="SHN29" s="819"/>
      <c r="SHO29" s="819"/>
      <c r="SHP29" s="819"/>
      <c r="SHQ29" s="819"/>
      <c r="SHR29" s="819"/>
      <c r="SHS29" s="819"/>
      <c r="SHT29" s="819"/>
      <c r="SHU29" s="819"/>
      <c r="SHV29" s="819"/>
      <c r="SHW29" s="819"/>
      <c r="SHX29" s="819"/>
      <c r="SHY29" s="819"/>
      <c r="SHZ29" s="819"/>
      <c r="SIA29" s="819"/>
      <c r="SIB29" s="819"/>
      <c r="SIC29" s="819"/>
      <c r="SID29" s="819"/>
      <c r="SIE29" s="819"/>
      <c r="SIF29" s="819"/>
      <c r="SIG29" s="819"/>
      <c r="SIH29" s="819"/>
      <c r="SII29" s="819"/>
      <c r="SIJ29" s="819"/>
      <c r="SIK29" s="819"/>
      <c r="SIL29" s="819"/>
      <c r="SIM29" s="819"/>
      <c r="SIN29" s="819"/>
      <c r="SIO29" s="819"/>
      <c r="SIP29" s="819"/>
      <c r="SIQ29" s="819"/>
      <c r="SIR29" s="819"/>
      <c r="SIS29" s="819"/>
      <c r="SIT29" s="819"/>
      <c r="SIU29" s="819"/>
      <c r="SIV29" s="819"/>
      <c r="SIW29" s="819"/>
      <c r="SIX29" s="819"/>
      <c r="SIY29" s="819"/>
      <c r="SIZ29" s="819"/>
      <c r="SJA29" s="819"/>
      <c r="SJB29" s="819"/>
      <c r="SJC29" s="819"/>
      <c r="SJD29" s="819"/>
      <c r="SJE29" s="819"/>
      <c r="SJF29" s="819"/>
      <c r="SJG29" s="819"/>
      <c r="SJH29" s="819"/>
      <c r="SJI29" s="819"/>
      <c r="SJJ29" s="819"/>
      <c r="SJK29" s="819"/>
      <c r="SJL29" s="819"/>
      <c r="SJM29" s="819"/>
      <c r="SJN29" s="819"/>
      <c r="SJO29" s="819"/>
      <c r="SJP29" s="819"/>
      <c r="SJQ29" s="819"/>
      <c r="SJR29" s="819"/>
      <c r="SJS29" s="819"/>
      <c r="SJT29" s="819"/>
      <c r="SJU29" s="819"/>
      <c r="SJV29" s="819"/>
      <c r="SJW29" s="819"/>
      <c r="SJX29" s="819"/>
      <c r="SJY29" s="819"/>
      <c r="SJZ29" s="819"/>
      <c r="SKA29" s="819"/>
      <c r="SKB29" s="819"/>
      <c r="SKC29" s="819"/>
      <c r="SKD29" s="819"/>
      <c r="SKE29" s="819"/>
      <c r="SKF29" s="819"/>
      <c r="SKG29" s="819"/>
      <c r="SKH29" s="819"/>
      <c r="SKI29" s="819"/>
      <c r="SKJ29" s="819"/>
      <c r="SKK29" s="819"/>
      <c r="SKL29" s="819"/>
      <c r="SKM29" s="819"/>
      <c r="SKN29" s="819"/>
      <c r="SKO29" s="819"/>
      <c r="SKP29" s="819"/>
      <c r="SKQ29" s="819"/>
      <c r="SKR29" s="819"/>
      <c r="SKS29" s="819"/>
      <c r="SKT29" s="819"/>
      <c r="SKU29" s="819"/>
      <c r="SKV29" s="819"/>
      <c r="SKW29" s="819"/>
      <c r="SKX29" s="819"/>
      <c r="SKY29" s="819"/>
      <c r="SKZ29" s="819"/>
      <c r="SLA29" s="819"/>
      <c r="SLB29" s="819"/>
      <c r="SLC29" s="819"/>
      <c r="SLD29" s="819"/>
      <c r="SLE29" s="819"/>
      <c r="SLF29" s="819"/>
      <c r="SLG29" s="819"/>
      <c r="SLH29" s="819"/>
      <c r="SLI29" s="819"/>
      <c r="SLJ29" s="819"/>
      <c r="SLK29" s="819"/>
      <c r="SLL29" s="819"/>
      <c r="SLM29" s="819"/>
      <c r="SLN29" s="819"/>
      <c r="SLO29" s="819"/>
      <c r="SLP29" s="819"/>
      <c r="SLQ29" s="819"/>
      <c r="SLR29" s="819"/>
      <c r="SLS29" s="819"/>
      <c r="SLT29" s="819"/>
      <c r="SLU29" s="819"/>
      <c r="SLV29" s="819"/>
      <c r="SLW29" s="819"/>
      <c r="SLX29" s="819"/>
      <c r="SLY29" s="819"/>
      <c r="SLZ29" s="819"/>
      <c r="SMA29" s="819"/>
      <c r="SMB29" s="819"/>
      <c r="SMC29" s="819"/>
      <c r="SMD29" s="819"/>
      <c r="SME29" s="819"/>
      <c r="SMF29" s="819"/>
      <c r="SMG29" s="819"/>
      <c r="SMH29" s="819"/>
      <c r="SMI29" s="819"/>
      <c r="SMJ29" s="819"/>
      <c r="SMK29" s="819"/>
      <c r="SML29" s="819"/>
      <c r="SMM29" s="819"/>
      <c r="SMN29" s="819"/>
      <c r="SMO29" s="819"/>
      <c r="SMP29" s="819"/>
      <c r="SMQ29" s="819"/>
      <c r="SMR29" s="819"/>
      <c r="SMS29" s="819"/>
      <c r="SMT29" s="819"/>
      <c r="SMU29" s="819"/>
      <c r="SMV29" s="819"/>
      <c r="SMW29" s="819"/>
      <c r="SMX29" s="819"/>
      <c r="SMY29" s="819"/>
      <c r="SMZ29" s="819"/>
      <c r="SNA29" s="819"/>
      <c r="SNB29" s="819"/>
      <c r="SNC29" s="819"/>
      <c r="SND29" s="819"/>
      <c r="SNE29" s="819"/>
      <c r="SNF29" s="819"/>
      <c r="SNG29" s="819"/>
      <c r="SNH29" s="819"/>
      <c r="SNI29" s="819"/>
      <c r="SNJ29" s="819"/>
      <c r="SNK29" s="819"/>
      <c r="SNL29" s="819"/>
      <c r="SNM29" s="819"/>
      <c r="SNN29" s="819"/>
      <c r="SNO29" s="819"/>
      <c r="SNP29" s="819"/>
      <c r="SNQ29" s="819"/>
      <c r="SNR29" s="819"/>
      <c r="SNS29" s="819"/>
      <c r="SNT29" s="819"/>
      <c r="SNU29" s="819"/>
      <c r="SNV29" s="819"/>
      <c r="SNW29" s="819"/>
      <c r="SNX29" s="819"/>
      <c r="SNY29" s="819"/>
      <c r="SNZ29" s="819"/>
      <c r="SOA29" s="819"/>
      <c r="SOB29" s="819"/>
      <c r="SOC29" s="819"/>
      <c r="SOD29" s="819"/>
      <c r="SOE29" s="819"/>
      <c r="SOF29" s="819"/>
      <c r="SOG29" s="819"/>
      <c r="SOH29" s="819"/>
      <c r="SOI29" s="819"/>
      <c r="SOJ29" s="819"/>
      <c r="SOK29" s="819"/>
      <c r="SOL29" s="819"/>
      <c r="SOM29" s="819"/>
      <c r="SON29" s="819"/>
      <c r="SOO29" s="819"/>
      <c r="SOP29" s="819"/>
      <c r="SOQ29" s="819"/>
      <c r="SOR29" s="819"/>
      <c r="SOS29" s="819"/>
      <c r="SOT29" s="819"/>
      <c r="SOU29" s="819"/>
      <c r="SOV29" s="819"/>
      <c r="SOW29" s="819"/>
      <c r="SOX29" s="819"/>
      <c r="SOY29" s="819"/>
      <c r="SOZ29" s="819"/>
      <c r="SPA29" s="819"/>
      <c r="SPB29" s="819"/>
      <c r="SPC29" s="819"/>
      <c r="SPD29" s="819"/>
      <c r="SPE29" s="819"/>
      <c r="SPF29" s="819"/>
      <c r="SPG29" s="819"/>
      <c r="SPH29" s="819"/>
      <c r="SPI29" s="819"/>
      <c r="SPJ29" s="819"/>
      <c r="SPK29" s="819"/>
      <c r="SPL29" s="819"/>
      <c r="SPM29" s="819"/>
      <c r="SPN29" s="819"/>
      <c r="SPO29" s="819"/>
      <c r="SPP29" s="819"/>
      <c r="SPQ29" s="819"/>
      <c r="SPR29" s="819"/>
      <c r="SPS29" s="819"/>
      <c r="SPT29" s="819"/>
      <c r="SPU29" s="819"/>
      <c r="SPV29" s="819"/>
      <c r="SPW29" s="819"/>
      <c r="SPX29" s="819"/>
      <c r="SPY29" s="819"/>
      <c r="SPZ29" s="819"/>
      <c r="SQA29" s="819"/>
      <c r="SQB29" s="819"/>
      <c r="SQC29" s="819"/>
      <c r="SQD29" s="819"/>
      <c r="SQE29" s="819"/>
      <c r="SQF29" s="819"/>
      <c r="SQG29" s="819"/>
      <c r="SQH29" s="819"/>
      <c r="SQI29" s="819"/>
      <c r="SQJ29" s="819"/>
      <c r="SQK29" s="819"/>
      <c r="SQL29" s="819"/>
      <c r="SQM29" s="819"/>
      <c r="SQN29" s="819"/>
      <c r="SQO29" s="819"/>
      <c r="SQP29" s="819"/>
      <c r="SQQ29" s="819"/>
      <c r="SQR29" s="819"/>
      <c r="SQS29" s="819"/>
      <c r="SQT29" s="819"/>
      <c r="SQU29" s="819"/>
      <c r="SQV29" s="819"/>
      <c r="SQW29" s="819"/>
      <c r="SQX29" s="819"/>
      <c r="SQY29" s="819"/>
      <c r="SQZ29" s="819"/>
      <c r="SRA29" s="819"/>
      <c r="SRB29" s="819"/>
      <c r="SRC29" s="819"/>
      <c r="SRD29" s="819"/>
      <c r="SRE29" s="819"/>
      <c r="SRF29" s="819"/>
      <c r="SRG29" s="819"/>
      <c r="SRH29" s="819"/>
      <c r="SRI29" s="819"/>
      <c r="SRJ29" s="819"/>
      <c r="SRK29" s="819"/>
      <c r="SRL29" s="819"/>
      <c r="SRM29" s="819"/>
      <c r="SRN29" s="819"/>
      <c r="SRO29" s="819"/>
      <c r="SRP29" s="819"/>
      <c r="SRQ29" s="819"/>
      <c r="SRR29" s="819"/>
      <c r="SRS29" s="819"/>
      <c r="SRT29" s="819"/>
      <c r="SRU29" s="819"/>
      <c r="SRV29" s="819"/>
      <c r="SRW29" s="819"/>
      <c r="SRX29" s="819"/>
      <c r="SRY29" s="819"/>
      <c r="SRZ29" s="819"/>
      <c r="SSA29" s="819"/>
      <c r="SSB29" s="819"/>
      <c r="SSC29" s="819"/>
      <c r="SSD29" s="819"/>
      <c r="SSE29" s="819"/>
      <c r="SSF29" s="819"/>
      <c r="SSG29" s="819"/>
      <c r="SSH29" s="819"/>
      <c r="SSI29" s="819"/>
      <c r="SSJ29" s="819"/>
      <c r="SSK29" s="819"/>
      <c r="SSL29" s="819"/>
      <c r="SSM29" s="819"/>
      <c r="SSN29" s="819"/>
      <c r="SSO29" s="819"/>
      <c r="SSP29" s="819"/>
      <c r="SSQ29" s="819"/>
      <c r="SSR29" s="819"/>
      <c r="SSS29" s="819"/>
      <c r="SST29" s="819"/>
      <c r="SSU29" s="819"/>
      <c r="SSV29" s="819"/>
      <c r="SSW29" s="819"/>
      <c r="SSX29" s="819"/>
      <c r="SSY29" s="819"/>
      <c r="SSZ29" s="819"/>
      <c r="STA29" s="819"/>
      <c r="STB29" s="819"/>
      <c r="STC29" s="819"/>
      <c r="STD29" s="819"/>
      <c r="STE29" s="819"/>
      <c r="STF29" s="819"/>
      <c r="STG29" s="819"/>
      <c r="STH29" s="819"/>
      <c r="STI29" s="819"/>
      <c r="STJ29" s="819"/>
      <c r="STK29" s="819"/>
      <c r="STL29" s="819"/>
      <c r="STM29" s="819"/>
      <c r="STN29" s="819"/>
      <c r="STO29" s="819"/>
      <c r="STP29" s="819"/>
      <c r="STQ29" s="819"/>
      <c r="STR29" s="819"/>
      <c r="STS29" s="819"/>
      <c r="STT29" s="819"/>
      <c r="STU29" s="819"/>
      <c r="STV29" s="819"/>
      <c r="STW29" s="819"/>
      <c r="STX29" s="819"/>
      <c r="STY29" s="819"/>
      <c r="STZ29" s="819"/>
      <c r="SUA29" s="819"/>
      <c r="SUB29" s="819"/>
      <c r="SUC29" s="819"/>
      <c r="SUD29" s="819"/>
      <c r="SUE29" s="819"/>
      <c r="SUF29" s="819"/>
      <c r="SUG29" s="819"/>
      <c r="SUH29" s="819"/>
      <c r="SUI29" s="819"/>
      <c r="SUJ29" s="819"/>
      <c r="SUK29" s="819"/>
      <c r="SUL29" s="819"/>
      <c r="SUM29" s="819"/>
      <c r="SUN29" s="819"/>
      <c r="SUO29" s="819"/>
      <c r="SUP29" s="819"/>
      <c r="SUQ29" s="819"/>
      <c r="SUR29" s="819"/>
      <c r="SUS29" s="819"/>
      <c r="SUT29" s="819"/>
      <c r="SUU29" s="819"/>
      <c r="SUV29" s="819"/>
      <c r="SUW29" s="819"/>
      <c r="SUX29" s="819"/>
      <c r="SUY29" s="819"/>
      <c r="SUZ29" s="819"/>
      <c r="SVA29" s="819"/>
      <c r="SVB29" s="819"/>
      <c r="SVC29" s="819"/>
      <c r="SVD29" s="819"/>
      <c r="SVE29" s="819"/>
      <c r="SVF29" s="819"/>
      <c r="SVG29" s="819"/>
      <c r="SVH29" s="819"/>
      <c r="SVI29" s="819"/>
      <c r="SVJ29" s="819"/>
      <c r="SVK29" s="819"/>
      <c r="SVL29" s="819"/>
      <c r="SVM29" s="819"/>
      <c r="SVN29" s="819"/>
      <c r="SVO29" s="819"/>
      <c r="SVP29" s="819"/>
      <c r="SVQ29" s="819"/>
      <c r="SVR29" s="819"/>
      <c r="SVS29" s="819"/>
      <c r="SVT29" s="819"/>
      <c r="SVU29" s="819"/>
      <c r="SVV29" s="819"/>
      <c r="SVW29" s="819"/>
      <c r="SVX29" s="819"/>
      <c r="SVY29" s="819"/>
      <c r="SVZ29" s="819"/>
      <c r="SWA29" s="819"/>
      <c r="SWB29" s="819"/>
      <c r="SWC29" s="819"/>
      <c r="SWD29" s="819"/>
      <c r="SWE29" s="819"/>
      <c r="SWF29" s="819"/>
      <c r="SWG29" s="819"/>
      <c r="SWH29" s="819"/>
      <c r="SWI29" s="819"/>
      <c r="SWJ29" s="819"/>
      <c r="SWK29" s="819"/>
      <c r="SWL29" s="819"/>
      <c r="SWM29" s="819"/>
      <c r="SWN29" s="819"/>
      <c r="SWO29" s="819"/>
      <c r="SWP29" s="819"/>
      <c r="SWQ29" s="819"/>
      <c r="SWR29" s="819"/>
      <c r="SWS29" s="819"/>
      <c r="SWT29" s="819"/>
      <c r="SWU29" s="819"/>
      <c r="SWV29" s="819"/>
      <c r="SWW29" s="819"/>
      <c r="SWX29" s="819"/>
      <c r="SWY29" s="819"/>
      <c r="SWZ29" s="819"/>
      <c r="SXA29" s="819"/>
      <c r="SXB29" s="819"/>
      <c r="SXC29" s="819"/>
      <c r="SXD29" s="819"/>
      <c r="SXE29" s="819"/>
      <c r="SXF29" s="819"/>
      <c r="SXG29" s="819"/>
      <c r="SXH29" s="819"/>
      <c r="SXI29" s="819"/>
      <c r="SXJ29" s="819"/>
      <c r="SXK29" s="819"/>
      <c r="SXL29" s="819"/>
      <c r="SXM29" s="819"/>
      <c r="SXN29" s="819"/>
      <c r="SXO29" s="819"/>
      <c r="SXP29" s="819"/>
      <c r="SXQ29" s="819"/>
      <c r="SXR29" s="819"/>
      <c r="SXS29" s="819"/>
      <c r="SXT29" s="819"/>
      <c r="SXU29" s="819"/>
      <c r="SXV29" s="819"/>
      <c r="SXW29" s="819"/>
      <c r="SXX29" s="819"/>
      <c r="SXY29" s="819"/>
      <c r="SXZ29" s="819"/>
      <c r="SYA29" s="819"/>
      <c r="SYB29" s="819"/>
      <c r="SYC29" s="819"/>
      <c r="SYD29" s="819"/>
      <c r="SYE29" s="819"/>
      <c r="SYF29" s="819"/>
      <c r="SYG29" s="819"/>
      <c r="SYH29" s="819"/>
      <c r="SYI29" s="819"/>
      <c r="SYJ29" s="819"/>
      <c r="SYK29" s="819"/>
      <c r="SYL29" s="819"/>
      <c r="SYM29" s="819"/>
      <c r="SYN29" s="819"/>
      <c r="SYO29" s="819"/>
      <c r="SYP29" s="819"/>
      <c r="SYQ29" s="819"/>
      <c r="SYR29" s="819"/>
      <c r="SYS29" s="819"/>
      <c r="SYT29" s="819"/>
      <c r="SYU29" s="819"/>
      <c r="SYV29" s="819"/>
      <c r="SYW29" s="819"/>
      <c r="SYX29" s="819"/>
      <c r="SYY29" s="819"/>
      <c r="SYZ29" s="819"/>
      <c r="SZA29" s="819"/>
      <c r="SZB29" s="819"/>
      <c r="SZC29" s="819"/>
      <c r="SZD29" s="819"/>
      <c r="SZE29" s="819"/>
      <c r="SZF29" s="819"/>
      <c r="SZG29" s="819"/>
      <c r="SZH29" s="819"/>
      <c r="SZI29" s="819"/>
      <c r="SZJ29" s="819"/>
      <c r="SZK29" s="819"/>
      <c r="SZL29" s="819"/>
      <c r="SZM29" s="819"/>
      <c r="SZN29" s="819"/>
      <c r="SZO29" s="819"/>
      <c r="SZP29" s="819"/>
      <c r="SZQ29" s="819"/>
      <c r="SZR29" s="819"/>
      <c r="SZS29" s="819"/>
      <c r="SZT29" s="819"/>
      <c r="SZU29" s="819"/>
      <c r="SZV29" s="819"/>
      <c r="SZW29" s="819"/>
      <c r="SZX29" s="819"/>
      <c r="SZY29" s="819"/>
      <c r="SZZ29" s="819"/>
      <c r="TAA29" s="819"/>
      <c r="TAB29" s="819"/>
      <c r="TAC29" s="819"/>
      <c r="TAD29" s="819"/>
      <c r="TAE29" s="819"/>
      <c r="TAF29" s="819"/>
      <c r="TAG29" s="819"/>
      <c r="TAH29" s="819"/>
      <c r="TAI29" s="819"/>
      <c r="TAJ29" s="819"/>
      <c r="TAK29" s="819"/>
      <c r="TAL29" s="819"/>
      <c r="TAM29" s="819"/>
      <c r="TAN29" s="819"/>
      <c r="TAO29" s="819"/>
      <c r="TAP29" s="819"/>
      <c r="TAQ29" s="819"/>
      <c r="TAR29" s="819"/>
      <c r="TAS29" s="819"/>
      <c r="TAT29" s="819"/>
      <c r="TAU29" s="819"/>
      <c r="TAV29" s="819"/>
      <c r="TAW29" s="819"/>
      <c r="TAX29" s="819"/>
      <c r="TAY29" s="819"/>
      <c r="TAZ29" s="819"/>
      <c r="TBA29" s="819"/>
      <c r="TBB29" s="819"/>
      <c r="TBC29" s="819"/>
      <c r="TBD29" s="819"/>
      <c r="TBE29" s="819"/>
      <c r="TBF29" s="819"/>
      <c r="TBG29" s="819"/>
      <c r="TBH29" s="819"/>
      <c r="TBI29" s="819"/>
      <c r="TBJ29" s="819"/>
      <c r="TBK29" s="819"/>
      <c r="TBL29" s="819"/>
      <c r="TBM29" s="819"/>
      <c r="TBN29" s="819"/>
      <c r="TBO29" s="819"/>
      <c r="TBP29" s="819"/>
      <c r="TBQ29" s="819"/>
      <c r="TBR29" s="819"/>
      <c r="TBS29" s="819"/>
      <c r="TBT29" s="819"/>
      <c r="TBU29" s="819"/>
      <c r="TBV29" s="819"/>
      <c r="TBW29" s="819"/>
      <c r="TBX29" s="819"/>
      <c r="TBY29" s="819"/>
      <c r="TBZ29" s="819"/>
      <c r="TCA29" s="819"/>
      <c r="TCB29" s="819"/>
      <c r="TCC29" s="819"/>
      <c r="TCD29" s="819"/>
      <c r="TCE29" s="819"/>
      <c r="TCF29" s="819"/>
      <c r="TCG29" s="819"/>
      <c r="TCH29" s="819"/>
      <c r="TCI29" s="819"/>
      <c r="TCJ29" s="819"/>
      <c r="TCK29" s="819"/>
      <c r="TCL29" s="819"/>
      <c r="TCM29" s="819"/>
      <c r="TCN29" s="819"/>
      <c r="TCO29" s="819"/>
      <c r="TCP29" s="819"/>
      <c r="TCQ29" s="819"/>
      <c r="TCR29" s="819"/>
      <c r="TCS29" s="819"/>
      <c r="TCT29" s="819"/>
      <c r="TCU29" s="819"/>
      <c r="TCV29" s="819"/>
      <c r="TCW29" s="819"/>
      <c r="TCX29" s="819"/>
      <c r="TCY29" s="819"/>
      <c r="TCZ29" s="819"/>
      <c r="TDA29" s="819"/>
      <c r="TDB29" s="819"/>
      <c r="TDC29" s="819"/>
      <c r="TDD29" s="819"/>
      <c r="TDE29" s="819"/>
      <c r="TDF29" s="819"/>
      <c r="TDG29" s="819"/>
      <c r="TDH29" s="819"/>
      <c r="TDI29" s="819"/>
      <c r="TDJ29" s="819"/>
      <c r="TDK29" s="819"/>
      <c r="TDL29" s="819"/>
      <c r="TDM29" s="819"/>
      <c r="TDN29" s="819"/>
      <c r="TDO29" s="819"/>
      <c r="TDP29" s="819"/>
      <c r="TDQ29" s="819"/>
      <c r="TDR29" s="819"/>
      <c r="TDS29" s="819"/>
      <c r="TDT29" s="819"/>
      <c r="TDU29" s="819"/>
      <c r="TDV29" s="819"/>
      <c r="TDW29" s="819"/>
      <c r="TDX29" s="819"/>
      <c r="TDY29" s="819"/>
      <c r="TDZ29" s="819"/>
      <c r="TEA29" s="819"/>
      <c r="TEB29" s="819"/>
      <c r="TEC29" s="819"/>
      <c r="TED29" s="819"/>
      <c r="TEE29" s="819"/>
      <c r="TEF29" s="819"/>
      <c r="TEG29" s="819"/>
      <c r="TEH29" s="819"/>
      <c r="TEI29" s="819"/>
      <c r="TEJ29" s="819"/>
      <c r="TEK29" s="819"/>
      <c r="TEL29" s="819"/>
      <c r="TEM29" s="819"/>
      <c r="TEN29" s="819"/>
      <c r="TEO29" s="819"/>
      <c r="TEP29" s="819"/>
      <c r="TEQ29" s="819"/>
      <c r="TER29" s="819"/>
      <c r="TES29" s="819"/>
      <c r="TET29" s="819"/>
      <c r="TEU29" s="819"/>
      <c r="TEV29" s="819"/>
      <c r="TEW29" s="819"/>
      <c r="TEX29" s="819"/>
      <c r="TEY29" s="819"/>
      <c r="TEZ29" s="819"/>
      <c r="TFA29" s="819"/>
      <c r="TFB29" s="819"/>
      <c r="TFC29" s="819"/>
      <c r="TFD29" s="819"/>
      <c r="TFE29" s="819"/>
      <c r="TFF29" s="819"/>
      <c r="TFG29" s="819"/>
      <c r="TFH29" s="819"/>
      <c r="TFI29" s="819"/>
      <c r="TFJ29" s="819"/>
      <c r="TFK29" s="819"/>
      <c r="TFL29" s="819"/>
      <c r="TFM29" s="819"/>
      <c r="TFN29" s="819"/>
      <c r="TFO29" s="819"/>
      <c r="TFP29" s="819"/>
      <c r="TFQ29" s="819"/>
      <c r="TFR29" s="819"/>
      <c r="TFS29" s="819"/>
      <c r="TFT29" s="819"/>
      <c r="TFU29" s="819"/>
      <c r="TFV29" s="819"/>
      <c r="TFW29" s="819"/>
      <c r="TFX29" s="819"/>
      <c r="TFY29" s="819"/>
      <c r="TFZ29" s="819"/>
      <c r="TGA29" s="819"/>
      <c r="TGB29" s="819"/>
      <c r="TGC29" s="819"/>
      <c r="TGD29" s="819"/>
      <c r="TGE29" s="819"/>
      <c r="TGF29" s="819"/>
      <c r="TGG29" s="819"/>
      <c r="TGH29" s="819"/>
      <c r="TGI29" s="819"/>
      <c r="TGJ29" s="819"/>
      <c r="TGK29" s="819"/>
      <c r="TGL29" s="819"/>
      <c r="TGM29" s="819"/>
      <c r="TGN29" s="819"/>
      <c r="TGO29" s="819"/>
      <c r="TGP29" s="819"/>
      <c r="TGQ29" s="819"/>
      <c r="TGR29" s="819"/>
      <c r="TGS29" s="819"/>
      <c r="TGT29" s="819"/>
      <c r="TGU29" s="819"/>
      <c r="TGV29" s="819"/>
      <c r="TGW29" s="819"/>
      <c r="TGX29" s="819"/>
      <c r="TGY29" s="819"/>
      <c r="TGZ29" s="819"/>
      <c r="THA29" s="819"/>
      <c r="THB29" s="819"/>
      <c r="THC29" s="819"/>
      <c r="THD29" s="819"/>
      <c r="THE29" s="819"/>
      <c r="THF29" s="819"/>
      <c r="THG29" s="819"/>
      <c r="THH29" s="819"/>
      <c r="THI29" s="819"/>
      <c r="THJ29" s="819"/>
      <c r="THK29" s="819"/>
      <c r="THL29" s="819"/>
      <c r="THM29" s="819"/>
      <c r="THN29" s="819"/>
      <c r="THO29" s="819"/>
      <c r="THP29" s="819"/>
      <c r="THQ29" s="819"/>
      <c r="THR29" s="819"/>
      <c r="THS29" s="819"/>
      <c r="THT29" s="819"/>
      <c r="THU29" s="819"/>
      <c r="THV29" s="819"/>
      <c r="THW29" s="819"/>
      <c r="THX29" s="819"/>
      <c r="THY29" s="819"/>
      <c r="THZ29" s="819"/>
      <c r="TIA29" s="819"/>
      <c r="TIB29" s="819"/>
      <c r="TIC29" s="819"/>
      <c r="TID29" s="819"/>
      <c r="TIE29" s="819"/>
      <c r="TIF29" s="819"/>
      <c r="TIG29" s="819"/>
      <c r="TIH29" s="819"/>
      <c r="TII29" s="819"/>
      <c r="TIJ29" s="819"/>
      <c r="TIK29" s="819"/>
      <c r="TIL29" s="819"/>
      <c r="TIM29" s="819"/>
      <c r="TIN29" s="819"/>
      <c r="TIO29" s="819"/>
      <c r="TIP29" s="819"/>
      <c r="TIQ29" s="819"/>
      <c r="TIR29" s="819"/>
      <c r="TIS29" s="819"/>
      <c r="TIT29" s="819"/>
      <c r="TIU29" s="819"/>
      <c r="TIV29" s="819"/>
      <c r="TIW29" s="819"/>
      <c r="TIX29" s="819"/>
      <c r="TIY29" s="819"/>
      <c r="TIZ29" s="819"/>
      <c r="TJA29" s="819"/>
      <c r="TJB29" s="819"/>
      <c r="TJC29" s="819"/>
      <c r="TJD29" s="819"/>
      <c r="TJE29" s="819"/>
      <c r="TJF29" s="819"/>
      <c r="TJG29" s="819"/>
      <c r="TJH29" s="819"/>
      <c r="TJI29" s="819"/>
      <c r="TJJ29" s="819"/>
      <c r="TJK29" s="819"/>
      <c r="TJL29" s="819"/>
      <c r="TJM29" s="819"/>
      <c r="TJN29" s="819"/>
      <c r="TJO29" s="819"/>
      <c r="TJP29" s="819"/>
      <c r="TJQ29" s="819"/>
      <c r="TJR29" s="819"/>
      <c r="TJS29" s="819"/>
      <c r="TJT29" s="819"/>
      <c r="TJU29" s="819"/>
      <c r="TJV29" s="819"/>
      <c r="TJW29" s="819"/>
      <c r="TJX29" s="819"/>
      <c r="TJY29" s="819"/>
      <c r="TJZ29" s="819"/>
      <c r="TKA29" s="819"/>
      <c r="TKB29" s="819"/>
      <c r="TKC29" s="819"/>
      <c r="TKD29" s="819"/>
      <c r="TKE29" s="819"/>
      <c r="TKF29" s="819"/>
      <c r="TKG29" s="819"/>
      <c r="TKH29" s="819"/>
      <c r="TKI29" s="819"/>
      <c r="TKJ29" s="819"/>
      <c r="TKK29" s="819"/>
      <c r="TKL29" s="819"/>
      <c r="TKM29" s="819"/>
      <c r="TKN29" s="819"/>
      <c r="TKO29" s="819"/>
      <c r="TKP29" s="819"/>
      <c r="TKQ29" s="819"/>
      <c r="TKR29" s="819"/>
      <c r="TKS29" s="819"/>
      <c r="TKT29" s="819"/>
      <c r="TKU29" s="819"/>
      <c r="TKV29" s="819"/>
      <c r="TKW29" s="819"/>
      <c r="TKX29" s="819"/>
      <c r="TKY29" s="819"/>
      <c r="TKZ29" s="819"/>
      <c r="TLA29" s="819"/>
      <c r="TLB29" s="819"/>
      <c r="TLC29" s="819"/>
      <c r="TLD29" s="819"/>
      <c r="TLE29" s="819"/>
      <c r="TLF29" s="819"/>
      <c r="TLG29" s="819"/>
      <c r="TLH29" s="819"/>
      <c r="TLI29" s="819"/>
      <c r="TLJ29" s="819"/>
      <c r="TLK29" s="819"/>
      <c r="TLL29" s="819"/>
      <c r="TLM29" s="819"/>
      <c r="TLN29" s="819"/>
      <c r="TLO29" s="819"/>
      <c r="TLP29" s="819"/>
      <c r="TLQ29" s="819"/>
      <c r="TLR29" s="819"/>
      <c r="TLS29" s="819"/>
      <c r="TLT29" s="819"/>
      <c r="TLU29" s="819"/>
      <c r="TLV29" s="819"/>
      <c r="TLW29" s="819"/>
      <c r="TLX29" s="819"/>
      <c r="TLY29" s="819"/>
      <c r="TLZ29" s="819"/>
      <c r="TMA29" s="819"/>
      <c r="TMB29" s="819"/>
      <c r="TMC29" s="819"/>
      <c r="TMD29" s="819"/>
      <c r="TME29" s="819"/>
      <c r="TMF29" s="819"/>
      <c r="TMG29" s="819"/>
      <c r="TMH29" s="819"/>
      <c r="TMI29" s="819"/>
      <c r="TMJ29" s="819"/>
      <c r="TMK29" s="819"/>
      <c r="TML29" s="819"/>
      <c r="TMM29" s="819"/>
      <c r="TMN29" s="819"/>
      <c r="TMO29" s="819"/>
      <c r="TMP29" s="819"/>
      <c r="TMQ29" s="819"/>
      <c r="TMR29" s="819"/>
      <c r="TMS29" s="819"/>
      <c r="TMT29" s="819"/>
      <c r="TMU29" s="819"/>
      <c r="TMV29" s="819"/>
      <c r="TMW29" s="819"/>
      <c r="TMX29" s="819"/>
      <c r="TMY29" s="819"/>
      <c r="TMZ29" s="819"/>
      <c r="TNA29" s="819"/>
      <c r="TNB29" s="819"/>
      <c r="TNC29" s="819"/>
      <c r="TND29" s="819"/>
      <c r="TNE29" s="819"/>
      <c r="TNF29" s="819"/>
      <c r="TNG29" s="819"/>
      <c r="TNH29" s="819"/>
      <c r="TNI29" s="819"/>
      <c r="TNJ29" s="819"/>
      <c r="TNK29" s="819"/>
      <c r="TNL29" s="819"/>
      <c r="TNM29" s="819"/>
      <c r="TNN29" s="819"/>
      <c r="TNO29" s="819"/>
      <c r="TNP29" s="819"/>
      <c r="TNQ29" s="819"/>
      <c r="TNR29" s="819"/>
      <c r="TNS29" s="819"/>
      <c r="TNT29" s="819"/>
      <c r="TNU29" s="819"/>
      <c r="TNV29" s="819"/>
      <c r="TNW29" s="819"/>
      <c r="TNX29" s="819"/>
      <c r="TNY29" s="819"/>
      <c r="TNZ29" s="819"/>
      <c r="TOA29" s="819"/>
      <c r="TOB29" s="819"/>
      <c r="TOC29" s="819"/>
      <c r="TOD29" s="819"/>
      <c r="TOE29" s="819"/>
      <c r="TOF29" s="819"/>
      <c r="TOG29" s="819"/>
      <c r="TOH29" s="819"/>
      <c r="TOI29" s="819"/>
      <c r="TOJ29" s="819"/>
      <c r="TOK29" s="819"/>
      <c r="TOL29" s="819"/>
      <c r="TOM29" s="819"/>
      <c r="TON29" s="819"/>
      <c r="TOO29" s="819"/>
      <c r="TOP29" s="819"/>
      <c r="TOQ29" s="819"/>
      <c r="TOR29" s="819"/>
      <c r="TOS29" s="819"/>
      <c r="TOT29" s="819"/>
      <c r="TOU29" s="819"/>
      <c r="TOV29" s="819"/>
      <c r="TOW29" s="819"/>
      <c r="TOX29" s="819"/>
      <c r="TOY29" s="819"/>
      <c r="TOZ29" s="819"/>
      <c r="TPA29" s="819"/>
      <c r="TPB29" s="819"/>
      <c r="TPC29" s="819"/>
      <c r="TPD29" s="819"/>
      <c r="TPE29" s="819"/>
      <c r="TPF29" s="819"/>
      <c r="TPG29" s="819"/>
      <c r="TPH29" s="819"/>
      <c r="TPI29" s="819"/>
      <c r="TPJ29" s="819"/>
      <c r="TPK29" s="819"/>
      <c r="TPL29" s="819"/>
      <c r="TPM29" s="819"/>
      <c r="TPN29" s="819"/>
      <c r="TPO29" s="819"/>
      <c r="TPP29" s="819"/>
      <c r="TPQ29" s="819"/>
      <c r="TPR29" s="819"/>
      <c r="TPS29" s="819"/>
      <c r="TPT29" s="819"/>
      <c r="TPU29" s="819"/>
      <c r="TPV29" s="819"/>
      <c r="TPW29" s="819"/>
      <c r="TPX29" s="819"/>
      <c r="TPY29" s="819"/>
      <c r="TPZ29" s="819"/>
      <c r="TQA29" s="819"/>
      <c r="TQB29" s="819"/>
      <c r="TQC29" s="819"/>
      <c r="TQD29" s="819"/>
      <c r="TQE29" s="819"/>
      <c r="TQF29" s="819"/>
      <c r="TQG29" s="819"/>
      <c r="TQH29" s="819"/>
      <c r="TQI29" s="819"/>
      <c r="TQJ29" s="819"/>
      <c r="TQK29" s="819"/>
      <c r="TQL29" s="819"/>
      <c r="TQM29" s="819"/>
      <c r="TQN29" s="819"/>
      <c r="TQO29" s="819"/>
      <c r="TQP29" s="819"/>
      <c r="TQQ29" s="819"/>
      <c r="TQR29" s="819"/>
      <c r="TQS29" s="819"/>
      <c r="TQT29" s="819"/>
      <c r="TQU29" s="819"/>
      <c r="TQV29" s="819"/>
      <c r="TQW29" s="819"/>
      <c r="TQX29" s="819"/>
      <c r="TQY29" s="819"/>
      <c r="TQZ29" s="819"/>
      <c r="TRA29" s="819"/>
      <c r="TRB29" s="819"/>
      <c r="TRC29" s="819"/>
      <c r="TRD29" s="819"/>
      <c r="TRE29" s="819"/>
      <c r="TRF29" s="819"/>
      <c r="TRG29" s="819"/>
      <c r="TRH29" s="819"/>
      <c r="TRI29" s="819"/>
      <c r="TRJ29" s="819"/>
      <c r="TRK29" s="819"/>
      <c r="TRL29" s="819"/>
      <c r="TRM29" s="819"/>
      <c r="TRN29" s="819"/>
      <c r="TRO29" s="819"/>
      <c r="TRP29" s="819"/>
      <c r="TRQ29" s="819"/>
      <c r="TRR29" s="819"/>
      <c r="TRS29" s="819"/>
      <c r="TRT29" s="819"/>
      <c r="TRU29" s="819"/>
      <c r="TRV29" s="819"/>
      <c r="TRW29" s="819"/>
      <c r="TRX29" s="819"/>
      <c r="TRY29" s="819"/>
      <c r="TRZ29" s="819"/>
      <c r="TSA29" s="819"/>
      <c r="TSB29" s="819"/>
      <c r="TSC29" s="819"/>
      <c r="TSD29" s="819"/>
      <c r="TSE29" s="819"/>
      <c r="TSF29" s="819"/>
      <c r="TSG29" s="819"/>
      <c r="TSH29" s="819"/>
      <c r="TSI29" s="819"/>
      <c r="TSJ29" s="819"/>
      <c r="TSK29" s="819"/>
      <c r="TSL29" s="819"/>
      <c r="TSM29" s="819"/>
      <c r="TSN29" s="819"/>
      <c r="TSO29" s="819"/>
      <c r="TSP29" s="819"/>
      <c r="TSQ29" s="819"/>
      <c r="TSR29" s="819"/>
      <c r="TSS29" s="819"/>
      <c r="TST29" s="819"/>
      <c r="TSU29" s="819"/>
      <c r="TSV29" s="819"/>
      <c r="TSW29" s="819"/>
      <c r="TSX29" s="819"/>
      <c r="TSY29" s="819"/>
      <c r="TSZ29" s="819"/>
      <c r="TTA29" s="819"/>
      <c r="TTB29" s="819"/>
      <c r="TTC29" s="819"/>
      <c r="TTD29" s="819"/>
      <c r="TTE29" s="819"/>
      <c r="TTF29" s="819"/>
      <c r="TTG29" s="819"/>
      <c r="TTH29" s="819"/>
      <c r="TTI29" s="819"/>
      <c r="TTJ29" s="819"/>
      <c r="TTK29" s="819"/>
      <c r="TTL29" s="819"/>
      <c r="TTM29" s="819"/>
      <c r="TTN29" s="819"/>
      <c r="TTO29" s="819"/>
      <c r="TTP29" s="819"/>
      <c r="TTQ29" s="819"/>
      <c r="TTR29" s="819"/>
      <c r="TTS29" s="819"/>
      <c r="TTT29" s="819"/>
      <c r="TTU29" s="819"/>
      <c r="TTV29" s="819"/>
      <c r="TTW29" s="819"/>
      <c r="TTX29" s="819"/>
      <c r="TTY29" s="819"/>
      <c r="TTZ29" s="819"/>
      <c r="TUA29" s="819"/>
      <c r="TUB29" s="819"/>
      <c r="TUC29" s="819"/>
      <c r="TUD29" s="819"/>
      <c r="TUE29" s="819"/>
      <c r="TUF29" s="819"/>
      <c r="TUG29" s="819"/>
      <c r="TUH29" s="819"/>
      <c r="TUI29" s="819"/>
      <c r="TUJ29" s="819"/>
      <c r="TUK29" s="819"/>
      <c r="TUL29" s="819"/>
      <c r="TUM29" s="819"/>
      <c r="TUN29" s="819"/>
      <c r="TUO29" s="819"/>
      <c r="TUP29" s="819"/>
      <c r="TUQ29" s="819"/>
      <c r="TUR29" s="819"/>
      <c r="TUS29" s="819"/>
      <c r="TUT29" s="819"/>
      <c r="TUU29" s="819"/>
      <c r="TUV29" s="819"/>
      <c r="TUW29" s="819"/>
      <c r="TUX29" s="819"/>
      <c r="TUY29" s="819"/>
      <c r="TUZ29" s="819"/>
      <c r="TVA29" s="819"/>
      <c r="TVB29" s="819"/>
      <c r="TVC29" s="819"/>
      <c r="TVD29" s="819"/>
      <c r="TVE29" s="819"/>
      <c r="TVF29" s="819"/>
      <c r="TVG29" s="819"/>
      <c r="TVH29" s="819"/>
      <c r="TVI29" s="819"/>
      <c r="TVJ29" s="819"/>
      <c r="TVK29" s="819"/>
      <c r="TVL29" s="819"/>
      <c r="TVM29" s="819"/>
      <c r="TVN29" s="819"/>
      <c r="TVO29" s="819"/>
      <c r="TVP29" s="819"/>
      <c r="TVQ29" s="819"/>
      <c r="TVR29" s="819"/>
      <c r="TVS29" s="819"/>
      <c r="TVT29" s="819"/>
      <c r="TVU29" s="819"/>
      <c r="TVV29" s="819"/>
      <c r="TVW29" s="819"/>
      <c r="TVX29" s="819"/>
      <c r="TVY29" s="819"/>
      <c r="TVZ29" s="819"/>
      <c r="TWA29" s="819"/>
      <c r="TWB29" s="819"/>
      <c r="TWC29" s="819"/>
      <c r="TWD29" s="819"/>
      <c r="TWE29" s="819"/>
      <c r="TWF29" s="819"/>
      <c r="TWG29" s="819"/>
      <c r="TWH29" s="819"/>
      <c r="TWI29" s="819"/>
      <c r="TWJ29" s="819"/>
      <c r="TWK29" s="819"/>
      <c r="TWL29" s="819"/>
      <c r="TWM29" s="819"/>
      <c r="TWN29" s="819"/>
      <c r="TWO29" s="819"/>
      <c r="TWP29" s="819"/>
      <c r="TWQ29" s="819"/>
      <c r="TWR29" s="819"/>
      <c r="TWS29" s="819"/>
      <c r="TWT29" s="819"/>
      <c r="TWU29" s="819"/>
      <c r="TWV29" s="819"/>
      <c r="TWW29" s="819"/>
      <c r="TWX29" s="819"/>
      <c r="TWY29" s="819"/>
      <c r="TWZ29" s="819"/>
      <c r="TXA29" s="819"/>
      <c r="TXB29" s="819"/>
      <c r="TXC29" s="819"/>
      <c r="TXD29" s="819"/>
      <c r="TXE29" s="819"/>
      <c r="TXF29" s="819"/>
      <c r="TXG29" s="819"/>
      <c r="TXH29" s="819"/>
      <c r="TXI29" s="819"/>
      <c r="TXJ29" s="819"/>
      <c r="TXK29" s="819"/>
      <c r="TXL29" s="819"/>
      <c r="TXM29" s="819"/>
      <c r="TXN29" s="819"/>
      <c r="TXO29" s="819"/>
      <c r="TXP29" s="819"/>
      <c r="TXQ29" s="819"/>
      <c r="TXR29" s="819"/>
      <c r="TXS29" s="819"/>
      <c r="TXT29" s="819"/>
      <c r="TXU29" s="819"/>
      <c r="TXV29" s="819"/>
      <c r="TXW29" s="819"/>
      <c r="TXX29" s="819"/>
      <c r="TXY29" s="819"/>
      <c r="TXZ29" s="819"/>
      <c r="TYA29" s="819"/>
      <c r="TYB29" s="819"/>
      <c r="TYC29" s="819"/>
      <c r="TYD29" s="819"/>
      <c r="TYE29" s="819"/>
      <c r="TYF29" s="819"/>
      <c r="TYG29" s="819"/>
      <c r="TYH29" s="819"/>
      <c r="TYI29" s="819"/>
      <c r="TYJ29" s="819"/>
      <c r="TYK29" s="819"/>
      <c r="TYL29" s="819"/>
      <c r="TYM29" s="819"/>
      <c r="TYN29" s="819"/>
      <c r="TYO29" s="819"/>
      <c r="TYP29" s="819"/>
      <c r="TYQ29" s="819"/>
      <c r="TYR29" s="819"/>
      <c r="TYS29" s="819"/>
      <c r="TYT29" s="819"/>
      <c r="TYU29" s="819"/>
      <c r="TYV29" s="819"/>
      <c r="TYW29" s="819"/>
      <c r="TYX29" s="819"/>
      <c r="TYY29" s="819"/>
      <c r="TYZ29" s="819"/>
      <c r="TZA29" s="819"/>
      <c r="TZB29" s="819"/>
      <c r="TZC29" s="819"/>
      <c r="TZD29" s="819"/>
      <c r="TZE29" s="819"/>
      <c r="TZF29" s="819"/>
      <c r="TZG29" s="819"/>
      <c r="TZH29" s="819"/>
      <c r="TZI29" s="819"/>
      <c r="TZJ29" s="819"/>
      <c r="TZK29" s="819"/>
      <c r="TZL29" s="819"/>
      <c r="TZM29" s="819"/>
      <c r="TZN29" s="819"/>
      <c r="TZO29" s="819"/>
      <c r="TZP29" s="819"/>
      <c r="TZQ29" s="819"/>
      <c r="TZR29" s="819"/>
      <c r="TZS29" s="819"/>
      <c r="TZT29" s="819"/>
      <c r="TZU29" s="819"/>
      <c r="TZV29" s="819"/>
      <c r="TZW29" s="819"/>
      <c r="TZX29" s="819"/>
      <c r="TZY29" s="819"/>
      <c r="TZZ29" s="819"/>
      <c r="UAA29" s="819"/>
      <c r="UAB29" s="819"/>
      <c r="UAC29" s="819"/>
      <c r="UAD29" s="819"/>
      <c r="UAE29" s="819"/>
      <c r="UAF29" s="819"/>
      <c r="UAG29" s="819"/>
      <c r="UAH29" s="819"/>
      <c r="UAI29" s="819"/>
      <c r="UAJ29" s="819"/>
      <c r="UAK29" s="819"/>
      <c r="UAL29" s="819"/>
      <c r="UAM29" s="819"/>
      <c r="UAN29" s="819"/>
      <c r="UAO29" s="819"/>
      <c r="UAP29" s="819"/>
      <c r="UAQ29" s="819"/>
      <c r="UAR29" s="819"/>
      <c r="UAS29" s="819"/>
      <c r="UAT29" s="819"/>
      <c r="UAU29" s="819"/>
      <c r="UAV29" s="819"/>
      <c r="UAW29" s="819"/>
      <c r="UAX29" s="819"/>
      <c r="UAY29" s="819"/>
      <c r="UAZ29" s="819"/>
      <c r="UBA29" s="819"/>
      <c r="UBB29" s="819"/>
      <c r="UBC29" s="819"/>
      <c r="UBD29" s="819"/>
      <c r="UBE29" s="819"/>
      <c r="UBF29" s="819"/>
      <c r="UBG29" s="819"/>
      <c r="UBH29" s="819"/>
      <c r="UBI29" s="819"/>
      <c r="UBJ29" s="819"/>
      <c r="UBK29" s="819"/>
      <c r="UBL29" s="819"/>
      <c r="UBM29" s="819"/>
      <c r="UBN29" s="819"/>
      <c r="UBO29" s="819"/>
      <c r="UBP29" s="819"/>
      <c r="UBQ29" s="819"/>
      <c r="UBR29" s="819"/>
      <c r="UBS29" s="819"/>
      <c r="UBT29" s="819"/>
      <c r="UBU29" s="819"/>
      <c r="UBV29" s="819"/>
      <c r="UBW29" s="819"/>
      <c r="UBX29" s="819"/>
      <c r="UBY29" s="819"/>
      <c r="UBZ29" s="819"/>
      <c r="UCA29" s="819"/>
      <c r="UCB29" s="819"/>
      <c r="UCC29" s="819"/>
      <c r="UCD29" s="819"/>
      <c r="UCE29" s="819"/>
      <c r="UCF29" s="819"/>
      <c r="UCG29" s="819"/>
      <c r="UCH29" s="819"/>
      <c r="UCI29" s="819"/>
      <c r="UCJ29" s="819"/>
      <c r="UCK29" s="819"/>
      <c r="UCL29" s="819"/>
      <c r="UCM29" s="819"/>
      <c r="UCN29" s="819"/>
      <c r="UCO29" s="819"/>
      <c r="UCP29" s="819"/>
      <c r="UCQ29" s="819"/>
      <c r="UCR29" s="819"/>
      <c r="UCS29" s="819"/>
      <c r="UCT29" s="819"/>
      <c r="UCU29" s="819"/>
      <c r="UCV29" s="819"/>
      <c r="UCW29" s="819"/>
      <c r="UCX29" s="819"/>
      <c r="UCY29" s="819"/>
      <c r="UCZ29" s="819"/>
      <c r="UDA29" s="819"/>
      <c r="UDB29" s="819"/>
      <c r="UDC29" s="819"/>
      <c r="UDD29" s="819"/>
      <c r="UDE29" s="819"/>
      <c r="UDF29" s="819"/>
      <c r="UDG29" s="819"/>
      <c r="UDH29" s="819"/>
      <c r="UDI29" s="819"/>
      <c r="UDJ29" s="819"/>
      <c r="UDK29" s="819"/>
      <c r="UDL29" s="819"/>
      <c r="UDM29" s="819"/>
      <c r="UDN29" s="819"/>
      <c r="UDO29" s="819"/>
      <c r="UDP29" s="819"/>
      <c r="UDQ29" s="819"/>
      <c r="UDR29" s="819"/>
      <c r="UDS29" s="819"/>
      <c r="UDT29" s="819"/>
      <c r="UDU29" s="819"/>
      <c r="UDV29" s="819"/>
      <c r="UDW29" s="819"/>
      <c r="UDX29" s="819"/>
      <c r="UDY29" s="819"/>
      <c r="UDZ29" s="819"/>
      <c r="UEA29" s="819"/>
      <c r="UEB29" s="819"/>
      <c r="UEC29" s="819"/>
      <c r="UED29" s="819"/>
      <c r="UEE29" s="819"/>
      <c r="UEF29" s="819"/>
      <c r="UEG29" s="819"/>
      <c r="UEH29" s="819"/>
      <c r="UEI29" s="819"/>
      <c r="UEJ29" s="819"/>
      <c r="UEK29" s="819"/>
      <c r="UEL29" s="819"/>
      <c r="UEM29" s="819"/>
      <c r="UEN29" s="819"/>
      <c r="UEO29" s="819"/>
      <c r="UEP29" s="819"/>
      <c r="UEQ29" s="819"/>
      <c r="UER29" s="819"/>
      <c r="UES29" s="819"/>
      <c r="UET29" s="819"/>
      <c r="UEU29" s="819"/>
      <c r="UEV29" s="819"/>
      <c r="UEW29" s="819"/>
      <c r="UEX29" s="819"/>
      <c r="UEY29" s="819"/>
      <c r="UEZ29" s="819"/>
      <c r="UFA29" s="819"/>
      <c r="UFB29" s="819"/>
      <c r="UFC29" s="819"/>
      <c r="UFD29" s="819"/>
      <c r="UFE29" s="819"/>
      <c r="UFF29" s="819"/>
      <c r="UFG29" s="819"/>
      <c r="UFH29" s="819"/>
      <c r="UFI29" s="819"/>
      <c r="UFJ29" s="819"/>
      <c r="UFK29" s="819"/>
      <c r="UFL29" s="819"/>
      <c r="UFM29" s="819"/>
      <c r="UFN29" s="819"/>
      <c r="UFO29" s="819"/>
      <c r="UFP29" s="819"/>
      <c r="UFQ29" s="819"/>
      <c r="UFR29" s="819"/>
      <c r="UFS29" s="819"/>
      <c r="UFT29" s="819"/>
      <c r="UFU29" s="819"/>
      <c r="UFV29" s="819"/>
      <c r="UFW29" s="819"/>
      <c r="UFX29" s="819"/>
      <c r="UFY29" s="819"/>
      <c r="UFZ29" s="819"/>
      <c r="UGA29" s="819"/>
      <c r="UGB29" s="819"/>
      <c r="UGC29" s="819"/>
      <c r="UGD29" s="819"/>
      <c r="UGE29" s="819"/>
      <c r="UGF29" s="819"/>
      <c r="UGG29" s="819"/>
      <c r="UGH29" s="819"/>
      <c r="UGI29" s="819"/>
      <c r="UGJ29" s="819"/>
      <c r="UGK29" s="819"/>
      <c r="UGL29" s="819"/>
      <c r="UGM29" s="819"/>
      <c r="UGN29" s="819"/>
      <c r="UGO29" s="819"/>
      <c r="UGP29" s="819"/>
      <c r="UGQ29" s="819"/>
      <c r="UGR29" s="819"/>
      <c r="UGS29" s="819"/>
      <c r="UGT29" s="819"/>
      <c r="UGU29" s="819"/>
      <c r="UGV29" s="819"/>
      <c r="UGW29" s="819"/>
      <c r="UGX29" s="819"/>
      <c r="UGY29" s="819"/>
      <c r="UGZ29" s="819"/>
      <c r="UHA29" s="819"/>
      <c r="UHB29" s="819"/>
      <c r="UHC29" s="819"/>
      <c r="UHD29" s="819"/>
      <c r="UHE29" s="819"/>
      <c r="UHF29" s="819"/>
      <c r="UHG29" s="819"/>
      <c r="UHH29" s="819"/>
      <c r="UHI29" s="819"/>
      <c r="UHJ29" s="819"/>
      <c r="UHK29" s="819"/>
      <c r="UHL29" s="819"/>
      <c r="UHM29" s="819"/>
      <c r="UHN29" s="819"/>
      <c r="UHO29" s="819"/>
      <c r="UHP29" s="819"/>
      <c r="UHQ29" s="819"/>
      <c r="UHR29" s="819"/>
      <c r="UHS29" s="819"/>
      <c r="UHT29" s="819"/>
      <c r="UHU29" s="819"/>
      <c r="UHV29" s="819"/>
      <c r="UHW29" s="819"/>
      <c r="UHX29" s="819"/>
      <c r="UHY29" s="819"/>
      <c r="UHZ29" s="819"/>
      <c r="UIA29" s="819"/>
      <c r="UIB29" s="819"/>
      <c r="UIC29" s="819"/>
      <c r="UID29" s="819"/>
      <c r="UIE29" s="819"/>
      <c r="UIF29" s="819"/>
      <c r="UIG29" s="819"/>
      <c r="UIH29" s="819"/>
      <c r="UII29" s="819"/>
      <c r="UIJ29" s="819"/>
      <c r="UIK29" s="819"/>
      <c r="UIL29" s="819"/>
      <c r="UIM29" s="819"/>
      <c r="UIN29" s="819"/>
      <c r="UIO29" s="819"/>
      <c r="UIP29" s="819"/>
      <c r="UIQ29" s="819"/>
      <c r="UIR29" s="819"/>
      <c r="UIS29" s="819"/>
      <c r="UIT29" s="819"/>
      <c r="UIU29" s="819"/>
      <c r="UIV29" s="819"/>
      <c r="UIW29" s="819"/>
      <c r="UIX29" s="819"/>
      <c r="UIY29" s="819"/>
      <c r="UIZ29" s="819"/>
      <c r="UJA29" s="819"/>
      <c r="UJB29" s="819"/>
      <c r="UJC29" s="819"/>
      <c r="UJD29" s="819"/>
      <c r="UJE29" s="819"/>
      <c r="UJF29" s="819"/>
      <c r="UJG29" s="819"/>
      <c r="UJH29" s="819"/>
      <c r="UJI29" s="819"/>
      <c r="UJJ29" s="819"/>
      <c r="UJK29" s="819"/>
      <c r="UJL29" s="819"/>
      <c r="UJM29" s="819"/>
      <c r="UJN29" s="819"/>
      <c r="UJO29" s="819"/>
      <c r="UJP29" s="819"/>
      <c r="UJQ29" s="819"/>
      <c r="UJR29" s="819"/>
      <c r="UJS29" s="819"/>
      <c r="UJT29" s="819"/>
      <c r="UJU29" s="819"/>
      <c r="UJV29" s="819"/>
      <c r="UJW29" s="819"/>
      <c r="UJX29" s="819"/>
      <c r="UJY29" s="819"/>
      <c r="UJZ29" s="819"/>
      <c r="UKA29" s="819"/>
      <c r="UKB29" s="819"/>
      <c r="UKC29" s="819"/>
      <c r="UKD29" s="819"/>
      <c r="UKE29" s="819"/>
      <c r="UKF29" s="819"/>
      <c r="UKG29" s="819"/>
      <c r="UKH29" s="819"/>
      <c r="UKI29" s="819"/>
      <c r="UKJ29" s="819"/>
      <c r="UKK29" s="819"/>
      <c r="UKL29" s="819"/>
      <c r="UKM29" s="819"/>
      <c r="UKN29" s="819"/>
      <c r="UKO29" s="819"/>
      <c r="UKP29" s="819"/>
      <c r="UKQ29" s="819"/>
      <c r="UKR29" s="819"/>
      <c r="UKS29" s="819"/>
      <c r="UKT29" s="819"/>
      <c r="UKU29" s="819"/>
      <c r="UKV29" s="819"/>
      <c r="UKW29" s="819"/>
      <c r="UKX29" s="819"/>
      <c r="UKY29" s="819"/>
      <c r="UKZ29" s="819"/>
      <c r="ULA29" s="819"/>
      <c r="ULB29" s="819"/>
      <c r="ULC29" s="819"/>
      <c r="ULD29" s="819"/>
      <c r="ULE29" s="819"/>
      <c r="ULF29" s="819"/>
      <c r="ULG29" s="819"/>
      <c r="ULH29" s="819"/>
      <c r="ULI29" s="819"/>
      <c r="ULJ29" s="819"/>
      <c r="ULK29" s="819"/>
      <c r="ULL29" s="819"/>
      <c r="ULM29" s="819"/>
      <c r="ULN29" s="819"/>
      <c r="ULO29" s="819"/>
      <c r="ULP29" s="819"/>
      <c r="ULQ29" s="819"/>
      <c r="ULR29" s="819"/>
      <c r="ULS29" s="819"/>
      <c r="ULT29" s="819"/>
      <c r="ULU29" s="819"/>
      <c r="ULV29" s="819"/>
      <c r="ULW29" s="819"/>
      <c r="ULX29" s="819"/>
      <c r="ULY29" s="819"/>
      <c r="ULZ29" s="819"/>
      <c r="UMA29" s="819"/>
      <c r="UMB29" s="819"/>
      <c r="UMC29" s="819"/>
      <c r="UMD29" s="819"/>
      <c r="UME29" s="819"/>
      <c r="UMF29" s="819"/>
      <c r="UMG29" s="819"/>
      <c r="UMH29" s="819"/>
      <c r="UMI29" s="819"/>
      <c r="UMJ29" s="819"/>
      <c r="UMK29" s="819"/>
      <c r="UML29" s="819"/>
      <c r="UMM29" s="819"/>
      <c r="UMN29" s="819"/>
      <c r="UMO29" s="819"/>
      <c r="UMP29" s="819"/>
      <c r="UMQ29" s="819"/>
      <c r="UMR29" s="819"/>
      <c r="UMS29" s="819"/>
      <c r="UMT29" s="819"/>
      <c r="UMU29" s="819"/>
      <c r="UMV29" s="819"/>
      <c r="UMW29" s="819"/>
      <c r="UMX29" s="819"/>
      <c r="UMY29" s="819"/>
      <c r="UMZ29" s="819"/>
      <c r="UNA29" s="819"/>
      <c r="UNB29" s="819"/>
      <c r="UNC29" s="819"/>
      <c r="UND29" s="819"/>
      <c r="UNE29" s="819"/>
      <c r="UNF29" s="819"/>
      <c r="UNG29" s="819"/>
      <c r="UNH29" s="819"/>
      <c r="UNI29" s="819"/>
      <c r="UNJ29" s="819"/>
      <c r="UNK29" s="819"/>
      <c r="UNL29" s="819"/>
      <c r="UNM29" s="819"/>
      <c r="UNN29" s="819"/>
      <c r="UNO29" s="819"/>
      <c r="UNP29" s="819"/>
      <c r="UNQ29" s="819"/>
      <c r="UNR29" s="819"/>
      <c r="UNS29" s="819"/>
      <c r="UNT29" s="819"/>
      <c r="UNU29" s="819"/>
      <c r="UNV29" s="819"/>
      <c r="UNW29" s="819"/>
      <c r="UNX29" s="819"/>
      <c r="UNY29" s="819"/>
      <c r="UNZ29" s="819"/>
      <c r="UOA29" s="819"/>
      <c r="UOB29" s="819"/>
      <c r="UOC29" s="819"/>
      <c r="UOD29" s="819"/>
      <c r="UOE29" s="819"/>
      <c r="UOF29" s="819"/>
      <c r="UOG29" s="819"/>
      <c r="UOH29" s="819"/>
      <c r="UOI29" s="819"/>
      <c r="UOJ29" s="819"/>
      <c r="UOK29" s="819"/>
      <c r="UOL29" s="819"/>
      <c r="UOM29" s="819"/>
      <c r="UON29" s="819"/>
      <c r="UOO29" s="819"/>
      <c r="UOP29" s="819"/>
      <c r="UOQ29" s="819"/>
      <c r="UOR29" s="819"/>
      <c r="UOS29" s="819"/>
      <c r="UOT29" s="819"/>
      <c r="UOU29" s="819"/>
      <c r="UOV29" s="819"/>
      <c r="UOW29" s="819"/>
      <c r="UOX29" s="819"/>
      <c r="UOY29" s="819"/>
      <c r="UOZ29" s="819"/>
      <c r="UPA29" s="819"/>
      <c r="UPB29" s="819"/>
      <c r="UPC29" s="819"/>
      <c r="UPD29" s="819"/>
      <c r="UPE29" s="819"/>
      <c r="UPF29" s="819"/>
      <c r="UPG29" s="819"/>
      <c r="UPH29" s="819"/>
      <c r="UPI29" s="819"/>
      <c r="UPJ29" s="819"/>
      <c r="UPK29" s="819"/>
      <c r="UPL29" s="819"/>
      <c r="UPM29" s="819"/>
      <c r="UPN29" s="819"/>
      <c r="UPO29" s="819"/>
      <c r="UPP29" s="819"/>
      <c r="UPQ29" s="819"/>
      <c r="UPR29" s="819"/>
      <c r="UPS29" s="819"/>
      <c r="UPT29" s="819"/>
      <c r="UPU29" s="819"/>
      <c r="UPV29" s="819"/>
      <c r="UPW29" s="819"/>
      <c r="UPX29" s="819"/>
      <c r="UPY29" s="819"/>
      <c r="UPZ29" s="819"/>
      <c r="UQA29" s="819"/>
      <c r="UQB29" s="819"/>
      <c r="UQC29" s="819"/>
      <c r="UQD29" s="819"/>
      <c r="UQE29" s="819"/>
      <c r="UQF29" s="819"/>
      <c r="UQG29" s="819"/>
      <c r="UQH29" s="819"/>
      <c r="UQI29" s="819"/>
      <c r="UQJ29" s="819"/>
      <c r="UQK29" s="819"/>
      <c r="UQL29" s="819"/>
      <c r="UQM29" s="819"/>
      <c r="UQN29" s="819"/>
      <c r="UQO29" s="819"/>
      <c r="UQP29" s="819"/>
      <c r="UQQ29" s="819"/>
      <c r="UQR29" s="819"/>
      <c r="UQS29" s="819"/>
      <c r="UQT29" s="819"/>
      <c r="UQU29" s="819"/>
      <c r="UQV29" s="819"/>
      <c r="UQW29" s="819"/>
      <c r="UQX29" s="819"/>
      <c r="UQY29" s="819"/>
      <c r="UQZ29" s="819"/>
      <c r="URA29" s="819"/>
      <c r="URB29" s="819"/>
      <c r="URC29" s="819"/>
      <c r="URD29" s="819"/>
      <c r="URE29" s="819"/>
      <c r="URF29" s="819"/>
      <c r="URG29" s="819"/>
      <c r="URH29" s="819"/>
      <c r="URI29" s="819"/>
      <c r="URJ29" s="819"/>
      <c r="URK29" s="819"/>
      <c r="URL29" s="819"/>
      <c r="URM29" s="819"/>
      <c r="URN29" s="819"/>
      <c r="URO29" s="819"/>
      <c r="URP29" s="819"/>
      <c r="URQ29" s="819"/>
      <c r="URR29" s="819"/>
      <c r="URS29" s="819"/>
      <c r="URT29" s="819"/>
      <c r="URU29" s="819"/>
      <c r="URV29" s="819"/>
      <c r="URW29" s="819"/>
      <c r="URX29" s="819"/>
      <c r="URY29" s="819"/>
      <c r="URZ29" s="819"/>
      <c r="USA29" s="819"/>
      <c r="USB29" s="819"/>
      <c r="USC29" s="819"/>
      <c r="USD29" s="819"/>
      <c r="USE29" s="819"/>
      <c r="USF29" s="819"/>
      <c r="USG29" s="819"/>
      <c r="USH29" s="819"/>
      <c r="USI29" s="819"/>
      <c r="USJ29" s="819"/>
      <c r="USK29" s="819"/>
      <c r="USL29" s="819"/>
      <c r="USM29" s="819"/>
      <c r="USN29" s="819"/>
      <c r="USO29" s="819"/>
      <c r="USP29" s="819"/>
      <c r="USQ29" s="819"/>
      <c r="USR29" s="819"/>
      <c r="USS29" s="819"/>
      <c r="UST29" s="819"/>
      <c r="USU29" s="819"/>
      <c r="USV29" s="819"/>
      <c r="USW29" s="819"/>
      <c r="USX29" s="819"/>
      <c r="USY29" s="819"/>
      <c r="USZ29" s="819"/>
      <c r="UTA29" s="819"/>
      <c r="UTB29" s="819"/>
      <c r="UTC29" s="819"/>
      <c r="UTD29" s="819"/>
      <c r="UTE29" s="819"/>
      <c r="UTF29" s="819"/>
      <c r="UTG29" s="819"/>
      <c r="UTH29" s="819"/>
      <c r="UTI29" s="819"/>
      <c r="UTJ29" s="819"/>
      <c r="UTK29" s="819"/>
      <c r="UTL29" s="819"/>
      <c r="UTM29" s="819"/>
      <c r="UTN29" s="819"/>
      <c r="UTO29" s="819"/>
      <c r="UTP29" s="819"/>
      <c r="UTQ29" s="819"/>
      <c r="UTR29" s="819"/>
      <c r="UTS29" s="819"/>
      <c r="UTT29" s="819"/>
      <c r="UTU29" s="819"/>
      <c r="UTV29" s="819"/>
      <c r="UTW29" s="819"/>
      <c r="UTX29" s="819"/>
      <c r="UTY29" s="819"/>
      <c r="UTZ29" s="819"/>
      <c r="UUA29" s="819"/>
      <c r="UUB29" s="819"/>
      <c r="UUC29" s="819"/>
      <c r="UUD29" s="819"/>
      <c r="UUE29" s="819"/>
      <c r="UUF29" s="819"/>
      <c r="UUG29" s="819"/>
      <c r="UUH29" s="819"/>
      <c r="UUI29" s="819"/>
      <c r="UUJ29" s="819"/>
      <c r="UUK29" s="819"/>
      <c r="UUL29" s="819"/>
      <c r="UUM29" s="819"/>
      <c r="UUN29" s="819"/>
      <c r="UUO29" s="819"/>
      <c r="UUP29" s="819"/>
      <c r="UUQ29" s="819"/>
      <c r="UUR29" s="819"/>
      <c r="UUS29" s="819"/>
      <c r="UUT29" s="819"/>
      <c r="UUU29" s="819"/>
      <c r="UUV29" s="819"/>
      <c r="UUW29" s="819"/>
      <c r="UUX29" s="819"/>
      <c r="UUY29" s="819"/>
      <c r="UUZ29" s="819"/>
      <c r="UVA29" s="819"/>
      <c r="UVB29" s="819"/>
      <c r="UVC29" s="819"/>
      <c r="UVD29" s="819"/>
      <c r="UVE29" s="819"/>
      <c r="UVF29" s="819"/>
      <c r="UVG29" s="819"/>
      <c r="UVH29" s="819"/>
      <c r="UVI29" s="819"/>
      <c r="UVJ29" s="819"/>
      <c r="UVK29" s="819"/>
      <c r="UVL29" s="819"/>
      <c r="UVM29" s="819"/>
      <c r="UVN29" s="819"/>
      <c r="UVO29" s="819"/>
      <c r="UVP29" s="819"/>
      <c r="UVQ29" s="819"/>
      <c r="UVR29" s="819"/>
      <c r="UVS29" s="819"/>
      <c r="UVT29" s="819"/>
      <c r="UVU29" s="819"/>
      <c r="UVV29" s="819"/>
      <c r="UVW29" s="819"/>
      <c r="UVX29" s="819"/>
      <c r="UVY29" s="819"/>
      <c r="UVZ29" s="819"/>
      <c r="UWA29" s="819"/>
      <c r="UWB29" s="819"/>
      <c r="UWC29" s="819"/>
      <c r="UWD29" s="819"/>
      <c r="UWE29" s="819"/>
      <c r="UWF29" s="819"/>
      <c r="UWG29" s="819"/>
      <c r="UWH29" s="819"/>
      <c r="UWI29" s="819"/>
      <c r="UWJ29" s="819"/>
      <c r="UWK29" s="819"/>
      <c r="UWL29" s="819"/>
      <c r="UWM29" s="819"/>
      <c r="UWN29" s="819"/>
      <c r="UWO29" s="819"/>
      <c r="UWP29" s="819"/>
      <c r="UWQ29" s="819"/>
      <c r="UWR29" s="819"/>
      <c r="UWS29" s="819"/>
      <c r="UWT29" s="819"/>
      <c r="UWU29" s="819"/>
      <c r="UWV29" s="819"/>
      <c r="UWW29" s="819"/>
      <c r="UWX29" s="819"/>
      <c r="UWY29" s="819"/>
      <c r="UWZ29" s="819"/>
      <c r="UXA29" s="819"/>
      <c r="UXB29" s="819"/>
      <c r="UXC29" s="819"/>
      <c r="UXD29" s="819"/>
      <c r="UXE29" s="819"/>
      <c r="UXF29" s="819"/>
      <c r="UXG29" s="819"/>
      <c r="UXH29" s="819"/>
      <c r="UXI29" s="819"/>
      <c r="UXJ29" s="819"/>
      <c r="UXK29" s="819"/>
      <c r="UXL29" s="819"/>
      <c r="UXM29" s="819"/>
      <c r="UXN29" s="819"/>
      <c r="UXO29" s="819"/>
      <c r="UXP29" s="819"/>
      <c r="UXQ29" s="819"/>
      <c r="UXR29" s="819"/>
      <c r="UXS29" s="819"/>
      <c r="UXT29" s="819"/>
      <c r="UXU29" s="819"/>
      <c r="UXV29" s="819"/>
      <c r="UXW29" s="819"/>
      <c r="UXX29" s="819"/>
      <c r="UXY29" s="819"/>
      <c r="UXZ29" s="819"/>
      <c r="UYA29" s="819"/>
      <c r="UYB29" s="819"/>
      <c r="UYC29" s="819"/>
      <c r="UYD29" s="819"/>
      <c r="UYE29" s="819"/>
      <c r="UYF29" s="819"/>
      <c r="UYG29" s="819"/>
      <c r="UYH29" s="819"/>
      <c r="UYI29" s="819"/>
      <c r="UYJ29" s="819"/>
      <c r="UYK29" s="819"/>
      <c r="UYL29" s="819"/>
      <c r="UYM29" s="819"/>
      <c r="UYN29" s="819"/>
      <c r="UYO29" s="819"/>
      <c r="UYP29" s="819"/>
      <c r="UYQ29" s="819"/>
      <c r="UYR29" s="819"/>
      <c r="UYS29" s="819"/>
      <c r="UYT29" s="819"/>
      <c r="UYU29" s="819"/>
      <c r="UYV29" s="819"/>
      <c r="UYW29" s="819"/>
      <c r="UYX29" s="819"/>
      <c r="UYY29" s="819"/>
      <c r="UYZ29" s="819"/>
      <c r="UZA29" s="819"/>
      <c r="UZB29" s="819"/>
      <c r="UZC29" s="819"/>
      <c r="UZD29" s="819"/>
      <c r="UZE29" s="819"/>
      <c r="UZF29" s="819"/>
      <c r="UZG29" s="819"/>
      <c r="UZH29" s="819"/>
      <c r="UZI29" s="819"/>
      <c r="UZJ29" s="819"/>
      <c r="UZK29" s="819"/>
      <c r="UZL29" s="819"/>
      <c r="UZM29" s="819"/>
      <c r="UZN29" s="819"/>
      <c r="UZO29" s="819"/>
      <c r="UZP29" s="819"/>
      <c r="UZQ29" s="819"/>
      <c r="UZR29" s="819"/>
      <c r="UZS29" s="819"/>
      <c r="UZT29" s="819"/>
      <c r="UZU29" s="819"/>
      <c r="UZV29" s="819"/>
      <c r="UZW29" s="819"/>
      <c r="UZX29" s="819"/>
      <c r="UZY29" s="819"/>
      <c r="UZZ29" s="819"/>
      <c r="VAA29" s="819"/>
      <c r="VAB29" s="819"/>
      <c r="VAC29" s="819"/>
      <c r="VAD29" s="819"/>
      <c r="VAE29" s="819"/>
      <c r="VAF29" s="819"/>
      <c r="VAG29" s="819"/>
      <c r="VAH29" s="819"/>
      <c r="VAI29" s="819"/>
      <c r="VAJ29" s="819"/>
      <c r="VAK29" s="819"/>
      <c r="VAL29" s="819"/>
      <c r="VAM29" s="819"/>
      <c r="VAN29" s="819"/>
      <c r="VAO29" s="819"/>
      <c r="VAP29" s="819"/>
      <c r="VAQ29" s="819"/>
      <c r="VAR29" s="819"/>
      <c r="VAS29" s="819"/>
      <c r="VAT29" s="819"/>
      <c r="VAU29" s="819"/>
      <c r="VAV29" s="819"/>
      <c r="VAW29" s="819"/>
      <c r="VAX29" s="819"/>
      <c r="VAY29" s="819"/>
      <c r="VAZ29" s="819"/>
      <c r="VBA29" s="819"/>
      <c r="VBB29" s="819"/>
      <c r="VBC29" s="819"/>
      <c r="VBD29" s="819"/>
      <c r="VBE29" s="819"/>
      <c r="VBF29" s="819"/>
      <c r="VBG29" s="819"/>
      <c r="VBH29" s="819"/>
      <c r="VBI29" s="819"/>
      <c r="VBJ29" s="819"/>
      <c r="VBK29" s="819"/>
      <c r="VBL29" s="819"/>
      <c r="VBM29" s="819"/>
      <c r="VBN29" s="819"/>
      <c r="VBO29" s="819"/>
      <c r="VBP29" s="819"/>
      <c r="VBQ29" s="819"/>
      <c r="VBR29" s="819"/>
      <c r="VBS29" s="819"/>
      <c r="VBT29" s="819"/>
      <c r="VBU29" s="819"/>
      <c r="VBV29" s="819"/>
      <c r="VBW29" s="819"/>
      <c r="VBX29" s="819"/>
      <c r="VBY29" s="819"/>
      <c r="VBZ29" s="819"/>
      <c r="VCA29" s="819"/>
      <c r="VCB29" s="819"/>
      <c r="VCC29" s="819"/>
      <c r="VCD29" s="819"/>
      <c r="VCE29" s="819"/>
      <c r="VCF29" s="819"/>
      <c r="VCG29" s="819"/>
      <c r="VCH29" s="819"/>
      <c r="VCI29" s="819"/>
      <c r="VCJ29" s="819"/>
      <c r="VCK29" s="819"/>
      <c r="VCL29" s="819"/>
      <c r="VCM29" s="819"/>
      <c r="VCN29" s="819"/>
      <c r="VCO29" s="819"/>
      <c r="VCP29" s="819"/>
      <c r="VCQ29" s="819"/>
      <c r="VCR29" s="819"/>
      <c r="VCS29" s="819"/>
      <c r="VCT29" s="819"/>
      <c r="VCU29" s="819"/>
      <c r="VCV29" s="819"/>
      <c r="VCW29" s="819"/>
      <c r="VCX29" s="819"/>
      <c r="VCY29" s="819"/>
      <c r="VCZ29" s="819"/>
      <c r="VDA29" s="819"/>
      <c r="VDB29" s="819"/>
      <c r="VDC29" s="819"/>
      <c r="VDD29" s="819"/>
      <c r="VDE29" s="819"/>
      <c r="VDF29" s="819"/>
      <c r="VDG29" s="819"/>
      <c r="VDH29" s="819"/>
      <c r="VDI29" s="819"/>
      <c r="VDJ29" s="819"/>
      <c r="VDK29" s="819"/>
      <c r="VDL29" s="819"/>
      <c r="VDM29" s="819"/>
      <c r="VDN29" s="819"/>
      <c r="VDO29" s="819"/>
      <c r="VDP29" s="819"/>
      <c r="VDQ29" s="819"/>
      <c r="VDR29" s="819"/>
      <c r="VDS29" s="819"/>
      <c r="VDT29" s="819"/>
      <c r="VDU29" s="819"/>
      <c r="VDV29" s="819"/>
      <c r="VDW29" s="819"/>
      <c r="VDX29" s="819"/>
      <c r="VDY29" s="819"/>
      <c r="VDZ29" s="819"/>
      <c r="VEA29" s="819"/>
      <c r="VEB29" s="819"/>
      <c r="VEC29" s="819"/>
      <c r="VED29" s="819"/>
      <c r="VEE29" s="819"/>
      <c r="VEF29" s="819"/>
      <c r="VEG29" s="819"/>
      <c r="VEH29" s="819"/>
      <c r="VEI29" s="819"/>
      <c r="VEJ29" s="819"/>
      <c r="VEK29" s="819"/>
      <c r="VEL29" s="819"/>
      <c r="VEM29" s="819"/>
      <c r="VEN29" s="819"/>
      <c r="VEO29" s="819"/>
      <c r="VEP29" s="819"/>
      <c r="VEQ29" s="819"/>
      <c r="VER29" s="819"/>
      <c r="VES29" s="819"/>
      <c r="VET29" s="819"/>
      <c r="VEU29" s="819"/>
      <c r="VEV29" s="819"/>
      <c r="VEW29" s="819"/>
      <c r="VEX29" s="819"/>
      <c r="VEY29" s="819"/>
      <c r="VEZ29" s="819"/>
      <c r="VFA29" s="819"/>
      <c r="VFB29" s="819"/>
      <c r="VFC29" s="819"/>
      <c r="VFD29" s="819"/>
      <c r="VFE29" s="819"/>
      <c r="VFF29" s="819"/>
      <c r="VFG29" s="819"/>
      <c r="VFH29" s="819"/>
      <c r="VFI29" s="819"/>
      <c r="VFJ29" s="819"/>
      <c r="VFK29" s="819"/>
      <c r="VFL29" s="819"/>
      <c r="VFM29" s="819"/>
      <c r="VFN29" s="819"/>
      <c r="VFO29" s="819"/>
      <c r="VFP29" s="819"/>
      <c r="VFQ29" s="819"/>
      <c r="VFR29" s="819"/>
      <c r="VFS29" s="819"/>
      <c r="VFT29" s="819"/>
      <c r="VFU29" s="819"/>
      <c r="VFV29" s="819"/>
      <c r="VFW29" s="819"/>
      <c r="VFX29" s="819"/>
      <c r="VFY29" s="819"/>
      <c r="VFZ29" s="819"/>
      <c r="VGA29" s="819"/>
      <c r="VGB29" s="819"/>
      <c r="VGC29" s="819"/>
      <c r="VGD29" s="819"/>
      <c r="VGE29" s="819"/>
      <c r="VGF29" s="819"/>
      <c r="VGG29" s="819"/>
      <c r="VGH29" s="819"/>
      <c r="VGI29" s="819"/>
      <c r="VGJ29" s="819"/>
      <c r="VGK29" s="819"/>
      <c r="VGL29" s="819"/>
      <c r="VGM29" s="819"/>
      <c r="VGN29" s="819"/>
      <c r="VGO29" s="819"/>
      <c r="VGP29" s="819"/>
      <c r="VGQ29" s="819"/>
      <c r="VGR29" s="819"/>
      <c r="VGS29" s="819"/>
      <c r="VGT29" s="819"/>
      <c r="VGU29" s="819"/>
      <c r="VGV29" s="819"/>
      <c r="VGW29" s="819"/>
      <c r="VGX29" s="819"/>
      <c r="VGY29" s="819"/>
      <c r="VGZ29" s="819"/>
      <c r="VHA29" s="819"/>
      <c r="VHB29" s="819"/>
      <c r="VHC29" s="819"/>
      <c r="VHD29" s="819"/>
      <c r="VHE29" s="819"/>
      <c r="VHF29" s="819"/>
      <c r="VHG29" s="819"/>
      <c r="VHH29" s="819"/>
      <c r="VHI29" s="819"/>
      <c r="VHJ29" s="819"/>
      <c r="VHK29" s="819"/>
      <c r="VHL29" s="819"/>
      <c r="VHM29" s="819"/>
      <c r="VHN29" s="819"/>
      <c r="VHO29" s="819"/>
      <c r="VHP29" s="819"/>
      <c r="VHQ29" s="819"/>
      <c r="VHR29" s="819"/>
      <c r="VHS29" s="819"/>
      <c r="VHT29" s="819"/>
      <c r="VHU29" s="819"/>
      <c r="VHV29" s="819"/>
      <c r="VHW29" s="819"/>
      <c r="VHX29" s="819"/>
      <c r="VHY29" s="819"/>
      <c r="VHZ29" s="819"/>
      <c r="VIA29" s="819"/>
      <c r="VIB29" s="819"/>
      <c r="VIC29" s="819"/>
      <c r="VID29" s="819"/>
      <c r="VIE29" s="819"/>
      <c r="VIF29" s="819"/>
      <c r="VIG29" s="819"/>
      <c r="VIH29" s="819"/>
      <c r="VII29" s="819"/>
      <c r="VIJ29" s="819"/>
      <c r="VIK29" s="819"/>
      <c r="VIL29" s="819"/>
      <c r="VIM29" s="819"/>
      <c r="VIN29" s="819"/>
      <c r="VIO29" s="819"/>
      <c r="VIP29" s="819"/>
      <c r="VIQ29" s="819"/>
      <c r="VIR29" s="819"/>
      <c r="VIS29" s="819"/>
      <c r="VIT29" s="819"/>
      <c r="VIU29" s="819"/>
      <c r="VIV29" s="819"/>
      <c r="VIW29" s="819"/>
      <c r="VIX29" s="819"/>
      <c r="VIY29" s="819"/>
      <c r="VIZ29" s="819"/>
      <c r="VJA29" s="819"/>
      <c r="VJB29" s="819"/>
      <c r="VJC29" s="819"/>
      <c r="VJD29" s="819"/>
      <c r="VJE29" s="819"/>
      <c r="VJF29" s="819"/>
      <c r="VJG29" s="819"/>
      <c r="VJH29" s="819"/>
      <c r="VJI29" s="819"/>
      <c r="VJJ29" s="819"/>
      <c r="VJK29" s="819"/>
      <c r="VJL29" s="819"/>
      <c r="VJM29" s="819"/>
      <c r="VJN29" s="819"/>
      <c r="VJO29" s="819"/>
      <c r="VJP29" s="819"/>
      <c r="VJQ29" s="819"/>
      <c r="VJR29" s="819"/>
      <c r="VJS29" s="819"/>
      <c r="VJT29" s="819"/>
      <c r="VJU29" s="819"/>
      <c r="VJV29" s="819"/>
      <c r="VJW29" s="819"/>
      <c r="VJX29" s="819"/>
      <c r="VJY29" s="819"/>
      <c r="VJZ29" s="819"/>
      <c r="VKA29" s="819"/>
      <c r="VKB29" s="819"/>
      <c r="VKC29" s="819"/>
      <c r="VKD29" s="819"/>
      <c r="VKE29" s="819"/>
      <c r="VKF29" s="819"/>
      <c r="VKG29" s="819"/>
      <c r="VKH29" s="819"/>
      <c r="VKI29" s="819"/>
      <c r="VKJ29" s="819"/>
      <c r="VKK29" s="819"/>
      <c r="VKL29" s="819"/>
      <c r="VKM29" s="819"/>
      <c r="VKN29" s="819"/>
      <c r="VKO29" s="819"/>
      <c r="VKP29" s="819"/>
      <c r="VKQ29" s="819"/>
      <c r="VKR29" s="819"/>
      <c r="VKS29" s="819"/>
      <c r="VKT29" s="819"/>
      <c r="VKU29" s="819"/>
      <c r="VKV29" s="819"/>
      <c r="VKW29" s="819"/>
      <c r="VKX29" s="819"/>
      <c r="VKY29" s="819"/>
      <c r="VKZ29" s="819"/>
      <c r="VLA29" s="819"/>
      <c r="VLB29" s="819"/>
      <c r="VLC29" s="819"/>
      <c r="VLD29" s="819"/>
      <c r="VLE29" s="819"/>
      <c r="VLF29" s="819"/>
      <c r="VLG29" s="819"/>
      <c r="VLH29" s="819"/>
      <c r="VLI29" s="819"/>
      <c r="VLJ29" s="819"/>
      <c r="VLK29" s="819"/>
      <c r="VLL29" s="819"/>
      <c r="VLM29" s="819"/>
      <c r="VLN29" s="819"/>
      <c r="VLO29" s="819"/>
      <c r="VLP29" s="819"/>
      <c r="VLQ29" s="819"/>
      <c r="VLR29" s="819"/>
      <c r="VLS29" s="819"/>
      <c r="VLT29" s="819"/>
      <c r="VLU29" s="819"/>
      <c r="VLV29" s="819"/>
      <c r="VLW29" s="819"/>
      <c r="VLX29" s="819"/>
      <c r="VLY29" s="819"/>
      <c r="VLZ29" s="819"/>
      <c r="VMA29" s="819"/>
      <c r="VMB29" s="819"/>
      <c r="VMC29" s="819"/>
      <c r="VMD29" s="819"/>
      <c r="VME29" s="819"/>
      <c r="VMF29" s="819"/>
      <c r="VMG29" s="819"/>
      <c r="VMH29" s="819"/>
      <c r="VMI29" s="819"/>
      <c r="VMJ29" s="819"/>
      <c r="VMK29" s="819"/>
      <c r="VML29" s="819"/>
      <c r="VMM29" s="819"/>
      <c r="VMN29" s="819"/>
      <c r="VMO29" s="819"/>
      <c r="VMP29" s="819"/>
      <c r="VMQ29" s="819"/>
      <c r="VMR29" s="819"/>
      <c r="VMS29" s="819"/>
      <c r="VMT29" s="819"/>
      <c r="VMU29" s="819"/>
      <c r="VMV29" s="819"/>
      <c r="VMW29" s="819"/>
      <c r="VMX29" s="819"/>
      <c r="VMY29" s="819"/>
      <c r="VMZ29" s="819"/>
      <c r="VNA29" s="819"/>
      <c r="VNB29" s="819"/>
      <c r="VNC29" s="819"/>
      <c r="VND29" s="819"/>
      <c r="VNE29" s="819"/>
      <c r="VNF29" s="819"/>
      <c r="VNG29" s="819"/>
      <c r="VNH29" s="819"/>
      <c r="VNI29" s="819"/>
      <c r="VNJ29" s="819"/>
      <c r="VNK29" s="819"/>
      <c r="VNL29" s="819"/>
      <c r="VNM29" s="819"/>
      <c r="VNN29" s="819"/>
      <c r="VNO29" s="819"/>
      <c r="VNP29" s="819"/>
      <c r="VNQ29" s="819"/>
      <c r="VNR29" s="819"/>
      <c r="VNS29" s="819"/>
      <c r="VNT29" s="819"/>
      <c r="VNU29" s="819"/>
      <c r="VNV29" s="819"/>
      <c r="VNW29" s="819"/>
      <c r="VNX29" s="819"/>
      <c r="VNY29" s="819"/>
      <c r="VNZ29" s="819"/>
      <c r="VOA29" s="819"/>
      <c r="VOB29" s="819"/>
      <c r="VOC29" s="819"/>
      <c r="VOD29" s="819"/>
      <c r="VOE29" s="819"/>
      <c r="VOF29" s="819"/>
      <c r="VOG29" s="819"/>
      <c r="VOH29" s="819"/>
      <c r="VOI29" s="819"/>
      <c r="VOJ29" s="819"/>
      <c r="VOK29" s="819"/>
      <c r="VOL29" s="819"/>
      <c r="VOM29" s="819"/>
      <c r="VON29" s="819"/>
      <c r="VOO29" s="819"/>
      <c r="VOP29" s="819"/>
      <c r="VOQ29" s="819"/>
      <c r="VOR29" s="819"/>
      <c r="VOS29" s="819"/>
      <c r="VOT29" s="819"/>
      <c r="VOU29" s="819"/>
      <c r="VOV29" s="819"/>
      <c r="VOW29" s="819"/>
      <c r="VOX29" s="819"/>
      <c r="VOY29" s="819"/>
      <c r="VOZ29" s="819"/>
      <c r="VPA29" s="819"/>
      <c r="VPB29" s="819"/>
      <c r="VPC29" s="819"/>
      <c r="VPD29" s="819"/>
      <c r="VPE29" s="819"/>
      <c r="VPF29" s="819"/>
      <c r="VPG29" s="819"/>
      <c r="VPH29" s="819"/>
      <c r="VPI29" s="819"/>
      <c r="VPJ29" s="819"/>
      <c r="VPK29" s="819"/>
      <c r="VPL29" s="819"/>
      <c r="VPM29" s="819"/>
      <c r="VPN29" s="819"/>
      <c r="VPO29" s="819"/>
      <c r="VPP29" s="819"/>
      <c r="VPQ29" s="819"/>
      <c r="VPR29" s="819"/>
      <c r="VPS29" s="819"/>
      <c r="VPT29" s="819"/>
      <c r="VPU29" s="819"/>
      <c r="VPV29" s="819"/>
      <c r="VPW29" s="819"/>
      <c r="VPX29" s="819"/>
      <c r="VPY29" s="819"/>
      <c r="VPZ29" s="819"/>
      <c r="VQA29" s="819"/>
      <c r="VQB29" s="819"/>
      <c r="VQC29" s="819"/>
      <c r="VQD29" s="819"/>
      <c r="VQE29" s="819"/>
      <c r="VQF29" s="819"/>
      <c r="VQG29" s="819"/>
      <c r="VQH29" s="819"/>
      <c r="VQI29" s="819"/>
      <c r="VQJ29" s="819"/>
      <c r="VQK29" s="819"/>
      <c r="VQL29" s="819"/>
      <c r="VQM29" s="819"/>
      <c r="VQN29" s="819"/>
      <c r="VQO29" s="819"/>
      <c r="VQP29" s="819"/>
      <c r="VQQ29" s="819"/>
      <c r="VQR29" s="819"/>
      <c r="VQS29" s="819"/>
      <c r="VQT29" s="819"/>
      <c r="VQU29" s="819"/>
      <c r="VQV29" s="819"/>
      <c r="VQW29" s="819"/>
      <c r="VQX29" s="819"/>
      <c r="VQY29" s="819"/>
      <c r="VQZ29" s="819"/>
      <c r="VRA29" s="819"/>
      <c r="VRB29" s="819"/>
      <c r="VRC29" s="819"/>
      <c r="VRD29" s="819"/>
      <c r="VRE29" s="819"/>
      <c r="VRF29" s="819"/>
      <c r="VRG29" s="819"/>
      <c r="VRH29" s="819"/>
      <c r="VRI29" s="819"/>
      <c r="VRJ29" s="819"/>
      <c r="VRK29" s="819"/>
      <c r="VRL29" s="819"/>
      <c r="VRM29" s="819"/>
      <c r="VRN29" s="819"/>
      <c r="VRO29" s="819"/>
      <c r="VRP29" s="819"/>
      <c r="VRQ29" s="819"/>
      <c r="VRR29" s="819"/>
      <c r="VRS29" s="819"/>
      <c r="VRT29" s="819"/>
      <c r="VRU29" s="819"/>
      <c r="VRV29" s="819"/>
      <c r="VRW29" s="819"/>
      <c r="VRX29" s="819"/>
      <c r="VRY29" s="819"/>
      <c r="VRZ29" s="819"/>
      <c r="VSA29" s="819"/>
      <c r="VSB29" s="819"/>
      <c r="VSC29" s="819"/>
      <c r="VSD29" s="819"/>
      <c r="VSE29" s="819"/>
      <c r="VSF29" s="819"/>
      <c r="VSG29" s="819"/>
      <c r="VSH29" s="819"/>
      <c r="VSI29" s="819"/>
      <c r="VSJ29" s="819"/>
      <c r="VSK29" s="819"/>
      <c r="VSL29" s="819"/>
      <c r="VSM29" s="819"/>
      <c r="VSN29" s="819"/>
      <c r="VSO29" s="819"/>
      <c r="VSP29" s="819"/>
      <c r="VSQ29" s="819"/>
      <c r="VSR29" s="819"/>
      <c r="VSS29" s="819"/>
      <c r="VST29" s="819"/>
      <c r="VSU29" s="819"/>
      <c r="VSV29" s="819"/>
      <c r="VSW29" s="819"/>
      <c r="VSX29" s="819"/>
      <c r="VSY29" s="819"/>
      <c r="VSZ29" s="819"/>
      <c r="VTA29" s="819"/>
      <c r="VTB29" s="819"/>
      <c r="VTC29" s="819"/>
      <c r="VTD29" s="819"/>
      <c r="VTE29" s="819"/>
      <c r="VTF29" s="819"/>
      <c r="VTG29" s="819"/>
      <c r="VTH29" s="819"/>
      <c r="VTI29" s="819"/>
      <c r="VTJ29" s="819"/>
      <c r="VTK29" s="819"/>
      <c r="VTL29" s="819"/>
      <c r="VTM29" s="819"/>
      <c r="VTN29" s="819"/>
      <c r="VTO29" s="819"/>
      <c r="VTP29" s="819"/>
      <c r="VTQ29" s="819"/>
      <c r="VTR29" s="819"/>
      <c r="VTS29" s="819"/>
      <c r="VTT29" s="819"/>
      <c r="VTU29" s="819"/>
      <c r="VTV29" s="819"/>
      <c r="VTW29" s="819"/>
      <c r="VTX29" s="819"/>
      <c r="VTY29" s="819"/>
      <c r="VTZ29" s="819"/>
      <c r="VUA29" s="819"/>
      <c r="VUB29" s="819"/>
      <c r="VUC29" s="819"/>
      <c r="VUD29" s="819"/>
      <c r="VUE29" s="819"/>
      <c r="VUF29" s="819"/>
      <c r="VUG29" s="819"/>
      <c r="VUH29" s="819"/>
      <c r="VUI29" s="819"/>
      <c r="VUJ29" s="819"/>
      <c r="VUK29" s="819"/>
      <c r="VUL29" s="819"/>
      <c r="VUM29" s="819"/>
      <c r="VUN29" s="819"/>
      <c r="VUO29" s="819"/>
      <c r="VUP29" s="819"/>
      <c r="VUQ29" s="819"/>
      <c r="VUR29" s="819"/>
      <c r="VUS29" s="819"/>
      <c r="VUT29" s="819"/>
      <c r="VUU29" s="819"/>
      <c r="VUV29" s="819"/>
      <c r="VUW29" s="819"/>
      <c r="VUX29" s="819"/>
      <c r="VUY29" s="819"/>
      <c r="VUZ29" s="819"/>
      <c r="VVA29" s="819"/>
      <c r="VVB29" s="819"/>
      <c r="VVC29" s="819"/>
      <c r="VVD29" s="819"/>
      <c r="VVE29" s="819"/>
      <c r="VVF29" s="819"/>
      <c r="VVG29" s="819"/>
      <c r="VVH29" s="819"/>
      <c r="VVI29" s="819"/>
      <c r="VVJ29" s="819"/>
      <c r="VVK29" s="819"/>
      <c r="VVL29" s="819"/>
      <c r="VVM29" s="819"/>
      <c r="VVN29" s="819"/>
      <c r="VVO29" s="819"/>
      <c r="VVP29" s="819"/>
      <c r="VVQ29" s="819"/>
      <c r="VVR29" s="819"/>
      <c r="VVS29" s="819"/>
      <c r="VVT29" s="819"/>
      <c r="VVU29" s="819"/>
      <c r="VVV29" s="819"/>
      <c r="VVW29" s="819"/>
      <c r="VVX29" s="819"/>
      <c r="VVY29" s="819"/>
      <c r="VVZ29" s="819"/>
      <c r="VWA29" s="819"/>
      <c r="VWB29" s="819"/>
      <c r="VWC29" s="819"/>
      <c r="VWD29" s="819"/>
      <c r="VWE29" s="819"/>
      <c r="VWF29" s="819"/>
      <c r="VWG29" s="819"/>
      <c r="VWH29" s="819"/>
      <c r="VWI29" s="819"/>
      <c r="VWJ29" s="819"/>
      <c r="VWK29" s="819"/>
      <c r="VWL29" s="819"/>
      <c r="VWM29" s="819"/>
      <c r="VWN29" s="819"/>
      <c r="VWO29" s="819"/>
      <c r="VWP29" s="819"/>
      <c r="VWQ29" s="819"/>
      <c r="VWR29" s="819"/>
      <c r="VWS29" s="819"/>
      <c r="VWT29" s="819"/>
      <c r="VWU29" s="819"/>
      <c r="VWV29" s="819"/>
      <c r="VWW29" s="819"/>
      <c r="VWX29" s="819"/>
      <c r="VWY29" s="819"/>
      <c r="VWZ29" s="819"/>
      <c r="VXA29" s="819"/>
      <c r="VXB29" s="819"/>
      <c r="VXC29" s="819"/>
      <c r="VXD29" s="819"/>
      <c r="VXE29" s="819"/>
      <c r="VXF29" s="819"/>
      <c r="VXG29" s="819"/>
      <c r="VXH29" s="819"/>
      <c r="VXI29" s="819"/>
      <c r="VXJ29" s="819"/>
      <c r="VXK29" s="819"/>
      <c r="VXL29" s="819"/>
      <c r="VXM29" s="819"/>
      <c r="VXN29" s="819"/>
      <c r="VXO29" s="819"/>
      <c r="VXP29" s="819"/>
      <c r="VXQ29" s="819"/>
      <c r="VXR29" s="819"/>
      <c r="VXS29" s="819"/>
      <c r="VXT29" s="819"/>
      <c r="VXU29" s="819"/>
      <c r="VXV29" s="819"/>
      <c r="VXW29" s="819"/>
      <c r="VXX29" s="819"/>
      <c r="VXY29" s="819"/>
      <c r="VXZ29" s="819"/>
      <c r="VYA29" s="819"/>
      <c r="VYB29" s="819"/>
      <c r="VYC29" s="819"/>
      <c r="VYD29" s="819"/>
      <c r="VYE29" s="819"/>
      <c r="VYF29" s="819"/>
      <c r="VYG29" s="819"/>
      <c r="VYH29" s="819"/>
      <c r="VYI29" s="819"/>
      <c r="VYJ29" s="819"/>
      <c r="VYK29" s="819"/>
      <c r="VYL29" s="819"/>
      <c r="VYM29" s="819"/>
      <c r="VYN29" s="819"/>
      <c r="VYO29" s="819"/>
      <c r="VYP29" s="819"/>
      <c r="VYQ29" s="819"/>
      <c r="VYR29" s="819"/>
      <c r="VYS29" s="819"/>
      <c r="VYT29" s="819"/>
      <c r="VYU29" s="819"/>
      <c r="VYV29" s="819"/>
      <c r="VYW29" s="819"/>
      <c r="VYX29" s="819"/>
      <c r="VYY29" s="819"/>
      <c r="VYZ29" s="819"/>
      <c r="VZA29" s="819"/>
      <c r="VZB29" s="819"/>
      <c r="VZC29" s="819"/>
      <c r="VZD29" s="819"/>
      <c r="VZE29" s="819"/>
      <c r="VZF29" s="819"/>
      <c r="VZG29" s="819"/>
      <c r="VZH29" s="819"/>
      <c r="VZI29" s="819"/>
      <c r="VZJ29" s="819"/>
      <c r="VZK29" s="819"/>
      <c r="VZL29" s="819"/>
      <c r="VZM29" s="819"/>
      <c r="VZN29" s="819"/>
      <c r="VZO29" s="819"/>
      <c r="VZP29" s="819"/>
      <c r="VZQ29" s="819"/>
      <c r="VZR29" s="819"/>
      <c r="VZS29" s="819"/>
      <c r="VZT29" s="819"/>
      <c r="VZU29" s="819"/>
      <c r="VZV29" s="819"/>
      <c r="VZW29" s="819"/>
      <c r="VZX29" s="819"/>
      <c r="VZY29" s="819"/>
      <c r="VZZ29" s="819"/>
      <c r="WAA29" s="819"/>
      <c r="WAB29" s="819"/>
      <c r="WAC29" s="819"/>
      <c r="WAD29" s="819"/>
      <c r="WAE29" s="819"/>
      <c r="WAF29" s="819"/>
      <c r="WAG29" s="819"/>
      <c r="WAH29" s="819"/>
      <c r="WAI29" s="819"/>
      <c r="WAJ29" s="819"/>
      <c r="WAK29" s="819"/>
      <c r="WAL29" s="819"/>
      <c r="WAM29" s="819"/>
      <c r="WAN29" s="819"/>
      <c r="WAO29" s="819"/>
      <c r="WAP29" s="819"/>
      <c r="WAQ29" s="819"/>
      <c r="WAR29" s="819"/>
      <c r="WAS29" s="819"/>
      <c r="WAT29" s="819"/>
      <c r="WAU29" s="819"/>
      <c r="WAV29" s="819"/>
      <c r="WAW29" s="819"/>
      <c r="WAX29" s="819"/>
      <c r="WAY29" s="819"/>
      <c r="WAZ29" s="819"/>
      <c r="WBA29" s="819"/>
      <c r="WBB29" s="819"/>
      <c r="WBC29" s="819"/>
      <c r="WBD29" s="819"/>
      <c r="WBE29" s="819"/>
      <c r="WBF29" s="819"/>
      <c r="WBG29" s="819"/>
      <c r="WBH29" s="819"/>
      <c r="WBI29" s="819"/>
      <c r="WBJ29" s="819"/>
      <c r="WBK29" s="819"/>
      <c r="WBL29" s="819"/>
      <c r="WBM29" s="819"/>
      <c r="WBN29" s="819"/>
      <c r="WBO29" s="819"/>
      <c r="WBP29" s="819"/>
      <c r="WBQ29" s="819"/>
      <c r="WBR29" s="819"/>
      <c r="WBS29" s="819"/>
      <c r="WBT29" s="819"/>
      <c r="WBU29" s="819"/>
      <c r="WBV29" s="819"/>
      <c r="WBW29" s="819"/>
      <c r="WBX29" s="819"/>
      <c r="WBY29" s="819"/>
      <c r="WBZ29" s="819"/>
      <c r="WCA29" s="819"/>
      <c r="WCB29" s="819"/>
      <c r="WCC29" s="819"/>
      <c r="WCD29" s="819"/>
      <c r="WCE29" s="819"/>
      <c r="WCF29" s="819"/>
      <c r="WCG29" s="819"/>
      <c r="WCH29" s="819"/>
      <c r="WCI29" s="819"/>
      <c r="WCJ29" s="819"/>
      <c r="WCK29" s="819"/>
      <c r="WCL29" s="819"/>
      <c r="WCM29" s="819"/>
      <c r="WCN29" s="819"/>
      <c r="WCO29" s="819"/>
      <c r="WCP29" s="819"/>
      <c r="WCQ29" s="819"/>
      <c r="WCR29" s="819"/>
      <c r="WCS29" s="819"/>
      <c r="WCT29" s="819"/>
      <c r="WCU29" s="819"/>
      <c r="WCV29" s="819"/>
      <c r="WCW29" s="819"/>
      <c r="WCX29" s="819"/>
      <c r="WCY29" s="819"/>
      <c r="WCZ29" s="819"/>
      <c r="WDA29" s="819"/>
      <c r="WDB29" s="819"/>
      <c r="WDC29" s="819"/>
      <c r="WDD29" s="819"/>
      <c r="WDE29" s="819"/>
      <c r="WDF29" s="819"/>
      <c r="WDG29" s="819"/>
      <c r="WDH29" s="819"/>
      <c r="WDI29" s="819"/>
      <c r="WDJ29" s="819"/>
      <c r="WDK29" s="819"/>
      <c r="WDL29" s="819"/>
      <c r="WDM29" s="819"/>
      <c r="WDN29" s="819"/>
      <c r="WDO29" s="819"/>
      <c r="WDP29" s="819"/>
      <c r="WDQ29" s="819"/>
      <c r="WDR29" s="819"/>
      <c r="WDS29" s="819"/>
      <c r="WDT29" s="819"/>
      <c r="WDU29" s="819"/>
      <c r="WDV29" s="819"/>
      <c r="WDW29" s="819"/>
      <c r="WDX29" s="819"/>
      <c r="WDY29" s="819"/>
      <c r="WDZ29" s="819"/>
      <c r="WEA29" s="819"/>
      <c r="WEB29" s="819"/>
      <c r="WEC29" s="819"/>
      <c r="WED29" s="819"/>
      <c r="WEE29" s="819"/>
      <c r="WEF29" s="819"/>
      <c r="WEG29" s="819"/>
      <c r="WEH29" s="819"/>
      <c r="WEI29" s="819"/>
      <c r="WEJ29" s="819"/>
      <c r="WEK29" s="819"/>
      <c r="WEL29" s="819"/>
      <c r="WEM29" s="819"/>
      <c r="WEN29" s="819"/>
      <c r="WEO29" s="819"/>
      <c r="WEP29" s="819"/>
      <c r="WEQ29" s="819"/>
      <c r="WER29" s="819"/>
      <c r="WES29" s="819"/>
      <c r="WET29" s="819"/>
      <c r="WEU29" s="819"/>
      <c r="WEV29" s="819"/>
      <c r="WEW29" s="819"/>
      <c r="WEX29" s="819"/>
      <c r="WEY29" s="819"/>
      <c r="WEZ29" s="819"/>
      <c r="WFA29" s="819"/>
      <c r="WFB29" s="819"/>
      <c r="WFC29" s="819"/>
      <c r="WFD29" s="819"/>
      <c r="WFE29" s="819"/>
      <c r="WFF29" s="819"/>
      <c r="WFG29" s="819"/>
      <c r="WFH29" s="819"/>
      <c r="WFI29" s="819"/>
      <c r="WFJ29" s="819"/>
      <c r="WFK29" s="819"/>
      <c r="WFL29" s="819"/>
      <c r="WFM29" s="819"/>
      <c r="WFN29" s="819"/>
      <c r="WFO29" s="819"/>
      <c r="WFP29" s="819"/>
      <c r="WFQ29" s="819"/>
      <c r="WFR29" s="819"/>
      <c r="WFS29" s="819"/>
      <c r="WFT29" s="819"/>
      <c r="WFU29" s="819"/>
      <c r="WFV29" s="819"/>
      <c r="WFW29" s="819"/>
      <c r="WFX29" s="819"/>
      <c r="WFY29" s="819"/>
      <c r="WFZ29" s="819"/>
      <c r="WGA29" s="819"/>
      <c r="WGB29" s="819"/>
      <c r="WGC29" s="819"/>
      <c r="WGD29" s="819"/>
      <c r="WGE29" s="819"/>
      <c r="WGF29" s="819"/>
      <c r="WGG29" s="819"/>
      <c r="WGH29" s="819"/>
      <c r="WGI29" s="819"/>
      <c r="WGJ29" s="819"/>
      <c r="WGK29" s="819"/>
      <c r="WGL29" s="819"/>
      <c r="WGM29" s="819"/>
      <c r="WGN29" s="819"/>
      <c r="WGO29" s="819"/>
      <c r="WGP29" s="819"/>
      <c r="WGQ29" s="819"/>
      <c r="WGR29" s="819"/>
      <c r="WGS29" s="819"/>
      <c r="WGT29" s="819"/>
      <c r="WGU29" s="819"/>
      <c r="WGV29" s="819"/>
      <c r="WGW29" s="819"/>
      <c r="WGX29" s="819"/>
      <c r="WGY29" s="819"/>
      <c r="WGZ29" s="819"/>
      <c r="WHA29" s="819"/>
      <c r="WHB29" s="819"/>
      <c r="WHC29" s="819"/>
      <c r="WHD29" s="819"/>
      <c r="WHE29" s="819"/>
      <c r="WHF29" s="819"/>
      <c r="WHG29" s="819"/>
      <c r="WHH29" s="819"/>
      <c r="WHI29" s="819"/>
      <c r="WHJ29" s="819"/>
      <c r="WHK29" s="819"/>
      <c r="WHL29" s="819"/>
      <c r="WHM29" s="819"/>
      <c r="WHN29" s="819"/>
      <c r="WHO29" s="819"/>
      <c r="WHP29" s="819"/>
      <c r="WHQ29" s="819"/>
      <c r="WHR29" s="819"/>
      <c r="WHS29" s="819"/>
      <c r="WHT29" s="819"/>
      <c r="WHU29" s="819"/>
      <c r="WHV29" s="819"/>
      <c r="WHW29" s="819"/>
      <c r="WHX29" s="819"/>
      <c r="WHY29" s="819"/>
      <c r="WHZ29" s="819"/>
      <c r="WIA29" s="819"/>
      <c r="WIB29" s="819"/>
      <c r="WIC29" s="819"/>
      <c r="WID29" s="819"/>
      <c r="WIE29" s="819"/>
      <c r="WIF29" s="819"/>
      <c r="WIG29" s="819"/>
      <c r="WIH29" s="819"/>
      <c r="WII29" s="819"/>
      <c r="WIJ29" s="819"/>
      <c r="WIK29" s="819"/>
      <c r="WIL29" s="819"/>
      <c r="WIM29" s="819"/>
      <c r="WIN29" s="819"/>
      <c r="WIO29" s="819"/>
      <c r="WIP29" s="819"/>
      <c r="WIQ29" s="819"/>
      <c r="WIR29" s="819"/>
      <c r="WIS29" s="819"/>
      <c r="WIT29" s="819"/>
      <c r="WIU29" s="819"/>
      <c r="WIV29" s="819"/>
      <c r="WIW29" s="819"/>
      <c r="WIX29" s="819"/>
      <c r="WIY29" s="819"/>
      <c r="WIZ29" s="819"/>
      <c r="WJA29" s="819"/>
      <c r="WJB29" s="819"/>
      <c r="WJC29" s="819"/>
      <c r="WJD29" s="819"/>
      <c r="WJE29" s="819"/>
      <c r="WJF29" s="819"/>
      <c r="WJG29" s="819"/>
      <c r="WJH29" s="819"/>
      <c r="WJI29" s="819"/>
      <c r="WJJ29" s="819"/>
      <c r="WJK29" s="819"/>
      <c r="WJL29" s="819"/>
      <c r="WJM29" s="819"/>
      <c r="WJN29" s="819"/>
      <c r="WJO29" s="819"/>
      <c r="WJP29" s="819"/>
      <c r="WJQ29" s="819"/>
      <c r="WJR29" s="819"/>
      <c r="WJS29" s="819"/>
      <c r="WJT29" s="819"/>
      <c r="WJU29" s="819"/>
      <c r="WJV29" s="819"/>
      <c r="WJW29" s="819"/>
      <c r="WJX29" s="819"/>
      <c r="WJY29" s="819"/>
      <c r="WJZ29" s="819"/>
      <c r="WKA29" s="819"/>
      <c r="WKB29" s="819"/>
      <c r="WKC29" s="819"/>
      <c r="WKD29" s="819"/>
      <c r="WKE29" s="819"/>
      <c r="WKF29" s="819"/>
      <c r="WKG29" s="819"/>
      <c r="WKH29" s="819"/>
      <c r="WKI29" s="819"/>
      <c r="WKJ29" s="819"/>
      <c r="WKK29" s="819"/>
      <c r="WKL29" s="819"/>
      <c r="WKM29" s="819"/>
      <c r="WKN29" s="819"/>
      <c r="WKO29" s="819"/>
      <c r="WKP29" s="819"/>
      <c r="WKQ29" s="819"/>
      <c r="WKR29" s="819"/>
      <c r="WKS29" s="819"/>
      <c r="WKT29" s="819"/>
      <c r="WKU29" s="819"/>
      <c r="WKV29" s="819"/>
      <c r="WKW29" s="819"/>
      <c r="WKX29" s="819"/>
      <c r="WKY29" s="819"/>
      <c r="WKZ29" s="819"/>
      <c r="WLA29" s="819"/>
      <c r="WLB29" s="819"/>
      <c r="WLC29" s="819"/>
      <c r="WLD29" s="819"/>
      <c r="WLE29" s="819"/>
      <c r="WLF29" s="819"/>
      <c r="WLG29" s="819"/>
      <c r="WLH29" s="819"/>
      <c r="WLI29" s="819"/>
      <c r="WLJ29" s="819"/>
      <c r="WLK29" s="819"/>
      <c r="WLL29" s="819"/>
      <c r="WLM29" s="819"/>
      <c r="WLN29" s="819"/>
      <c r="WLO29" s="819"/>
      <c r="WLP29" s="819"/>
      <c r="WLQ29" s="819"/>
      <c r="WLR29" s="819"/>
      <c r="WLS29" s="819"/>
      <c r="WLT29" s="819"/>
      <c r="WLU29" s="819"/>
      <c r="WLV29" s="819"/>
      <c r="WLW29" s="819"/>
      <c r="WLX29" s="819"/>
      <c r="WLY29" s="819"/>
      <c r="WLZ29" s="819"/>
      <c r="WMA29" s="819"/>
      <c r="WMB29" s="819"/>
      <c r="WMC29" s="819"/>
      <c r="WMD29" s="819"/>
      <c r="WME29" s="819"/>
      <c r="WMF29" s="819"/>
      <c r="WMG29" s="819"/>
      <c r="WMH29" s="819"/>
      <c r="WMI29" s="819"/>
      <c r="WMJ29" s="819"/>
      <c r="WMK29" s="819"/>
      <c r="WML29" s="819"/>
      <c r="WMM29" s="819"/>
      <c r="WMN29" s="819"/>
      <c r="WMO29" s="819"/>
      <c r="WMP29" s="819"/>
      <c r="WMQ29" s="819"/>
      <c r="WMR29" s="819"/>
      <c r="WMS29" s="819"/>
      <c r="WMT29" s="819"/>
      <c r="WMU29" s="819"/>
      <c r="WMV29" s="819"/>
      <c r="WMW29" s="819"/>
      <c r="WMX29" s="819"/>
      <c r="WMY29" s="819"/>
      <c r="WMZ29" s="819"/>
      <c r="WNA29" s="819"/>
      <c r="WNB29" s="819"/>
      <c r="WNC29" s="819"/>
      <c r="WND29" s="819"/>
      <c r="WNE29" s="819"/>
      <c r="WNF29" s="819"/>
      <c r="WNG29" s="819"/>
      <c r="WNH29" s="819"/>
      <c r="WNI29" s="819"/>
      <c r="WNJ29" s="819"/>
      <c r="WNK29" s="819"/>
      <c r="WNL29" s="819"/>
      <c r="WNM29" s="819"/>
      <c r="WNN29" s="819"/>
      <c r="WNO29" s="819"/>
      <c r="WNP29" s="819"/>
      <c r="WNQ29" s="819"/>
      <c r="WNR29" s="819"/>
      <c r="WNS29" s="819"/>
      <c r="WNT29" s="819"/>
      <c r="WNU29" s="819"/>
      <c r="WNV29" s="819"/>
      <c r="WNW29" s="819"/>
      <c r="WNX29" s="819"/>
      <c r="WNY29" s="819"/>
      <c r="WNZ29" s="819"/>
      <c r="WOA29" s="819"/>
      <c r="WOB29" s="819"/>
      <c r="WOC29" s="819"/>
      <c r="WOD29" s="819"/>
      <c r="WOE29" s="819"/>
      <c r="WOF29" s="819"/>
      <c r="WOG29" s="819"/>
      <c r="WOH29" s="819"/>
      <c r="WOI29" s="819"/>
      <c r="WOJ29" s="819"/>
      <c r="WOK29" s="819"/>
      <c r="WOL29" s="819"/>
      <c r="WOM29" s="819"/>
      <c r="WON29" s="819"/>
      <c r="WOO29" s="819"/>
      <c r="WOP29" s="819"/>
      <c r="WOQ29" s="819"/>
      <c r="WOR29" s="819"/>
      <c r="WOS29" s="819"/>
      <c r="WOT29" s="819"/>
      <c r="WOU29" s="819"/>
      <c r="WOV29" s="819"/>
      <c r="WOW29" s="819"/>
      <c r="WOX29" s="819"/>
      <c r="WOY29" s="819"/>
      <c r="WOZ29" s="819"/>
      <c r="WPA29" s="819"/>
      <c r="WPB29" s="819"/>
      <c r="WPC29" s="819"/>
      <c r="WPD29" s="819"/>
      <c r="WPE29" s="819"/>
      <c r="WPF29" s="819"/>
      <c r="WPG29" s="819"/>
      <c r="WPH29" s="819"/>
      <c r="WPI29" s="819"/>
      <c r="WPJ29" s="819"/>
      <c r="WPK29" s="819"/>
      <c r="WPL29" s="819"/>
      <c r="WPM29" s="819"/>
      <c r="WPN29" s="819"/>
      <c r="WPO29" s="819"/>
      <c r="WPP29" s="819"/>
      <c r="WPQ29" s="819"/>
      <c r="WPR29" s="819"/>
      <c r="WPS29" s="819"/>
      <c r="WPT29" s="819"/>
      <c r="WPU29" s="819"/>
      <c r="WPV29" s="819"/>
      <c r="WPW29" s="819"/>
      <c r="WPX29" s="819"/>
      <c r="WPY29" s="819"/>
      <c r="WPZ29" s="819"/>
      <c r="WQA29" s="819"/>
      <c r="WQB29" s="819"/>
      <c r="WQC29" s="819"/>
      <c r="WQD29" s="819"/>
      <c r="WQE29" s="819"/>
      <c r="WQF29" s="819"/>
      <c r="WQG29" s="819"/>
      <c r="WQH29" s="819"/>
      <c r="WQI29" s="819"/>
      <c r="WQJ29" s="819"/>
      <c r="WQK29" s="819"/>
      <c r="WQL29" s="819"/>
      <c r="WQM29" s="819"/>
      <c r="WQN29" s="819"/>
      <c r="WQO29" s="819"/>
      <c r="WQP29" s="819"/>
      <c r="WQQ29" s="819"/>
      <c r="WQR29" s="819"/>
      <c r="WQS29" s="819"/>
      <c r="WQT29" s="819"/>
      <c r="WQU29" s="819"/>
      <c r="WQV29" s="819"/>
      <c r="WQW29" s="819"/>
      <c r="WQX29" s="819"/>
      <c r="WQY29" s="819"/>
      <c r="WQZ29" s="819"/>
      <c r="WRA29" s="819"/>
      <c r="WRB29" s="819"/>
      <c r="WRC29" s="819"/>
      <c r="WRD29" s="819"/>
      <c r="WRE29" s="819"/>
      <c r="WRF29" s="819"/>
      <c r="WRG29" s="819"/>
      <c r="WRH29" s="819"/>
      <c r="WRI29" s="819"/>
      <c r="WRJ29" s="819"/>
      <c r="WRK29" s="819"/>
      <c r="WRL29" s="819"/>
      <c r="WRM29" s="819"/>
      <c r="WRN29" s="819"/>
      <c r="WRO29" s="819"/>
      <c r="WRP29" s="819"/>
      <c r="WRQ29" s="819"/>
      <c r="WRR29" s="819"/>
      <c r="WRS29" s="819"/>
      <c r="WRT29" s="819"/>
      <c r="WRU29" s="819"/>
      <c r="WRV29" s="819"/>
      <c r="WRW29" s="819"/>
      <c r="WRX29" s="819"/>
      <c r="WRY29" s="819"/>
      <c r="WRZ29" s="819"/>
      <c r="WSA29" s="819"/>
      <c r="WSB29" s="819"/>
      <c r="WSC29" s="819"/>
      <c r="WSD29" s="819"/>
      <c r="WSE29" s="819"/>
      <c r="WSF29" s="819"/>
      <c r="WSG29" s="819"/>
      <c r="WSH29" s="819"/>
      <c r="WSI29" s="819"/>
      <c r="WSJ29" s="819"/>
      <c r="WSK29" s="819"/>
      <c r="WSL29" s="819"/>
      <c r="WSM29" s="819"/>
      <c r="WSN29" s="819"/>
      <c r="WSO29" s="819"/>
      <c r="WSP29" s="819"/>
      <c r="WSQ29" s="819"/>
      <c r="WSR29" s="819"/>
      <c r="WSS29" s="819"/>
      <c r="WST29" s="819"/>
      <c r="WSU29" s="819"/>
      <c r="WSV29" s="819"/>
      <c r="WSW29" s="819"/>
      <c r="WSX29" s="819"/>
      <c r="WSY29" s="819"/>
      <c r="WSZ29" s="819"/>
      <c r="WTA29" s="819"/>
      <c r="WTB29" s="819"/>
      <c r="WTC29" s="819"/>
      <c r="WTD29" s="819"/>
      <c r="WTE29" s="819"/>
      <c r="WTF29" s="819"/>
      <c r="WTG29" s="819"/>
      <c r="WTH29" s="819"/>
      <c r="WTI29" s="819"/>
      <c r="WTJ29" s="819"/>
      <c r="WTK29" s="819"/>
      <c r="WTL29" s="819"/>
      <c r="WTM29" s="819"/>
      <c r="WTN29" s="819"/>
      <c r="WTO29" s="819"/>
      <c r="WTP29" s="819"/>
      <c r="WTQ29" s="819"/>
      <c r="WTR29" s="819"/>
      <c r="WTS29" s="819"/>
      <c r="WTT29" s="819"/>
      <c r="WTU29" s="819"/>
      <c r="WTV29" s="819"/>
      <c r="WTW29" s="819"/>
      <c r="WTX29" s="819"/>
      <c r="WTY29" s="819"/>
      <c r="WTZ29" s="819"/>
      <c r="WUA29" s="819"/>
      <c r="WUB29" s="819"/>
      <c r="WUC29" s="819"/>
      <c r="WUD29" s="819"/>
      <c r="WUE29" s="819"/>
      <c r="WUF29" s="819"/>
      <c r="WUG29" s="819"/>
      <c r="WUH29" s="819"/>
      <c r="WUI29" s="819"/>
      <c r="WUJ29" s="819"/>
      <c r="WUK29" s="819"/>
      <c r="WUL29" s="819"/>
      <c r="WUM29" s="819"/>
      <c r="WUN29" s="819"/>
      <c r="WUO29" s="819"/>
      <c r="WUP29" s="819"/>
      <c r="WUQ29" s="819"/>
      <c r="WUR29" s="819"/>
      <c r="WUS29" s="819"/>
      <c r="WUT29" s="819"/>
      <c r="WUU29" s="819"/>
      <c r="WUV29" s="819"/>
      <c r="WUW29" s="819"/>
      <c r="WUX29" s="819"/>
      <c r="WUY29" s="819"/>
      <c r="WUZ29" s="819"/>
      <c r="WVA29" s="819"/>
      <c r="WVB29" s="819"/>
      <c r="WVC29" s="819"/>
      <c r="WVD29" s="819"/>
      <c r="WVE29" s="819"/>
      <c r="WVF29" s="819"/>
      <c r="WVG29" s="819"/>
      <c r="WVH29" s="819"/>
      <c r="WVI29" s="819"/>
      <c r="WVJ29" s="819"/>
      <c r="WVK29" s="819"/>
      <c r="WVL29" s="819"/>
      <c r="WVM29" s="819"/>
      <c r="WVN29" s="819"/>
      <c r="WVO29" s="819"/>
      <c r="WVP29" s="819"/>
      <c r="WVQ29" s="819"/>
      <c r="WVR29" s="819"/>
      <c r="WVS29" s="819"/>
      <c r="WVT29" s="819"/>
      <c r="WVU29" s="819"/>
      <c r="WVV29" s="819"/>
      <c r="WVW29" s="819"/>
      <c r="WVX29" s="819"/>
      <c r="WVY29" s="819"/>
      <c r="WVZ29" s="819"/>
      <c r="WWA29" s="819"/>
      <c r="WWB29" s="819"/>
      <c r="WWC29" s="819"/>
      <c r="WWD29" s="819"/>
      <c r="WWE29" s="819"/>
      <c r="WWF29" s="819"/>
      <c r="WWG29" s="819"/>
      <c r="WWH29" s="819"/>
      <c r="WWI29" s="819"/>
      <c r="WWJ29" s="819"/>
      <c r="WWK29" s="819"/>
      <c r="WWL29" s="819"/>
      <c r="WWM29" s="819"/>
      <c r="WWN29" s="819"/>
      <c r="WWO29" s="819"/>
      <c r="WWP29" s="819"/>
      <c r="WWQ29" s="819"/>
      <c r="WWR29" s="819"/>
      <c r="WWS29" s="819"/>
      <c r="WWT29" s="819"/>
      <c r="WWU29" s="819"/>
      <c r="WWV29" s="819"/>
      <c r="WWW29" s="819"/>
      <c r="WWX29" s="819"/>
      <c r="WWY29" s="819"/>
      <c r="WWZ29" s="819"/>
      <c r="WXA29" s="819"/>
      <c r="WXB29" s="819"/>
      <c r="WXC29" s="819"/>
      <c r="WXD29" s="819"/>
      <c r="WXE29" s="819"/>
      <c r="WXF29" s="819"/>
      <c r="WXG29" s="819"/>
      <c r="WXH29" s="819"/>
      <c r="WXI29" s="819"/>
      <c r="WXJ29" s="819"/>
      <c r="WXK29" s="819"/>
      <c r="WXL29" s="819"/>
      <c r="WXM29" s="819"/>
      <c r="WXN29" s="819"/>
      <c r="WXO29" s="819"/>
      <c r="WXP29" s="819"/>
      <c r="WXQ29" s="819"/>
      <c r="WXR29" s="819"/>
      <c r="WXS29" s="819"/>
      <c r="WXT29" s="819"/>
      <c r="WXU29" s="819"/>
      <c r="WXV29" s="819"/>
      <c r="WXW29" s="819"/>
      <c r="WXX29" s="819"/>
      <c r="WXY29" s="819"/>
      <c r="WXZ29" s="819"/>
      <c r="WYA29" s="819"/>
      <c r="WYB29" s="819"/>
      <c r="WYC29" s="819"/>
      <c r="WYD29" s="819"/>
      <c r="WYE29" s="819"/>
      <c r="WYF29" s="819"/>
      <c r="WYG29" s="819"/>
      <c r="WYH29" s="819"/>
      <c r="WYI29" s="819"/>
      <c r="WYJ29" s="819"/>
      <c r="WYK29" s="819"/>
      <c r="WYL29" s="819"/>
      <c r="WYM29" s="819"/>
      <c r="WYN29" s="819"/>
      <c r="WYO29" s="819"/>
      <c r="WYP29" s="819"/>
      <c r="WYQ29" s="819"/>
      <c r="WYR29" s="819"/>
      <c r="WYS29" s="819"/>
      <c r="WYT29" s="819"/>
      <c r="WYU29" s="819"/>
      <c r="WYV29" s="819"/>
      <c r="WYW29" s="819"/>
      <c r="WYX29" s="819"/>
      <c r="WYY29" s="819"/>
      <c r="WYZ29" s="819"/>
      <c r="WZA29" s="819"/>
      <c r="WZB29" s="819"/>
      <c r="WZC29" s="819"/>
      <c r="WZD29" s="819"/>
      <c r="WZE29" s="819"/>
      <c r="WZF29" s="819"/>
      <c r="WZG29" s="819"/>
      <c r="WZH29" s="819"/>
      <c r="WZI29" s="819"/>
      <c r="WZJ29" s="819"/>
      <c r="WZK29" s="819"/>
      <c r="WZL29" s="819"/>
      <c r="WZM29" s="819"/>
      <c r="WZN29" s="819"/>
      <c r="WZO29" s="819"/>
      <c r="WZP29" s="819"/>
      <c r="WZQ29" s="819"/>
      <c r="WZR29" s="819"/>
      <c r="WZS29" s="819"/>
      <c r="WZT29" s="819"/>
      <c r="WZU29" s="819"/>
      <c r="WZV29" s="819"/>
      <c r="WZW29" s="819"/>
      <c r="WZX29" s="819"/>
      <c r="WZY29" s="819"/>
      <c r="WZZ29" s="819"/>
      <c r="XAA29" s="819"/>
      <c r="XAB29" s="819"/>
      <c r="XAC29" s="819"/>
      <c r="XAD29" s="819"/>
      <c r="XAE29" s="819"/>
      <c r="XAF29" s="819"/>
      <c r="XAG29" s="819"/>
      <c r="XAH29" s="819"/>
      <c r="XAI29" s="819"/>
      <c r="XAJ29" s="819"/>
      <c r="XAK29" s="819"/>
      <c r="XAL29" s="819"/>
      <c r="XAM29" s="819"/>
      <c r="XAN29" s="819"/>
      <c r="XAO29" s="819"/>
      <c r="XAP29" s="819"/>
      <c r="XAQ29" s="819"/>
      <c r="XAR29" s="819"/>
      <c r="XAS29" s="819"/>
      <c r="XAT29" s="819"/>
      <c r="XAU29" s="819"/>
      <c r="XAV29" s="819"/>
      <c r="XAW29" s="819"/>
      <c r="XAX29" s="819"/>
      <c r="XAY29" s="819"/>
      <c r="XAZ29" s="819"/>
      <c r="XBA29" s="819"/>
      <c r="XBB29" s="819"/>
      <c r="XBC29" s="819"/>
      <c r="XBD29" s="819"/>
      <c r="XBE29" s="819"/>
      <c r="XBF29" s="819"/>
      <c r="XBG29" s="819"/>
      <c r="XBH29" s="819"/>
      <c r="XBI29" s="819"/>
      <c r="XBJ29" s="819"/>
      <c r="XBK29" s="819"/>
      <c r="XBL29" s="819"/>
      <c r="XBM29" s="819"/>
      <c r="XBN29" s="819"/>
      <c r="XBO29" s="819"/>
      <c r="XBP29" s="819"/>
      <c r="XBQ29" s="819"/>
      <c r="XBR29" s="819"/>
      <c r="XBS29" s="819"/>
      <c r="XBT29" s="819"/>
      <c r="XBU29" s="819"/>
      <c r="XBV29" s="819"/>
      <c r="XBW29" s="819"/>
      <c r="XBX29" s="819"/>
      <c r="XBY29" s="819"/>
      <c r="XBZ29" s="819"/>
      <c r="XCA29" s="819"/>
      <c r="XCB29" s="819"/>
      <c r="XCC29" s="819"/>
      <c r="XCD29" s="819"/>
      <c r="XCE29" s="819"/>
      <c r="XCF29" s="819"/>
      <c r="XCG29" s="819"/>
      <c r="XCH29" s="819"/>
      <c r="XCI29" s="819"/>
      <c r="XCJ29" s="819"/>
      <c r="XCK29" s="819"/>
      <c r="XCL29" s="819"/>
      <c r="XCM29" s="819"/>
      <c r="XCN29" s="819"/>
      <c r="XCO29" s="819"/>
      <c r="XCP29" s="819"/>
      <c r="XCQ29" s="819"/>
      <c r="XCR29" s="819"/>
      <c r="XCS29" s="819"/>
      <c r="XCT29" s="819"/>
      <c r="XCU29" s="819"/>
      <c r="XCV29" s="819"/>
      <c r="XCW29" s="819"/>
      <c r="XCX29" s="819"/>
      <c r="XCY29" s="819"/>
      <c r="XCZ29" s="819"/>
      <c r="XDA29" s="819"/>
      <c r="XDB29" s="819"/>
      <c r="XDC29" s="819"/>
      <c r="XDD29" s="819"/>
      <c r="XDE29" s="819"/>
      <c r="XDF29" s="819"/>
      <c r="XDG29" s="819"/>
      <c r="XDH29" s="819"/>
      <c r="XDI29" s="819"/>
      <c r="XDJ29" s="819"/>
      <c r="XDK29" s="819"/>
      <c r="XDL29" s="819"/>
      <c r="XDM29" s="819"/>
      <c r="XDN29" s="819"/>
      <c r="XDO29" s="819"/>
      <c r="XDP29" s="819"/>
      <c r="XDQ29" s="819"/>
      <c r="XDR29" s="819"/>
      <c r="XDS29" s="819"/>
      <c r="XDT29" s="819"/>
      <c r="XDU29" s="819"/>
      <c r="XDV29" s="819"/>
      <c r="XDW29" s="819"/>
      <c r="XDX29" s="819"/>
      <c r="XDY29" s="819"/>
      <c r="XDZ29" s="819"/>
    </row>
    <row r="30" spans="1:16354">
      <c r="A30" s="819"/>
      <c r="C30" s="806" t="s">
        <v>283</v>
      </c>
      <c r="F30" s="844">
        <f>+G30</f>
        <v>-2996.3881211814887</v>
      </c>
      <c r="G30" s="817">
        <f>-R65</f>
        <v>-2996.3881211814887</v>
      </c>
      <c r="H30" s="844">
        <f>+G30</f>
        <v>-2996.3881211814887</v>
      </c>
      <c r="I30" s="469"/>
      <c r="J30" s="469"/>
      <c r="K30" s="938"/>
      <c r="L30" s="806" t="s">
        <v>228</v>
      </c>
      <c r="N30" s="817">
        <f>+Model!BE212</f>
        <v>182</v>
      </c>
      <c r="O30" s="817">
        <f>+Model!BJ212</f>
        <v>435</v>
      </c>
      <c r="P30" s="817">
        <f>+Model!BP212</f>
        <v>1303</v>
      </c>
      <c r="Q30" s="817">
        <f>+Model!BU212</f>
        <v>1416</v>
      </c>
      <c r="R30" s="817">
        <f>+Model!BZ212</f>
        <v>1426</v>
      </c>
      <c r="S30" s="817">
        <f>+Model!CE212</f>
        <v>1410</v>
      </c>
      <c r="T30" s="817">
        <f>+Model!CJ212</f>
        <v>1410</v>
      </c>
      <c r="U30" s="1041"/>
    </row>
    <row r="31" spans="1:16354" s="819" customFormat="1">
      <c r="A31" s="806"/>
      <c r="B31" s="806"/>
      <c r="C31" s="825" t="s">
        <v>135</v>
      </c>
      <c r="D31" s="806"/>
      <c r="E31" s="806"/>
      <c r="F31" s="837">
        <f>+SUM(F29:F30)</f>
        <v>1753.6118788185113</v>
      </c>
      <c r="G31" s="837">
        <f>+SUM(G29:G30)</f>
        <v>1753.6118788185113</v>
      </c>
      <c r="H31" s="837">
        <f>+SUM(H29:H30)</f>
        <v>1753.6118788185113</v>
      </c>
      <c r="I31" s="806"/>
      <c r="J31" s="806"/>
      <c r="K31" s="938"/>
      <c r="L31" s="825" t="s">
        <v>177</v>
      </c>
      <c r="M31" s="825"/>
      <c r="N31" s="837">
        <f t="shared" ref="N31:Q31" si="3">+N18-SUM(N28:N30)</f>
        <v>20237</v>
      </c>
      <c r="O31" s="837">
        <f t="shared" si="3"/>
        <v>20832</v>
      </c>
      <c r="P31" s="837">
        <f t="shared" si="3"/>
        <v>21117</v>
      </c>
      <c r="Q31" s="837">
        <f t="shared" si="3"/>
        <v>22252.437260000006</v>
      </c>
      <c r="R31" s="837">
        <f>+R18-SUM(R28:R30)</f>
        <v>23430.779633898521</v>
      </c>
      <c r="S31" s="837">
        <f t="shared" ref="S31:T31" si="4">+S18-SUM(S28:S30)</f>
        <v>24787.536171909396</v>
      </c>
      <c r="T31" s="837">
        <f t="shared" si="4"/>
        <v>26243.074503702479</v>
      </c>
      <c r="U31" s="1039"/>
      <c r="V31" s="806"/>
      <c r="W31" s="806"/>
      <c r="X31" s="806"/>
      <c r="Y31" s="806"/>
      <c r="Z31" s="806"/>
      <c r="AA31" s="806"/>
      <c r="AB31" s="806"/>
      <c r="AC31" s="806"/>
      <c r="AD31" s="806"/>
      <c r="AE31" s="806"/>
      <c r="AF31" s="806"/>
      <c r="AG31" s="806"/>
      <c r="AH31" s="806"/>
      <c r="AI31" s="806"/>
      <c r="AJ31" s="806"/>
      <c r="AK31" s="806"/>
      <c r="AL31" s="806"/>
      <c r="AM31" s="806"/>
      <c r="AN31" s="806"/>
      <c r="AO31" s="806"/>
      <c r="AP31" s="806"/>
      <c r="AQ31" s="806"/>
      <c r="AR31" s="806"/>
      <c r="AS31" s="806"/>
      <c r="AT31" s="806"/>
      <c r="AU31" s="806"/>
      <c r="AV31" s="806"/>
      <c r="AW31" s="806"/>
      <c r="AX31" s="806"/>
      <c r="AY31" s="806"/>
      <c r="AZ31" s="806"/>
      <c r="BA31" s="806"/>
      <c r="BB31" s="806"/>
      <c r="BC31" s="806"/>
      <c r="BD31" s="806"/>
      <c r="BE31" s="806"/>
      <c r="BF31" s="806"/>
      <c r="BG31" s="806"/>
      <c r="BH31" s="806"/>
      <c r="BI31" s="806"/>
      <c r="BJ31" s="806"/>
      <c r="BK31" s="806"/>
      <c r="BL31" s="806"/>
      <c r="BM31" s="806"/>
      <c r="BN31" s="806"/>
      <c r="BO31" s="806"/>
      <c r="BP31" s="806"/>
      <c r="BQ31" s="806"/>
      <c r="BR31" s="806"/>
      <c r="BS31" s="806"/>
      <c r="BT31" s="806"/>
      <c r="BU31" s="806"/>
      <c r="BV31" s="806"/>
      <c r="BW31" s="806"/>
      <c r="BX31" s="806"/>
      <c r="BY31" s="806"/>
      <c r="BZ31" s="806"/>
      <c r="CA31" s="806"/>
      <c r="CB31" s="806"/>
      <c r="CC31" s="806"/>
      <c r="CD31" s="806"/>
      <c r="CE31" s="806"/>
      <c r="CF31" s="806"/>
      <c r="CG31" s="806"/>
      <c r="CH31" s="806"/>
      <c r="CI31" s="806"/>
      <c r="CJ31" s="806"/>
      <c r="CK31" s="806"/>
      <c r="CL31" s="806"/>
      <c r="CM31" s="806"/>
      <c r="CN31" s="806"/>
      <c r="CO31" s="806"/>
      <c r="CP31" s="806"/>
      <c r="CQ31" s="806"/>
      <c r="CR31" s="806"/>
      <c r="CS31" s="806"/>
      <c r="CT31" s="806"/>
      <c r="CU31" s="806"/>
      <c r="CV31" s="806"/>
      <c r="CW31" s="806"/>
      <c r="CX31" s="806"/>
      <c r="CY31" s="806"/>
      <c r="CZ31" s="806"/>
      <c r="DA31" s="806"/>
      <c r="DB31" s="806"/>
      <c r="DC31" s="806"/>
      <c r="DD31" s="806"/>
      <c r="DE31" s="806"/>
      <c r="DF31" s="806"/>
      <c r="DG31" s="806"/>
      <c r="DH31" s="806"/>
      <c r="DI31" s="806"/>
      <c r="DJ31" s="806"/>
      <c r="DK31" s="806"/>
      <c r="DL31" s="806"/>
      <c r="DM31" s="806"/>
      <c r="DN31" s="806"/>
      <c r="DO31" s="806"/>
      <c r="DP31" s="806"/>
      <c r="DQ31" s="806"/>
      <c r="DR31" s="806"/>
      <c r="DS31" s="806"/>
      <c r="DT31" s="806"/>
      <c r="DU31" s="806"/>
      <c r="DV31" s="806"/>
      <c r="DW31" s="806"/>
      <c r="DX31" s="806"/>
      <c r="DY31" s="806"/>
      <c r="DZ31" s="806"/>
      <c r="EA31" s="806"/>
      <c r="EB31" s="806"/>
      <c r="EC31" s="806"/>
      <c r="ED31" s="806"/>
      <c r="EE31" s="806"/>
      <c r="EF31" s="806"/>
      <c r="EG31" s="806"/>
      <c r="EH31" s="806"/>
      <c r="EI31" s="806"/>
      <c r="EJ31" s="806"/>
      <c r="EK31" s="806"/>
      <c r="EL31" s="806"/>
      <c r="EM31" s="806"/>
      <c r="EN31" s="806"/>
      <c r="EO31" s="806"/>
      <c r="EP31" s="806"/>
      <c r="EQ31" s="806"/>
      <c r="ER31" s="806"/>
      <c r="ES31" s="806"/>
      <c r="ET31" s="806"/>
      <c r="EU31" s="806"/>
      <c r="EV31" s="806"/>
      <c r="EW31" s="806"/>
      <c r="EX31" s="806"/>
      <c r="EY31" s="806"/>
      <c r="EZ31" s="806"/>
      <c r="FA31" s="806"/>
      <c r="FB31" s="806"/>
      <c r="FC31" s="806"/>
      <c r="FD31" s="806"/>
      <c r="FE31" s="806"/>
      <c r="FF31" s="806"/>
      <c r="FG31" s="806"/>
      <c r="FH31" s="806"/>
      <c r="FI31" s="806"/>
      <c r="FJ31" s="806"/>
      <c r="FK31" s="806"/>
      <c r="FL31" s="806"/>
      <c r="FM31" s="806"/>
      <c r="FN31" s="806"/>
      <c r="FO31" s="806"/>
      <c r="FP31" s="806"/>
      <c r="FQ31" s="806"/>
      <c r="FR31" s="806"/>
      <c r="FS31" s="806"/>
      <c r="FT31" s="806"/>
      <c r="FU31" s="806"/>
      <c r="FV31" s="806"/>
      <c r="FW31" s="806"/>
      <c r="FX31" s="806"/>
      <c r="FY31" s="806"/>
      <c r="FZ31" s="806"/>
      <c r="GA31" s="806"/>
      <c r="GB31" s="806"/>
      <c r="GC31" s="806"/>
      <c r="GD31" s="806"/>
      <c r="GE31" s="806"/>
      <c r="GF31" s="806"/>
      <c r="GG31" s="806"/>
      <c r="GH31" s="806"/>
      <c r="GI31" s="806"/>
      <c r="GJ31" s="806"/>
      <c r="GK31" s="806"/>
      <c r="GL31" s="806"/>
      <c r="GM31" s="806"/>
      <c r="GN31" s="806"/>
      <c r="GO31" s="806"/>
      <c r="GP31" s="806"/>
      <c r="GQ31" s="806"/>
      <c r="GR31" s="806"/>
      <c r="GS31" s="806"/>
      <c r="GT31" s="806"/>
      <c r="GU31" s="806"/>
      <c r="GV31" s="806"/>
      <c r="GW31" s="806"/>
      <c r="GX31" s="806"/>
      <c r="GY31" s="806"/>
      <c r="GZ31" s="806"/>
      <c r="HA31" s="806"/>
      <c r="HB31" s="806"/>
      <c r="HC31" s="806"/>
      <c r="HD31" s="806"/>
      <c r="HE31" s="806"/>
      <c r="HF31" s="806"/>
      <c r="HG31" s="806"/>
      <c r="HH31" s="806"/>
      <c r="HI31" s="806"/>
      <c r="HJ31" s="806"/>
      <c r="HK31" s="806"/>
      <c r="HL31" s="806"/>
      <c r="HM31" s="806"/>
      <c r="HN31" s="806"/>
      <c r="HO31" s="806"/>
      <c r="HP31" s="806"/>
      <c r="HQ31" s="806"/>
      <c r="HR31" s="806"/>
      <c r="HS31" s="806"/>
      <c r="HT31" s="806"/>
      <c r="HU31" s="806"/>
      <c r="HV31" s="806"/>
      <c r="HW31" s="806"/>
      <c r="HX31" s="806"/>
      <c r="HY31" s="806"/>
      <c r="HZ31" s="806"/>
      <c r="IA31" s="806"/>
      <c r="IB31" s="806"/>
      <c r="IC31" s="806"/>
      <c r="ID31" s="806"/>
      <c r="IE31" s="806"/>
      <c r="IF31" s="806"/>
      <c r="IG31" s="806"/>
      <c r="IH31" s="806"/>
      <c r="II31" s="806"/>
      <c r="IJ31" s="806"/>
      <c r="IK31" s="806"/>
      <c r="IL31" s="806"/>
      <c r="IM31" s="806"/>
      <c r="IN31" s="806"/>
      <c r="IO31" s="806"/>
      <c r="IP31" s="806"/>
      <c r="IQ31" s="806"/>
      <c r="IR31" s="806"/>
      <c r="IS31" s="806"/>
      <c r="IT31" s="806"/>
      <c r="IU31" s="806"/>
      <c r="IV31" s="806"/>
      <c r="IW31" s="806"/>
      <c r="IX31" s="806"/>
      <c r="IY31" s="806"/>
      <c r="IZ31" s="806"/>
      <c r="JA31" s="806"/>
      <c r="JB31" s="806"/>
      <c r="JC31" s="806"/>
      <c r="JD31" s="806"/>
      <c r="JE31" s="806"/>
      <c r="JF31" s="806"/>
      <c r="JG31" s="806"/>
      <c r="JH31" s="806"/>
      <c r="JI31" s="806"/>
      <c r="JJ31" s="806"/>
      <c r="JK31" s="806"/>
      <c r="JL31" s="806"/>
      <c r="JM31" s="806"/>
      <c r="JN31" s="806"/>
      <c r="JO31" s="806"/>
      <c r="JP31" s="806"/>
      <c r="JQ31" s="806"/>
      <c r="JR31" s="806"/>
      <c r="JS31" s="806"/>
      <c r="JT31" s="806"/>
      <c r="JU31" s="806"/>
      <c r="JV31" s="806"/>
      <c r="JW31" s="806"/>
      <c r="JX31" s="806"/>
      <c r="JY31" s="806"/>
      <c r="JZ31" s="806"/>
      <c r="KA31" s="806"/>
      <c r="KB31" s="806"/>
      <c r="KC31" s="806"/>
      <c r="KD31" s="806"/>
      <c r="KE31" s="806"/>
      <c r="KF31" s="806"/>
      <c r="KG31" s="806"/>
      <c r="KH31" s="806"/>
      <c r="KI31" s="806"/>
      <c r="KJ31" s="806"/>
      <c r="KK31" s="806"/>
      <c r="KL31" s="806"/>
      <c r="KM31" s="806"/>
      <c r="KN31" s="806"/>
      <c r="KO31" s="806"/>
      <c r="KP31" s="806"/>
      <c r="KQ31" s="806"/>
      <c r="KR31" s="806"/>
      <c r="KS31" s="806"/>
      <c r="KT31" s="806"/>
      <c r="KU31" s="806"/>
      <c r="KV31" s="806"/>
      <c r="KW31" s="806"/>
      <c r="KX31" s="806"/>
      <c r="KY31" s="806"/>
      <c r="KZ31" s="806"/>
      <c r="LA31" s="806"/>
      <c r="LB31" s="806"/>
      <c r="LC31" s="806"/>
      <c r="LD31" s="806"/>
      <c r="LE31" s="806"/>
      <c r="LF31" s="806"/>
      <c r="LG31" s="806"/>
      <c r="LH31" s="806"/>
      <c r="LI31" s="806"/>
      <c r="LJ31" s="806"/>
      <c r="LK31" s="806"/>
      <c r="LL31" s="806"/>
      <c r="LM31" s="806"/>
      <c r="LN31" s="806"/>
      <c r="LO31" s="806"/>
      <c r="LP31" s="806"/>
      <c r="LQ31" s="806"/>
      <c r="LR31" s="806"/>
      <c r="LS31" s="806"/>
      <c r="LT31" s="806"/>
      <c r="LU31" s="806"/>
      <c r="LV31" s="806"/>
      <c r="LW31" s="806"/>
      <c r="LX31" s="806"/>
      <c r="LY31" s="806"/>
      <c r="LZ31" s="806"/>
      <c r="MA31" s="806"/>
      <c r="MB31" s="806"/>
      <c r="MC31" s="806"/>
      <c r="MD31" s="806"/>
      <c r="ME31" s="806"/>
      <c r="MF31" s="806"/>
      <c r="MG31" s="806"/>
      <c r="MH31" s="806"/>
      <c r="MI31" s="806"/>
      <c r="MJ31" s="806"/>
      <c r="MK31" s="806"/>
      <c r="ML31" s="806"/>
      <c r="MM31" s="806"/>
      <c r="MN31" s="806"/>
      <c r="MO31" s="806"/>
      <c r="MP31" s="806"/>
      <c r="MQ31" s="806"/>
      <c r="MR31" s="806"/>
      <c r="MS31" s="806"/>
      <c r="MT31" s="806"/>
      <c r="MU31" s="806"/>
      <c r="MV31" s="806"/>
      <c r="MW31" s="806"/>
      <c r="MX31" s="806"/>
      <c r="MY31" s="806"/>
      <c r="MZ31" s="806"/>
      <c r="NA31" s="806"/>
      <c r="NB31" s="806"/>
      <c r="NC31" s="806"/>
      <c r="ND31" s="806"/>
      <c r="NE31" s="806"/>
      <c r="NF31" s="806"/>
      <c r="NG31" s="806"/>
      <c r="NH31" s="806"/>
      <c r="NI31" s="806"/>
      <c r="NJ31" s="806"/>
      <c r="NK31" s="806"/>
      <c r="NL31" s="806"/>
      <c r="NM31" s="806"/>
      <c r="NN31" s="806"/>
      <c r="NO31" s="806"/>
      <c r="NP31" s="806"/>
      <c r="NQ31" s="806"/>
      <c r="NR31" s="806"/>
      <c r="NS31" s="806"/>
      <c r="NT31" s="806"/>
      <c r="NU31" s="806"/>
      <c r="NV31" s="806"/>
      <c r="NW31" s="806"/>
      <c r="NX31" s="806"/>
      <c r="NY31" s="806"/>
      <c r="NZ31" s="806"/>
      <c r="OA31" s="806"/>
      <c r="OB31" s="806"/>
      <c r="OC31" s="806"/>
      <c r="OD31" s="806"/>
      <c r="OE31" s="806"/>
      <c r="OF31" s="806"/>
      <c r="OG31" s="806"/>
      <c r="OH31" s="806"/>
      <c r="OI31" s="806"/>
      <c r="OJ31" s="806"/>
      <c r="OK31" s="806"/>
      <c r="OL31" s="806"/>
      <c r="OM31" s="806"/>
      <c r="ON31" s="806"/>
      <c r="OO31" s="806"/>
      <c r="OP31" s="806"/>
      <c r="OQ31" s="806"/>
      <c r="OR31" s="806"/>
      <c r="OS31" s="806"/>
      <c r="OT31" s="806"/>
      <c r="OU31" s="806"/>
      <c r="OV31" s="806"/>
      <c r="OW31" s="806"/>
      <c r="OX31" s="806"/>
      <c r="OY31" s="806"/>
      <c r="OZ31" s="806"/>
      <c r="PA31" s="806"/>
      <c r="PB31" s="806"/>
      <c r="PC31" s="806"/>
      <c r="PD31" s="806"/>
      <c r="PE31" s="806"/>
      <c r="PF31" s="806"/>
      <c r="PG31" s="806"/>
      <c r="PH31" s="806"/>
      <c r="PI31" s="806"/>
      <c r="PJ31" s="806"/>
      <c r="PK31" s="806"/>
      <c r="PL31" s="806"/>
      <c r="PM31" s="806"/>
      <c r="PN31" s="806"/>
      <c r="PO31" s="806"/>
      <c r="PP31" s="806"/>
      <c r="PQ31" s="806"/>
      <c r="PR31" s="806"/>
      <c r="PS31" s="806"/>
      <c r="PT31" s="806"/>
      <c r="PU31" s="806"/>
      <c r="PV31" s="806"/>
      <c r="PW31" s="806"/>
      <c r="PX31" s="806"/>
      <c r="PY31" s="806"/>
      <c r="PZ31" s="806"/>
      <c r="QA31" s="806"/>
      <c r="QB31" s="806"/>
      <c r="QC31" s="806"/>
      <c r="QD31" s="806"/>
      <c r="QE31" s="806"/>
      <c r="QF31" s="806"/>
      <c r="QG31" s="806"/>
      <c r="QH31" s="806"/>
      <c r="QI31" s="806"/>
      <c r="QJ31" s="806"/>
      <c r="QK31" s="806"/>
      <c r="QL31" s="806"/>
      <c r="QM31" s="806"/>
      <c r="QN31" s="806"/>
      <c r="QO31" s="806"/>
      <c r="QP31" s="806"/>
      <c r="QQ31" s="806"/>
      <c r="QR31" s="806"/>
      <c r="QS31" s="806"/>
      <c r="QT31" s="806"/>
      <c r="QU31" s="806"/>
      <c r="QV31" s="806"/>
      <c r="QW31" s="806"/>
      <c r="QX31" s="806"/>
      <c r="QY31" s="806"/>
      <c r="QZ31" s="806"/>
      <c r="RA31" s="806"/>
      <c r="RB31" s="806"/>
      <c r="RC31" s="806"/>
      <c r="RD31" s="806"/>
      <c r="RE31" s="806"/>
      <c r="RF31" s="806"/>
      <c r="RG31" s="806"/>
      <c r="RH31" s="806"/>
      <c r="RI31" s="806"/>
      <c r="RJ31" s="806"/>
      <c r="RK31" s="806"/>
      <c r="RL31" s="806"/>
      <c r="RM31" s="806"/>
      <c r="RN31" s="806"/>
      <c r="RO31" s="806"/>
      <c r="RP31" s="806"/>
      <c r="RQ31" s="806"/>
      <c r="RR31" s="806"/>
      <c r="RS31" s="806"/>
      <c r="RT31" s="806"/>
      <c r="RU31" s="806"/>
      <c r="RV31" s="806"/>
      <c r="RW31" s="806"/>
      <c r="RX31" s="806"/>
      <c r="RY31" s="806"/>
      <c r="RZ31" s="806"/>
      <c r="SA31" s="806"/>
      <c r="SB31" s="806"/>
      <c r="SC31" s="806"/>
      <c r="SD31" s="806"/>
      <c r="SE31" s="806"/>
      <c r="SF31" s="806"/>
      <c r="SG31" s="806"/>
      <c r="SH31" s="806"/>
      <c r="SI31" s="806"/>
      <c r="SJ31" s="806"/>
      <c r="SK31" s="806"/>
      <c r="SL31" s="806"/>
      <c r="SM31" s="806"/>
      <c r="SN31" s="806"/>
      <c r="SO31" s="806"/>
      <c r="SP31" s="806"/>
      <c r="SQ31" s="806"/>
      <c r="SR31" s="806"/>
      <c r="SS31" s="806"/>
      <c r="ST31" s="806"/>
      <c r="SU31" s="806"/>
      <c r="SV31" s="806"/>
      <c r="SW31" s="806"/>
      <c r="SX31" s="806"/>
      <c r="SY31" s="806"/>
      <c r="SZ31" s="806"/>
      <c r="TA31" s="806"/>
      <c r="TB31" s="806"/>
      <c r="TC31" s="806"/>
      <c r="TD31" s="806"/>
      <c r="TE31" s="806"/>
      <c r="TF31" s="806"/>
      <c r="TG31" s="806"/>
      <c r="TH31" s="806"/>
      <c r="TI31" s="806"/>
      <c r="TJ31" s="806"/>
      <c r="TK31" s="806"/>
      <c r="TL31" s="806"/>
      <c r="TM31" s="806"/>
      <c r="TN31" s="806"/>
      <c r="TO31" s="806"/>
      <c r="TP31" s="806"/>
      <c r="TQ31" s="806"/>
      <c r="TR31" s="806"/>
      <c r="TS31" s="806"/>
      <c r="TT31" s="806"/>
      <c r="TU31" s="806"/>
      <c r="TV31" s="806"/>
      <c r="TW31" s="806"/>
      <c r="TX31" s="806"/>
      <c r="TY31" s="806"/>
      <c r="TZ31" s="806"/>
      <c r="UA31" s="806"/>
      <c r="UB31" s="806"/>
      <c r="UC31" s="806"/>
      <c r="UD31" s="806"/>
      <c r="UE31" s="806"/>
      <c r="UF31" s="806"/>
      <c r="UG31" s="806"/>
      <c r="UH31" s="806"/>
      <c r="UI31" s="806"/>
      <c r="UJ31" s="806"/>
      <c r="UK31" s="806"/>
      <c r="UL31" s="806"/>
      <c r="UM31" s="806"/>
      <c r="UN31" s="806"/>
      <c r="UO31" s="806"/>
      <c r="UP31" s="806"/>
      <c r="UQ31" s="806"/>
      <c r="UR31" s="806"/>
      <c r="US31" s="806"/>
      <c r="UT31" s="806"/>
      <c r="UU31" s="806"/>
      <c r="UV31" s="806"/>
      <c r="UW31" s="806"/>
      <c r="UX31" s="806"/>
      <c r="UY31" s="806"/>
      <c r="UZ31" s="806"/>
      <c r="VA31" s="806"/>
      <c r="VB31" s="806"/>
      <c r="VC31" s="806"/>
      <c r="VD31" s="806"/>
      <c r="VE31" s="806"/>
      <c r="VF31" s="806"/>
      <c r="VG31" s="806"/>
      <c r="VH31" s="806"/>
      <c r="VI31" s="806"/>
      <c r="VJ31" s="806"/>
      <c r="VK31" s="806"/>
      <c r="VL31" s="806"/>
      <c r="VM31" s="806"/>
      <c r="VN31" s="806"/>
      <c r="VO31" s="806"/>
      <c r="VP31" s="806"/>
      <c r="VQ31" s="806"/>
      <c r="VR31" s="806"/>
      <c r="VS31" s="806"/>
      <c r="VT31" s="806"/>
      <c r="VU31" s="806"/>
      <c r="VV31" s="806"/>
      <c r="VW31" s="806"/>
      <c r="VX31" s="806"/>
      <c r="VY31" s="806"/>
      <c r="VZ31" s="806"/>
      <c r="WA31" s="806"/>
      <c r="WB31" s="806"/>
      <c r="WC31" s="806"/>
      <c r="WD31" s="806"/>
      <c r="WE31" s="806"/>
      <c r="WF31" s="806"/>
      <c r="WG31" s="806"/>
      <c r="WH31" s="806"/>
      <c r="WI31" s="806"/>
      <c r="WJ31" s="806"/>
      <c r="WK31" s="806"/>
      <c r="WL31" s="806"/>
      <c r="WM31" s="806"/>
      <c r="WN31" s="806"/>
      <c r="WO31" s="806"/>
      <c r="WP31" s="806"/>
      <c r="WQ31" s="806"/>
      <c r="WR31" s="806"/>
      <c r="WS31" s="806"/>
      <c r="WT31" s="806"/>
      <c r="WU31" s="806"/>
      <c r="WV31" s="806"/>
      <c r="WW31" s="806"/>
      <c r="WX31" s="806"/>
      <c r="WY31" s="806"/>
      <c r="WZ31" s="806"/>
      <c r="XA31" s="806"/>
      <c r="XB31" s="806"/>
      <c r="XC31" s="806"/>
      <c r="XD31" s="806"/>
      <c r="XE31" s="806"/>
      <c r="XF31" s="806"/>
      <c r="XG31" s="806"/>
      <c r="XH31" s="806"/>
      <c r="XI31" s="806"/>
      <c r="XJ31" s="806"/>
      <c r="XK31" s="806"/>
      <c r="XL31" s="806"/>
      <c r="XM31" s="806"/>
      <c r="XN31" s="806"/>
      <c r="XO31" s="806"/>
      <c r="XP31" s="806"/>
      <c r="XQ31" s="806"/>
      <c r="XR31" s="806"/>
      <c r="XS31" s="806"/>
      <c r="XT31" s="806"/>
      <c r="XU31" s="806"/>
      <c r="XV31" s="806"/>
      <c r="XW31" s="806"/>
      <c r="XX31" s="806"/>
      <c r="XY31" s="806"/>
      <c r="XZ31" s="806"/>
      <c r="YA31" s="806"/>
      <c r="YB31" s="806"/>
      <c r="YC31" s="806"/>
      <c r="YD31" s="806"/>
      <c r="YE31" s="806"/>
      <c r="YF31" s="806"/>
      <c r="YG31" s="806"/>
      <c r="YH31" s="806"/>
      <c r="YI31" s="806"/>
      <c r="YJ31" s="806"/>
      <c r="YK31" s="806"/>
      <c r="YL31" s="806"/>
      <c r="YM31" s="806"/>
      <c r="YN31" s="806"/>
      <c r="YO31" s="806"/>
      <c r="YP31" s="806"/>
      <c r="YQ31" s="806"/>
      <c r="YR31" s="806"/>
      <c r="YS31" s="806"/>
      <c r="YT31" s="806"/>
      <c r="YU31" s="806"/>
      <c r="YV31" s="806"/>
      <c r="YW31" s="806"/>
      <c r="YX31" s="806"/>
      <c r="YY31" s="806"/>
      <c r="YZ31" s="806"/>
      <c r="ZA31" s="806"/>
      <c r="ZB31" s="806"/>
      <c r="ZC31" s="806"/>
      <c r="ZD31" s="806"/>
      <c r="ZE31" s="806"/>
      <c r="ZF31" s="806"/>
      <c r="ZG31" s="806"/>
      <c r="ZH31" s="806"/>
      <c r="ZI31" s="806"/>
      <c r="ZJ31" s="806"/>
      <c r="ZK31" s="806"/>
      <c r="ZL31" s="806"/>
      <c r="ZM31" s="806"/>
      <c r="ZN31" s="806"/>
      <c r="ZO31" s="806"/>
      <c r="ZP31" s="806"/>
      <c r="ZQ31" s="806"/>
      <c r="ZR31" s="806"/>
      <c r="ZS31" s="806"/>
      <c r="ZT31" s="806"/>
      <c r="ZU31" s="806"/>
      <c r="ZV31" s="806"/>
      <c r="ZW31" s="806"/>
      <c r="ZX31" s="806"/>
      <c r="ZY31" s="806"/>
      <c r="ZZ31" s="806"/>
      <c r="AAA31" s="806"/>
      <c r="AAB31" s="806"/>
      <c r="AAC31" s="806"/>
      <c r="AAD31" s="806"/>
      <c r="AAE31" s="806"/>
      <c r="AAF31" s="806"/>
      <c r="AAG31" s="806"/>
      <c r="AAH31" s="806"/>
      <c r="AAI31" s="806"/>
      <c r="AAJ31" s="806"/>
      <c r="AAK31" s="806"/>
      <c r="AAL31" s="806"/>
      <c r="AAM31" s="806"/>
      <c r="AAN31" s="806"/>
      <c r="AAO31" s="806"/>
      <c r="AAP31" s="806"/>
      <c r="AAQ31" s="806"/>
      <c r="AAR31" s="806"/>
      <c r="AAS31" s="806"/>
      <c r="AAT31" s="806"/>
      <c r="AAU31" s="806"/>
      <c r="AAV31" s="806"/>
      <c r="AAW31" s="806"/>
      <c r="AAX31" s="806"/>
      <c r="AAY31" s="806"/>
      <c r="AAZ31" s="806"/>
      <c r="ABA31" s="806"/>
      <c r="ABB31" s="806"/>
      <c r="ABC31" s="806"/>
      <c r="ABD31" s="806"/>
      <c r="ABE31" s="806"/>
      <c r="ABF31" s="806"/>
      <c r="ABG31" s="806"/>
      <c r="ABH31" s="806"/>
      <c r="ABI31" s="806"/>
      <c r="ABJ31" s="806"/>
      <c r="ABK31" s="806"/>
      <c r="ABL31" s="806"/>
      <c r="ABM31" s="806"/>
      <c r="ABN31" s="806"/>
      <c r="ABO31" s="806"/>
      <c r="ABP31" s="806"/>
      <c r="ABQ31" s="806"/>
      <c r="ABR31" s="806"/>
      <c r="ABS31" s="806"/>
      <c r="ABT31" s="806"/>
      <c r="ABU31" s="806"/>
      <c r="ABV31" s="806"/>
      <c r="ABW31" s="806"/>
      <c r="ABX31" s="806"/>
      <c r="ABY31" s="806"/>
      <c r="ABZ31" s="806"/>
      <c r="ACA31" s="806"/>
      <c r="ACB31" s="806"/>
      <c r="ACC31" s="806"/>
      <c r="ACD31" s="806"/>
      <c r="ACE31" s="806"/>
      <c r="ACF31" s="806"/>
      <c r="ACG31" s="806"/>
      <c r="ACH31" s="806"/>
      <c r="ACI31" s="806"/>
      <c r="ACJ31" s="806"/>
      <c r="ACK31" s="806"/>
      <c r="ACL31" s="806"/>
      <c r="ACM31" s="806"/>
      <c r="ACN31" s="806"/>
      <c r="ACO31" s="806"/>
      <c r="ACP31" s="806"/>
      <c r="ACQ31" s="806"/>
      <c r="ACR31" s="806"/>
      <c r="ACS31" s="806"/>
      <c r="ACT31" s="806"/>
      <c r="ACU31" s="806"/>
      <c r="ACV31" s="806"/>
      <c r="ACW31" s="806"/>
      <c r="ACX31" s="806"/>
      <c r="ACY31" s="806"/>
      <c r="ACZ31" s="806"/>
      <c r="ADA31" s="806"/>
      <c r="ADB31" s="806"/>
      <c r="ADC31" s="806"/>
      <c r="ADD31" s="806"/>
      <c r="ADE31" s="806"/>
      <c r="ADF31" s="806"/>
      <c r="ADG31" s="806"/>
      <c r="ADH31" s="806"/>
      <c r="ADI31" s="806"/>
      <c r="ADJ31" s="806"/>
      <c r="ADK31" s="806"/>
      <c r="ADL31" s="806"/>
      <c r="ADM31" s="806"/>
      <c r="ADN31" s="806"/>
      <c r="ADO31" s="806"/>
      <c r="ADP31" s="806"/>
      <c r="ADQ31" s="806"/>
      <c r="ADR31" s="806"/>
      <c r="ADS31" s="806"/>
      <c r="ADT31" s="806"/>
      <c r="ADU31" s="806"/>
      <c r="ADV31" s="806"/>
      <c r="ADW31" s="806"/>
      <c r="ADX31" s="806"/>
      <c r="ADY31" s="806"/>
      <c r="ADZ31" s="806"/>
      <c r="AEA31" s="806"/>
      <c r="AEB31" s="806"/>
      <c r="AEC31" s="806"/>
      <c r="AED31" s="806"/>
      <c r="AEE31" s="806"/>
      <c r="AEF31" s="806"/>
      <c r="AEG31" s="806"/>
      <c r="AEH31" s="806"/>
      <c r="AEI31" s="806"/>
      <c r="AEJ31" s="806"/>
      <c r="AEK31" s="806"/>
      <c r="AEL31" s="806"/>
      <c r="AEM31" s="806"/>
      <c r="AEN31" s="806"/>
      <c r="AEO31" s="806"/>
      <c r="AEP31" s="806"/>
      <c r="AEQ31" s="806"/>
      <c r="AER31" s="806"/>
      <c r="AES31" s="806"/>
      <c r="AET31" s="806"/>
      <c r="AEU31" s="806"/>
      <c r="AEV31" s="806"/>
      <c r="AEW31" s="806"/>
      <c r="AEX31" s="806"/>
      <c r="AEY31" s="806"/>
      <c r="AEZ31" s="806"/>
      <c r="AFA31" s="806"/>
      <c r="AFB31" s="806"/>
      <c r="AFC31" s="806"/>
      <c r="AFD31" s="806"/>
      <c r="AFE31" s="806"/>
      <c r="AFF31" s="806"/>
      <c r="AFG31" s="806"/>
      <c r="AFH31" s="806"/>
      <c r="AFI31" s="806"/>
      <c r="AFJ31" s="806"/>
      <c r="AFK31" s="806"/>
      <c r="AFL31" s="806"/>
      <c r="AFM31" s="806"/>
      <c r="AFN31" s="806"/>
      <c r="AFO31" s="806"/>
      <c r="AFP31" s="806"/>
      <c r="AFQ31" s="806"/>
      <c r="AFR31" s="806"/>
      <c r="AFS31" s="806"/>
      <c r="AFT31" s="806"/>
      <c r="AFU31" s="806"/>
      <c r="AFV31" s="806"/>
      <c r="AFW31" s="806"/>
      <c r="AFX31" s="806"/>
      <c r="AFY31" s="806"/>
      <c r="AFZ31" s="806"/>
      <c r="AGA31" s="806"/>
      <c r="AGB31" s="806"/>
      <c r="AGC31" s="806"/>
      <c r="AGD31" s="806"/>
      <c r="AGE31" s="806"/>
      <c r="AGF31" s="806"/>
      <c r="AGG31" s="806"/>
      <c r="AGH31" s="806"/>
      <c r="AGI31" s="806"/>
      <c r="AGJ31" s="806"/>
      <c r="AGK31" s="806"/>
      <c r="AGL31" s="806"/>
      <c r="AGM31" s="806"/>
      <c r="AGN31" s="806"/>
      <c r="AGO31" s="806"/>
      <c r="AGP31" s="806"/>
      <c r="AGQ31" s="806"/>
      <c r="AGR31" s="806"/>
      <c r="AGS31" s="806"/>
      <c r="AGT31" s="806"/>
      <c r="AGU31" s="806"/>
      <c r="AGV31" s="806"/>
      <c r="AGW31" s="806"/>
      <c r="AGX31" s="806"/>
      <c r="AGY31" s="806"/>
      <c r="AGZ31" s="806"/>
      <c r="AHA31" s="806"/>
      <c r="AHB31" s="806"/>
      <c r="AHC31" s="806"/>
      <c r="AHD31" s="806"/>
      <c r="AHE31" s="806"/>
      <c r="AHF31" s="806"/>
      <c r="AHG31" s="806"/>
      <c r="AHH31" s="806"/>
      <c r="AHI31" s="806"/>
      <c r="AHJ31" s="806"/>
      <c r="AHK31" s="806"/>
      <c r="AHL31" s="806"/>
      <c r="AHM31" s="806"/>
      <c r="AHN31" s="806"/>
      <c r="AHO31" s="806"/>
      <c r="AHP31" s="806"/>
      <c r="AHQ31" s="806"/>
      <c r="AHR31" s="806"/>
      <c r="AHS31" s="806"/>
      <c r="AHT31" s="806"/>
      <c r="AHU31" s="806"/>
      <c r="AHV31" s="806"/>
      <c r="AHW31" s="806"/>
      <c r="AHX31" s="806"/>
      <c r="AHY31" s="806"/>
      <c r="AHZ31" s="806"/>
      <c r="AIA31" s="806"/>
      <c r="AIB31" s="806"/>
      <c r="AIC31" s="806"/>
      <c r="AID31" s="806"/>
      <c r="AIE31" s="806"/>
      <c r="AIF31" s="806"/>
      <c r="AIG31" s="806"/>
      <c r="AIH31" s="806"/>
      <c r="AII31" s="806"/>
      <c r="AIJ31" s="806"/>
      <c r="AIK31" s="806"/>
      <c r="AIL31" s="806"/>
      <c r="AIM31" s="806"/>
      <c r="AIN31" s="806"/>
      <c r="AIO31" s="806"/>
      <c r="AIP31" s="806"/>
      <c r="AIQ31" s="806"/>
      <c r="AIR31" s="806"/>
      <c r="AIS31" s="806"/>
      <c r="AIT31" s="806"/>
      <c r="AIU31" s="806"/>
      <c r="AIV31" s="806"/>
      <c r="AIW31" s="806"/>
      <c r="AIX31" s="806"/>
      <c r="AIY31" s="806"/>
      <c r="AIZ31" s="806"/>
      <c r="AJA31" s="806"/>
      <c r="AJB31" s="806"/>
      <c r="AJC31" s="806"/>
      <c r="AJD31" s="806"/>
      <c r="AJE31" s="806"/>
      <c r="AJF31" s="806"/>
      <c r="AJG31" s="806"/>
      <c r="AJH31" s="806"/>
      <c r="AJI31" s="806"/>
      <c r="AJJ31" s="806"/>
      <c r="AJK31" s="806"/>
      <c r="AJL31" s="806"/>
      <c r="AJM31" s="806"/>
      <c r="AJN31" s="806"/>
      <c r="AJO31" s="806"/>
      <c r="AJP31" s="806"/>
      <c r="AJQ31" s="806"/>
      <c r="AJR31" s="806"/>
      <c r="AJS31" s="806"/>
      <c r="AJT31" s="806"/>
      <c r="AJU31" s="806"/>
      <c r="AJV31" s="806"/>
      <c r="AJW31" s="806"/>
      <c r="AJX31" s="806"/>
      <c r="AJY31" s="806"/>
      <c r="AJZ31" s="806"/>
      <c r="AKA31" s="806"/>
      <c r="AKB31" s="806"/>
      <c r="AKC31" s="806"/>
      <c r="AKD31" s="806"/>
      <c r="AKE31" s="806"/>
      <c r="AKF31" s="806"/>
      <c r="AKG31" s="806"/>
      <c r="AKH31" s="806"/>
      <c r="AKI31" s="806"/>
      <c r="AKJ31" s="806"/>
      <c r="AKK31" s="806"/>
      <c r="AKL31" s="806"/>
      <c r="AKM31" s="806"/>
      <c r="AKN31" s="806"/>
      <c r="AKO31" s="806"/>
      <c r="AKP31" s="806"/>
      <c r="AKQ31" s="806"/>
      <c r="AKR31" s="806"/>
      <c r="AKS31" s="806"/>
      <c r="AKT31" s="806"/>
      <c r="AKU31" s="806"/>
      <c r="AKV31" s="806"/>
      <c r="AKW31" s="806"/>
      <c r="AKX31" s="806"/>
      <c r="AKY31" s="806"/>
      <c r="AKZ31" s="806"/>
      <c r="ALA31" s="806"/>
      <c r="ALB31" s="806"/>
      <c r="ALC31" s="806"/>
      <c r="ALD31" s="806"/>
      <c r="ALE31" s="806"/>
      <c r="ALF31" s="806"/>
      <c r="ALG31" s="806"/>
      <c r="ALH31" s="806"/>
      <c r="ALI31" s="806"/>
      <c r="ALJ31" s="806"/>
      <c r="ALK31" s="806"/>
      <c r="ALL31" s="806"/>
      <c r="ALM31" s="806"/>
      <c r="ALN31" s="806"/>
      <c r="ALO31" s="806"/>
      <c r="ALP31" s="806"/>
      <c r="ALQ31" s="806"/>
      <c r="ALR31" s="806"/>
      <c r="ALS31" s="806"/>
      <c r="ALT31" s="806"/>
      <c r="ALU31" s="806"/>
      <c r="ALV31" s="806"/>
      <c r="ALW31" s="806"/>
      <c r="ALX31" s="806"/>
      <c r="ALY31" s="806"/>
      <c r="ALZ31" s="806"/>
      <c r="AMA31" s="806"/>
      <c r="AMB31" s="806"/>
      <c r="AMC31" s="806"/>
      <c r="AMD31" s="806"/>
      <c r="AME31" s="806"/>
      <c r="AMF31" s="806"/>
      <c r="AMG31" s="806"/>
      <c r="AMH31" s="806"/>
      <c r="AMI31" s="806"/>
      <c r="AMJ31" s="806"/>
      <c r="AMK31" s="806"/>
      <c r="AML31" s="806"/>
      <c r="AMM31" s="806"/>
      <c r="AMN31" s="806"/>
      <c r="AMO31" s="806"/>
      <c r="AMP31" s="806"/>
      <c r="AMQ31" s="806"/>
      <c r="AMR31" s="806"/>
      <c r="AMS31" s="806"/>
      <c r="AMT31" s="806"/>
      <c r="AMU31" s="806"/>
      <c r="AMV31" s="806"/>
      <c r="AMW31" s="806"/>
      <c r="AMX31" s="806"/>
      <c r="AMY31" s="806"/>
      <c r="AMZ31" s="806"/>
      <c r="ANA31" s="806"/>
      <c r="ANB31" s="806"/>
      <c r="ANC31" s="806"/>
      <c r="AND31" s="806"/>
      <c r="ANE31" s="806"/>
      <c r="ANF31" s="806"/>
      <c r="ANG31" s="806"/>
      <c r="ANH31" s="806"/>
      <c r="ANI31" s="806"/>
      <c r="ANJ31" s="806"/>
      <c r="ANK31" s="806"/>
      <c r="ANL31" s="806"/>
      <c r="ANM31" s="806"/>
      <c r="ANN31" s="806"/>
      <c r="ANO31" s="806"/>
      <c r="ANP31" s="806"/>
      <c r="ANQ31" s="806"/>
      <c r="ANR31" s="806"/>
      <c r="ANS31" s="806"/>
      <c r="ANT31" s="806"/>
      <c r="ANU31" s="806"/>
      <c r="ANV31" s="806"/>
      <c r="ANW31" s="806"/>
      <c r="ANX31" s="806"/>
      <c r="ANY31" s="806"/>
      <c r="ANZ31" s="806"/>
      <c r="AOA31" s="806"/>
      <c r="AOB31" s="806"/>
      <c r="AOC31" s="806"/>
      <c r="AOD31" s="806"/>
      <c r="AOE31" s="806"/>
      <c r="AOF31" s="806"/>
      <c r="AOG31" s="806"/>
      <c r="AOH31" s="806"/>
      <c r="AOI31" s="806"/>
      <c r="AOJ31" s="806"/>
      <c r="AOK31" s="806"/>
      <c r="AOL31" s="806"/>
      <c r="AOM31" s="806"/>
      <c r="AON31" s="806"/>
      <c r="AOO31" s="806"/>
      <c r="AOP31" s="806"/>
      <c r="AOQ31" s="806"/>
      <c r="AOR31" s="806"/>
      <c r="AOS31" s="806"/>
      <c r="AOT31" s="806"/>
      <c r="AOU31" s="806"/>
      <c r="AOV31" s="806"/>
      <c r="AOW31" s="806"/>
      <c r="AOX31" s="806"/>
      <c r="AOY31" s="806"/>
      <c r="AOZ31" s="806"/>
      <c r="APA31" s="806"/>
      <c r="APB31" s="806"/>
      <c r="APC31" s="806"/>
      <c r="APD31" s="806"/>
      <c r="APE31" s="806"/>
      <c r="APF31" s="806"/>
      <c r="APG31" s="806"/>
      <c r="APH31" s="806"/>
      <c r="API31" s="806"/>
      <c r="APJ31" s="806"/>
      <c r="APK31" s="806"/>
      <c r="APL31" s="806"/>
      <c r="APM31" s="806"/>
      <c r="APN31" s="806"/>
      <c r="APO31" s="806"/>
      <c r="APP31" s="806"/>
      <c r="APQ31" s="806"/>
      <c r="APR31" s="806"/>
      <c r="APS31" s="806"/>
      <c r="APT31" s="806"/>
      <c r="APU31" s="806"/>
      <c r="APV31" s="806"/>
      <c r="APW31" s="806"/>
      <c r="APX31" s="806"/>
      <c r="APY31" s="806"/>
      <c r="APZ31" s="806"/>
      <c r="AQA31" s="806"/>
      <c r="AQB31" s="806"/>
      <c r="AQC31" s="806"/>
      <c r="AQD31" s="806"/>
      <c r="AQE31" s="806"/>
      <c r="AQF31" s="806"/>
      <c r="AQG31" s="806"/>
      <c r="AQH31" s="806"/>
      <c r="AQI31" s="806"/>
      <c r="AQJ31" s="806"/>
      <c r="AQK31" s="806"/>
      <c r="AQL31" s="806"/>
      <c r="AQM31" s="806"/>
      <c r="AQN31" s="806"/>
      <c r="AQO31" s="806"/>
      <c r="AQP31" s="806"/>
      <c r="AQQ31" s="806"/>
      <c r="AQR31" s="806"/>
      <c r="AQS31" s="806"/>
      <c r="AQT31" s="806"/>
      <c r="AQU31" s="806"/>
      <c r="AQV31" s="806"/>
      <c r="AQW31" s="806"/>
      <c r="AQX31" s="806"/>
      <c r="AQY31" s="806"/>
      <c r="AQZ31" s="806"/>
      <c r="ARA31" s="806"/>
      <c r="ARB31" s="806"/>
      <c r="ARC31" s="806"/>
      <c r="ARD31" s="806"/>
      <c r="ARE31" s="806"/>
      <c r="ARF31" s="806"/>
      <c r="ARG31" s="806"/>
      <c r="ARH31" s="806"/>
      <c r="ARI31" s="806"/>
      <c r="ARJ31" s="806"/>
      <c r="ARK31" s="806"/>
      <c r="ARL31" s="806"/>
      <c r="ARM31" s="806"/>
      <c r="ARN31" s="806"/>
      <c r="ARO31" s="806"/>
      <c r="ARP31" s="806"/>
      <c r="ARQ31" s="806"/>
      <c r="ARR31" s="806"/>
      <c r="ARS31" s="806"/>
      <c r="ART31" s="806"/>
      <c r="ARU31" s="806"/>
      <c r="ARV31" s="806"/>
      <c r="ARW31" s="806"/>
      <c r="ARX31" s="806"/>
      <c r="ARY31" s="806"/>
      <c r="ARZ31" s="806"/>
      <c r="ASA31" s="806"/>
      <c r="ASB31" s="806"/>
      <c r="ASC31" s="806"/>
      <c r="ASD31" s="806"/>
      <c r="ASE31" s="806"/>
      <c r="ASF31" s="806"/>
      <c r="ASG31" s="806"/>
      <c r="ASH31" s="806"/>
      <c r="ASI31" s="806"/>
      <c r="ASJ31" s="806"/>
      <c r="ASK31" s="806"/>
      <c r="ASL31" s="806"/>
      <c r="ASM31" s="806"/>
      <c r="ASN31" s="806"/>
      <c r="ASO31" s="806"/>
      <c r="ASP31" s="806"/>
      <c r="ASQ31" s="806"/>
      <c r="ASR31" s="806"/>
      <c r="ASS31" s="806"/>
      <c r="AST31" s="806"/>
      <c r="ASU31" s="806"/>
      <c r="ASV31" s="806"/>
      <c r="ASW31" s="806"/>
      <c r="ASX31" s="806"/>
      <c r="ASY31" s="806"/>
      <c r="ASZ31" s="806"/>
      <c r="ATA31" s="806"/>
      <c r="ATB31" s="806"/>
      <c r="ATC31" s="806"/>
      <c r="ATD31" s="806"/>
      <c r="ATE31" s="806"/>
      <c r="ATF31" s="806"/>
      <c r="ATG31" s="806"/>
      <c r="ATH31" s="806"/>
      <c r="ATI31" s="806"/>
      <c r="ATJ31" s="806"/>
      <c r="ATK31" s="806"/>
      <c r="ATL31" s="806"/>
      <c r="ATM31" s="806"/>
      <c r="ATN31" s="806"/>
      <c r="ATO31" s="806"/>
      <c r="ATP31" s="806"/>
      <c r="ATQ31" s="806"/>
      <c r="ATR31" s="806"/>
      <c r="ATS31" s="806"/>
      <c r="ATT31" s="806"/>
      <c r="ATU31" s="806"/>
      <c r="ATV31" s="806"/>
      <c r="ATW31" s="806"/>
      <c r="ATX31" s="806"/>
      <c r="ATY31" s="806"/>
      <c r="ATZ31" s="806"/>
      <c r="AUA31" s="806"/>
      <c r="AUB31" s="806"/>
      <c r="AUC31" s="806"/>
      <c r="AUD31" s="806"/>
      <c r="AUE31" s="806"/>
      <c r="AUF31" s="806"/>
      <c r="AUG31" s="806"/>
      <c r="AUH31" s="806"/>
      <c r="AUI31" s="806"/>
      <c r="AUJ31" s="806"/>
      <c r="AUK31" s="806"/>
      <c r="AUL31" s="806"/>
      <c r="AUM31" s="806"/>
      <c r="AUN31" s="806"/>
      <c r="AUO31" s="806"/>
      <c r="AUP31" s="806"/>
      <c r="AUQ31" s="806"/>
      <c r="AUR31" s="806"/>
      <c r="AUS31" s="806"/>
      <c r="AUT31" s="806"/>
      <c r="AUU31" s="806"/>
      <c r="AUV31" s="806"/>
      <c r="AUW31" s="806"/>
      <c r="AUX31" s="806"/>
      <c r="AUY31" s="806"/>
      <c r="AUZ31" s="806"/>
      <c r="AVA31" s="806"/>
      <c r="AVB31" s="806"/>
      <c r="AVC31" s="806"/>
      <c r="AVD31" s="806"/>
      <c r="AVE31" s="806"/>
      <c r="AVF31" s="806"/>
      <c r="AVG31" s="806"/>
      <c r="AVH31" s="806"/>
      <c r="AVI31" s="806"/>
      <c r="AVJ31" s="806"/>
      <c r="AVK31" s="806"/>
      <c r="AVL31" s="806"/>
      <c r="AVM31" s="806"/>
      <c r="AVN31" s="806"/>
      <c r="AVO31" s="806"/>
      <c r="AVP31" s="806"/>
      <c r="AVQ31" s="806"/>
      <c r="AVR31" s="806"/>
      <c r="AVS31" s="806"/>
      <c r="AVT31" s="806"/>
      <c r="AVU31" s="806"/>
      <c r="AVV31" s="806"/>
      <c r="AVW31" s="806"/>
      <c r="AVX31" s="806"/>
      <c r="AVY31" s="806"/>
      <c r="AVZ31" s="806"/>
      <c r="AWA31" s="806"/>
      <c r="AWB31" s="806"/>
      <c r="AWC31" s="806"/>
      <c r="AWD31" s="806"/>
      <c r="AWE31" s="806"/>
      <c r="AWF31" s="806"/>
      <c r="AWG31" s="806"/>
      <c r="AWH31" s="806"/>
      <c r="AWI31" s="806"/>
      <c r="AWJ31" s="806"/>
      <c r="AWK31" s="806"/>
      <c r="AWL31" s="806"/>
      <c r="AWM31" s="806"/>
      <c r="AWN31" s="806"/>
      <c r="AWO31" s="806"/>
      <c r="AWP31" s="806"/>
      <c r="AWQ31" s="806"/>
      <c r="AWR31" s="806"/>
      <c r="AWS31" s="806"/>
      <c r="AWT31" s="806"/>
      <c r="AWU31" s="806"/>
      <c r="AWV31" s="806"/>
      <c r="AWW31" s="806"/>
      <c r="AWX31" s="806"/>
      <c r="AWY31" s="806"/>
      <c r="AWZ31" s="806"/>
      <c r="AXA31" s="806"/>
      <c r="AXB31" s="806"/>
      <c r="AXC31" s="806"/>
      <c r="AXD31" s="806"/>
      <c r="AXE31" s="806"/>
      <c r="AXF31" s="806"/>
      <c r="AXG31" s="806"/>
      <c r="AXH31" s="806"/>
      <c r="AXI31" s="806"/>
      <c r="AXJ31" s="806"/>
      <c r="AXK31" s="806"/>
      <c r="AXL31" s="806"/>
      <c r="AXM31" s="806"/>
      <c r="AXN31" s="806"/>
      <c r="AXO31" s="806"/>
      <c r="AXP31" s="806"/>
      <c r="AXQ31" s="806"/>
      <c r="AXR31" s="806"/>
      <c r="AXS31" s="806"/>
      <c r="AXT31" s="806"/>
      <c r="AXU31" s="806"/>
      <c r="AXV31" s="806"/>
      <c r="AXW31" s="806"/>
      <c r="AXX31" s="806"/>
      <c r="AXY31" s="806"/>
      <c r="AXZ31" s="806"/>
      <c r="AYA31" s="806"/>
      <c r="AYB31" s="806"/>
      <c r="AYC31" s="806"/>
      <c r="AYD31" s="806"/>
      <c r="AYE31" s="806"/>
      <c r="AYF31" s="806"/>
      <c r="AYG31" s="806"/>
      <c r="AYH31" s="806"/>
      <c r="AYI31" s="806"/>
      <c r="AYJ31" s="806"/>
      <c r="AYK31" s="806"/>
      <c r="AYL31" s="806"/>
      <c r="AYM31" s="806"/>
      <c r="AYN31" s="806"/>
      <c r="AYO31" s="806"/>
      <c r="AYP31" s="806"/>
      <c r="AYQ31" s="806"/>
      <c r="AYR31" s="806"/>
      <c r="AYS31" s="806"/>
      <c r="AYT31" s="806"/>
      <c r="AYU31" s="806"/>
      <c r="AYV31" s="806"/>
      <c r="AYW31" s="806"/>
      <c r="AYX31" s="806"/>
      <c r="AYY31" s="806"/>
      <c r="AYZ31" s="806"/>
      <c r="AZA31" s="806"/>
      <c r="AZB31" s="806"/>
      <c r="AZC31" s="806"/>
      <c r="AZD31" s="806"/>
      <c r="AZE31" s="806"/>
      <c r="AZF31" s="806"/>
      <c r="AZG31" s="806"/>
      <c r="AZH31" s="806"/>
      <c r="AZI31" s="806"/>
      <c r="AZJ31" s="806"/>
      <c r="AZK31" s="806"/>
      <c r="AZL31" s="806"/>
      <c r="AZM31" s="806"/>
      <c r="AZN31" s="806"/>
      <c r="AZO31" s="806"/>
      <c r="AZP31" s="806"/>
      <c r="AZQ31" s="806"/>
      <c r="AZR31" s="806"/>
      <c r="AZS31" s="806"/>
      <c r="AZT31" s="806"/>
      <c r="AZU31" s="806"/>
      <c r="AZV31" s="806"/>
      <c r="AZW31" s="806"/>
      <c r="AZX31" s="806"/>
      <c r="AZY31" s="806"/>
      <c r="AZZ31" s="806"/>
      <c r="BAA31" s="806"/>
      <c r="BAB31" s="806"/>
      <c r="BAC31" s="806"/>
      <c r="BAD31" s="806"/>
      <c r="BAE31" s="806"/>
      <c r="BAF31" s="806"/>
      <c r="BAG31" s="806"/>
      <c r="BAH31" s="806"/>
      <c r="BAI31" s="806"/>
      <c r="BAJ31" s="806"/>
      <c r="BAK31" s="806"/>
      <c r="BAL31" s="806"/>
      <c r="BAM31" s="806"/>
      <c r="BAN31" s="806"/>
      <c r="BAO31" s="806"/>
      <c r="BAP31" s="806"/>
      <c r="BAQ31" s="806"/>
      <c r="BAR31" s="806"/>
      <c r="BAS31" s="806"/>
      <c r="BAT31" s="806"/>
      <c r="BAU31" s="806"/>
      <c r="BAV31" s="806"/>
      <c r="BAW31" s="806"/>
      <c r="BAX31" s="806"/>
      <c r="BAY31" s="806"/>
      <c r="BAZ31" s="806"/>
      <c r="BBA31" s="806"/>
      <c r="BBB31" s="806"/>
      <c r="BBC31" s="806"/>
      <c r="BBD31" s="806"/>
      <c r="BBE31" s="806"/>
      <c r="BBF31" s="806"/>
      <c r="BBG31" s="806"/>
      <c r="BBH31" s="806"/>
      <c r="BBI31" s="806"/>
      <c r="BBJ31" s="806"/>
      <c r="BBK31" s="806"/>
      <c r="BBL31" s="806"/>
      <c r="BBM31" s="806"/>
      <c r="BBN31" s="806"/>
      <c r="BBO31" s="806"/>
      <c r="BBP31" s="806"/>
      <c r="BBQ31" s="806"/>
      <c r="BBR31" s="806"/>
      <c r="BBS31" s="806"/>
      <c r="BBT31" s="806"/>
      <c r="BBU31" s="806"/>
      <c r="BBV31" s="806"/>
      <c r="BBW31" s="806"/>
      <c r="BBX31" s="806"/>
      <c r="BBY31" s="806"/>
      <c r="BBZ31" s="806"/>
      <c r="BCA31" s="806"/>
      <c r="BCB31" s="806"/>
      <c r="BCC31" s="806"/>
      <c r="BCD31" s="806"/>
      <c r="BCE31" s="806"/>
      <c r="BCF31" s="806"/>
      <c r="BCG31" s="806"/>
      <c r="BCH31" s="806"/>
      <c r="BCI31" s="806"/>
      <c r="BCJ31" s="806"/>
      <c r="BCK31" s="806"/>
      <c r="BCL31" s="806"/>
      <c r="BCM31" s="806"/>
      <c r="BCN31" s="806"/>
      <c r="BCO31" s="806"/>
      <c r="BCP31" s="806"/>
      <c r="BCQ31" s="806"/>
      <c r="BCR31" s="806"/>
      <c r="BCS31" s="806"/>
      <c r="BCT31" s="806"/>
      <c r="BCU31" s="806"/>
      <c r="BCV31" s="806"/>
      <c r="BCW31" s="806"/>
      <c r="BCX31" s="806"/>
      <c r="BCY31" s="806"/>
      <c r="BCZ31" s="806"/>
      <c r="BDA31" s="806"/>
      <c r="BDB31" s="806"/>
      <c r="BDC31" s="806"/>
      <c r="BDD31" s="806"/>
      <c r="BDE31" s="806"/>
      <c r="BDF31" s="806"/>
      <c r="BDG31" s="806"/>
      <c r="BDH31" s="806"/>
      <c r="BDI31" s="806"/>
      <c r="BDJ31" s="806"/>
      <c r="BDK31" s="806"/>
      <c r="BDL31" s="806"/>
      <c r="BDM31" s="806"/>
      <c r="BDN31" s="806"/>
      <c r="BDO31" s="806"/>
      <c r="BDP31" s="806"/>
      <c r="BDQ31" s="806"/>
      <c r="BDR31" s="806"/>
      <c r="BDS31" s="806"/>
      <c r="BDT31" s="806"/>
      <c r="BDU31" s="806"/>
      <c r="BDV31" s="806"/>
      <c r="BDW31" s="806"/>
      <c r="BDX31" s="806"/>
      <c r="BDY31" s="806"/>
      <c r="BDZ31" s="806"/>
      <c r="BEA31" s="806"/>
      <c r="BEB31" s="806"/>
      <c r="BEC31" s="806"/>
      <c r="BED31" s="806"/>
      <c r="BEE31" s="806"/>
      <c r="BEF31" s="806"/>
      <c r="BEG31" s="806"/>
      <c r="BEH31" s="806"/>
      <c r="BEI31" s="806"/>
      <c r="BEJ31" s="806"/>
      <c r="BEK31" s="806"/>
      <c r="BEL31" s="806"/>
      <c r="BEM31" s="806"/>
      <c r="BEN31" s="806"/>
      <c r="BEO31" s="806"/>
      <c r="BEP31" s="806"/>
      <c r="BEQ31" s="806"/>
      <c r="BER31" s="806"/>
      <c r="BES31" s="806"/>
      <c r="BET31" s="806"/>
      <c r="BEU31" s="806"/>
      <c r="BEV31" s="806"/>
      <c r="BEW31" s="806"/>
      <c r="BEX31" s="806"/>
      <c r="BEY31" s="806"/>
      <c r="BEZ31" s="806"/>
      <c r="BFA31" s="806"/>
      <c r="BFB31" s="806"/>
      <c r="BFC31" s="806"/>
      <c r="BFD31" s="806"/>
      <c r="BFE31" s="806"/>
      <c r="BFF31" s="806"/>
      <c r="BFG31" s="806"/>
      <c r="BFH31" s="806"/>
      <c r="BFI31" s="806"/>
      <c r="BFJ31" s="806"/>
      <c r="BFK31" s="806"/>
      <c r="BFL31" s="806"/>
      <c r="BFM31" s="806"/>
      <c r="BFN31" s="806"/>
      <c r="BFO31" s="806"/>
      <c r="BFP31" s="806"/>
      <c r="BFQ31" s="806"/>
      <c r="BFR31" s="806"/>
      <c r="BFS31" s="806"/>
      <c r="BFT31" s="806"/>
      <c r="BFU31" s="806"/>
      <c r="BFV31" s="806"/>
      <c r="BFW31" s="806"/>
      <c r="BFX31" s="806"/>
      <c r="BFY31" s="806"/>
      <c r="BFZ31" s="806"/>
      <c r="BGA31" s="806"/>
      <c r="BGB31" s="806"/>
      <c r="BGC31" s="806"/>
      <c r="BGD31" s="806"/>
      <c r="BGE31" s="806"/>
      <c r="BGF31" s="806"/>
      <c r="BGG31" s="806"/>
      <c r="BGH31" s="806"/>
      <c r="BGI31" s="806"/>
      <c r="BGJ31" s="806"/>
      <c r="BGK31" s="806"/>
      <c r="BGL31" s="806"/>
      <c r="BGM31" s="806"/>
      <c r="BGN31" s="806"/>
      <c r="BGO31" s="806"/>
      <c r="BGP31" s="806"/>
      <c r="BGQ31" s="806"/>
      <c r="BGR31" s="806"/>
      <c r="BGS31" s="806"/>
      <c r="BGT31" s="806"/>
      <c r="BGU31" s="806"/>
      <c r="BGV31" s="806"/>
      <c r="BGW31" s="806"/>
      <c r="BGX31" s="806"/>
      <c r="BGY31" s="806"/>
      <c r="BGZ31" s="806"/>
      <c r="BHA31" s="806"/>
      <c r="BHB31" s="806"/>
      <c r="BHC31" s="806"/>
      <c r="BHD31" s="806"/>
      <c r="BHE31" s="806"/>
      <c r="BHF31" s="806"/>
      <c r="BHG31" s="806"/>
      <c r="BHH31" s="806"/>
      <c r="BHI31" s="806"/>
      <c r="BHJ31" s="806"/>
      <c r="BHK31" s="806"/>
      <c r="BHL31" s="806"/>
      <c r="BHM31" s="806"/>
      <c r="BHN31" s="806"/>
      <c r="BHO31" s="806"/>
      <c r="BHP31" s="806"/>
      <c r="BHQ31" s="806"/>
      <c r="BHR31" s="806"/>
      <c r="BHS31" s="806"/>
      <c r="BHT31" s="806"/>
      <c r="BHU31" s="806"/>
      <c r="BHV31" s="806"/>
      <c r="BHW31" s="806"/>
      <c r="BHX31" s="806"/>
      <c r="BHY31" s="806"/>
      <c r="BHZ31" s="806"/>
      <c r="BIA31" s="806"/>
      <c r="BIB31" s="806"/>
      <c r="BIC31" s="806"/>
      <c r="BID31" s="806"/>
      <c r="BIE31" s="806"/>
      <c r="BIF31" s="806"/>
      <c r="BIG31" s="806"/>
      <c r="BIH31" s="806"/>
      <c r="BII31" s="806"/>
      <c r="BIJ31" s="806"/>
      <c r="BIK31" s="806"/>
      <c r="BIL31" s="806"/>
      <c r="BIM31" s="806"/>
      <c r="BIN31" s="806"/>
      <c r="BIO31" s="806"/>
      <c r="BIP31" s="806"/>
      <c r="BIQ31" s="806"/>
      <c r="BIR31" s="806"/>
      <c r="BIS31" s="806"/>
      <c r="BIT31" s="806"/>
      <c r="BIU31" s="806"/>
      <c r="BIV31" s="806"/>
      <c r="BIW31" s="806"/>
      <c r="BIX31" s="806"/>
      <c r="BIY31" s="806"/>
      <c r="BIZ31" s="806"/>
      <c r="BJA31" s="806"/>
      <c r="BJB31" s="806"/>
      <c r="BJC31" s="806"/>
      <c r="BJD31" s="806"/>
      <c r="BJE31" s="806"/>
      <c r="BJF31" s="806"/>
      <c r="BJG31" s="806"/>
      <c r="BJH31" s="806"/>
      <c r="BJI31" s="806"/>
      <c r="BJJ31" s="806"/>
      <c r="BJK31" s="806"/>
      <c r="BJL31" s="806"/>
      <c r="BJM31" s="806"/>
      <c r="BJN31" s="806"/>
      <c r="BJO31" s="806"/>
      <c r="BJP31" s="806"/>
      <c r="BJQ31" s="806"/>
      <c r="BJR31" s="806"/>
      <c r="BJS31" s="806"/>
      <c r="BJT31" s="806"/>
      <c r="BJU31" s="806"/>
      <c r="BJV31" s="806"/>
      <c r="BJW31" s="806"/>
      <c r="BJX31" s="806"/>
      <c r="BJY31" s="806"/>
      <c r="BJZ31" s="806"/>
      <c r="BKA31" s="806"/>
      <c r="BKB31" s="806"/>
      <c r="BKC31" s="806"/>
      <c r="BKD31" s="806"/>
      <c r="BKE31" s="806"/>
      <c r="BKF31" s="806"/>
      <c r="BKG31" s="806"/>
      <c r="BKH31" s="806"/>
      <c r="BKI31" s="806"/>
      <c r="BKJ31" s="806"/>
      <c r="BKK31" s="806"/>
      <c r="BKL31" s="806"/>
      <c r="BKM31" s="806"/>
      <c r="BKN31" s="806"/>
      <c r="BKO31" s="806"/>
      <c r="BKP31" s="806"/>
      <c r="BKQ31" s="806"/>
      <c r="BKR31" s="806"/>
      <c r="BKS31" s="806"/>
      <c r="BKT31" s="806"/>
      <c r="BKU31" s="806"/>
      <c r="BKV31" s="806"/>
      <c r="BKW31" s="806"/>
      <c r="BKX31" s="806"/>
      <c r="BKY31" s="806"/>
      <c r="BKZ31" s="806"/>
      <c r="BLA31" s="806"/>
      <c r="BLB31" s="806"/>
      <c r="BLC31" s="806"/>
      <c r="BLD31" s="806"/>
      <c r="BLE31" s="806"/>
      <c r="BLF31" s="806"/>
      <c r="BLG31" s="806"/>
      <c r="BLH31" s="806"/>
      <c r="BLI31" s="806"/>
      <c r="BLJ31" s="806"/>
      <c r="BLK31" s="806"/>
      <c r="BLL31" s="806"/>
      <c r="BLM31" s="806"/>
      <c r="BLN31" s="806"/>
      <c r="BLO31" s="806"/>
      <c r="BLP31" s="806"/>
      <c r="BLQ31" s="806"/>
      <c r="BLR31" s="806"/>
      <c r="BLS31" s="806"/>
      <c r="BLT31" s="806"/>
      <c r="BLU31" s="806"/>
      <c r="BLV31" s="806"/>
      <c r="BLW31" s="806"/>
      <c r="BLX31" s="806"/>
      <c r="BLY31" s="806"/>
      <c r="BLZ31" s="806"/>
      <c r="BMA31" s="806"/>
      <c r="BMB31" s="806"/>
      <c r="BMC31" s="806"/>
      <c r="BMD31" s="806"/>
      <c r="BME31" s="806"/>
      <c r="BMF31" s="806"/>
      <c r="BMG31" s="806"/>
      <c r="BMH31" s="806"/>
      <c r="BMI31" s="806"/>
      <c r="BMJ31" s="806"/>
      <c r="BMK31" s="806"/>
      <c r="BML31" s="806"/>
      <c r="BMM31" s="806"/>
      <c r="BMN31" s="806"/>
      <c r="BMO31" s="806"/>
      <c r="BMP31" s="806"/>
      <c r="BMQ31" s="806"/>
      <c r="BMR31" s="806"/>
      <c r="BMS31" s="806"/>
      <c r="BMT31" s="806"/>
      <c r="BMU31" s="806"/>
      <c r="BMV31" s="806"/>
      <c r="BMW31" s="806"/>
      <c r="BMX31" s="806"/>
      <c r="BMY31" s="806"/>
      <c r="BMZ31" s="806"/>
      <c r="BNA31" s="806"/>
      <c r="BNB31" s="806"/>
      <c r="BNC31" s="806"/>
      <c r="BND31" s="806"/>
      <c r="BNE31" s="806"/>
      <c r="BNF31" s="806"/>
      <c r="BNG31" s="806"/>
      <c r="BNH31" s="806"/>
      <c r="BNI31" s="806"/>
      <c r="BNJ31" s="806"/>
      <c r="BNK31" s="806"/>
      <c r="BNL31" s="806"/>
      <c r="BNM31" s="806"/>
      <c r="BNN31" s="806"/>
      <c r="BNO31" s="806"/>
      <c r="BNP31" s="806"/>
      <c r="BNQ31" s="806"/>
      <c r="BNR31" s="806"/>
      <c r="BNS31" s="806"/>
      <c r="BNT31" s="806"/>
      <c r="BNU31" s="806"/>
      <c r="BNV31" s="806"/>
      <c r="BNW31" s="806"/>
      <c r="BNX31" s="806"/>
      <c r="BNY31" s="806"/>
      <c r="BNZ31" s="806"/>
      <c r="BOA31" s="806"/>
      <c r="BOB31" s="806"/>
      <c r="BOC31" s="806"/>
      <c r="BOD31" s="806"/>
      <c r="BOE31" s="806"/>
      <c r="BOF31" s="806"/>
      <c r="BOG31" s="806"/>
      <c r="BOH31" s="806"/>
      <c r="BOI31" s="806"/>
      <c r="BOJ31" s="806"/>
      <c r="BOK31" s="806"/>
      <c r="BOL31" s="806"/>
      <c r="BOM31" s="806"/>
      <c r="BON31" s="806"/>
      <c r="BOO31" s="806"/>
      <c r="BOP31" s="806"/>
      <c r="BOQ31" s="806"/>
      <c r="BOR31" s="806"/>
      <c r="BOS31" s="806"/>
      <c r="BOT31" s="806"/>
      <c r="BOU31" s="806"/>
      <c r="BOV31" s="806"/>
      <c r="BOW31" s="806"/>
      <c r="BOX31" s="806"/>
      <c r="BOY31" s="806"/>
      <c r="BOZ31" s="806"/>
      <c r="BPA31" s="806"/>
      <c r="BPB31" s="806"/>
      <c r="BPC31" s="806"/>
      <c r="BPD31" s="806"/>
      <c r="BPE31" s="806"/>
      <c r="BPF31" s="806"/>
      <c r="BPG31" s="806"/>
      <c r="BPH31" s="806"/>
      <c r="BPI31" s="806"/>
      <c r="BPJ31" s="806"/>
      <c r="BPK31" s="806"/>
      <c r="BPL31" s="806"/>
      <c r="BPM31" s="806"/>
      <c r="BPN31" s="806"/>
      <c r="BPO31" s="806"/>
      <c r="BPP31" s="806"/>
      <c r="BPQ31" s="806"/>
      <c r="BPR31" s="806"/>
      <c r="BPS31" s="806"/>
      <c r="BPT31" s="806"/>
      <c r="BPU31" s="806"/>
      <c r="BPV31" s="806"/>
      <c r="BPW31" s="806"/>
      <c r="BPX31" s="806"/>
      <c r="BPY31" s="806"/>
      <c r="BPZ31" s="806"/>
      <c r="BQA31" s="806"/>
      <c r="BQB31" s="806"/>
      <c r="BQC31" s="806"/>
      <c r="BQD31" s="806"/>
      <c r="BQE31" s="806"/>
      <c r="BQF31" s="806"/>
      <c r="BQG31" s="806"/>
      <c r="BQH31" s="806"/>
      <c r="BQI31" s="806"/>
      <c r="BQJ31" s="806"/>
      <c r="BQK31" s="806"/>
      <c r="BQL31" s="806"/>
      <c r="BQM31" s="806"/>
      <c r="BQN31" s="806"/>
      <c r="BQO31" s="806"/>
      <c r="BQP31" s="806"/>
      <c r="BQQ31" s="806"/>
      <c r="BQR31" s="806"/>
      <c r="BQS31" s="806"/>
      <c r="BQT31" s="806"/>
      <c r="BQU31" s="806"/>
      <c r="BQV31" s="806"/>
      <c r="BQW31" s="806"/>
      <c r="BQX31" s="806"/>
      <c r="BQY31" s="806"/>
      <c r="BQZ31" s="806"/>
      <c r="BRA31" s="806"/>
      <c r="BRB31" s="806"/>
      <c r="BRC31" s="806"/>
      <c r="BRD31" s="806"/>
      <c r="BRE31" s="806"/>
      <c r="BRF31" s="806"/>
      <c r="BRG31" s="806"/>
      <c r="BRH31" s="806"/>
      <c r="BRI31" s="806"/>
      <c r="BRJ31" s="806"/>
      <c r="BRK31" s="806"/>
      <c r="BRL31" s="806"/>
      <c r="BRM31" s="806"/>
      <c r="BRN31" s="806"/>
      <c r="BRO31" s="806"/>
      <c r="BRP31" s="806"/>
      <c r="BRQ31" s="806"/>
      <c r="BRR31" s="806"/>
      <c r="BRS31" s="806"/>
      <c r="BRT31" s="806"/>
      <c r="BRU31" s="806"/>
      <c r="BRV31" s="806"/>
      <c r="BRW31" s="806"/>
      <c r="BRX31" s="806"/>
      <c r="BRY31" s="806"/>
      <c r="BRZ31" s="806"/>
      <c r="BSA31" s="806"/>
      <c r="BSB31" s="806"/>
      <c r="BSC31" s="806"/>
      <c r="BSD31" s="806"/>
      <c r="BSE31" s="806"/>
      <c r="BSF31" s="806"/>
      <c r="BSG31" s="806"/>
      <c r="BSH31" s="806"/>
      <c r="BSI31" s="806"/>
      <c r="BSJ31" s="806"/>
      <c r="BSK31" s="806"/>
      <c r="BSL31" s="806"/>
      <c r="BSM31" s="806"/>
      <c r="BSN31" s="806"/>
      <c r="BSO31" s="806"/>
      <c r="BSP31" s="806"/>
      <c r="BSQ31" s="806"/>
      <c r="BSR31" s="806"/>
      <c r="BSS31" s="806"/>
      <c r="BST31" s="806"/>
      <c r="BSU31" s="806"/>
      <c r="BSV31" s="806"/>
      <c r="BSW31" s="806"/>
      <c r="BSX31" s="806"/>
      <c r="BSY31" s="806"/>
      <c r="BSZ31" s="806"/>
      <c r="BTA31" s="806"/>
      <c r="BTB31" s="806"/>
      <c r="BTC31" s="806"/>
      <c r="BTD31" s="806"/>
      <c r="BTE31" s="806"/>
      <c r="BTF31" s="806"/>
      <c r="BTG31" s="806"/>
      <c r="BTH31" s="806"/>
      <c r="BTI31" s="806"/>
      <c r="BTJ31" s="806"/>
      <c r="BTK31" s="806"/>
      <c r="BTL31" s="806"/>
      <c r="BTM31" s="806"/>
      <c r="BTN31" s="806"/>
      <c r="BTO31" s="806"/>
      <c r="BTP31" s="806"/>
      <c r="BTQ31" s="806"/>
      <c r="BTR31" s="806"/>
      <c r="BTS31" s="806"/>
      <c r="BTT31" s="806"/>
      <c r="BTU31" s="806"/>
      <c r="BTV31" s="806"/>
      <c r="BTW31" s="806"/>
      <c r="BTX31" s="806"/>
      <c r="BTY31" s="806"/>
      <c r="BTZ31" s="806"/>
      <c r="BUA31" s="806"/>
      <c r="BUB31" s="806"/>
      <c r="BUC31" s="806"/>
      <c r="BUD31" s="806"/>
      <c r="BUE31" s="806"/>
      <c r="BUF31" s="806"/>
      <c r="BUG31" s="806"/>
      <c r="BUH31" s="806"/>
      <c r="BUI31" s="806"/>
      <c r="BUJ31" s="806"/>
      <c r="BUK31" s="806"/>
      <c r="BUL31" s="806"/>
      <c r="BUM31" s="806"/>
      <c r="BUN31" s="806"/>
      <c r="BUO31" s="806"/>
      <c r="BUP31" s="806"/>
      <c r="BUQ31" s="806"/>
      <c r="BUR31" s="806"/>
      <c r="BUS31" s="806"/>
      <c r="BUT31" s="806"/>
      <c r="BUU31" s="806"/>
      <c r="BUV31" s="806"/>
      <c r="BUW31" s="806"/>
      <c r="BUX31" s="806"/>
      <c r="BUY31" s="806"/>
      <c r="BUZ31" s="806"/>
      <c r="BVA31" s="806"/>
      <c r="BVB31" s="806"/>
      <c r="BVC31" s="806"/>
      <c r="BVD31" s="806"/>
      <c r="BVE31" s="806"/>
      <c r="BVF31" s="806"/>
      <c r="BVG31" s="806"/>
      <c r="BVH31" s="806"/>
      <c r="BVI31" s="806"/>
      <c r="BVJ31" s="806"/>
      <c r="BVK31" s="806"/>
      <c r="BVL31" s="806"/>
      <c r="BVM31" s="806"/>
      <c r="BVN31" s="806"/>
      <c r="BVO31" s="806"/>
      <c r="BVP31" s="806"/>
      <c r="BVQ31" s="806"/>
      <c r="BVR31" s="806"/>
      <c r="BVS31" s="806"/>
      <c r="BVT31" s="806"/>
      <c r="BVU31" s="806"/>
      <c r="BVV31" s="806"/>
      <c r="BVW31" s="806"/>
      <c r="BVX31" s="806"/>
      <c r="BVY31" s="806"/>
      <c r="BVZ31" s="806"/>
      <c r="BWA31" s="806"/>
      <c r="BWB31" s="806"/>
      <c r="BWC31" s="806"/>
      <c r="BWD31" s="806"/>
      <c r="BWE31" s="806"/>
      <c r="BWF31" s="806"/>
      <c r="BWG31" s="806"/>
      <c r="BWH31" s="806"/>
      <c r="BWI31" s="806"/>
      <c r="BWJ31" s="806"/>
      <c r="BWK31" s="806"/>
      <c r="BWL31" s="806"/>
      <c r="BWM31" s="806"/>
      <c r="BWN31" s="806"/>
      <c r="BWO31" s="806"/>
      <c r="BWP31" s="806"/>
      <c r="BWQ31" s="806"/>
      <c r="BWR31" s="806"/>
      <c r="BWS31" s="806"/>
      <c r="BWT31" s="806"/>
      <c r="BWU31" s="806"/>
      <c r="BWV31" s="806"/>
      <c r="BWW31" s="806"/>
      <c r="BWX31" s="806"/>
      <c r="BWY31" s="806"/>
      <c r="BWZ31" s="806"/>
      <c r="BXA31" s="806"/>
      <c r="BXB31" s="806"/>
      <c r="BXC31" s="806"/>
      <c r="BXD31" s="806"/>
      <c r="BXE31" s="806"/>
      <c r="BXF31" s="806"/>
      <c r="BXG31" s="806"/>
      <c r="BXH31" s="806"/>
      <c r="BXI31" s="806"/>
      <c r="BXJ31" s="806"/>
      <c r="BXK31" s="806"/>
      <c r="BXL31" s="806"/>
      <c r="BXM31" s="806"/>
      <c r="BXN31" s="806"/>
      <c r="BXO31" s="806"/>
      <c r="BXP31" s="806"/>
      <c r="BXQ31" s="806"/>
      <c r="BXR31" s="806"/>
      <c r="BXS31" s="806"/>
      <c r="BXT31" s="806"/>
      <c r="BXU31" s="806"/>
      <c r="BXV31" s="806"/>
      <c r="BXW31" s="806"/>
      <c r="BXX31" s="806"/>
      <c r="BXY31" s="806"/>
      <c r="BXZ31" s="806"/>
      <c r="BYA31" s="806"/>
      <c r="BYB31" s="806"/>
      <c r="BYC31" s="806"/>
      <c r="BYD31" s="806"/>
      <c r="BYE31" s="806"/>
      <c r="BYF31" s="806"/>
      <c r="BYG31" s="806"/>
      <c r="BYH31" s="806"/>
      <c r="BYI31" s="806"/>
      <c r="BYJ31" s="806"/>
      <c r="BYK31" s="806"/>
      <c r="BYL31" s="806"/>
      <c r="BYM31" s="806"/>
      <c r="BYN31" s="806"/>
      <c r="BYO31" s="806"/>
      <c r="BYP31" s="806"/>
      <c r="BYQ31" s="806"/>
      <c r="BYR31" s="806"/>
      <c r="BYS31" s="806"/>
      <c r="BYT31" s="806"/>
      <c r="BYU31" s="806"/>
      <c r="BYV31" s="806"/>
      <c r="BYW31" s="806"/>
      <c r="BYX31" s="806"/>
      <c r="BYY31" s="806"/>
      <c r="BYZ31" s="806"/>
      <c r="BZA31" s="806"/>
      <c r="BZB31" s="806"/>
      <c r="BZC31" s="806"/>
      <c r="BZD31" s="806"/>
      <c r="BZE31" s="806"/>
      <c r="BZF31" s="806"/>
      <c r="BZG31" s="806"/>
      <c r="BZH31" s="806"/>
      <c r="BZI31" s="806"/>
      <c r="BZJ31" s="806"/>
      <c r="BZK31" s="806"/>
      <c r="BZL31" s="806"/>
      <c r="BZM31" s="806"/>
      <c r="BZN31" s="806"/>
      <c r="BZO31" s="806"/>
      <c r="BZP31" s="806"/>
      <c r="BZQ31" s="806"/>
      <c r="BZR31" s="806"/>
      <c r="BZS31" s="806"/>
      <c r="BZT31" s="806"/>
      <c r="BZU31" s="806"/>
      <c r="BZV31" s="806"/>
      <c r="BZW31" s="806"/>
      <c r="BZX31" s="806"/>
      <c r="BZY31" s="806"/>
      <c r="BZZ31" s="806"/>
      <c r="CAA31" s="806"/>
      <c r="CAB31" s="806"/>
      <c r="CAC31" s="806"/>
      <c r="CAD31" s="806"/>
      <c r="CAE31" s="806"/>
      <c r="CAF31" s="806"/>
      <c r="CAG31" s="806"/>
      <c r="CAH31" s="806"/>
      <c r="CAI31" s="806"/>
      <c r="CAJ31" s="806"/>
      <c r="CAK31" s="806"/>
      <c r="CAL31" s="806"/>
      <c r="CAM31" s="806"/>
      <c r="CAN31" s="806"/>
      <c r="CAO31" s="806"/>
      <c r="CAP31" s="806"/>
      <c r="CAQ31" s="806"/>
      <c r="CAR31" s="806"/>
      <c r="CAS31" s="806"/>
      <c r="CAT31" s="806"/>
      <c r="CAU31" s="806"/>
      <c r="CAV31" s="806"/>
      <c r="CAW31" s="806"/>
      <c r="CAX31" s="806"/>
      <c r="CAY31" s="806"/>
      <c r="CAZ31" s="806"/>
      <c r="CBA31" s="806"/>
      <c r="CBB31" s="806"/>
      <c r="CBC31" s="806"/>
      <c r="CBD31" s="806"/>
      <c r="CBE31" s="806"/>
      <c r="CBF31" s="806"/>
      <c r="CBG31" s="806"/>
      <c r="CBH31" s="806"/>
      <c r="CBI31" s="806"/>
      <c r="CBJ31" s="806"/>
      <c r="CBK31" s="806"/>
      <c r="CBL31" s="806"/>
      <c r="CBM31" s="806"/>
      <c r="CBN31" s="806"/>
      <c r="CBO31" s="806"/>
      <c r="CBP31" s="806"/>
      <c r="CBQ31" s="806"/>
      <c r="CBR31" s="806"/>
      <c r="CBS31" s="806"/>
      <c r="CBT31" s="806"/>
      <c r="CBU31" s="806"/>
      <c r="CBV31" s="806"/>
      <c r="CBW31" s="806"/>
      <c r="CBX31" s="806"/>
      <c r="CBY31" s="806"/>
      <c r="CBZ31" s="806"/>
      <c r="CCA31" s="806"/>
      <c r="CCB31" s="806"/>
      <c r="CCC31" s="806"/>
      <c r="CCD31" s="806"/>
      <c r="CCE31" s="806"/>
      <c r="CCF31" s="806"/>
      <c r="CCG31" s="806"/>
      <c r="CCH31" s="806"/>
      <c r="CCI31" s="806"/>
      <c r="CCJ31" s="806"/>
      <c r="CCK31" s="806"/>
      <c r="CCL31" s="806"/>
      <c r="CCM31" s="806"/>
      <c r="CCN31" s="806"/>
      <c r="CCO31" s="806"/>
      <c r="CCP31" s="806"/>
      <c r="CCQ31" s="806"/>
      <c r="CCR31" s="806"/>
      <c r="CCS31" s="806"/>
      <c r="CCT31" s="806"/>
      <c r="CCU31" s="806"/>
      <c r="CCV31" s="806"/>
      <c r="CCW31" s="806"/>
      <c r="CCX31" s="806"/>
      <c r="CCY31" s="806"/>
      <c r="CCZ31" s="806"/>
      <c r="CDA31" s="806"/>
      <c r="CDB31" s="806"/>
      <c r="CDC31" s="806"/>
      <c r="CDD31" s="806"/>
      <c r="CDE31" s="806"/>
      <c r="CDF31" s="806"/>
      <c r="CDG31" s="806"/>
      <c r="CDH31" s="806"/>
      <c r="CDI31" s="806"/>
      <c r="CDJ31" s="806"/>
      <c r="CDK31" s="806"/>
      <c r="CDL31" s="806"/>
      <c r="CDM31" s="806"/>
      <c r="CDN31" s="806"/>
      <c r="CDO31" s="806"/>
      <c r="CDP31" s="806"/>
      <c r="CDQ31" s="806"/>
      <c r="CDR31" s="806"/>
      <c r="CDS31" s="806"/>
      <c r="CDT31" s="806"/>
      <c r="CDU31" s="806"/>
      <c r="CDV31" s="806"/>
      <c r="CDW31" s="806"/>
      <c r="CDX31" s="806"/>
      <c r="CDY31" s="806"/>
      <c r="CDZ31" s="806"/>
      <c r="CEA31" s="806"/>
      <c r="CEB31" s="806"/>
      <c r="CEC31" s="806"/>
      <c r="CED31" s="806"/>
      <c r="CEE31" s="806"/>
      <c r="CEF31" s="806"/>
      <c r="CEG31" s="806"/>
      <c r="CEH31" s="806"/>
      <c r="CEI31" s="806"/>
      <c r="CEJ31" s="806"/>
      <c r="CEK31" s="806"/>
      <c r="CEL31" s="806"/>
      <c r="CEM31" s="806"/>
      <c r="CEN31" s="806"/>
      <c r="CEO31" s="806"/>
      <c r="CEP31" s="806"/>
      <c r="CEQ31" s="806"/>
      <c r="CER31" s="806"/>
      <c r="CES31" s="806"/>
      <c r="CET31" s="806"/>
      <c r="CEU31" s="806"/>
      <c r="CEV31" s="806"/>
      <c r="CEW31" s="806"/>
      <c r="CEX31" s="806"/>
      <c r="CEY31" s="806"/>
      <c r="CEZ31" s="806"/>
      <c r="CFA31" s="806"/>
      <c r="CFB31" s="806"/>
      <c r="CFC31" s="806"/>
      <c r="CFD31" s="806"/>
      <c r="CFE31" s="806"/>
      <c r="CFF31" s="806"/>
      <c r="CFG31" s="806"/>
      <c r="CFH31" s="806"/>
      <c r="CFI31" s="806"/>
      <c r="CFJ31" s="806"/>
      <c r="CFK31" s="806"/>
      <c r="CFL31" s="806"/>
      <c r="CFM31" s="806"/>
      <c r="CFN31" s="806"/>
      <c r="CFO31" s="806"/>
      <c r="CFP31" s="806"/>
      <c r="CFQ31" s="806"/>
      <c r="CFR31" s="806"/>
      <c r="CFS31" s="806"/>
      <c r="CFT31" s="806"/>
      <c r="CFU31" s="806"/>
      <c r="CFV31" s="806"/>
      <c r="CFW31" s="806"/>
      <c r="CFX31" s="806"/>
      <c r="CFY31" s="806"/>
      <c r="CFZ31" s="806"/>
      <c r="CGA31" s="806"/>
      <c r="CGB31" s="806"/>
      <c r="CGC31" s="806"/>
      <c r="CGD31" s="806"/>
      <c r="CGE31" s="806"/>
      <c r="CGF31" s="806"/>
      <c r="CGG31" s="806"/>
      <c r="CGH31" s="806"/>
      <c r="CGI31" s="806"/>
      <c r="CGJ31" s="806"/>
      <c r="CGK31" s="806"/>
      <c r="CGL31" s="806"/>
      <c r="CGM31" s="806"/>
      <c r="CGN31" s="806"/>
      <c r="CGO31" s="806"/>
      <c r="CGP31" s="806"/>
      <c r="CGQ31" s="806"/>
      <c r="CGR31" s="806"/>
      <c r="CGS31" s="806"/>
      <c r="CGT31" s="806"/>
      <c r="CGU31" s="806"/>
      <c r="CGV31" s="806"/>
      <c r="CGW31" s="806"/>
      <c r="CGX31" s="806"/>
      <c r="CGY31" s="806"/>
      <c r="CGZ31" s="806"/>
      <c r="CHA31" s="806"/>
      <c r="CHB31" s="806"/>
      <c r="CHC31" s="806"/>
      <c r="CHD31" s="806"/>
      <c r="CHE31" s="806"/>
      <c r="CHF31" s="806"/>
      <c r="CHG31" s="806"/>
      <c r="CHH31" s="806"/>
      <c r="CHI31" s="806"/>
      <c r="CHJ31" s="806"/>
      <c r="CHK31" s="806"/>
      <c r="CHL31" s="806"/>
      <c r="CHM31" s="806"/>
      <c r="CHN31" s="806"/>
      <c r="CHO31" s="806"/>
      <c r="CHP31" s="806"/>
      <c r="CHQ31" s="806"/>
      <c r="CHR31" s="806"/>
      <c r="CHS31" s="806"/>
      <c r="CHT31" s="806"/>
      <c r="CHU31" s="806"/>
      <c r="CHV31" s="806"/>
      <c r="CHW31" s="806"/>
      <c r="CHX31" s="806"/>
      <c r="CHY31" s="806"/>
      <c r="CHZ31" s="806"/>
      <c r="CIA31" s="806"/>
      <c r="CIB31" s="806"/>
      <c r="CIC31" s="806"/>
      <c r="CID31" s="806"/>
      <c r="CIE31" s="806"/>
      <c r="CIF31" s="806"/>
      <c r="CIG31" s="806"/>
      <c r="CIH31" s="806"/>
      <c r="CII31" s="806"/>
      <c r="CIJ31" s="806"/>
      <c r="CIK31" s="806"/>
      <c r="CIL31" s="806"/>
      <c r="CIM31" s="806"/>
      <c r="CIN31" s="806"/>
      <c r="CIO31" s="806"/>
      <c r="CIP31" s="806"/>
      <c r="CIQ31" s="806"/>
      <c r="CIR31" s="806"/>
      <c r="CIS31" s="806"/>
      <c r="CIT31" s="806"/>
      <c r="CIU31" s="806"/>
      <c r="CIV31" s="806"/>
      <c r="CIW31" s="806"/>
      <c r="CIX31" s="806"/>
      <c r="CIY31" s="806"/>
      <c r="CIZ31" s="806"/>
      <c r="CJA31" s="806"/>
      <c r="CJB31" s="806"/>
      <c r="CJC31" s="806"/>
      <c r="CJD31" s="806"/>
      <c r="CJE31" s="806"/>
      <c r="CJF31" s="806"/>
      <c r="CJG31" s="806"/>
      <c r="CJH31" s="806"/>
      <c r="CJI31" s="806"/>
      <c r="CJJ31" s="806"/>
      <c r="CJK31" s="806"/>
      <c r="CJL31" s="806"/>
      <c r="CJM31" s="806"/>
      <c r="CJN31" s="806"/>
      <c r="CJO31" s="806"/>
      <c r="CJP31" s="806"/>
      <c r="CJQ31" s="806"/>
      <c r="CJR31" s="806"/>
      <c r="CJS31" s="806"/>
      <c r="CJT31" s="806"/>
      <c r="CJU31" s="806"/>
      <c r="CJV31" s="806"/>
      <c r="CJW31" s="806"/>
      <c r="CJX31" s="806"/>
      <c r="CJY31" s="806"/>
      <c r="CJZ31" s="806"/>
      <c r="CKA31" s="806"/>
      <c r="CKB31" s="806"/>
      <c r="CKC31" s="806"/>
      <c r="CKD31" s="806"/>
      <c r="CKE31" s="806"/>
      <c r="CKF31" s="806"/>
      <c r="CKG31" s="806"/>
      <c r="CKH31" s="806"/>
      <c r="CKI31" s="806"/>
      <c r="CKJ31" s="806"/>
      <c r="CKK31" s="806"/>
      <c r="CKL31" s="806"/>
      <c r="CKM31" s="806"/>
      <c r="CKN31" s="806"/>
      <c r="CKO31" s="806"/>
      <c r="CKP31" s="806"/>
      <c r="CKQ31" s="806"/>
      <c r="CKR31" s="806"/>
      <c r="CKS31" s="806"/>
      <c r="CKT31" s="806"/>
      <c r="CKU31" s="806"/>
      <c r="CKV31" s="806"/>
      <c r="CKW31" s="806"/>
      <c r="CKX31" s="806"/>
      <c r="CKY31" s="806"/>
      <c r="CKZ31" s="806"/>
      <c r="CLA31" s="806"/>
      <c r="CLB31" s="806"/>
      <c r="CLC31" s="806"/>
      <c r="CLD31" s="806"/>
      <c r="CLE31" s="806"/>
      <c r="CLF31" s="806"/>
      <c r="CLG31" s="806"/>
      <c r="CLH31" s="806"/>
      <c r="CLI31" s="806"/>
      <c r="CLJ31" s="806"/>
      <c r="CLK31" s="806"/>
      <c r="CLL31" s="806"/>
      <c r="CLM31" s="806"/>
      <c r="CLN31" s="806"/>
      <c r="CLO31" s="806"/>
      <c r="CLP31" s="806"/>
      <c r="CLQ31" s="806"/>
      <c r="CLR31" s="806"/>
      <c r="CLS31" s="806"/>
      <c r="CLT31" s="806"/>
      <c r="CLU31" s="806"/>
      <c r="CLV31" s="806"/>
      <c r="CLW31" s="806"/>
      <c r="CLX31" s="806"/>
      <c r="CLY31" s="806"/>
      <c r="CLZ31" s="806"/>
      <c r="CMA31" s="806"/>
      <c r="CMB31" s="806"/>
      <c r="CMC31" s="806"/>
      <c r="CMD31" s="806"/>
      <c r="CME31" s="806"/>
      <c r="CMF31" s="806"/>
      <c r="CMG31" s="806"/>
      <c r="CMH31" s="806"/>
      <c r="CMI31" s="806"/>
      <c r="CMJ31" s="806"/>
      <c r="CMK31" s="806"/>
      <c r="CML31" s="806"/>
      <c r="CMM31" s="806"/>
      <c r="CMN31" s="806"/>
      <c r="CMO31" s="806"/>
      <c r="CMP31" s="806"/>
      <c r="CMQ31" s="806"/>
      <c r="CMR31" s="806"/>
      <c r="CMS31" s="806"/>
      <c r="CMT31" s="806"/>
      <c r="CMU31" s="806"/>
      <c r="CMV31" s="806"/>
      <c r="CMW31" s="806"/>
      <c r="CMX31" s="806"/>
      <c r="CMY31" s="806"/>
      <c r="CMZ31" s="806"/>
      <c r="CNA31" s="806"/>
      <c r="CNB31" s="806"/>
      <c r="CNC31" s="806"/>
      <c r="CND31" s="806"/>
      <c r="CNE31" s="806"/>
      <c r="CNF31" s="806"/>
      <c r="CNG31" s="806"/>
      <c r="CNH31" s="806"/>
      <c r="CNI31" s="806"/>
      <c r="CNJ31" s="806"/>
      <c r="CNK31" s="806"/>
      <c r="CNL31" s="806"/>
      <c r="CNM31" s="806"/>
      <c r="CNN31" s="806"/>
      <c r="CNO31" s="806"/>
      <c r="CNP31" s="806"/>
      <c r="CNQ31" s="806"/>
      <c r="CNR31" s="806"/>
      <c r="CNS31" s="806"/>
      <c r="CNT31" s="806"/>
      <c r="CNU31" s="806"/>
      <c r="CNV31" s="806"/>
      <c r="CNW31" s="806"/>
      <c r="CNX31" s="806"/>
      <c r="CNY31" s="806"/>
      <c r="CNZ31" s="806"/>
      <c r="COA31" s="806"/>
      <c r="COB31" s="806"/>
      <c r="COC31" s="806"/>
      <c r="COD31" s="806"/>
      <c r="COE31" s="806"/>
      <c r="COF31" s="806"/>
      <c r="COG31" s="806"/>
      <c r="COH31" s="806"/>
      <c r="COI31" s="806"/>
      <c r="COJ31" s="806"/>
      <c r="COK31" s="806"/>
      <c r="COL31" s="806"/>
      <c r="COM31" s="806"/>
      <c r="CON31" s="806"/>
      <c r="COO31" s="806"/>
      <c r="COP31" s="806"/>
      <c r="COQ31" s="806"/>
      <c r="COR31" s="806"/>
      <c r="COS31" s="806"/>
      <c r="COT31" s="806"/>
      <c r="COU31" s="806"/>
      <c r="COV31" s="806"/>
      <c r="COW31" s="806"/>
      <c r="COX31" s="806"/>
      <c r="COY31" s="806"/>
      <c r="COZ31" s="806"/>
      <c r="CPA31" s="806"/>
      <c r="CPB31" s="806"/>
      <c r="CPC31" s="806"/>
      <c r="CPD31" s="806"/>
      <c r="CPE31" s="806"/>
      <c r="CPF31" s="806"/>
      <c r="CPG31" s="806"/>
      <c r="CPH31" s="806"/>
      <c r="CPI31" s="806"/>
      <c r="CPJ31" s="806"/>
      <c r="CPK31" s="806"/>
      <c r="CPL31" s="806"/>
      <c r="CPM31" s="806"/>
      <c r="CPN31" s="806"/>
      <c r="CPO31" s="806"/>
      <c r="CPP31" s="806"/>
      <c r="CPQ31" s="806"/>
      <c r="CPR31" s="806"/>
      <c r="CPS31" s="806"/>
      <c r="CPT31" s="806"/>
      <c r="CPU31" s="806"/>
      <c r="CPV31" s="806"/>
      <c r="CPW31" s="806"/>
      <c r="CPX31" s="806"/>
      <c r="CPY31" s="806"/>
      <c r="CPZ31" s="806"/>
      <c r="CQA31" s="806"/>
      <c r="CQB31" s="806"/>
      <c r="CQC31" s="806"/>
      <c r="CQD31" s="806"/>
      <c r="CQE31" s="806"/>
      <c r="CQF31" s="806"/>
      <c r="CQG31" s="806"/>
      <c r="CQH31" s="806"/>
      <c r="CQI31" s="806"/>
      <c r="CQJ31" s="806"/>
      <c r="CQK31" s="806"/>
      <c r="CQL31" s="806"/>
      <c r="CQM31" s="806"/>
      <c r="CQN31" s="806"/>
      <c r="CQO31" s="806"/>
      <c r="CQP31" s="806"/>
      <c r="CQQ31" s="806"/>
      <c r="CQR31" s="806"/>
      <c r="CQS31" s="806"/>
      <c r="CQT31" s="806"/>
      <c r="CQU31" s="806"/>
      <c r="CQV31" s="806"/>
      <c r="CQW31" s="806"/>
      <c r="CQX31" s="806"/>
      <c r="CQY31" s="806"/>
      <c r="CQZ31" s="806"/>
      <c r="CRA31" s="806"/>
      <c r="CRB31" s="806"/>
      <c r="CRC31" s="806"/>
      <c r="CRD31" s="806"/>
      <c r="CRE31" s="806"/>
      <c r="CRF31" s="806"/>
      <c r="CRG31" s="806"/>
      <c r="CRH31" s="806"/>
      <c r="CRI31" s="806"/>
      <c r="CRJ31" s="806"/>
      <c r="CRK31" s="806"/>
      <c r="CRL31" s="806"/>
      <c r="CRM31" s="806"/>
      <c r="CRN31" s="806"/>
      <c r="CRO31" s="806"/>
      <c r="CRP31" s="806"/>
      <c r="CRQ31" s="806"/>
      <c r="CRR31" s="806"/>
      <c r="CRS31" s="806"/>
      <c r="CRT31" s="806"/>
      <c r="CRU31" s="806"/>
      <c r="CRV31" s="806"/>
      <c r="CRW31" s="806"/>
      <c r="CRX31" s="806"/>
      <c r="CRY31" s="806"/>
      <c r="CRZ31" s="806"/>
      <c r="CSA31" s="806"/>
      <c r="CSB31" s="806"/>
      <c r="CSC31" s="806"/>
      <c r="CSD31" s="806"/>
      <c r="CSE31" s="806"/>
      <c r="CSF31" s="806"/>
      <c r="CSG31" s="806"/>
      <c r="CSH31" s="806"/>
      <c r="CSI31" s="806"/>
      <c r="CSJ31" s="806"/>
      <c r="CSK31" s="806"/>
      <c r="CSL31" s="806"/>
      <c r="CSM31" s="806"/>
      <c r="CSN31" s="806"/>
      <c r="CSO31" s="806"/>
      <c r="CSP31" s="806"/>
      <c r="CSQ31" s="806"/>
      <c r="CSR31" s="806"/>
      <c r="CSS31" s="806"/>
      <c r="CST31" s="806"/>
      <c r="CSU31" s="806"/>
      <c r="CSV31" s="806"/>
      <c r="CSW31" s="806"/>
      <c r="CSX31" s="806"/>
      <c r="CSY31" s="806"/>
      <c r="CSZ31" s="806"/>
      <c r="CTA31" s="806"/>
      <c r="CTB31" s="806"/>
      <c r="CTC31" s="806"/>
      <c r="CTD31" s="806"/>
      <c r="CTE31" s="806"/>
      <c r="CTF31" s="806"/>
      <c r="CTG31" s="806"/>
      <c r="CTH31" s="806"/>
      <c r="CTI31" s="806"/>
      <c r="CTJ31" s="806"/>
      <c r="CTK31" s="806"/>
      <c r="CTL31" s="806"/>
      <c r="CTM31" s="806"/>
      <c r="CTN31" s="806"/>
      <c r="CTO31" s="806"/>
      <c r="CTP31" s="806"/>
      <c r="CTQ31" s="806"/>
      <c r="CTR31" s="806"/>
      <c r="CTS31" s="806"/>
      <c r="CTT31" s="806"/>
      <c r="CTU31" s="806"/>
      <c r="CTV31" s="806"/>
      <c r="CTW31" s="806"/>
      <c r="CTX31" s="806"/>
      <c r="CTY31" s="806"/>
      <c r="CTZ31" s="806"/>
      <c r="CUA31" s="806"/>
      <c r="CUB31" s="806"/>
      <c r="CUC31" s="806"/>
      <c r="CUD31" s="806"/>
      <c r="CUE31" s="806"/>
      <c r="CUF31" s="806"/>
      <c r="CUG31" s="806"/>
      <c r="CUH31" s="806"/>
      <c r="CUI31" s="806"/>
      <c r="CUJ31" s="806"/>
      <c r="CUK31" s="806"/>
      <c r="CUL31" s="806"/>
      <c r="CUM31" s="806"/>
      <c r="CUN31" s="806"/>
      <c r="CUO31" s="806"/>
      <c r="CUP31" s="806"/>
      <c r="CUQ31" s="806"/>
      <c r="CUR31" s="806"/>
      <c r="CUS31" s="806"/>
      <c r="CUT31" s="806"/>
      <c r="CUU31" s="806"/>
      <c r="CUV31" s="806"/>
      <c r="CUW31" s="806"/>
      <c r="CUX31" s="806"/>
      <c r="CUY31" s="806"/>
      <c r="CUZ31" s="806"/>
      <c r="CVA31" s="806"/>
      <c r="CVB31" s="806"/>
      <c r="CVC31" s="806"/>
      <c r="CVD31" s="806"/>
      <c r="CVE31" s="806"/>
      <c r="CVF31" s="806"/>
      <c r="CVG31" s="806"/>
      <c r="CVH31" s="806"/>
      <c r="CVI31" s="806"/>
      <c r="CVJ31" s="806"/>
      <c r="CVK31" s="806"/>
      <c r="CVL31" s="806"/>
      <c r="CVM31" s="806"/>
      <c r="CVN31" s="806"/>
      <c r="CVO31" s="806"/>
      <c r="CVP31" s="806"/>
      <c r="CVQ31" s="806"/>
      <c r="CVR31" s="806"/>
      <c r="CVS31" s="806"/>
      <c r="CVT31" s="806"/>
      <c r="CVU31" s="806"/>
      <c r="CVV31" s="806"/>
      <c r="CVW31" s="806"/>
      <c r="CVX31" s="806"/>
      <c r="CVY31" s="806"/>
      <c r="CVZ31" s="806"/>
      <c r="CWA31" s="806"/>
      <c r="CWB31" s="806"/>
      <c r="CWC31" s="806"/>
      <c r="CWD31" s="806"/>
      <c r="CWE31" s="806"/>
      <c r="CWF31" s="806"/>
      <c r="CWG31" s="806"/>
      <c r="CWH31" s="806"/>
      <c r="CWI31" s="806"/>
      <c r="CWJ31" s="806"/>
      <c r="CWK31" s="806"/>
      <c r="CWL31" s="806"/>
      <c r="CWM31" s="806"/>
      <c r="CWN31" s="806"/>
      <c r="CWO31" s="806"/>
      <c r="CWP31" s="806"/>
      <c r="CWQ31" s="806"/>
      <c r="CWR31" s="806"/>
      <c r="CWS31" s="806"/>
      <c r="CWT31" s="806"/>
      <c r="CWU31" s="806"/>
      <c r="CWV31" s="806"/>
      <c r="CWW31" s="806"/>
      <c r="CWX31" s="806"/>
      <c r="CWY31" s="806"/>
      <c r="CWZ31" s="806"/>
      <c r="CXA31" s="806"/>
      <c r="CXB31" s="806"/>
      <c r="CXC31" s="806"/>
      <c r="CXD31" s="806"/>
      <c r="CXE31" s="806"/>
      <c r="CXF31" s="806"/>
      <c r="CXG31" s="806"/>
      <c r="CXH31" s="806"/>
      <c r="CXI31" s="806"/>
      <c r="CXJ31" s="806"/>
      <c r="CXK31" s="806"/>
      <c r="CXL31" s="806"/>
      <c r="CXM31" s="806"/>
      <c r="CXN31" s="806"/>
      <c r="CXO31" s="806"/>
      <c r="CXP31" s="806"/>
      <c r="CXQ31" s="806"/>
      <c r="CXR31" s="806"/>
      <c r="CXS31" s="806"/>
      <c r="CXT31" s="806"/>
      <c r="CXU31" s="806"/>
      <c r="CXV31" s="806"/>
      <c r="CXW31" s="806"/>
      <c r="CXX31" s="806"/>
      <c r="CXY31" s="806"/>
      <c r="CXZ31" s="806"/>
      <c r="CYA31" s="806"/>
      <c r="CYB31" s="806"/>
      <c r="CYC31" s="806"/>
      <c r="CYD31" s="806"/>
      <c r="CYE31" s="806"/>
      <c r="CYF31" s="806"/>
      <c r="CYG31" s="806"/>
      <c r="CYH31" s="806"/>
      <c r="CYI31" s="806"/>
      <c r="CYJ31" s="806"/>
      <c r="CYK31" s="806"/>
      <c r="CYL31" s="806"/>
      <c r="CYM31" s="806"/>
      <c r="CYN31" s="806"/>
      <c r="CYO31" s="806"/>
      <c r="CYP31" s="806"/>
      <c r="CYQ31" s="806"/>
      <c r="CYR31" s="806"/>
      <c r="CYS31" s="806"/>
      <c r="CYT31" s="806"/>
      <c r="CYU31" s="806"/>
      <c r="CYV31" s="806"/>
      <c r="CYW31" s="806"/>
      <c r="CYX31" s="806"/>
      <c r="CYY31" s="806"/>
      <c r="CYZ31" s="806"/>
      <c r="CZA31" s="806"/>
      <c r="CZB31" s="806"/>
      <c r="CZC31" s="806"/>
      <c r="CZD31" s="806"/>
      <c r="CZE31" s="806"/>
      <c r="CZF31" s="806"/>
      <c r="CZG31" s="806"/>
      <c r="CZH31" s="806"/>
      <c r="CZI31" s="806"/>
      <c r="CZJ31" s="806"/>
      <c r="CZK31" s="806"/>
      <c r="CZL31" s="806"/>
      <c r="CZM31" s="806"/>
      <c r="CZN31" s="806"/>
      <c r="CZO31" s="806"/>
      <c r="CZP31" s="806"/>
      <c r="CZQ31" s="806"/>
      <c r="CZR31" s="806"/>
      <c r="CZS31" s="806"/>
      <c r="CZT31" s="806"/>
      <c r="CZU31" s="806"/>
      <c r="CZV31" s="806"/>
      <c r="CZW31" s="806"/>
      <c r="CZX31" s="806"/>
      <c r="CZY31" s="806"/>
      <c r="CZZ31" s="806"/>
      <c r="DAA31" s="806"/>
      <c r="DAB31" s="806"/>
      <c r="DAC31" s="806"/>
      <c r="DAD31" s="806"/>
      <c r="DAE31" s="806"/>
      <c r="DAF31" s="806"/>
      <c r="DAG31" s="806"/>
      <c r="DAH31" s="806"/>
      <c r="DAI31" s="806"/>
      <c r="DAJ31" s="806"/>
      <c r="DAK31" s="806"/>
      <c r="DAL31" s="806"/>
      <c r="DAM31" s="806"/>
      <c r="DAN31" s="806"/>
      <c r="DAO31" s="806"/>
      <c r="DAP31" s="806"/>
      <c r="DAQ31" s="806"/>
      <c r="DAR31" s="806"/>
      <c r="DAS31" s="806"/>
      <c r="DAT31" s="806"/>
      <c r="DAU31" s="806"/>
      <c r="DAV31" s="806"/>
      <c r="DAW31" s="806"/>
      <c r="DAX31" s="806"/>
      <c r="DAY31" s="806"/>
      <c r="DAZ31" s="806"/>
      <c r="DBA31" s="806"/>
      <c r="DBB31" s="806"/>
      <c r="DBC31" s="806"/>
      <c r="DBD31" s="806"/>
      <c r="DBE31" s="806"/>
      <c r="DBF31" s="806"/>
      <c r="DBG31" s="806"/>
      <c r="DBH31" s="806"/>
      <c r="DBI31" s="806"/>
      <c r="DBJ31" s="806"/>
      <c r="DBK31" s="806"/>
      <c r="DBL31" s="806"/>
      <c r="DBM31" s="806"/>
      <c r="DBN31" s="806"/>
      <c r="DBO31" s="806"/>
      <c r="DBP31" s="806"/>
      <c r="DBQ31" s="806"/>
      <c r="DBR31" s="806"/>
      <c r="DBS31" s="806"/>
      <c r="DBT31" s="806"/>
      <c r="DBU31" s="806"/>
      <c r="DBV31" s="806"/>
      <c r="DBW31" s="806"/>
      <c r="DBX31" s="806"/>
      <c r="DBY31" s="806"/>
      <c r="DBZ31" s="806"/>
      <c r="DCA31" s="806"/>
      <c r="DCB31" s="806"/>
      <c r="DCC31" s="806"/>
      <c r="DCD31" s="806"/>
      <c r="DCE31" s="806"/>
      <c r="DCF31" s="806"/>
      <c r="DCG31" s="806"/>
      <c r="DCH31" s="806"/>
      <c r="DCI31" s="806"/>
      <c r="DCJ31" s="806"/>
      <c r="DCK31" s="806"/>
      <c r="DCL31" s="806"/>
      <c r="DCM31" s="806"/>
      <c r="DCN31" s="806"/>
      <c r="DCO31" s="806"/>
      <c r="DCP31" s="806"/>
      <c r="DCQ31" s="806"/>
      <c r="DCR31" s="806"/>
      <c r="DCS31" s="806"/>
      <c r="DCT31" s="806"/>
      <c r="DCU31" s="806"/>
      <c r="DCV31" s="806"/>
      <c r="DCW31" s="806"/>
      <c r="DCX31" s="806"/>
      <c r="DCY31" s="806"/>
      <c r="DCZ31" s="806"/>
      <c r="DDA31" s="806"/>
      <c r="DDB31" s="806"/>
      <c r="DDC31" s="806"/>
      <c r="DDD31" s="806"/>
      <c r="DDE31" s="806"/>
      <c r="DDF31" s="806"/>
      <c r="DDG31" s="806"/>
      <c r="DDH31" s="806"/>
      <c r="DDI31" s="806"/>
      <c r="DDJ31" s="806"/>
      <c r="DDK31" s="806"/>
      <c r="DDL31" s="806"/>
      <c r="DDM31" s="806"/>
      <c r="DDN31" s="806"/>
      <c r="DDO31" s="806"/>
      <c r="DDP31" s="806"/>
      <c r="DDQ31" s="806"/>
      <c r="DDR31" s="806"/>
      <c r="DDS31" s="806"/>
      <c r="DDT31" s="806"/>
      <c r="DDU31" s="806"/>
      <c r="DDV31" s="806"/>
      <c r="DDW31" s="806"/>
      <c r="DDX31" s="806"/>
      <c r="DDY31" s="806"/>
      <c r="DDZ31" s="806"/>
      <c r="DEA31" s="806"/>
      <c r="DEB31" s="806"/>
      <c r="DEC31" s="806"/>
      <c r="DED31" s="806"/>
      <c r="DEE31" s="806"/>
      <c r="DEF31" s="806"/>
      <c r="DEG31" s="806"/>
      <c r="DEH31" s="806"/>
      <c r="DEI31" s="806"/>
      <c r="DEJ31" s="806"/>
      <c r="DEK31" s="806"/>
      <c r="DEL31" s="806"/>
      <c r="DEM31" s="806"/>
      <c r="DEN31" s="806"/>
      <c r="DEO31" s="806"/>
      <c r="DEP31" s="806"/>
      <c r="DEQ31" s="806"/>
      <c r="DER31" s="806"/>
      <c r="DES31" s="806"/>
      <c r="DET31" s="806"/>
      <c r="DEU31" s="806"/>
      <c r="DEV31" s="806"/>
      <c r="DEW31" s="806"/>
      <c r="DEX31" s="806"/>
      <c r="DEY31" s="806"/>
      <c r="DEZ31" s="806"/>
      <c r="DFA31" s="806"/>
      <c r="DFB31" s="806"/>
      <c r="DFC31" s="806"/>
      <c r="DFD31" s="806"/>
      <c r="DFE31" s="806"/>
      <c r="DFF31" s="806"/>
      <c r="DFG31" s="806"/>
      <c r="DFH31" s="806"/>
      <c r="DFI31" s="806"/>
      <c r="DFJ31" s="806"/>
      <c r="DFK31" s="806"/>
      <c r="DFL31" s="806"/>
      <c r="DFM31" s="806"/>
      <c r="DFN31" s="806"/>
      <c r="DFO31" s="806"/>
      <c r="DFP31" s="806"/>
      <c r="DFQ31" s="806"/>
      <c r="DFR31" s="806"/>
      <c r="DFS31" s="806"/>
      <c r="DFT31" s="806"/>
      <c r="DFU31" s="806"/>
      <c r="DFV31" s="806"/>
      <c r="DFW31" s="806"/>
      <c r="DFX31" s="806"/>
      <c r="DFY31" s="806"/>
      <c r="DFZ31" s="806"/>
      <c r="DGA31" s="806"/>
      <c r="DGB31" s="806"/>
      <c r="DGC31" s="806"/>
      <c r="DGD31" s="806"/>
      <c r="DGE31" s="806"/>
      <c r="DGF31" s="806"/>
      <c r="DGG31" s="806"/>
      <c r="DGH31" s="806"/>
      <c r="DGI31" s="806"/>
      <c r="DGJ31" s="806"/>
      <c r="DGK31" s="806"/>
      <c r="DGL31" s="806"/>
      <c r="DGM31" s="806"/>
      <c r="DGN31" s="806"/>
      <c r="DGO31" s="806"/>
      <c r="DGP31" s="806"/>
      <c r="DGQ31" s="806"/>
      <c r="DGR31" s="806"/>
      <c r="DGS31" s="806"/>
      <c r="DGT31" s="806"/>
      <c r="DGU31" s="806"/>
      <c r="DGV31" s="806"/>
      <c r="DGW31" s="806"/>
      <c r="DGX31" s="806"/>
      <c r="DGY31" s="806"/>
      <c r="DGZ31" s="806"/>
      <c r="DHA31" s="806"/>
      <c r="DHB31" s="806"/>
      <c r="DHC31" s="806"/>
      <c r="DHD31" s="806"/>
      <c r="DHE31" s="806"/>
      <c r="DHF31" s="806"/>
      <c r="DHG31" s="806"/>
      <c r="DHH31" s="806"/>
      <c r="DHI31" s="806"/>
      <c r="DHJ31" s="806"/>
      <c r="DHK31" s="806"/>
      <c r="DHL31" s="806"/>
      <c r="DHM31" s="806"/>
      <c r="DHN31" s="806"/>
      <c r="DHO31" s="806"/>
      <c r="DHP31" s="806"/>
      <c r="DHQ31" s="806"/>
      <c r="DHR31" s="806"/>
      <c r="DHS31" s="806"/>
      <c r="DHT31" s="806"/>
      <c r="DHU31" s="806"/>
      <c r="DHV31" s="806"/>
      <c r="DHW31" s="806"/>
      <c r="DHX31" s="806"/>
      <c r="DHY31" s="806"/>
      <c r="DHZ31" s="806"/>
      <c r="DIA31" s="806"/>
      <c r="DIB31" s="806"/>
      <c r="DIC31" s="806"/>
      <c r="DID31" s="806"/>
      <c r="DIE31" s="806"/>
      <c r="DIF31" s="806"/>
      <c r="DIG31" s="806"/>
      <c r="DIH31" s="806"/>
      <c r="DII31" s="806"/>
      <c r="DIJ31" s="806"/>
      <c r="DIK31" s="806"/>
      <c r="DIL31" s="806"/>
      <c r="DIM31" s="806"/>
      <c r="DIN31" s="806"/>
      <c r="DIO31" s="806"/>
      <c r="DIP31" s="806"/>
      <c r="DIQ31" s="806"/>
      <c r="DIR31" s="806"/>
      <c r="DIS31" s="806"/>
      <c r="DIT31" s="806"/>
      <c r="DIU31" s="806"/>
      <c r="DIV31" s="806"/>
      <c r="DIW31" s="806"/>
      <c r="DIX31" s="806"/>
      <c r="DIY31" s="806"/>
      <c r="DIZ31" s="806"/>
      <c r="DJA31" s="806"/>
      <c r="DJB31" s="806"/>
      <c r="DJC31" s="806"/>
      <c r="DJD31" s="806"/>
      <c r="DJE31" s="806"/>
      <c r="DJF31" s="806"/>
      <c r="DJG31" s="806"/>
      <c r="DJH31" s="806"/>
      <c r="DJI31" s="806"/>
      <c r="DJJ31" s="806"/>
      <c r="DJK31" s="806"/>
      <c r="DJL31" s="806"/>
      <c r="DJM31" s="806"/>
      <c r="DJN31" s="806"/>
      <c r="DJO31" s="806"/>
      <c r="DJP31" s="806"/>
      <c r="DJQ31" s="806"/>
      <c r="DJR31" s="806"/>
      <c r="DJS31" s="806"/>
      <c r="DJT31" s="806"/>
      <c r="DJU31" s="806"/>
      <c r="DJV31" s="806"/>
      <c r="DJW31" s="806"/>
      <c r="DJX31" s="806"/>
      <c r="DJY31" s="806"/>
      <c r="DJZ31" s="806"/>
      <c r="DKA31" s="806"/>
      <c r="DKB31" s="806"/>
      <c r="DKC31" s="806"/>
      <c r="DKD31" s="806"/>
      <c r="DKE31" s="806"/>
      <c r="DKF31" s="806"/>
      <c r="DKG31" s="806"/>
      <c r="DKH31" s="806"/>
      <c r="DKI31" s="806"/>
      <c r="DKJ31" s="806"/>
      <c r="DKK31" s="806"/>
      <c r="DKL31" s="806"/>
      <c r="DKM31" s="806"/>
      <c r="DKN31" s="806"/>
      <c r="DKO31" s="806"/>
      <c r="DKP31" s="806"/>
      <c r="DKQ31" s="806"/>
      <c r="DKR31" s="806"/>
      <c r="DKS31" s="806"/>
      <c r="DKT31" s="806"/>
      <c r="DKU31" s="806"/>
      <c r="DKV31" s="806"/>
      <c r="DKW31" s="806"/>
      <c r="DKX31" s="806"/>
      <c r="DKY31" s="806"/>
      <c r="DKZ31" s="806"/>
      <c r="DLA31" s="806"/>
      <c r="DLB31" s="806"/>
      <c r="DLC31" s="806"/>
      <c r="DLD31" s="806"/>
      <c r="DLE31" s="806"/>
      <c r="DLF31" s="806"/>
      <c r="DLG31" s="806"/>
      <c r="DLH31" s="806"/>
      <c r="DLI31" s="806"/>
      <c r="DLJ31" s="806"/>
      <c r="DLK31" s="806"/>
      <c r="DLL31" s="806"/>
      <c r="DLM31" s="806"/>
      <c r="DLN31" s="806"/>
      <c r="DLO31" s="806"/>
      <c r="DLP31" s="806"/>
      <c r="DLQ31" s="806"/>
      <c r="DLR31" s="806"/>
      <c r="DLS31" s="806"/>
      <c r="DLT31" s="806"/>
      <c r="DLU31" s="806"/>
      <c r="DLV31" s="806"/>
      <c r="DLW31" s="806"/>
      <c r="DLX31" s="806"/>
      <c r="DLY31" s="806"/>
      <c r="DLZ31" s="806"/>
      <c r="DMA31" s="806"/>
      <c r="DMB31" s="806"/>
      <c r="DMC31" s="806"/>
      <c r="DMD31" s="806"/>
      <c r="DME31" s="806"/>
      <c r="DMF31" s="806"/>
      <c r="DMG31" s="806"/>
      <c r="DMH31" s="806"/>
      <c r="DMI31" s="806"/>
      <c r="DMJ31" s="806"/>
      <c r="DMK31" s="806"/>
      <c r="DML31" s="806"/>
      <c r="DMM31" s="806"/>
      <c r="DMN31" s="806"/>
      <c r="DMO31" s="806"/>
      <c r="DMP31" s="806"/>
      <c r="DMQ31" s="806"/>
      <c r="DMR31" s="806"/>
      <c r="DMS31" s="806"/>
      <c r="DMT31" s="806"/>
      <c r="DMU31" s="806"/>
      <c r="DMV31" s="806"/>
      <c r="DMW31" s="806"/>
      <c r="DMX31" s="806"/>
      <c r="DMY31" s="806"/>
      <c r="DMZ31" s="806"/>
      <c r="DNA31" s="806"/>
      <c r="DNB31" s="806"/>
      <c r="DNC31" s="806"/>
      <c r="DND31" s="806"/>
      <c r="DNE31" s="806"/>
      <c r="DNF31" s="806"/>
      <c r="DNG31" s="806"/>
      <c r="DNH31" s="806"/>
      <c r="DNI31" s="806"/>
      <c r="DNJ31" s="806"/>
      <c r="DNK31" s="806"/>
      <c r="DNL31" s="806"/>
      <c r="DNM31" s="806"/>
      <c r="DNN31" s="806"/>
      <c r="DNO31" s="806"/>
      <c r="DNP31" s="806"/>
      <c r="DNQ31" s="806"/>
      <c r="DNR31" s="806"/>
      <c r="DNS31" s="806"/>
      <c r="DNT31" s="806"/>
      <c r="DNU31" s="806"/>
      <c r="DNV31" s="806"/>
      <c r="DNW31" s="806"/>
      <c r="DNX31" s="806"/>
      <c r="DNY31" s="806"/>
      <c r="DNZ31" s="806"/>
      <c r="DOA31" s="806"/>
      <c r="DOB31" s="806"/>
      <c r="DOC31" s="806"/>
      <c r="DOD31" s="806"/>
      <c r="DOE31" s="806"/>
      <c r="DOF31" s="806"/>
      <c r="DOG31" s="806"/>
      <c r="DOH31" s="806"/>
      <c r="DOI31" s="806"/>
      <c r="DOJ31" s="806"/>
      <c r="DOK31" s="806"/>
      <c r="DOL31" s="806"/>
      <c r="DOM31" s="806"/>
      <c r="DON31" s="806"/>
      <c r="DOO31" s="806"/>
      <c r="DOP31" s="806"/>
      <c r="DOQ31" s="806"/>
      <c r="DOR31" s="806"/>
      <c r="DOS31" s="806"/>
      <c r="DOT31" s="806"/>
      <c r="DOU31" s="806"/>
      <c r="DOV31" s="806"/>
      <c r="DOW31" s="806"/>
      <c r="DOX31" s="806"/>
      <c r="DOY31" s="806"/>
      <c r="DOZ31" s="806"/>
      <c r="DPA31" s="806"/>
      <c r="DPB31" s="806"/>
      <c r="DPC31" s="806"/>
      <c r="DPD31" s="806"/>
      <c r="DPE31" s="806"/>
      <c r="DPF31" s="806"/>
      <c r="DPG31" s="806"/>
      <c r="DPH31" s="806"/>
      <c r="DPI31" s="806"/>
      <c r="DPJ31" s="806"/>
      <c r="DPK31" s="806"/>
      <c r="DPL31" s="806"/>
      <c r="DPM31" s="806"/>
      <c r="DPN31" s="806"/>
      <c r="DPO31" s="806"/>
      <c r="DPP31" s="806"/>
      <c r="DPQ31" s="806"/>
      <c r="DPR31" s="806"/>
      <c r="DPS31" s="806"/>
      <c r="DPT31" s="806"/>
      <c r="DPU31" s="806"/>
      <c r="DPV31" s="806"/>
      <c r="DPW31" s="806"/>
      <c r="DPX31" s="806"/>
      <c r="DPY31" s="806"/>
      <c r="DPZ31" s="806"/>
      <c r="DQA31" s="806"/>
      <c r="DQB31" s="806"/>
      <c r="DQC31" s="806"/>
      <c r="DQD31" s="806"/>
      <c r="DQE31" s="806"/>
      <c r="DQF31" s="806"/>
      <c r="DQG31" s="806"/>
      <c r="DQH31" s="806"/>
      <c r="DQI31" s="806"/>
      <c r="DQJ31" s="806"/>
      <c r="DQK31" s="806"/>
      <c r="DQL31" s="806"/>
      <c r="DQM31" s="806"/>
      <c r="DQN31" s="806"/>
      <c r="DQO31" s="806"/>
      <c r="DQP31" s="806"/>
      <c r="DQQ31" s="806"/>
      <c r="DQR31" s="806"/>
      <c r="DQS31" s="806"/>
      <c r="DQT31" s="806"/>
      <c r="DQU31" s="806"/>
      <c r="DQV31" s="806"/>
      <c r="DQW31" s="806"/>
      <c r="DQX31" s="806"/>
      <c r="DQY31" s="806"/>
      <c r="DQZ31" s="806"/>
      <c r="DRA31" s="806"/>
      <c r="DRB31" s="806"/>
      <c r="DRC31" s="806"/>
      <c r="DRD31" s="806"/>
      <c r="DRE31" s="806"/>
      <c r="DRF31" s="806"/>
      <c r="DRG31" s="806"/>
      <c r="DRH31" s="806"/>
      <c r="DRI31" s="806"/>
      <c r="DRJ31" s="806"/>
      <c r="DRK31" s="806"/>
      <c r="DRL31" s="806"/>
      <c r="DRM31" s="806"/>
      <c r="DRN31" s="806"/>
      <c r="DRO31" s="806"/>
      <c r="DRP31" s="806"/>
      <c r="DRQ31" s="806"/>
      <c r="DRR31" s="806"/>
      <c r="DRS31" s="806"/>
      <c r="DRT31" s="806"/>
      <c r="DRU31" s="806"/>
      <c r="DRV31" s="806"/>
      <c r="DRW31" s="806"/>
      <c r="DRX31" s="806"/>
      <c r="DRY31" s="806"/>
      <c r="DRZ31" s="806"/>
      <c r="DSA31" s="806"/>
      <c r="DSB31" s="806"/>
      <c r="DSC31" s="806"/>
      <c r="DSD31" s="806"/>
      <c r="DSE31" s="806"/>
      <c r="DSF31" s="806"/>
      <c r="DSG31" s="806"/>
      <c r="DSH31" s="806"/>
      <c r="DSI31" s="806"/>
      <c r="DSJ31" s="806"/>
      <c r="DSK31" s="806"/>
      <c r="DSL31" s="806"/>
      <c r="DSM31" s="806"/>
      <c r="DSN31" s="806"/>
      <c r="DSO31" s="806"/>
      <c r="DSP31" s="806"/>
      <c r="DSQ31" s="806"/>
      <c r="DSR31" s="806"/>
      <c r="DSS31" s="806"/>
      <c r="DST31" s="806"/>
      <c r="DSU31" s="806"/>
      <c r="DSV31" s="806"/>
      <c r="DSW31" s="806"/>
      <c r="DSX31" s="806"/>
      <c r="DSY31" s="806"/>
      <c r="DSZ31" s="806"/>
      <c r="DTA31" s="806"/>
      <c r="DTB31" s="806"/>
      <c r="DTC31" s="806"/>
      <c r="DTD31" s="806"/>
      <c r="DTE31" s="806"/>
      <c r="DTF31" s="806"/>
      <c r="DTG31" s="806"/>
      <c r="DTH31" s="806"/>
      <c r="DTI31" s="806"/>
      <c r="DTJ31" s="806"/>
      <c r="DTK31" s="806"/>
      <c r="DTL31" s="806"/>
      <c r="DTM31" s="806"/>
      <c r="DTN31" s="806"/>
      <c r="DTO31" s="806"/>
      <c r="DTP31" s="806"/>
      <c r="DTQ31" s="806"/>
      <c r="DTR31" s="806"/>
      <c r="DTS31" s="806"/>
      <c r="DTT31" s="806"/>
      <c r="DTU31" s="806"/>
      <c r="DTV31" s="806"/>
      <c r="DTW31" s="806"/>
      <c r="DTX31" s="806"/>
      <c r="DTY31" s="806"/>
      <c r="DTZ31" s="806"/>
      <c r="DUA31" s="806"/>
      <c r="DUB31" s="806"/>
      <c r="DUC31" s="806"/>
      <c r="DUD31" s="806"/>
      <c r="DUE31" s="806"/>
      <c r="DUF31" s="806"/>
      <c r="DUG31" s="806"/>
      <c r="DUH31" s="806"/>
      <c r="DUI31" s="806"/>
      <c r="DUJ31" s="806"/>
      <c r="DUK31" s="806"/>
      <c r="DUL31" s="806"/>
      <c r="DUM31" s="806"/>
      <c r="DUN31" s="806"/>
      <c r="DUO31" s="806"/>
      <c r="DUP31" s="806"/>
      <c r="DUQ31" s="806"/>
      <c r="DUR31" s="806"/>
      <c r="DUS31" s="806"/>
      <c r="DUT31" s="806"/>
      <c r="DUU31" s="806"/>
      <c r="DUV31" s="806"/>
      <c r="DUW31" s="806"/>
      <c r="DUX31" s="806"/>
      <c r="DUY31" s="806"/>
      <c r="DUZ31" s="806"/>
      <c r="DVA31" s="806"/>
      <c r="DVB31" s="806"/>
      <c r="DVC31" s="806"/>
      <c r="DVD31" s="806"/>
      <c r="DVE31" s="806"/>
      <c r="DVF31" s="806"/>
      <c r="DVG31" s="806"/>
      <c r="DVH31" s="806"/>
      <c r="DVI31" s="806"/>
      <c r="DVJ31" s="806"/>
      <c r="DVK31" s="806"/>
      <c r="DVL31" s="806"/>
      <c r="DVM31" s="806"/>
      <c r="DVN31" s="806"/>
      <c r="DVO31" s="806"/>
      <c r="DVP31" s="806"/>
      <c r="DVQ31" s="806"/>
      <c r="DVR31" s="806"/>
      <c r="DVS31" s="806"/>
      <c r="DVT31" s="806"/>
      <c r="DVU31" s="806"/>
      <c r="DVV31" s="806"/>
      <c r="DVW31" s="806"/>
      <c r="DVX31" s="806"/>
      <c r="DVY31" s="806"/>
      <c r="DVZ31" s="806"/>
      <c r="DWA31" s="806"/>
      <c r="DWB31" s="806"/>
      <c r="DWC31" s="806"/>
      <c r="DWD31" s="806"/>
      <c r="DWE31" s="806"/>
      <c r="DWF31" s="806"/>
      <c r="DWG31" s="806"/>
      <c r="DWH31" s="806"/>
      <c r="DWI31" s="806"/>
      <c r="DWJ31" s="806"/>
      <c r="DWK31" s="806"/>
      <c r="DWL31" s="806"/>
      <c r="DWM31" s="806"/>
      <c r="DWN31" s="806"/>
      <c r="DWO31" s="806"/>
      <c r="DWP31" s="806"/>
      <c r="DWQ31" s="806"/>
      <c r="DWR31" s="806"/>
      <c r="DWS31" s="806"/>
      <c r="DWT31" s="806"/>
      <c r="DWU31" s="806"/>
      <c r="DWV31" s="806"/>
      <c r="DWW31" s="806"/>
      <c r="DWX31" s="806"/>
      <c r="DWY31" s="806"/>
      <c r="DWZ31" s="806"/>
      <c r="DXA31" s="806"/>
      <c r="DXB31" s="806"/>
      <c r="DXC31" s="806"/>
      <c r="DXD31" s="806"/>
      <c r="DXE31" s="806"/>
      <c r="DXF31" s="806"/>
      <c r="DXG31" s="806"/>
      <c r="DXH31" s="806"/>
      <c r="DXI31" s="806"/>
      <c r="DXJ31" s="806"/>
      <c r="DXK31" s="806"/>
      <c r="DXL31" s="806"/>
      <c r="DXM31" s="806"/>
      <c r="DXN31" s="806"/>
      <c r="DXO31" s="806"/>
      <c r="DXP31" s="806"/>
      <c r="DXQ31" s="806"/>
      <c r="DXR31" s="806"/>
      <c r="DXS31" s="806"/>
      <c r="DXT31" s="806"/>
      <c r="DXU31" s="806"/>
      <c r="DXV31" s="806"/>
      <c r="DXW31" s="806"/>
      <c r="DXX31" s="806"/>
      <c r="DXY31" s="806"/>
      <c r="DXZ31" s="806"/>
      <c r="DYA31" s="806"/>
      <c r="DYB31" s="806"/>
      <c r="DYC31" s="806"/>
      <c r="DYD31" s="806"/>
      <c r="DYE31" s="806"/>
      <c r="DYF31" s="806"/>
      <c r="DYG31" s="806"/>
      <c r="DYH31" s="806"/>
      <c r="DYI31" s="806"/>
      <c r="DYJ31" s="806"/>
      <c r="DYK31" s="806"/>
      <c r="DYL31" s="806"/>
      <c r="DYM31" s="806"/>
      <c r="DYN31" s="806"/>
      <c r="DYO31" s="806"/>
      <c r="DYP31" s="806"/>
      <c r="DYQ31" s="806"/>
      <c r="DYR31" s="806"/>
      <c r="DYS31" s="806"/>
      <c r="DYT31" s="806"/>
      <c r="DYU31" s="806"/>
      <c r="DYV31" s="806"/>
      <c r="DYW31" s="806"/>
      <c r="DYX31" s="806"/>
      <c r="DYY31" s="806"/>
      <c r="DYZ31" s="806"/>
      <c r="DZA31" s="806"/>
      <c r="DZB31" s="806"/>
      <c r="DZC31" s="806"/>
      <c r="DZD31" s="806"/>
      <c r="DZE31" s="806"/>
      <c r="DZF31" s="806"/>
      <c r="DZG31" s="806"/>
      <c r="DZH31" s="806"/>
      <c r="DZI31" s="806"/>
      <c r="DZJ31" s="806"/>
      <c r="DZK31" s="806"/>
      <c r="DZL31" s="806"/>
      <c r="DZM31" s="806"/>
      <c r="DZN31" s="806"/>
      <c r="DZO31" s="806"/>
      <c r="DZP31" s="806"/>
      <c r="DZQ31" s="806"/>
      <c r="DZR31" s="806"/>
      <c r="DZS31" s="806"/>
      <c r="DZT31" s="806"/>
      <c r="DZU31" s="806"/>
      <c r="DZV31" s="806"/>
      <c r="DZW31" s="806"/>
      <c r="DZX31" s="806"/>
      <c r="DZY31" s="806"/>
      <c r="DZZ31" s="806"/>
      <c r="EAA31" s="806"/>
      <c r="EAB31" s="806"/>
      <c r="EAC31" s="806"/>
      <c r="EAD31" s="806"/>
      <c r="EAE31" s="806"/>
      <c r="EAF31" s="806"/>
      <c r="EAG31" s="806"/>
      <c r="EAH31" s="806"/>
      <c r="EAI31" s="806"/>
      <c r="EAJ31" s="806"/>
      <c r="EAK31" s="806"/>
      <c r="EAL31" s="806"/>
      <c r="EAM31" s="806"/>
      <c r="EAN31" s="806"/>
      <c r="EAO31" s="806"/>
      <c r="EAP31" s="806"/>
      <c r="EAQ31" s="806"/>
      <c r="EAR31" s="806"/>
      <c r="EAS31" s="806"/>
      <c r="EAT31" s="806"/>
      <c r="EAU31" s="806"/>
      <c r="EAV31" s="806"/>
      <c r="EAW31" s="806"/>
      <c r="EAX31" s="806"/>
      <c r="EAY31" s="806"/>
      <c r="EAZ31" s="806"/>
      <c r="EBA31" s="806"/>
      <c r="EBB31" s="806"/>
      <c r="EBC31" s="806"/>
      <c r="EBD31" s="806"/>
      <c r="EBE31" s="806"/>
      <c r="EBF31" s="806"/>
      <c r="EBG31" s="806"/>
      <c r="EBH31" s="806"/>
      <c r="EBI31" s="806"/>
      <c r="EBJ31" s="806"/>
      <c r="EBK31" s="806"/>
      <c r="EBL31" s="806"/>
      <c r="EBM31" s="806"/>
      <c r="EBN31" s="806"/>
      <c r="EBO31" s="806"/>
      <c r="EBP31" s="806"/>
      <c r="EBQ31" s="806"/>
      <c r="EBR31" s="806"/>
      <c r="EBS31" s="806"/>
      <c r="EBT31" s="806"/>
      <c r="EBU31" s="806"/>
      <c r="EBV31" s="806"/>
      <c r="EBW31" s="806"/>
      <c r="EBX31" s="806"/>
      <c r="EBY31" s="806"/>
      <c r="EBZ31" s="806"/>
      <c r="ECA31" s="806"/>
      <c r="ECB31" s="806"/>
      <c r="ECC31" s="806"/>
      <c r="ECD31" s="806"/>
      <c r="ECE31" s="806"/>
      <c r="ECF31" s="806"/>
      <c r="ECG31" s="806"/>
      <c r="ECH31" s="806"/>
      <c r="ECI31" s="806"/>
      <c r="ECJ31" s="806"/>
      <c r="ECK31" s="806"/>
      <c r="ECL31" s="806"/>
      <c r="ECM31" s="806"/>
      <c r="ECN31" s="806"/>
      <c r="ECO31" s="806"/>
      <c r="ECP31" s="806"/>
      <c r="ECQ31" s="806"/>
      <c r="ECR31" s="806"/>
      <c r="ECS31" s="806"/>
      <c r="ECT31" s="806"/>
      <c r="ECU31" s="806"/>
      <c r="ECV31" s="806"/>
      <c r="ECW31" s="806"/>
      <c r="ECX31" s="806"/>
      <c r="ECY31" s="806"/>
      <c r="ECZ31" s="806"/>
      <c r="EDA31" s="806"/>
      <c r="EDB31" s="806"/>
      <c r="EDC31" s="806"/>
      <c r="EDD31" s="806"/>
      <c r="EDE31" s="806"/>
      <c r="EDF31" s="806"/>
      <c r="EDG31" s="806"/>
      <c r="EDH31" s="806"/>
      <c r="EDI31" s="806"/>
      <c r="EDJ31" s="806"/>
      <c r="EDK31" s="806"/>
      <c r="EDL31" s="806"/>
      <c r="EDM31" s="806"/>
      <c r="EDN31" s="806"/>
      <c r="EDO31" s="806"/>
      <c r="EDP31" s="806"/>
      <c r="EDQ31" s="806"/>
      <c r="EDR31" s="806"/>
      <c r="EDS31" s="806"/>
      <c r="EDT31" s="806"/>
      <c r="EDU31" s="806"/>
      <c r="EDV31" s="806"/>
      <c r="EDW31" s="806"/>
      <c r="EDX31" s="806"/>
      <c r="EDY31" s="806"/>
      <c r="EDZ31" s="806"/>
      <c r="EEA31" s="806"/>
      <c r="EEB31" s="806"/>
      <c r="EEC31" s="806"/>
      <c r="EED31" s="806"/>
      <c r="EEE31" s="806"/>
      <c r="EEF31" s="806"/>
      <c r="EEG31" s="806"/>
      <c r="EEH31" s="806"/>
      <c r="EEI31" s="806"/>
      <c r="EEJ31" s="806"/>
      <c r="EEK31" s="806"/>
      <c r="EEL31" s="806"/>
      <c r="EEM31" s="806"/>
      <c r="EEN31" s="806"/>
      <c r="EEO31" s="806"/>
      <c r="EEP31" s="806"/>
      <c r="EEQ31" s="806"/>
      <c r="EER31" s="806"/>
      <c r="EES31" s="806"/>
      <c r="EET31" s="806"/>
      <c r="EEU31" s="806"/>
      <c r="EEV31" s="806"/>
      <c r="EEW31" s="806"/>
      <c r="EEX31" s="806"/>
      <c r="EEY31" s="806"/>
      <c r="EEZ31" s="806"/>
      <c r="EFA31" s="806"/>
      <c r="EFB31" s="806"/>
      <c r="EFC31" s="806"/>
      <c r="EFD31" s="806"/>
      <c r="EFE31" s="806"/>
      <c r="EFF31" s="806"/>
      <c r="EFG31" s="806"/>
      <c r="EFH31" s="806"/>
      <c r="EFI31" s="806"/>
      <c r="EFJ31" s="806"/>
      <c r="EFK31" s="806"/>
      <c r="EFL31" s="806"/>
      <c r="EFM31" s="806"/>
      <c r="EFN31" s="806"/>
      <c r="EFO31" s="806"/>
      <c r="EFP31" s="806"/>
      <c r="EFQ31" s="806"/>
      <c r="EFR31" s="806"/>
      <c r="EFS31" s="806"/>
      <c r="EFT31" s="806"/>
      <c r="EFU31" s="806"/>
      <c r="EFV31" s="806"/>
      <c r="EFW31" s="806"/>
      <c r="EFX31" s="806"/>
      <c r="EFY31" s="806"/>
      <c r="EFZ31" s="806"/>
      <c r="EGA31" s="806"/>
      <c r="EGB31" s="806"/>
      <c r="EGC31" s="806"/>
      <c r="EGD31" s="806"/>
      <c r="EGE31" s="806"/>
      <c r="EGF31" s="806"/>
      <c r="EGG31" s="806"/>
      <c r="EGH31" s="806"/>
      <c r="EGI31" s="806"/>
      <c r="EGJ31" s="806"/>
      <c r="EGK31" s="806"/>
      <c r="EGL31" s="806"/>
      <c r="EGM31" s="806"/>
      <c r="EGN31" s="806"/>
      <c r="EGO31" s="806"/>
      <c r="EGP31" s="806"/>
      <c r="EGQ31" s="806"/>
      <c r="EGR31" s="806"/>
      <c r="EGS31" s="806"/>
      <c r="EGT31" s="806"/>
      <c r="EGU31" s="806"/>
      <c r="EGV31" s="806"/>
      <c r="EGW31" s="806"/>
      <c r="EGX31" s="806"/>
      <c r="EGY31" s="806"/>
      <c r="EGZ31" s="806"/>
      <c r="EHA31" s="806"/>
      <c r="EHB31" s="806"/>
      <c r="EHC31" s="806"/>
      <c r="EHD31" s="806"/>
      <c r="EHE31" s="806"/>
      <c r="EHF31" s="806"/>
      <c r="EHG31" s="806"/>
      <c r="EHH31" s="806"/>
      <c r="EHI31" s="806"/>
      <c r="EHJ31" s="806"/>
      <c r="EHK31" s="806"/>
      <c r="EHL31" s="806"/>
      <c r="EHM31" s="806"/>
      <c r="EHN31" s="806"/>
      <c r="EHO31" s="806"/>
      <c r="EHP31" s="806"/>
      <c r="EHQ31" s="806"/>
      <c r="EHR31" s="806"/>
      <c r="EHS31" s="806"/>
      <c r="EHT31" s="806"/>
      <c r="EHU31" s="806"/>
      <c r="EHV31" s="806"/>
      <c r="EHW31" s="806"/>
      <c r="EHX31" s="806"/>
      <c r="EHY31" s="806"/>
      <c r="EHZ31" s="806"/>
      <c r="EIA31" s="806"/>
      <c r="EIB31" s="806"/>
      <c r="EIC31" s="806"/>
      <c r="EID31" s="806"/>
      <c r="EIE31" s="806"/>
      <c r="EIF31" s="806"/>
      <c r="EIG31" s="806"/>
      <c r="EIH31" s="806"/>
      <c r="EII31" s="806"/>
      <c r="EIJ31" s="806"/>
      <c r="EIK31" s="806"/>
      <c r="EIL31" s="806"/>
      <c r="EIM31" s="806"/>
      <c r="EIN31" s="806"/>
      <c r="EIO31" s="806"/>
      <c r="EIP31" s="806"/>
      <c r="EIQ31" s="806"/>
      <c r="EIR31" s="806"/>
      <c r="EIS31" s="806"/>
      <c r="EIT31" s="806"/>
      <c r="EIU31" s="806"/>
      <c r="EIV31" s="806"/>
      <c r="EIW31" s="806"/>
      <c r="EIX31" s="806"/>
      <c r="EIY31" s="806"/>
      <c r="EIZ31" s="806"/>
      <c r="EJA31" s="806"/>
      <c r="EJB31" s="806"/>
      <c r="EJC31" s="806"/>
      <c r="EJD31" s="806"/>
      <c r="EJE31" s="806"/>
      <c r="EJF31" s="806"/>
      <c r="EJG31" s="806"/>
      <c r="EJH31" s="806"/>
      <c r="EJI31" s="806"/>
      <c r="EJJ31" s="806"/>
      <c r="EJK31" s="806"/>
      <c r="EJL31" s="806"/>
      <c r="EJM31" s="806"/>
      <c r="EJN31" s="806"/>
      <c r="EJO31" s="806"/>
      <c r="EJP31" s="806"/>
      <c r="EJQ31" s="806"/>
      <c r="EJR31" s="806"/>
      <c r="EJS31" s="806"/>
      <c r="EJT31" s="806"/>
      <c r="EJU31" s="806"/>
      <c r="EJV31" s="806"/>
      <c r="EJW31" s="806"/>
      <c r="EJX31" s="806"/>
      <c r="EJY31" s="806"/>
      <c r="EJZ31" s="806"/>
      <c r="EKA31" s="806"/>
      <c r="EKB31" s="806"/>
      <c r="EKC31" s="806"/>
      <c r="EKD31" s="806"/>
      <c r="EKE31" s="806"/>
      <c r="EKF31" s="806"/>
      <c r="EKG31" s="806"/>
      <c r="EKH31" s="806"/>
      <c r="EKI31" s="806"/>
      <c r="EKJ31" s="806"/>
      <c r="EKK31" s="806"/>
      <c r="EKL31" s="806"/>
      <c r="EKM31" s="806"/>
      <c r="EKN31" s="806"/>
      <c r="EKO31" s="806"/>
      <c r="EKP31" s="806"/>
      <c r="EKQ31" s="806"/>
      <c r="EKR31" s="806"/>
      <c r="EKS31" s="806"/>
      <c r="EKT31" s="806"/>
      <c r="EKU31" s="806"/>
      <c r="EKV31" s="806"/>
      <c r="EKW31" s="806"/>
      <c r="EKX31" s="806"/>
      <c r="EKY31" s="806"/>
      <c r="EKZ31" s="806"/>
      <c r="ELA31" s="806"/>
      <c r="ELB31" s="806"/>
      <c r="ELC31" s="806"/>
      <c r="ELD31" s="806"/>
      <c r="ELE31" s="806"/>
      <c r="ELF31" s="806"/>
      <c r="ELG31" s="806"/>
      <c r="ELH31" s="806"/>
      <c r="ELI31" s="806"/>
      <c r="ELJ31" s="806"/>
      <c r="ELK31" s="806"/>
      <c r="ELL31" s="806"/>
      <c r="ELM31" s="806"/>
      <c r="ELN31" s="806"/>
      <c r="ELO31" s="806"/>
      <c r="ELP31" s="806"/>
      <c r="ELQ31" s="806"/>
      <c r="ELR31" s="806"/>
      <c r="ELS31" s="806"/>
      <c r="ELT31" s="806"/>
      <c r="ELU31" s="806"/>
      <c r="ELV31" s="806"/>
      <c r="ELW31" s="806"/>
      <c r="ELX31" s="806"/>
      <c r="ELY31" s="806"/>
      <c r="ELZ31" s="806"/>
      <c r="EMA31" s="806"/>
      <c r="EMB31" s="806"/>
      <c r="EMC31" s="806"/>
      <c r="EMD31" s="806"/>
      <c r="EME31" s="806"/>
      <c r="EMF31" s="806"/>
      <c r="EMG31" s="806"/>
      <c r="EMH31" s="806"/>
      <c r="EMI31" s="806"/>
      <c r="EMJ31" s="806"/>
      <c r="EMK31" s="806"/>
      <c r="EML31" s="806"/>
      <c r="EMM31" s="806"/>
      <c r="EMN31" s="806"/>
      <c r="EMO31" s="806"/>
      <c r="EMP31" s="806"/>
      <c r="EMQ31" s="806"/>
      <c r="EMR31" s="806"/>
      <c r="EMS31" s="806"/>
      <c r="EMT31" s="806"/>
      <c r="EMU31" s="806"/>
      <c r="EMV31" s="806"/>
      <c r="EMW31" s="806"/>
      <c r="EMX31" s="806"/>
      <c r="EMY31" s="806"/>
      <c r="EMZ31" s="806"/>
      <c r="ENA31" s="806"/>
      <c r="ENB31" s="806"/>
      <c r="ENC31" s="806"/>
      <c r="END31" s="806"/>
      <c r="ENE31" s="806"/>
      <c r="ENF31" s="806"/>
      <c r="ENG31" s="806"/>
      <c r="ENH31" s="806"/>
      <c r="ENI31" s="806"/>
      <c r="ENJ31" s="806"/>
      <c r="ENK31" s="806"/>
      <c r="ENL31" s="806"/>
      <c r="ENM31" s="806"/>
      <c r="ENN31" s="806"/>
      <c r="ENO31" s="806"/>
      <c r="ENP31" s="806"/>
      <c r="ENQ31" s="806"/>
      <c r="ENR31" s="806"/>
      <c r="ENS31" s="806"/>
      <c r="ENT31" s="806"/>
      <c r="ENU31" s="806"/>
      <c r="ENV31" s="806"/>
      <c r="ENW31" s="806"/>
      <c r="ENX31" s="806"/>
      <c r="ENY31" s="806"/>
      <c r="ENZ31" s="806"/>
      <c r="EOA31" s="806"/>
      <c r="EOB31" s="806"/>
      <c r="EOC31" s="806"/>
      <c r="EOD31" s="806"/>
      <c r="EOE31" s="806"/>
      <c r="EOF31" s="806"/>
      <c r="EOG31" s="806"/>
      <c r="EOH31" s="806"/>
      <c r="EOI31" s="806"/>
      <c r="EOJ31" s="806"/>
      <c r="EOK31" s="806"/>
      <c r="EOL31" s="806"/>
      <c r="EOM31" s="806"/>
      <c r="EON31" s="806"/>
      <c r="EOO31" s="806"/>
      <c r="EOP31" s="806"/>
      <c r="EOQ31" s="806"/>
      <c r="EOR31" s="806"/>
      <c r="EOS31" s="806"/>
      <c r="EOT31" s="806"/>
      <c r="EOU31" s="806"/>
      <c r="EOV31" s="806"/>
      <c r="EOW31" s="806"/>
      <c r="EOX31" s="806"/>
      <c r="EOY31" s="806"/>
      <c r="EOZ31" s="806"/>
      <c r="EPA31" s="806"/>
      <c r="EPB31" s="806"/>
      <c r="EPC31" s="806"/>
      <c r="EPD31" s="806"/>
      <c r="EPE31" s="806"/>
      <c r="EPF31" s="806"/>
      <c r="EPG31" s="806"/>
      <c r="EPH31" s="806"/>
      <c r="EPI31" s="806"/>
      <c r="EPJ31" s="806"/>
      <c r="EPK31" s="806"/>
      <c r="EPL31" s="806"/>
      <c r="EPM31" s="806"/>
      <c r="EPN31" s="806"/>
      <c r="EPO31" s="806"/>
      <c r="EPP31" s="806"/>
      <c r="EPQ31" s="806"/>
      <c r="EPR31" s="806"/>
      <c r="EPS31" s="806"/>
      <c r="EPT31" s="806"/>
      <c r="EPU31" s="806"/>
      <c r="EPV31" s="806"/>
      <c r="EPW31" s="806"/>
      <c r="EPX31" s="806"/>
      <c r="EPY31" s="806"/>
      <c r="EPZ31" s="806"/>
      <c r="EQA31" s="806"/>
      <c r="EQB31" s="806"/>
      <c r="EQC31" s="806"/>
      <c r="EQD31" s="806"/>
      <c r="EQE31" s="806"/>
      <c r="EQF31" s="806"/>
      <c r="EQG31" s="806"/>
      <c r="EQH31" s="806"/>
      <c r="EQI31" s="806"/>
      <c r="EQJ31" s="806"/>
      <c r="EQK31" s="806"/>
      <c r="EQL31" s="806"/>
      <c r="EQM31" s="806"/>
      <c r="EQN31" s="806"/>
      <c r="EQO31" s="806"/>
      <c r="EQP31" s="806"/>
      <c r="EQQ31" s="806"/>
      <c r="EQR31" s="806"/>
      <c r="EQS31" s="806"/>
      <c r="EQT31" s="806"/>
      <c r="EQU31" s="806"/>
      <c r="EQV31" s="806"/>
      <c r="EQW31" s="806"/>
      <c r="EQX31" s="806"/>
      <c r="EQY31" s="806"/>
      <c r="EQZ31" s="806"/>
      <c r="ERA31" s="806"/>
      <c r="ERB31" s="806"/>
      <c r="ERC31" s="806"/>
      <c r="ERD31" s="806"/>
      <c r="ERE31" s="806"/>
      <c r="ERF31" s="806"/>
      <c r="ERG31" s="806"/>
      <c r="ERH31" s="806"/>
      <c r="ERI31" s="806"/>
      <c r="ERJ31" s="806"/>
      <c r="ERK31" s="806"/>
      <c r="ERL31" s="806"/>
      <c r="ERM31" s="806"/>
      <c r="ERN31" s="806"/>
      <c r="ERO31" s="806"/>
      <c r="ERP31" s="806"/>
      <c r="ERQ31" s="806"/>
      <c r="ERR31" s="806"/>
      <c r="ERS31" s="806"/>
      <c r="ERT31" s="806"/>
      <c r="ERU31" s="806"/>
      <c r="ERV31" s="806"/>
      <c r="ERW31" s="806"/>
      <c r="ERX31" s="806"/>
      <c r="ERY31" s="806"/>
      <c r="ERZ31" s="806"/>
      <c r="ESA31" s="806"/>
      <c r="ESB31" s="806"/>
      <c r="ESC31" s="806"/>
      <c r="ESD31" s="806"/>
      <c r="ESE31" s="806"/>
      <c r="ESF31" s="806"/>
      <c r="ESG31" s="806"/>
      <c r="ESH31" s="806"/>
      <c r="ESI31" s="806"/>
      <c r="ESJ31" s="806"/>
      <c r="ESK31" s="806"/>
      <c r="ESL31" s="806"/>
      <c r="ESM31" s="806"/>
      <c r="ESN31" s="806"/>
      <c r="ESO31" s="806"/>
      <c r="ESP31" s="806"/>
      <c r="ESQ31" s="806"/>
      <c r="ESR31" s="806"/>
      <c r="ESS31" s="806"/>
      <c r="EST31" s="806"/>
      <c r="ESU31" s="806"/>
      <c r="ESV31" s="806"/>
      <c r="ESW31" s="806"/>
      <c r="ESX31" s="806"/>
      <c r="ESY31" s="806"/>
      <c r="ESZ31" s="806"/>
      <c r="ETA31" s="806"/>
      <c r="ETB31" s="806"/>
      <c r="ETC31" s="806"/>
      <c r="ETD31" s="806"/>
      <c r="ETE31" s="806"/>
      <c r="ETF31" s="806"/>
      <c r="ETG31" s="806"/>
      <c r="ETH31" s="806"/>
      <c r="ETI31" s="806"/>
      <c r="ETJ31" s="806"/>
      <c r="ETK31" s="806"/>
      <c r="ETL31" s="806"/>
      <c r="ETM31" s="806"/>
      <c r="ETN31" s="806"/>
      <c r="ETO31" s="806"/>
      <c r="ETP31" s="806"/>
      <c r="ETQ31" s="806"/>
      <c r="ETR31" s="806"/>
      <c r="ETS31" s="806"/>
      <c r="ETT31" s="806"/>
      <c r="ETU31" s="806"/>
      <c r="ETV31" s="806"/>
      <c r="ETW31" s="806"/>
      <c r="ETX31" s="806"/>
      <c r="ETY31" s="806"/>
      <c r="ETZ31" s="806"/>
      <c r="EUA31" s="806"/>
      <c r="EUB31" s="806"/>
      <c r="EUC31" s="806"/>
      <c r="EUD31" s="806"/>
      <c r="EUE31" s="806"/>
      <c r="EUF31" s="806"/>
      <c r="EUG31" s="806"/>
      <c r="EUH31" s="806"/>
      <c r="EUI31" s="806"/>
      <c r="EUJ31" s="806"/>
      <c r="EUK31" s="806"/>
      <c r="EUL31" s="806"/>
      <c r="EUM31" s="806"/>
      <c r="EUN31" s="806"/>
      <c r="EUO31" s="806"/>
      <c r="EUP31" s="806"/>
      <c r="EUQ31" s="806"/>
      <c r="EUR31" s="806"/>
      <c r="EUS31" s="806"/>
      <c r="EUT31" s="806"/>
      <c r="EUU31" s="806"/>
      <c r="EUV31" s="806"/>
      <c r="EUW31" s="806"/>
      <c r="EUX31" s="806"/>
      <c r="EUY31" s="806"/>
      <c r="EUZ31" s="806"/>
      <c r="EVA31" s="806"/>
      <c r="EVB31" s="806"/>
      <c r="EVC31" s="806"/>
      <c r="EVD31" s="806"/>
      <c r="EVE31" s="806"/>
      <c r="EVF31" s="806"/>
      <c r="EVG31" s="806"/>
      <c r="EVH31" s="806"/>
      <c r="EVI31" s="806"/>
      <c r="EVJ31" s="806"/>
      <c r="EVK31" s="806"/>
      <c r="EVL31" s="806"/>
      <c r="EVM31" s="806"/>
      <c r="EVN31" s="806"/>
      <c r="EVO31" s="806"/>
      <c r="EVP31" s="806"/>
      <c r="EVQ31" s="806"/>
      <c r="EVR31" s="806"/>
      <c r="EVS31" s="806"/>
      <c r="EVT31" s="806"/>
      <c r="EVU31" s="806"/>
      <c r="EVV31" s="806"/>
      <c r="EVW31" s="806"/>
      <c r="EVX31" s="806"/>
      <c r="EVY31" s="806"/>
      <c r="EVZ31" s="806"/>
      <c r="EWA31" s="806"/>
      <c r="EWB31" s="806"/>
      <c r="EWC31" s="806"/>
      <c r="EWD31" s="806"/>
      <c r="EWE31" s="806"/>
      <c r="EWF31" s="806"/>
      <c r="EWG31" s="806"/>
      <c r="EWH31" s="806"/>
      <c r="EWI31" s="806"/>
      <c r="EWJ31" s="806"/>
      <c r="EWK31" s="806"/>
      <c r="EWL31" s="806"/>
      <c r="EWM31" s="806"/>
      <c r="EWN31" s="806"/>
      <c r="EWO31" s="806"/>
      <c r="EWP31" s="806"/>
      <c r="EWQ31" s="806"/>
      <c r="EWR31" s="806"/>
      <c r="EWS31" s="806"/>
      <c r="EWT31" s="806"/>
      <c r="EWU31" s="806"/>
      <c r="EWV31" s="806"/>
      <c r="EWW31" s="806"/>
      <c r="EWX31" s="806"/>
      <c r="EWY31" s="806"/>
      <c r="EWZ31" s="806"/>
      <c r="EXA31" s="806"/>
      <c r="EXB31" s="806"/>
      <c r="EXC31" s="806"/>
      <c r="EXD31" s="806"/>
      <c r="EXE31" s="806"/>
      <c r="EXF31" s="806"/>
      <c r="EXG31" s="806"/>
      <c r="EXH31" s="806"/>
      <c r="EXI31" s="806"/>
      <c r="EXJ31" s="806"/>
      <c r="EXK31" s="806"/>
      <c r="EXL31" s="806"/>
      <c r="EXM31" s="806"/>
      <c r="EXN31" s="806"/>
      <c r="EXO31" s="806"/>
      <c r="EXP31" s="806"/>
      <c r="EXQ31" s="806"/>
      <c r="EXR31" s="806"/>
      <c r="EXS31" s="806"/>
      <c r="EXT31" s="806"/>
      <c r="EXU31" s="806"/>
      <c r="EXV31" s="806"/>
      <c r="EXW31" s="806"/>
      <c r="EXX31" s="806"/>
      <c r="EXY31" s="806"/>
      <c r="EXZ31" s="806"/>
      <c r="EYA31" s="806"/>
      <c r="EYB31" s="806"/>
      <c r="EYC31" s="806"/>
      <c r="EYD31" s="806"/>
      <c r="EYE31" s="806"/>
      <c r="EYF31" s="806"/>
      <c r="EYG31" s="806"/>
      <c r="EYH31" s="806"/>
      <c r="EYI31" s="806"/>
      <c r="EYJ31" s="806"/>
      <c r="EYK31" s="806"/>
      <c r="EYL31" s="806"/>
      <c r="EYM31" s="806"/>
      <c r="EYN31" s="806"/>
      <c r="EYO31" s="806"/>
      <c r="EYP31" s="806"/>
      <c r="EYQ31" s="806"/>
      <c r="EYR31" s="806"/>
      <c r="EYS31" s="806"/>
      <c r="EYT31" s="806"/>
      <c r="EYU31" s="806"/>
      <c r="EYV31" s="806"/>
      <c r="EYW31" s="806"/>
      <c r="EYX31" s="806"/>
      <c r="EYY31" s="806"/>
      <c r="EYZ31" s="806"/>
      <c r="EZA31" s="806"/>
      <c r="EZB31" s="806"/>
      <c r="EZC31" s="806"/>
      <c r="EZD31" s="806"/>
      <c r="EZE31" s="806"/>
      <c r="EZF31" s="806"/>
      <c r="EZG31" s="806"/>
      <c r="EZH31" s="806"/>
      <c r="EZI31" s="806"/>
      <c r="EZJ31" s="806"/>
      <c r="EZK31" s="806"/>
      <c r="EZL31" s="806"/>
      <c r="EZM31" s="806"/>
      <c r="EZN31" s="806"/>
      <c r="EZO31" s="806"/>
      <c r="EZP31" s="806"/>
      <c r="EZQ31" s="806"/>
      <c r="EZR31" s="806"/>
      <c r="EZS31" s="806"/>
      <c r="EZT31" s="806"/>
      <c r="EZU31" s="806"/>
      <c r="EZV31" s="806"/>
      <c r="EZW31" s="806"/>
      <c r="EZX31" s="806"/>
      <c r="EZY31" s="806"/>
      <c r="EZZ31" s="806"/>
      <c r="FAA31" s="806"/>
      <c r="FAB31" s="806"/>
      <c r="FAC31" s="806"/>
      <c r="FAD31" s="806"/>
      <c r="FAE31" s="806"/>
      <c r="FAF31" s="806"/>
      <c r="FAG31" s="806"/>
      <c r="FAH31" s="806"/>
      <c r="FAI31" s="806"/>
      <c r="FAJ31" s="806"/>
      <c r="FAK31" s="806"/>
      <c r="FAL31" s="806"/>
      <c r="FAM31" s="806"/>
      <c r="FAN31" s="806"/>
      <c r="FAO31" s="806"/>
      <c r="FAP31" s="806"/>
      <c r="FAQ31" s="806"/>
      <c r="FAR31" s="806"/>
      <c r="FAS31" s="806"/>
      <c r="FAT31" s="806"/>
      <c r="FAU31" s="806"/>
      <c r="FAV31" s="806"/>
      <c r="FAW31" s="806"/>
      <c r="FAX31" s="806"/>
      <c r="FAY31" s="806"/>
      <c r="FAZ31" s="806"/>
      <c r="FBA31" s="806"/>
      <c r="FBB31" s="806"/>
      <c r="FBC31" s="806"/>
      <c r="FBD31" s="806"/>
      <c r="FBE31" s="806"/>
      <c r="FBF31" s="806"/>
      <c r="FBG31" s="806"/>
      <c r="FBH31" s="806"/>
      <c r="FBI31" s="806"/>
      <c r="FBJ31" s="806"/>
      <c r="FBK31" s="806"/>
      <c r="FBL31" s="806"/>
      <c r="FBM31" s="806"/>
      <c r="FBN31" s="806"/>
      <c r="FBO31" s="806"/>
      <c r="FBP31" s="806"/>
      <c r="FBQ31" s="806"/>
      <c r="FBR31" s="806"/>
      <c r="FBS31" s="806"/>
      <c r="FBT31" s="806"/>
      <c r="FBU31" s="806"/>
      <c r="FBV31" s="806"/>
      <c r="FBW31" s="806"/>
      <c r="FBX31" s="806"/>
      <c r="FBY31" s="806"/>
      <c r="FBZ31" s="806"/>
      <c r="FCA31" s="806"/>
      <c r="FCB31" s="806"/>
      <c r="FCC31" s="806"/>
      <c r="FCD31" s="806"/>
      <c r="FCE31" s="806"/>
      <c r="FCF31" s="806"/>
      <c r="FCG31" s="806"/>
      <c r="FCH31" s="806"/>
      <c r="FCI31" s="806"/>
      <c r="FCJ31" s="806"/>
      <c r="FCK31" s="806"/>
      <c r="FCL31" s="806"/>
      <c r="FCM31" s="806"/>
      <c r="FCN31" s="806"/>
      <c r="FCO31" s="806"/>
      <c r="FCP31" s="806"/>
      <c r="FCQ31" s="806"/>
      <c r="FCR31" s="806"/>
      <c r="FCS31" s="806"/>
      <c r="FCT31" s="806"/>
      <c r="FCU31" s="806"/>
      <c r="FCV31" s="806"/>
      <c r="FCW31" s="806"/>
      <c r="FCX31" s="806"/>
      <c r="FCY31" s="806"/>
      <c r="FCZ31" s="806"/>
      <c r="FDA31" s="806"/>
      <c r="FDB31" s="806"/>
      <c r="FDC31" s="806"/>
      <c r="FDD31" s="806"/>
      <c r="FDE31" s="806"/>
      <c r="FDF31" s="806"/>
      <c r="FDG31" s="806"/>
      <c r="FDH31" s="806"/>
      <c r="FDI31" s="806"/>
      <c r="FDJ31" s="806"/>
      <c r="FDK31" s="806"/>
      <c r="FDL31" s="806"/>
      <c r="FDM31" s="806"/>
      <c r="FDN31" s="806"/>
      <c r="FDO31" s="806"/>
      <c r="FDP31" s="806"/>
      <c r="FDQ31" s="806"/>
      <c r="FDR31" s="806"/>
      <c r="FDS31" s="806"/>
      <c r="FDT31" s="806"/>
      <c r="FDU31" s="806"/>
      <c r="FDV31" s="806"/>
      <c r="FDW31" s="806"/>
      <c r="FDX31" s="806"/>
      <c r="FDY31" s="806"/>
      <c r="FDZ31" s="806"/>
      <c r="FEA31" s="806"/>
      <c r="FEB31" s="806"/>
      <c r="FEC31" s="806"/>
      <c r="FED31" s="806"/>
      <c r="FEE31" s="806"/>
      <c r="FEF31" s="806"/>
      <c r="FEG31" s="806"/>
      <c r="FEH31" s="806"/>
      <c r="FEI31" s="806"/>
      <c r="FEJ31" s="806"/>
      <c r="FEK31" s="806"/>
      <c r="FEL31" s="806"/>
      <c r="FEM31" s="806"/>
      <c r="FEN31" s="806"/>
      <c r="FEO31" s="806"/>
      <c r="FEP31" s="806"/>
      <c r="FEQ31" s="806"/>
      <c r="FER31" s="806"/>
      <c r="FES31" s="806"/>
      <c r="FET31" s="806"/>
      <c r="FEU31" s="806"/>
      <c r="FEV31" s="806"/>
      <c r="FEW31" s="806"/>
      <c r="FEX31" s="806"/>
      <c r="FEY31" s="806"/>
      <c r="FEZ31" s="806"/>
      <c r="FFA31" s="806"/>
      <c r="FFB31" s="806"/>
      <c r="FFC31" s="806"/>
      <c r="FFD31" s="806"/>
      <c r="FFE31" s="806"/>
      <c r="FFF31" s="806"/>
      <c r="FFG31" s="806"/>
      <c r="FFH31" s="806"/>
      <c r="FFI31" s="806"/>
      <c r="FFJ31" s="806"/>
      <c r="FFK31" s="806"/>
      <c r="FFL31" s="806"/>
      <c r="FFM31" s="806"/>
      <c r="FFN31" s="806"/>
      <c r="FFO31" s="806"/>
      <c r="FFP31" s="806"/>
      <c r="FFQ31" s="806"/>
      <c r="FFR31" s="806"/>
      <c r="FFS31" s="806"/>
      <c r="FFT31" s="806"/>
      <c r="FFU31" s="806"/>
      <c r="FFV31" s="806"/>
      <c r="FFW31" s="806"/>
      <c r="FFX31" s="806"/>
      <c r="FFY31" s="806"/>
      <c r="FFZ31" s="806"/>
      <c r="FGA31" s="806"/>
      <c r="FGB31" s="806"/>
      <c r="FGC31" s="806"/>
      <c r="FGD31" s="806"/>
      <c r="FGE31" s="806"/>
      <c r="FGF31" s="806"/>
      <c r="FGG31" s="806"/>
      <c r="FGH31" s="806"/>
      <c r="FGI31" s="806"/>
      <c r="FGJ31" s="806"/>
      <c r="FGK31" s="806"/>
      <c r="FGL31" s="806"/>
      <c r="FGM31" s="806"/>
      <c r="FGN31" s="806"/>
      <c r="FGO31" s="806"/>
      <c r="FGP31" s="806"/>
      <c r="FGQ31" s="806"/>
      <c r="FGR31" s="806"/>
      <c r="FGS31" s="806"/>
      <c r="FGT31" s="806"/>
      <c r="FGU31" s="806"/>
      <c r="FGV31" s="806"/>
      <c r="FGW31" s="806"/>
      <c r="FGX31" s="806"/>
      <c r="FGY31" s="806"/>
      <c r="FGZ31" s="806"/>
      <c r="FHA31" s="806"/>
      <c r="FHB31" s="806"/>
      <c r="FHC31" s="806"/>
      <c r="FHD31" s="806"/>
      <c r="FHE31" s="806"/>
      <c r="FHF31" s="806"/>
      <c r="FHG31" s="806"/>
      <c r="FHH31" s="806"/>
      <c r="FHI31" s="806"/>
      <c r="FHJ31" s="806"/>
      <c r="FHK31" s="806"/>
      <c r="FHL31" s="806"/>
      <c r="FHM31" s="806"/>
      <c r="FHN31" s="806"/>
      <c r="FHO31" s="806"/>
      <c r="FHP31" s="806"/>
      <c r="FHQ31" s="806"/>
      <c r="FHR31" s="806"/>
      <c r="FHS31" s="806"/>
      <c r="FHT31" s="806"/>
      <c r="FHU31" s="806"/>
      <c r="FHV31" s="806"/>
      <c r="FHW31" s="806"/>
      <c r="FHX31" s="806"/>
      <c r="FHY31" s="806"/>
      <c r="FHZ31" s="806"/>
      <c r="FIA31" s="806"/>
      <c r="FIB31" s="806"/>
      <c r="FIC31" s="806"/>
      <c r="FID31" s="806"/>
      <c r="FIE31" s="806"/>
      <c r="FIF31" s="806"/>
      <c r="FIG31" s="806"/>
      <c r="FIH31" s="806"/>
      <c r="FII31" s="806"/>
      <c r="FIJ31" s="806"/>
      <c r="FIK31" s="806"/>
      <c r="FIL31" s="806"/>
      <c r="FIM31" s="806"/>
      <c r="FIN31" s="806"/>
      <c r="FIO31" s="806"/>
      <c r="FIP31" s="806"/>
      <c r="FIQ31" s="806"/>
      <c r="FIR31" s="806"/>
      <c r="FIS31" s="806"/>
      <c r="FIT31" s="806"/>
      <c r="FIU31" s="806"/>
      <c r="FIV31" s="806"/>
      <c r="FIW31" s="806"/>
      <c r="FIX31" s="806"/>
      <c r="FIY31" s="806"/>
      <c r="FIZ31" s="806"/>
      <c r="FJA31" s="806"/>
      <c r="FJB31" s="806"/>
      <c r="FJC31" s="806"/>
      <c r="FJD31" s="806"/>
      <c r="FJE31" s="806"/>
      <c r="FJF31" s="806"/>
      <c r="FJG31" s="806"/>
      <c r="FJH31" s="806"/>
      <c r="FJI31" s="806"/>
      <c r="FJJ31" s="806"/>
      <c r="FJK31" s="806"/>
      <c r="FJL31" s="806"/>
      <c r="FJM31" s="806"/>
      <c r="FJN31" s="806"/>
      <c r="FJO31" s="806"/>
      <c r="FJP31" s="806"/>
      <c r="FJQ31" s="806"/>
      <c r="FJR31" s="806"/>
      <c r="FJS31" s="806"/>
      <c r="FJT31" s="806"/>
      <c r="FJU31" s="806"/>
      <c r="FJV31" s="806"/>
      <c r="FJW31" s="806"/>
      <c r="FJX31" s="806"/>
      <c r="FJY31" s="806"/>
      <c r="FJZ31" s="806"/>
      <c r="FKA31" s="806"/>
      <c r="FKB31" s="806"/>
      <c r="FKC31" s="806"/>
      <c r="FKD31" s="806"/>
      <c r="FKE31" s="806"/>
      <c r="FKF31" s="806"/>
      <c r="FKG31" s="806"/>
      <c r="FKH31" s="806"/>
      <c r="FKI31" s="806"/>
      <c r="FKJ31" s="806"/>
      <c r="FKK31" s="806"/>
      <c r="FKL31" s="806"/>
      <c r="FKM31" s="806"/>
      <c r="FKN31" s="806"/>
      <c r="FKO31" s="806"/>
      <c r="FKP31" s="806"/>
      <c r="FKQ31" s="806"/>
      <c r="FKR31" s="806"/>
      <c r="FKS31" s="806"/>
      <c r="FKT31" s="806"/>
      <c r="FKU31" s="806"/>
      <c r="FKV31" s="806"/>
      <c r="FKW31" s="806"/>
      <c r="FKX31" s="806"/>
      <c r="FKY31" s="806"/>
      <c r="FKZ31" s="806"/>
      <c r="FLA31" s="806"/>
      <c r="FLB31" s="806"/>
      <c r="FLC31" s="806"/>
      <c r="FLD31" s="806"/>
      <c r="FLE31" s="806"/>
      <c r="FLF31" s="806"/>
      <c r="FLG31" s="806"/>
      <c r="FLH31" s="806"/>
      <c r="FLI31" s="806"/>
      <c r="FLJ31" s="806"/>
      <c r="FLK31" s="806"/>
      <c r="FLL31" s="806"/>
      <c r="FLM31" s="806"/>
      <c r="FLN31" s="806"/>
      <c r="FLO31" s="806"/>
      <c r="FLP31" s="806"/>
      <c r="FLQ31" s="806"/>
      <c r="FLR31" s="806"/>
      <c r="FLS31" s="806"/>
      <c r="FLT31" s="806"/>
      <c r="FLU31" s="806"/>
      <c r="FLV31" s="806"/>
      <c r="FLW31" s="806"/>
      <c r="FLX31" s="806"/>
      <c r="FLY31" s="806"/>
      <c r="FLZ31" s="806"/>
      <c r="FMA31" s="806"/>
      <c r="FMB31" s="806"/>
      <c r="FMC31" s="806"/>
      <c r="FMD31" s="806"/>
      <c r="FME31" s="806"/>
      <c r="FMF31" s="806"/>
      <c r="FMG31" s="806"/>
      <c r="FMH31" s="806"/>
      <c r="FMI31" s="806"/>
      <c r="FMJ31" s="806"/>
      <c r="FMK31" s="806"/>
      <c r="FML31" s="806"/>
      <c r="FMM31" s="806"/>
      <c r="FMN31" s="806"/>
      <c r="FMO31" s="806"/>
      <c r="FMP31" s="806"/>
      <c r="FMQ31" s="806"/>
      <c r="FMR31" s="806"/>
      <c r="FMS31" s="806"/>
      <c r="FMT31" s="806"/>
      <c r="FMU31" s="806"/>
      <c r="FMV31" s="806"/>
      <c r="FMW31" s="806"/>
      <c r="FMX31" s="806"/>
      <c r="FMY31" s="806"/>
      <c r="FMZ31" s="806"/>
      <c r="FNA31" s="806"/>
      <c r="FNB31" s="806"/>
      <c r="FNC31" s="806"/>
      <c r="FND31" s="806"/>
      <c r="FNE31" s="806"/>
      <c r="FNF31" s="806"/>
      <c r="FNG31" s="806"/>
      <c r="FNH31" s="806"/>
      <c r="FNI31" s="806"/>
      <c r="FNJ31" s="806"/>
      <c r="FNK31" s="806"/>
      <c r="FNL31" s="806"/>
      <c r="FNM31" s="806"/>
      <c r="FNN31" s="806"/>
      <c r="FNO31" s="806"/>
      <c r="FNP31" s="806"/>
      <c r="FNQ31" s="806"/>
      <c r="FNR31" s="806"/>
      <c r="FNS31" s="806"/>
      <c r="FNT31" s="806"/>
      <c r="FNU31" s="806"/>
      <c r="FNV31" s="806"/>
      <c r="FNW31" s="806"/>
      <c r="FNX31" s="806"/>
      <c r="FNY31" s="806"/>
      <c r="FNZ31" s="806"/>
      <c r="FOA31" s="806"/>
      <c r="FOB31" s="806"/>
      <c r="FOC31" s="806"/>
      <c r="FOD31" s="806"/>
      <c r="FOE31" s="806"/>
      <c r="FOF31" s="806"/>
      <c r="FOG31" s="806"/>
      <c r="FOH31" s="806"/>
      <c r="FOI31" s="806"/>
      <c r="FOJ31" s="806"/>
      <c r="FOK31" s="806"/>
      <c r="FOL31" s="806"/>
      <c r="FOM31" s="806"/>
      <c r="FON31" s="806"/>
      <c r="FOO31" s="806"/>
      <c r="FOP31" s="806"/>
      <c r="FOQ31" s="806"/>
      <c r="FOR31" s="806"/>
      <c r="FOS31" s="806"/>
      <c r="FOT31" s="806"/>
      <c r="FOU31" s="806"/>
      <c r="FOV31" s="806"/>
      <c r="FOW31" s="806"/>
      <c r="FOX31" s="806"/>
      <c r="FOY31" s="806"/>
      <c r="FOZ31" s="806"/>
      <c r="FPA31" s="806"/>
      <c r="FPB31" s="806"/>
      <c r="FPC31" s="806"/>
      <c r="FPD31" s="806"/>
      <c r="FPE31" s="806"/>
      <c r="FPF31" s="806"/>
      <c r="FPG31" s="806"/>
      <c r="FPH31" s="806"/>
      <c r="FPI31" s="806"/>
      <c r="FPJ31" s="806"/>
      <c r="FPK31" s="806"/>
      <c r="FPL31" s="806"/>
      <c r="FPM31" s="806"/>
      <c r="FPN31" s="806"/>
      <c r="FPO31" s="806"/>
      <c r="FPP31" s="806"/>
      <c r="FPQ31" s="806"/>
      <c r="FPR31" s="806"/>
      <c r="FPS31" s="806"/>
      <c r="FPT31" s="806"/>
      <c r="FPU31" s="806"/>
      <c r="FPV31" s="806"/>
      <c r="FPW31" s="806"/>
      <c r="FPX31" s="806"/>
      <c r="FPY31" s="806"/>
      <c r="FPZ31" s="806"/>
      <c r="FQA31" s="806"/>
      <c r="FQB31" s="806"/>
      <c r="FQC31" s="806"/>
      <c r="FQD31" s="806"/>
      <c r="FQE31" s="806"/>
      <c r="FQF31" s="806"/>
      <c r="FQG31" s="806"/>
      <c r="FQH31" s="806"/>
      <c r="FQI31" s="806"/>
      <c r="FQJ31" s="806"/>
      <c r="FQK31" s="806"/>
      <c r="FQL31" s="806"/>
      <c r="FQM31" s="806"/>
      <c r="FQN31" s="806"/>
      <c r="FQO31" s="806"/>
      <c r="FQP31" s="806"/>
      <c r="FQQ31" s="806"/>
      <c r="FQR31" s="806"/>
      <c r="FQS31" s="806"/>
      <c r="FQT31" s="806"/>
      <c r="FQU31" s="806"/>
      <c r="FQV31" s="806"/>
      <c r="FQW31" s="806"/>
      <c r="FQX31" s="806"/>
      <c r="FQY31" s="806"/>
      <c r="FQZ31" s="806"/>
      <c r="FRA31" s="806"/>
      <c r="FRB31" s="806"/>
      <c r="FRC31" s="806"/>
      <c r="FRD31" s="806"/>
      <c r="FRE31" s="806"/>
      <c r="FRF31" s="806"/>
      <c r="FRG31" s="806"/>
      <c r="FRH31" s="806"/>
      <c r="FRI31" s="806"/>
      <c r="FRJ31" s="806"/>
      <c r="FRK31" s="806"/>
      <c r="FRL31" s="806"/>
      <c r="FRM31" s="806"/>
      <c r="FRN31" s="806"/>
      <c r="FRO31" s="806"/>
      <c r="FRP31" s="806"/>
      <c r="FRQ31" s="806"/>
      <c r="FRR31" s="806"/>
      <c r="FRS31" s="806"/>
      <c r="FRT31" s="806"/>
      <c r="FRU31" s="806"/>
      <c r="FRV31" s="806"/>
      <c r="FRW31" s="806"/>
      <c r="FRX31" s="806"/>
      <c r="FRY31" s="806"/>
      <c r="FRZ31" s="806"/>
      <c r="FSA31" s="806"/>
      <c r="FSB31" s="806"/>
      <c r="FSC31" s="806"/>
      <c r="FSD31" s="806"/>
      <c r="FSE31" s="806"/>
      <c r="FSF31" s="806"/>
      <c r="FSG31" s="806"/>
      <c r="FSH31" s="806"/>
      <c r="FSI31" s="806"/>
      <c r="FSJ31" s="806"/>
      <c r="FSK31" s="806"/>
      <c r="FSL31" s="806"/>
      <c r="FSM31" s="806"/>
      <c r="FSN31" s="806"/>
      <c r="FSO31" s="806"/>
      <c r="FSP31" s="806"/>
      <c r="FSQ31" s="806"/>
      <c r="FSR31" s="806"/>
      <c r="FSS31" s="806"/>
      <c r="FST31" s="806"/>
      <c r="FSU31" s="806"/>
      <c r="FSV31" s="806"/>
      <c r="FSW31" s="806"/>
      <c r="FSX31" s="806"/>
      <c r="FSY31" s="806"/>
      <c r="FSZ31" s="806"/>
      <c r="FTA31" s="806"/>
      <c r="FTB31" s="806"/>
      <c r="FTC31" s="806"/>
      <c r="FTD31" s="806"/>
      <c r="FTE31" s="806"/>
      <c r="FTF31" s="806"/>
      <c r="FTG31" s="806"/>
      <c r="FTH31" s="806"/>
      <c r="FTI31" s="806"/>
      <c r="FTJ31" s="806"/>
      <c r="FTK31" s="806"/>
      <c r="FTL31" s="806"/>
      <c r="FTM31" s="806"/>
      <c r="FTN31" s="806"/>
      <c r="FTO31" s="806"/>
      <c r="FTP31" s="806"/>
      <c r="FTQ31" s="806"/>
      <c r="FTR31" s="806"/>
      <c r="FTS31" s="806"/>
      <c r="FTT31" s="806"/>
      <c r="FTU31" s="806"/>
      <c r="FTV31" s="806"/>
      <c r="FTW31" s="806"/>
      <c r="FTX31" s="806"/>
      <c r="FTY31" s="806"/>
      <c r="FTZ31" s="806"/>
      <c r="FUA31" s="806"/>
      <c r="FUB31" s="806"/>
      <c r="FUC31" s="806"/>
      <c r="FUD31" s="806"/>
      <c r="FUE31" s="806"/>
      <c r="FUF31" s="806"/>
      <c r="FUG31" s="806"/>
      <c r="FUH31" s="806"/>
      <c r="FUI31" s="806"/>
      <c r="FUJ31" s="806"/>
      <c r="FUK31" s="806"/>
      <c r="FUL31" s="806"/>
      <c r="FUM31" s="806"/>
      <c r="FUN31" s="806"/>
      <c r="FUO31" s="806"/>
      <c r="FUP31" s="806"/>
      <c r="FUQ31" s="806"/>
      <c r="FUR31" s="806"/>
      <c r="FUS31" s="806"/>
      <c r="FUT31" s="806"/>
      <c r="FUU31" s="806"/>
      <c r="FUV31" s="806"/>
      <c r="FUW31" s="806"/>
      <c r="FUX31" s="806"/>
      <c r="FUY31" s="806"/>
      <c r="FUZ31" s="806"/>
      <c r="FVA31" s="806"/>
      <c r="FVB31" s="806"/>
      <c r="FVC31" s="806"/>
      <c r="FVD31" s="806"/>
      <c r="FVE31" s="806"/>
      <c r="FVF31" s="806"/>
      <c r="FVG31" s="806"/>
      <c r="FVH31" s="806"/>
      <c r="FVI31" s="806"/>
      <c r="FVJ31" s="806"/>
      <c r="FVK31" s="806"/>
      <c r="FVL31" s="806"/>
      <c r="FVM31" s="806"/>
      <c r="FVN31" s="806"/>
      <c r="FVO31" s="806"/>
      <c r="FVP31" s="806"/>
      <c r="FVQ31" s="806"/>
      <c r="FVR31" s="806"/>
      <c r="FVS31" s="806"/>
      <c r="FVT31" s="806"/>
      <c r="FVU31" s="806"/>
      <c r="FVV31" s="806"/>
      <c r="FVW31" s="806"/>
      <c r="FVX31" s="806"/>
      <c r="FVY31" s="806"/>
      <c r="FVZ31" s="806"/>
      <c r="FWA31" s="806"/>
      <c r="FWB31" s="806"/>
      <c r="FWC31" s="806"/>
      <c r="FWD31" s="806"/>
      <c r="FWE31" s="806"/>
      <c r="FWF31" s="806"/>
      <c r="FWG31" s="806"/>
      <c r="FWH31" s="806"/>
      <c r="FWI31" s="806"/>
      <c r="FWJ31" s="806"/>
      <c r="FWK31" s="806"/>
      <c r="FWL31" s="806"/>
      <c r="FWM31" s="806"/>
      <c r="FWN31" s="806"/>
      <c r="FWO31" s="806"/>
      <c r="FWP31" s="806"/>
      <c r="FWQ31" s="806"/>
      <c r="FWR31" s="806"/>
      <c r="FWS31" s="806"/>
      <c r="FWT31" s="806"/>
      <c r="FWU31" s="806"/>
      <c r="FWV31" s="806"/>
      <c r="FWW31" s="806"/>
      <c r="FWX31" s="806"/>
      <c r="FWY31" s="806"/>
      <c r="FWZ31" s="806"/>
      <c r="FXA31" s="806"/>
      <c r="FXB31" s="806"/>
      <c r="FXC31" s="806"/>
      <c r="FXD31" s="806"/>
      <c r="FXE31" s="806"/>
      <c r="FXF31" s="806"/>
      <c r="FXG31" s="806"/>
      <c r="FXH31" s="806"/>
      <c r="FXI31" s="806"/>
      <c r="FXJ31" s="806"/>
      <c r="FXK31" s="806"/>
      <c r="FXL31" s="806"/>
      <c r="FXM31" s="806"/>
      <c r="FXN31" s="806"/>
      <c r="FXO31" s="806"/>
      <c r="FXP31" s="806"/>
      <c r="FXQ31" s="806"/>
      <c r="FXR31" s="806"/>
      <c r="FXS31" s="806"/>
      <c r="FXT31" s="806"/>
      <c r="FXU31" s="806"/>
      <c r="FXV31" s="806"/>
      <c r="FXW31" s="806"/>
      <c r="FXX31" s="806"/>
      <c r="FXY31" s="806"/>
      <c r="FXZ31" s="806"/>
      <c r="FYA31" s="806"/>
      <c r="FYB31" s="806"/>
      <c r="FYC31" s="806"/>
      <c r="FYD31" s="806"/>
      <c r="FYE31" s="806"/>
      <c r="FYF31" s="806"/>
      <c r="FYG31" s="806"/>
      <c r="FYH31" s="806"/>
      <c r="FYI31" s="806"/>
      <c r="FYJ31" s="806"/>
      <c r="FYK31" s="806"/>
      <c r="FYL31" s="806"/>
      <c r="FYM31" s="806"/>
      <c r="FYN31" s="806"/>
      <c r="FYO31" s="806"/>
      <c r="FYP31" s="806"/>
      <c r="FYQ31" s="806"/>
      <c r="FYR31" s="806"/>
      <c r="FYS31" s="806"/>
      <c r="FYT31" s="806"/>
      <c r="FYU31" s="806"/>
      <c r="FYV31" s="806"/>
      <c r="FYW31" s="806"/>
      <c r="FYX31" s="806"/>
      <c r="FYY31" s="806"/>
      <c r="FYZ31" s="806"/>
      <c r="FZA31" s="806"/>
      <c r="FZB31" s="806"/>
      <c r="FZC31" s="806"/>
      <c r="FZD31" s="806"/>
      <c r="FZE31" s="806"/>
      <c r="FZF31" s="806"/>
      <c r="FZG31" s="806"/>
      <c r="FZH31" s="806"/>
      <c r="FZI31" s="806"/>
      <c r="FZJ31" s="806"/>
      <c r="FZK31" s="806"/>
      <c r="FZL31" s="806"/>
      <c r="FZM31" s="806"/>
      <c r="FZN31" s="806"/>
      <c r="FZO31" s="806"/>
      <c r="FZP31" s="806"/>
      <c r="FZQ31" s="806"/>
      <c r="FZR31" s="806"/>
      <c r="FZS31" s="806"/>
      <c r="FZT31" s="806"/>
      <c r="FZU31" s="806"/>
      <c r="FZV31" s="806"/>
      <c r="FZW31" s="806"/>
      <c r="FZX31" s="806"/>
      <c r="FZY31" s="806"/>
      <c r="FZZ31" s="806"/>
      <c r="GAA31" s="806"/>
      <c r="GAB31" s="806"/>
      <c r="GAC31" s="806"/>
      <c r="GAD31" s="806"/>
      <c r="GAE31" s="806"/>
      <c r="GAF31" s="806"/>
      <c r="GAG31" s="806"/>
      <c r="GAH31" s="806"/>
      <c r="GAI31" s="806"/>
      <c r="GAJ31" s="806"/>
      <c r="GAK31" s="806"/>
      <c r="GAL31" s="806"/>
      <c r="GAM31" s="806"/>
      <c r="GAN31" s="806"/>
      <c r="GAO31" s="806"/>
      <c r="GAP31" s="806"/>
      <c r="GAQ31" s="806"/>
      <c r="GAR31" s="806"/>
      <c r="GAS31" s="806"/>
      <c r="GAT31" s="806"/>
      <c r="GAU31" s="806"/>
      <c r="GAV31" s="806"/>
      <c r="GAW31" s="806"/>
      <c r="GAX31" s="806"/>
      <c r="GAY31" s="806"/>
      <c r="GAZ31" s="806"/>
      <c r="GBA31" s="806"/>
      <c r="GBB31" s="806"/>
      <c r="GBC31" s="806"/>
      <c r="GBD31" s="806"/>
      <c r="GBE31" s="806"/>
      <c r="GBF31" s="806"/>
      <c r="GBG31" s="806"/>
      <c r="GBH31" s="806"/>
      <c r="GBI31" s="806"/>
      <c r="GBJ31" s="806"/>
      <c r="GBK31" s="806"/>
      <c r="GBL31" s="806"/>
      <c r="GBM31" s="806"/>
      <c r="GBN31" s="806"/>
      <c r="GBO31" s="806"/>
      <c r="GBP31" s="806"/>
      <c r="GBQ31" s="806"/>
      <c r="GBR31" s="806"/>
      <c r="GBS31" s="806"/>
      <c r="GBT31" s="806"/>
      <c r="GBU31" s="806"/>
      <c r="GBV31" s="806"/>
      <c r="GBW31" s="806"/>
      <c r="GBX31" s="806"/>
      <c r="GBY31" s="806"/>
      <c r="GBZ31" s="806"/>
      <c r="GCA31" s="806"/>
      <c r="GCB31" s="806"/>
      <c r="GCC31" s="806"/>
      <c r="GCD31" s="806"/>
      <c r="GCE31" s="806"/>
      <c r="GCF31" s="806"/>
      <c r="GCG31" s="806"/>
      <c r="GCH31" s="806"/>
      <c r="GCI31" s="806"/>
      <c r="GCJ31" s="806"/>
      <c r="GCK31" s="806"/>
      <c r="GCL31" s="806"/>
      <c r="GCM31" s="806"/>
      <c r="GCN31" s="806"/>
      <c r="GCO31" s="806"/>
      <c r="GCP31" s="806"/>
      <c r="GCQ31" s="806"/>
      <c r="GCR31" s="806"/>
      <c r="GCS31" s="806"/>
      <c r="GCT31" s="806"/>
      <c r="GCU31" s="806"/>
      <c r="GCV31" s="806"/>
      <c r="GCW31" s="806"/>
      <c r="GCX31" s="806"/>
      <c r="GCY31" s="806"/>
      <c r="GCZ31" s="806"/>
      <c r="GDA31" s="806"/>
      <c r="GDB31" s="806"/>
      <c r="GDC31" s="806"/>
      <c r="GDD31" s="806"/>
      <c r="GDE31" s="806"/>
      <c r="GDF31" s="806"/>
      <c r="GDG31" s="806"/>
      <c r="GDH31" s="806"/>
      <c r="GDI31" s="806"/>
      <c r="GDJ31" s="806"/>
      <c r="GDK31" s="806"/>
      <c r="GDL31" s="806"/>
      <c r="GDM31" s="806"/>
      <c r="GDN31" s="806"/>
      <c r="GDO31" s="806"/>
      <c r="GDP31" s="806"/>
      <c r="GDQ31" s="806"/>
      <c r="GDR31" s="806"/>
      <c r="GDS31" s="806"/>
      <c r="GDT31" s="806"/>
      <c r="GDU31" s="806"/>
      <c r="GDV31" s="806"/>
      <c r="GDW31" s="806"/>
      <c r="GDX31" s="806"/>
      <c r="GDY31" s="806"/>
      <c r="GDZ31" s="806"/>
      <c r="GEA31" s="806"/>
      <c r="GEB31" s="806"/>
      <c r="GEC31" s="806"/>
      <c r="GED31" s="806"/>
      <c r="GEE31" s="806"/>
      <c r="GEF31" s="806"/>
      <c r="GEG31" s="806"/>
      <c r="GEH31" s="806"/>
      <c r="GEI31" s="806"/>
      <c r="GEJ31" s="806"/>
      <c r="GEK31" s="806"/>
      <c r="GEL31" s="806"/>
      <c r="GEM31" s="806"/>
      <c r="GEN31" s="806"/>
      <c r="GEO31" s="806"/>
      <c r="GEP31" s="806"/>
      <c r="GEQ31" s="806"/>
      <c r="GER31" s="806"/>
      <c r="GES31" s="806"/>
      <c r="GET31" s="806"/>
      <c r="GEU31" s="806"/>
      <c r="GEV31" s="806"/>
      <c r="GEW31" s="806"/>
      <c r="GEX31" s="806"/>
      <c r="GEY31" s="806"/>
      <c r="GEZ31" s="806"/>
      <c r="GFA31" s="806"/>
      <c r="GFB31" s="806"/>
      <c r="GFC31" s="806"/>
      <c r="GFD31" s="806"/>
      <c r="GFE31" s="806"/>
      <c r="GFF31" s="806"/>
      <c r="GFG31" s="806"/>
      <c r="GFH31" s="806"/>
      <c r="GFI31" s="806"/>
      <c r="GFJ31" s="806"/>
      <c r="GFK31" s="806"/>
      <c r="GFL31" s="806"/>
      <c r="GFM31" s="806"/>
      <c r="GFN31" s="806"/>
      <c r="GFO31" s="806"/>
      <c r="GFP31" s="806"/>
      <c r="GFQ31" s="806"/>
      <c r="GFR31" s="806"/>
      <c r="GFS31" s="806"/>
      <c r="GFT31" s="806"/>
      <c r="GFU31" s="806"/>
      <c r="GFV31" s="806"/>
      <c r="GFW31" s="806"/>
      <c r="GFX31" s="806"/>
      <c r="GFY31" s="806"/>
      <c r="GFZ31" s="806"/>
      <c r="GGA31" s="806"/>
      <c r="GGB31" s="806"/>
      <c r="GGC31" s="806"/>
      <c r="GGD31" s="806"/>
      <c r="GGE31" s="806"/>
      <c r="GGF31" s="806"/>
      <c r="GGG31" s="806"/>
      <c r="GGH31" s="806"/>
      <c r="GGI31" s="806"/>
      <c r="GGJ31" s="806"/>
      <c r="GGK31" s="806"/>
      <c r="GGL31" s="806"/>
      <c r="GGM31" s="806"/>
      <c r="GGN31" s="806"/>
      <c r="GGO31" s="806"/>
      <c r="GGP31" s="806"/>
      <c r="GGQ31" s="806"/>
      <c r="GGR31" s="806"/>
      <c r="GGS31" s="806"/>
      <c r="GGT31" s="806"/>
      <c r="GGU31" s="806"/>
      <c r="GGV31" s="806"/>
      <c r="GGW31" s="806"/>
      <c r="GGX31" s="806"/>
      <c r="GGY31" s="806"/>
      <c r="GGZ31" s="806"/>
      <c r="GHA31" s="806"/>
      <c r="GHB31" s="806"/>
      <c r="GHC31" s="806"/>
      <c r="GHD31" s="806"/>
      <c r="GHE31" s="806"/>
      <c r="GHF31" s="806"/>
      <c r="GHG31" s="806"/>
      <c r="GHH31" s="806"/>
      <c r="GHI31" s="806"/>
      <c r="GHJ31" s="806"/>
      <c r="GHK31" s="806"/>
      <c r="GHL31" s="806"/>
      <c r="GHM31" s="806"/>
      <c r="GHN31" s="806"/>
      <c r="GHO31" s="806"/>
      <c r="GHP31" s="806"/>
      <c r="GHQ31" s="806"/>
      <c r="GHR31" s="806"/>
      <c r="GHS31" s="806"/>
      <c r="GHT31" s="806"/>
      <c r="GHU31" s="806"/>
      <c r="GHV31" s="806"/>
      <c r="GHW31" s="806"/>
      <c r="GHX31" s="806"/>
      <c r="GHY31" s="806"/>
      <c r="GHZ31" s="806"/>
      <c r="GIA31" s="806"/>
      <c r="GIB31" s="806"/>
      <c r="GIC31" s="806"/>
      <c r="GID31" s="806"/>
      <c r="GIE31" s="806"/>
      <c r="GIF31" s="806"/>
      <c r="GIG31" s="806"/>
      <c r="GIH31" s="806"/>
      <c r="GII31" s="806"/>
      <c r="GIJ31" s="806"/>
      <c r="GIK31" s="806"/>
      <c r="GIL31" s="806"/>
      <c r="GIM31" s="806"/>
      <c r="GIN31" s="806"/>
      <c r="GIO31" s="806"/>
      <c r="GIP31" s="806"/>
      <c r="GIQ31" s="806"/>
      <c r="GIR31" s="806"/>
      <c r="GIS31" s="806"/>
      <c r="GIT31" s="806"/>
      <c r="GIU31" s="806"/>
      <c r="GIV31" s="806"/>
      <c r="GIW31" s="806"/>
      <c r="GIX31" s="806"/>
      <c r="GIY31" s="806"/>
      <c r="GIZ31" s="806"/>
      <c r="GJA31" s="806"/>
      <c r="GJB31" s="806"/>
      <c r="GJC31" s="806"/>
      <c r="GJD31" s="806"/>
      <c r="GJE31" s="806"/>
      <c r="GJF31" s="806"/>
      <c r="GJG31" s="806"/>
      <c r="GJH31" s="806"/>
      <c r="GJI31" s="806"/>
      <c r="GJJ31" s="806"/>
      <c r="GJK31" s="806"/>
      <c r="GJL31" s="806"/>
      <c r="GJM31" s="806"/>
      <c r="GJN31" s="806"/>
      <c r="GJO31" s="806"/>
      <c r="GJP31" s="806"/>
      <c r="GJQ31" s="806"/>
      <c r="GJR31" s="806"/>
      <c r="GJS31" s="806"/>
      <c r="GJT31" s="806"/>
      <c r="GJU31" s="806"/>
      <c r="GJV31" s="806"/>
      <c r="GJW31" s="806"/>
      <c r="GJX31" s="806"/>
      <c r="GJY31" s="806"/>
      <c r="GJZ31" s="806"/>
      <c r="GKA31" s="806"/>
      <c r="GKB31" s="806"/>
      <c r="GKC31" s="806"/>
      <c r="GKD31" s="806"/>
      <c r="GKE31" s="806"/>
      <c r="GKF31" s="806"/>
      <c r="GKG31" s="806"/>
      <c r="GKH31" s="806"/>
      <c r="GKI31" s="806"/>
      <c r="GKJ31" s="806"/>
      <c r="GKK31" s="806"/>
      <c r="GKL31" s="806"/>
      <c r="GKM31" s="806"/>
      <c r="GKN31" s="806"/>
      <c r="GKO31" s="806"/>
      <c r="GKP31" s="806"/>
      <c r="GKQ31" s="806"/>
      <c r="GKR31" s="806"/>
      <c r="GKS31" s="806"/>
      <c r="GKT31" s="806"/>
      <c r="GKU31" s="806"/>
      <c r="GKV31" s="806"/>
      <c r="GKW31" s="806"/>
      <c r="GKX31" s="806"/>
      <c r="GKY31" s="806"/>
      <c r="GKZ31" s="806"/>
      <c r="GLA31" s="806"/>
      <c r="GLB31" s="806"/>
      <c r="GLC31" s="806"/>
      <c r="GLD31" s="806"/>
      <c r="GLE31" s="806"/>
      <c r="GLF31" s="806"/>
      <c r="GLG31" s="806"/>
      <c r="GLH31" s="806"/>
      <c r="GLI31" s="806"/>
      <c r="GLJ31" s="806"/>
      <c r="GLK31" s="806"/>
      <c r="GLL31" s="806"/>
      <c r="GLM31" s="806"/>
      <c r="GLN31" s="806"/>
      <c r="GLO31" s="806"/>
      <c r="GLP31" s="806"/>
      <c r="GLQ31" s="806"/>
      <c r="GLR31" s="806"/>
      <c r="GLS31" s="806"/>
      <c r="GLT31" s="806"/>
      <c r="GLU31" s="806"/>
      <c r="GLV31" s="806"/>
      <c r="GLW31" s="806"/>
      <c r="GLX31" s="806"/>
      <c r="GLY31" s="806"/>
      <c r="GLZ31" s="806"/>
      <c r="GMA31" s="806"/>
      <c r="GMB31" s="806"/>
      <c r="GMC31" s="806"/>
      <c r="GMD31" s="806"/>
      <c r="GME31" s="806"/>
      <c r="GMF31" s="806"/>
      <c r="GMG31" s="806"/>
      <c r="GMH31" s="806"/>
      <c r="GMI31" s="806"/>
      <c r="GMJ31" s="806"/>
      <c r="GMK31" s="806"/>
      <c r="GML31" s="806"/>
      <c r="GMM31" s="806"/>
      <c r="GMN31" s="806"/>
      <c r="GMO31" s="806"/>
      <c r="GMP31" s="806"/>
      <c r="GMQ31" s="806"/>
      <c r="GMR31" s="806"/>
      <c r="GMS31" s="806"/>
      <c r="GMT31" s="806"/>
      <c r="GMU31" s="806"/>
      <c r="GMV31" s="806"/>
      <c r="GMW31" s="806"/>
      <c r="GMX31" s="806"/>
      <c r="GMY31" s="806"/>
      <c r="GMZ31" s="806"/>
      <c r="GNA31" s="806"/>
      <c r="GNB31" s="806"/>
      <c r="GNC31" s="806"/>
      <c r="GND31" s="806"/>
      <c r="GNE31" s="806"/>
      <c r="GNF31" s="806"/>
      <c r="GNG31" s="806"/>
      <c r="GNH31" s="806"/>
      <c r="GNI31" s="806"/>
      <c r="GNJ31" s="806"/>
      <c r="GNK31" s="806"/>
      <c r="GNL31" s="806"/>
      <c r="GNM31" s="806"/>
      <c r="GNN31" s="806"/>
      <c r="GNO31" s="806"/>
      <c r="GNP31" s="806"/>
      <c r="GNQ31" s="806"/>
      <c r="GNR31" s="806"/>
      <c r="GNS31" s="806"/>
      <c r="GNT31" s="806"/>
      <c r="GNU31" s="806"/>
      <c r="GNV31" s="806"/>
      <c r="GNW31" s="806"/>
      <c r="GNX31" s="806"/>
      <c r="GNY31" s="806"/>
      <c r="GNZ31" s="806"/>
      <c r="GOA31" s="806"/>
      <c r="GOB31" s="806"/>
      <c r="GOC31" s="806"/>
      <c r="GOD31" s="806"/>
      <c r="GOE31" s="806"/>
      <c r="GOF31" s="806"/>
      <c r="GOG31" s="806"/>
      <c r="GOH31" s="806"/>
      <c r="GOI31" s="806"/>
      <c r="GOJ31" s="806"/>
      <c r="GOK31" s="806"/>
      <c r="GOL31" s="806"/>
      <c r="GOM31" s="806"/>
      <c r="GON31" s="806"/>
      <c r="GOO31" s="806"/>
      <c r="GOP31" s="806"/>
      <c r="GOQ31" s="806"/>
      <c r="GOR31" s="806"/>
      <c r="GOS31" s="806"/>
      <c r="GOT31" s="806"/>
      <c r="GOU31" s="806"/>
      <c r="GOV31" s="806"/>
      <c r="GOW31" s="806"/>
      <c r="GOX31" s="806"/>
      <c r="GOY31" s="806"/>
      <c r="GOZ31" s="806"/>
      <c r="GPA31" s="806"/>
      <c r="GPB31" s="806"/>
      <c r="GPC31" s="806"/>
      <c r="GPD31" s="806"/>
      <c r="GPE31" s="806"/>
      <c r="GPF31" s="806"/>
      <c r="GPG31" s="806"/>
      <c r="GPH31" s="806"/>
      <c r="GPI31" s="806"/>
      <c r="GPJ31" s="806"/>
      <c r="GPK31" s="806"/>
      <c r="GPL31" s="806"/>
      <c r="GPM31" s="806"/>
      <c r="GPN31" s="806"/>
      <c r="GPO31" s="806"/>
      <c r="GPP31" s="806"/>
      <c r="GPQ31" s="806"/>
      <c r="GPR31" s="806"/>
      <c r="GPS31" s="806"/>
      <c r="GPT31" s="806"/>
      <c r="GPU31" s="806"/>
      <c r="GPV31" s="806"/>
      <c r="GPW31" s="806"/>
      <c r="GPX31" s="806"/>
      <c r="GPY31" s="806"/>
      <c r="GPZ31" s="806"/>
      <c r="GQA31" s="806"/>
      <c r="GQB31" s="806"/>
      <c r="GQC31" s="806"/>
      <c r="GQD31" s="806"/>
      <c r="GQE31" s="806"/>
      <c r="GQF31" s="806"/>
      <c r="GQG31" s="806"/>
      <c r="GQH31" s="806"/>
      <c r="GQI31" s="806"/>
      <c r="GQJ31" s="806"/>
      <c r="GQK31" s="806"/>
      <c r="GQL31" s="806"/>
      <c r="GQM31" s="806"/>
      <c r="GQN31" s="806"/>
      <c r="GQO31" s="806"/>
      <c r="GQP31" s="806"/>
      <c r="GQQ31" s="806"/>
      <c r="GQR31" s="806"/>
      <c r="GQS31" s="806"/>
      <c r="GQT31" s="806"/>
      <c r="GQU31" s="806"/>
      <c r="GQV31" s="806"/>
      <c r="GQW31" s="806"/>
      <c r="GQX31" s="806"/>
      <c r="GQY31" s="806"/>
      <c r="GQZ31" s="806"/>
      <c r="GRA31" s="806"/>
      <c r="GRB31" s="806"/>
      <c r="GRC31" s="806"/>
      <c r="GRD31" s="806"/>
      <c r="GRE31" s="806"/>
      <c r="GRF31" s="806"/>
      <c r="GRG31" s="806"/>
      <c r="GRH31" s="806"/>
      <c r="GRI31" s="806"/>
      <c r="GRJ31" s="806"/>
      <c r="GRK31" s="806"/>
      <c r="GRL31" s="806"/>
      <c r="GRM31" s="806"/>
      <c r="GRN31" s="806"/>
      <c r="GRO31" s="806"/>
      <c r="GRP31" s="806"/>
      <c r="GRQ31" s="806"/>
      <c r="GRR31" s="806"/>
      <c r="GRS31" s="806"/>
      <c r="GRT31" s="806"/>
      <c r="GRU31" s="806"/>
      <c r="GRV31" s="806"/>
      <c r="GRW31" s="806"/>
      <c r="GRX31" s="806"/>
      <c r="GRY31" s="806"/>
      <c r="GRZ31" s="806"/>
      <c r="GSA31" s="806"/>
      <c r="GSB31" s="806"/>
      <c r="GSC31" s="806"/>
      <c r="GSD31" s="806"/>
      <c r="GSE31" s="806"/>
      <c r="GSF31" s="806"/>
      <c r="GSG31" s="806"/>
      <c r="GSH31" s="806"/>
      <c r="GSI31" s="806"/>
      <c r="GSJ31" s="806"/>
      <c r="GSK31" s="806"/>
      <c r="GSL31" s="806"/>
      <c r="GSM31" s="806"/>
      <c r="GSN31" s="806"/>
      <c r="GSO31" s="806"/>
      <c r="GSP31" s="806"/>
      <c r="GSQ31" s="806"/>
      <c r="GSR31" s="806"/>
      <c r="GSS31" s="806"/>
      <c r="GST31" s="806"/>
      <c r="GSU31" s="806"/>
      <c r="GSV31" s="806"/>
      <c r="GSW31" s="806"/>
      <c r="GSX31" s="806"/>
      <c r="GSY31" s="806"/>
      <c r="GSZ31" s="806"/>
      <c r="GTA31" s="806"/>
      <c r="GTB31" s="806"/>
      <c r="GTC31" s="806"/>
      <c r="GTD31" s="806"/>
      <c r="GTE31" s="806"/>
      <c r="GTF31" s="806"/>
      <c r="GTG31" s="806"/>
      <c r="GTH31" s="806"/>
      <c r="GTI31" s="806"/>
      <c r="GTJ31" s="806"/>
      <c r="GTK31" s="806"/>
      <c r="GTL31" s="806"/>
      <c r="GTM31" s="806"/>
      <c r="GTN31" s="806"/>
      <c r="GTO31" s="806"/>
      <c r="GTP31" s="806"/>
      <c r="GTQ31" s="806"/>
      <c r="GTR31" s="806"/>
      <c r="GTS31" s="806"/>
      <c r="GTT31" s="806"/>
      <c r="GTU31" s="806"/>
      <c r="GTV31" s="806"/>
      <c r="GTW31" s="806"/>
      <c r="GTX31" s="806"/>
      <c r="GTY31" s="806"/>
      <c r="GTZ31" s="806"/>
      <c r="GUA31" s="806"/>
      <c r="GUB31" s="806"/>
      <c r="GUC31" s="806"/>
      <c r="GUD31" s="806"/>
      <c r="GUE31" s="806"/>
      <c r="GUF31" s="806"/>
      <c r="GUG31" s="806"/>
      <c r="GUH31" s="806"/>
      <c r="GUI31" s="806"/>
      <c r="GUJ31" s="806"/>
      <c r="GUK31" s="806"/>
      <c r="GUL31" s="806"/>
      <c r="GUM31" s="806"/>
      <c r="GUN31" s="806"/>
      <c r="GUO31" s="806"/>
      <c r="GUP31" s="806"/>
      <c r="GUQ31" s="806"/>
      <c r="GUR31" s="806"/>
      <c r="GUS31" s="806"/>
      <c r="GUT31" s="806"/>
      <c r="GUU31" s="806"/>
      <c r="GUV31" s="806"/>
      <c r="GUW31" s="806"/>
      <c r="GUX31" s="806"/>
      <c r="GUY31" s="806"/>
      <c r="GUZ31" s="806"/>
      <c r="GVA31" s="806"/>
      <c r="GVB31" s="806"/>
      <c r="GVC31" s="806"/>
      <c r="GVD31" s="806"/>
      <c r="GVE31" s="806"/>
      <c r="GVF31" s="806"/>
      <c r="GVG31" s="806"/>
      <c r="GVH31" s="806"/>
      <c r="GVI31" s="806"/>
      <c r="GVJ31" s="806"/>
      <c r="GVK31" s="806"/>
      <c r="GVL31" s="806"/>
      <c r="GVM31" s="806"/>
      <c r="GVN31" s="806"/>
      <c r="GVO31" s="806"/>
      <c r="GVP31" s="806"/>
      <c r="GVQ31" s="806"/>
      <c r="GVR31" s="806"/>
      <c r="GVS31" s="806"/>
      <c r="GVT31" s="806"/>
      <c r="GVU31" s="806"/>
      <c r="GVV31" s="806"/>
      <c r="GVW31" s="806"/>
      <c r="GVX31" s="806"/>
      <c r="GVY31" s="806"/>
      <c r="GVZ31" s="806"/>
      <c r="GWA31" s="806"/>
      <c r="GWB31" s="806"/>
      <c r="GWC31" s="806"/>
      <c r="GWD31" s="806"/>
      <c r="GWE31" s="806"/>
      <c r="GWF31" s="806"/>
      <c r="GWG31" s="806"/>
      <c r="GWH31" s="806"/>
      <c r="GWI31" s="806"/>
      <c r="GWJ31" s="806"/>
      <c r="GWK31" s="806"/>
      <c r="GWL31" s="806"/>
      <c r="GWM31" s="806"/>
      <c r="GWN31" s="806"/>
      <c r="GWO31" s="806"/>
      <c r="GWP31" s="806"/>
      <c r="GWQ31" s="806"/>
      <c r="GWR31" s="806"/>
      <c r="GWS31" s="806"/>
      <c r="GWT31" s="806"/>
      <c r="GWU31" s="806"/>
      <c r="GWV31" s="806"/>
      <c r="GWW31" s="806"/>
      <c r="GWX31" s="806"/>
      <c r="GWY31" s="806"/>
      <c r="GWZ31" s="806"/>
      <c r="GXA31" s="806"/>
      <c r="GXB31" s="806"/>
      <c r="GXC31" s="806"/>
      <c r="GXD31" s="806"/>
      <c r="GXE31" s="806"/>
      <c r="GXF31" s="806"/>
      <c r="GXG31" s="806"/>
      <c r="GXH31" s="806"/>
      <c r="GXI31" s="806"/>
      <c r="GXJ31" s="806"/>
      <c r="GXK31" s="806"/>
      <c r="GXL31" s="806"/>
      <c r="GXM31" s="806"/>
      <c r="GXN31" s="806"/>
      <c r="GXO31" s="806"/>
      <c r="GXP31" s="806"/>
      <c r="GXQ31" s="806"/>
      <c r="GXR31" s="806"/>
      <c r="GXS31" s="806"/>
      <c r="GXT31" s="806"/>
      <c r="GXU31" s="806"/>
      <c r="GXV31" s="806"/>
      <c r="GXW31" s="806"/>
      <c r="GXX31" s="806"/>
      <c r="GXY31" s="806"/>
      <c r="GXZ31" s="806"/>
      <c r="GYA31" s="806"/>
      <c r="GYB31" s="806"/>
      <c r="GYC31" s="806"/>
      <c r="GYD31" s="806"/>
      <c r="GYE31" s="806"/>
      <c r="GYF31" s="806"/>
      <c r="GYG31" s="806"/>
      <c r="GYH31" s="806"/>
      <c r="GYI31" s="806"/>
      <c r="GYJ31" s="806"/>
      <c r="GYK31" s="806"/>
      <c r="GYL31" s="806"/>
      <c r="GYM31" s="806"/>
      <c r="GYN31" s="806"/>
      <c r="GYO31" s="806"/>
      <c r="GYP31" s="806"/>
      <c r="GYQ31" s="806"/>
      <c r="GYR31" s="806"/>
      <c r="GYS31" s="806"/>
      <c r="GYT31" s="806"/>
      <c r="GYU31" s="806"/>
      <c r="GYV31" s="806"/>
      <c r="GYW31" s="806"/>
      <c r="GYX31" s="806"/>
      <c r="GYY31" s="806"/>
      <c r="GYZ31" s="806"/>
      <c r="GZA31" s="806"/>
      <c r="GZB31" s="806"/>
      <c r="GZC31" s="806"/>
      <c r="GZD31" s="806"/>
      <c r="GZE31" s="806"/>
      <c r="GZF31" s="806"/>
      <c r="GZG31" s="806"/>
      <c r="GZH31" s="806"/>
      <c r="GZI31" s="806"/>
      <c r="GZJ31" s="806"/>
      <c r="GZK31" s="806"/>
      <c r="GZL31" s="806"/>
      <c r="GZM31" s="806"/>
      <c r="GZN31" s="806"/>
      <c r="GZO31" s="806"/>
      <c r="GZP31" s="806"/>
      <c r="GZQ31" s="806"/>
      <c r="GZR31" s="806"/>
      <c r="GZS31" s="806"/>
      <c r="GZT31" s="806"/>
      <c r="GZU31" s="806"/>
      <c r="GZV31" s="806"/>
      <c r="GZW31" s="806"/>
      <c r="GZX31" s="806"/>
      <c r="GZY31" s="806"/>
      <c r="GZZ31" s="806"/>
      <c r="HAA31" s="806"/>
      <c r="HAB31" s="806"/>
      <c r="HAC31" s="806"/>
      <c r="HAD31" s="806"/>
      <c r="HAE31" s="806"/>
      <c r="HAF31" s="806"/>
      <c r="HAG31" s="806"/>
      <c r="HAH31" s="806"/>
      <c r="HAI31" s="806"/>
      <c r="HAJ31" s="806"/>
      <c r="HAK31" s="806"/>
      <c r="HAL31" s="806"/>
      <c r="HAM31" s="806"/>
      <c r="HAN31" s="806"/>
      <c r="HAO31" s="806"/>
      <c r="HAP31" s="806"/>
      <c r="HAQ31" s="806"/>
      <c r="HAR31" s="806"/>
      <c r="HAS31" s="806"/>
      <c r="HAT31" s="806"/>
      <c r="HAU31" s="806"/>
      <c r="HAV31" s="806"/>
      <c r="HAW31" s="806"/>
      <c r="HAX31" s="806"/>
      <c r="HAY31" s="806"/>
      <c r="HAZ31" s="806"/>
      <c r="HBA31" s="806"/>
      <c r="HBB31" s="806"/>
      <c r="HBC31" s="806"/>
      <c r="HBD31" s="806"/>
      <c r="HBE31" s="806"/>
      <c r="HBF31" s="806"/>
      <c r="HBG31" s="806"/>
      <c r="HBH31" s="806"/>
      <c r="HBI31" s="806"/>
      <c r="HBJ31" s="806"/>
      <c r="HBK31" s="806"/>
      <c r="HBL31" s="806"/>
      <c r="HBM31" s="806"/>
      <c r="HBN31" s="806"/>
      <c r="HBO31" s="806"/>
      <c r="HBP31" s="806"/>
      <c r="HBQ31" s="806"/>
      <c r="HBR31" s="806"/>
      <c r="HBS31" s="806"/>
      <c r="HBT31" s="806"/>
      <c r="HBU31" s="806"/>
      <c r="HBV31" s="806"/>
      <c r="HBW31" s="806"/>
      <c r="HBX31" s="806"/>
      <c r="HBY31" s="806"/>
      <c r="HBZ31" s="806"/>
      <c r="HCA31" s="806"/>
      <c r="HCB31" s="806"/>
      <c r="HCC31" s="806"/>
      <c r="HCD31" s="806"/>
      <c r="HCE31" s="806"/>
      <c r="HCF31" s="806"/>
      <c r="HCG31" s="806"/>
      <c r="HCH31" s="806"/>
      <c r="HCI31" s="806"/>
      <c r="HCJ31" s="806"/>
      <c r="HCK31" s="806"/>
      <c r="HCL31" s="806"/>
      <c r="HCM31" s="806"/>
      <c r="HCN31" s="806"/>
      <c r="HCO31" s="806"/>
      <c r="HCP31" s="806"/>
      <c r="HCQ31" s="806"/>
      <c r="HCR31" s="806"/>
      <c r="HCS31" s="806"/>
      <c r="HCT31" s="806"/>
      <c r="HCU31" s="806"/>
      <c r="HCV31" s="806"/>
      <c r="HCW31" s="806"/>
      <c r="HCX31" s="806"/>
      <c r="HCY31" s="806"/>
      <c r="HCZ31" s="806"/>
      <c r="HDA31" s="806"/>
      <c r="HDB31" s="806"/>
      <c r="HDC31" s="806"/>
      <c r="HDD31" s="806"/>
      <c r="HDE31" s="806"/>
      <c r="HDF31" s="806"/>
      <c r="HDG31" s="806"/>
      <c r="HDH31" s="806"/>
      <c r="HDI31" s="806"/>
      <c r="HDJ31" s="806"/>
      <c r="HDK31" s="806"/>
      <c r="HDL31" s="806"/>
      <c r="HDM31" s="806"/>
      <c r="HDN31" s="806"/>
      <c r="HDO31" s="806"/>
      <c r="HDP31" s="806"/>
      <c r="HDQ31" s="806"/>
      <c r="HDR31" s="806"/>
      <c r="HDS31" s="806"/>
      <c r="HDT31" s="806"/>
      <c r="HDU31" s="806"/>
      <c r="HDV31" s="806"/>
      <c r="HDW31" s="806"/>
      <c r="HDX31" s="806"/>
      <c r="HDY31" s="806"/>
      <c r="HDZ31" s="806"/>
      <c r="HEA31" s="806"/>
      <c r="HEB31" s="806"/>
      <c r="HEC31" s="806"/>
      <c r="HED31" s="806"/>
      <c r="HEE31" s="806"/>
      <c r="HEF31" s="806"/>
      <c r="HEG31" s="806"/>
      <c r="HEH31" s="806"/>
      <c r="HEI31" s="806"/>
      <c r="HEJ31" s="806"/>
      <c r="HEK31" s="806"/>
      <c r="HEL31" s="806"/>
      <c r="HEM31" s="806"/>
      <c r="HEN31" s="806"/>
      <c r="HEO31" s="806"/>
      <c r="HEP31" s="806"/>
      <c r="HEQ31" s="806"/>
      <c r="HER31" s="806"/>
      <c r="HES31" s="806"/>
      <c r="HET31" s="806"/>
      <c r="HEU31" s="806"/>
      <c r="HEV31" s="806"/>
      <c r="HEW31" s="806"/>
      <c r="HEX31" s="806"/>
      <c r="HEY31" s="806"/>
      <c r="HEZ31" s="806"/>
      <c r="HFA31" s="806"/>
      <c r="HFB31" s="806"/>
      <c r="HFC31" s="806"/>
      <c r="HFD31" s="806"/>
      <c r="HFE31" s="806"/>
      <c r="HFF31" s="806"/>
      <c r="HFG31" s="806"/>
      <c r="HFH31" s="806"/>
      <c r="HFI31" s="806"/>
      <c r="HFJ31" s="806"/>
      <c r="HFK31" s="806"/>
      <c r="HFL31" s="806"/>
      <c r="HFM31" s="806"/>
      <c r="HFN31" s="806"/>
      <c r="HFO31" s="806"/>
      <c r="HFP31" s="806"/>
      <c r="HFQ31" s="806"/>
      <c r="HFR31" s="806"/>
      <c r="HFS31" s="806"/>
      <c r="HFT31" s="806"/>
      <c r="HFU31" s="806"/>
      <c r="HFV31" s="806"/>
      <c r="HFW31" s="806"/>
      <c r="HFX31" s="806"/>
      <c r="HFY31" s="806"/>
      <c r="HFZ31" s="806"/>
      <c r="HGA31" s="806"/>
      <c r="HGB31" s="806"/>
      <c r="HGC31" s="806"/>
      <c r="HGD31" s="806"/>
      <c r="HGE31" s="806"/>
      <c r="HGF31" s="806"/>
      <c r="HGG31" s="806"/>
      <c r="HGH31" s="806"/>
      <c r="HGI31" s="806"/>
      <c r="HGJ31" s="806"/>
      <c r="HGK31" s="806"/>
      <c r="HGL31" s="806"/>
      <c r="HGM31" s="806"/>
      <c r="HGN31" s="806"/>
      <c r="HGO31" s="806"/>
      <c r="HGP31" s="806"/>
      <c r="HGQ31" s="806"/>
      <c r="HGR31" s="806"/>
      <c r="HGS31" s="806"/>
      <c r="HGT31" s="806"/>
      <c r="HGU31" s="806"/>
      <c r="HGV31" s="806"/>
      <c r="HGW31" s="806"/>
      <c r="HGX31" s="806"/>
      <c r="HGY31" s="806"/>
      <c r="HGZ31" s="806"/>
      <c r="HHA31" s="806"/>
      <c r="HHB31" s="806"/>
      <c r="HHC31" s="806"/>
      <c r="HHD31" s="806"/>
      <c r="HHE31" s="806"/>
      <c r="HHF31" s="806"/>
      <c r="HHG31" s="806"/>
      <c r="HHH31" s="806"/>
      <c r="HHI31" s="806"/>
      <c r="HHJ31" s="806"/>
      <c r="HHK31" s="806"/>
      <c r="HHL31" s="806"/>
      <c r="HHM31" s="806"/>
      <c r="HHN31" s="806"/>
      <c r="HHO31" s="806"/>
      <c r="HHP31" s="806"/>
      <c r="HHQ31" s="806"/>
      <c r="HHR31" s="806"/>
      <c r="HHS31" s="806"/>
      <c r="HHT31" s="806"/>
      <c r="HHU31" s="806"/>
      <c r="HHV31" s="806"/>
      <c r="HHW31" s="806"/>
      <c r="HHX31" s="806"/>
      <c r="HHY31" s="806"/>
      <c r="HHZ31" s="806"/>
      <c r="HIA31" s="806"/>
      <c r="HIB31" s="806"/>
      <c r="HIC31" s="806"/>
      <c r="HID31" s="806"/>
      <c r="HIE31" s="806"/>
      <c r="HIF31" s="806"/>
      <c r="HIG31" s="806"/>
      <c r="HIH31" s="806"/>
      <c r="HII31" s="806"/>
      <c r="HIJ31" s="806"/>
      <c r="HIK31" s="806"/>
      <c r="HIL31" s="806"/>
      <c r="HIM31" s="806"/>
      <c r="HIN31" s="806"/>
      <c r="HIO31" s="806"/>
      <c r="HIP31" s="806"/>
      <c r="HIQ31" s="806"/>
      <c r="HIR31" s="806"/>
      <c r="HIS31" s="806"/>
      <c r="HIT31" s="806"/>
      <c r="HIU31" s="806"/>
      <c r="HIV31" s="806"/>
      <c r="HIW31" s="806"/>
      <c r="HIX31" s="806"/>
      <c r="HIY31" s="806"/>
      <c r="HIZ31" s="806"/>
      <c r="HJA31" s="806"/>
      <c r="HJB31" s="806"/>
      <c r="HJC31" s="806"/>
      <c r="HJD31" s="806"/>
      <c r="HJE31" s="806"/>
      <c r="HJF31" s="806"/>
      <c r="HJG31" s="806"/>
      <c r="HJH31" s="806"/>
      <c r="HJI31" s="806"/>
      <c r="HJJ31" s="806"/>
      <c r="HJK31" s="806"/>
      <c r="HJL31" s="806"/>
      <c r="HJM31" s="806"/>
      <c r="HJN31" s="806"/>
      <c r="HJO31" s="806"/>
      <c r="HJP31" s="806"/>
      <c r="HJQ31" s="806"/>
      <c r="HJR31" s="806"/>
      <c r="HJS31" s="806"/>
      <c r="HJT31" s="806"/>
      <c r="HJU31" s="806"/>
      <c r="HJV31" s="806"/>
      <c r="HJW31" s="806"/>
      <c r="HJX31" s="806"/>
      <c r="HJY31" s="806"/>
      <c r="HJZ31" s="806"/>
      <c r="HKA31" s="806"/>
      <c r="HKB31" s="806"/>
      <c r="HKC31" s="806"/>
      <c r="HKD31" s="806"/>
      <c r="HKE31" s="806"/>
      <c r="HKF31" s="806"/>
      <c r="HKG31" s="806"/>
      <c r="HKH31" s="806"/>
      <c r="HKI31" s="806"/>
      <c r="HKJ31" s="806"/>
      <c r="HKK31" s="806"/>
      <c r="HKL31" s="806"/>
      <c r="HKM31" s="806"/>
      <c r="HKN31" s="806"/>
      <c r="HKO31" s="806"/>
      <c r="HKP31" s="806"/>
      <c r="HKQ31" s="806"/>
      <c r="HKR31" s="806"/>
      <c r="HKS31" s="806"/>
      <c r="HKT31" s="806"/>
      <c r="HKU31" s="806"/>
      <c r="HKV31" s="806"/>
      <c r="HKW31" s="806"/>
      <c r="HKX31" s="806"/>
      <c r="HKY31" s="806"/>
      <c r="HKZ31" s="806"/>
      <c r="HLA31" s="806"/>
      <c r="HLB31" s="806"/>
      <c r="HLC31" s="806"/>
      <c r="HLD31" s="806"/>
      <c r="HLE31" s="806"/>
      <c r="HLF31" s="806"/>
      <c r="HLG31" s="806"/>
      <c r="HLH31" s="806"/>
      <c r="HLI31" s="806"/>
      <c r="HLJ31" s="806"/>
      <c r="HLK31" s="806"/>
      <c r="HLL31" s="806"/>
      <c r="HLM31" s="806"/>
      <c r="HLN31" s="806"/>
      <c r="HLO31" s="806"/>
      <c r="HLP31" s="806"/>
      <c r="HLQ31" s="806"/>
      <c r="HLR31" s="806"/>
      <c r="HLS31" s="806"/>
      <c r="HLT31" s="806"/>
      <c r="HLU31" s="806"/>
      <c r="HLV31" s="806"/>
      <c r="HLW31" s="806"/>
      <c r="HLX31" s="806"/>
      <c r="HLY31" s="806"/>
      <c r="HLZ31" s="806"/>
      <c r="HMA31" s="806"/>
      <c r="HMB31" s="806"/>
      <c r="HMC31" s="806"/>
      <c r="HMD31" s="806"/>
      <c r="HME31" s="806"/>
      <c r="HMF31" s="806"/>
      <c r="HMG31" s="806"/>
      <c r="HMH31" s="806"/>
      <c r="HMI31" s="806"/>
      <c r="HMJ31" s="806"/>
      <c r="HMK31" s="806"/>
      <c r="HML31" s="806"/>
      <c r="HMM31" s="806"/>
      <c r="HMN31" s="806"/>
      <c r="HMO31" s="806"/>
      <c r="HMP31" s="806"/>
      <c r="HMQ31" s="806"/>
      <c r="HMR31" s="806"/>
      <c r="HMS31" s="806"/>
      <c r="HMT31" s="806"/>
      <c r="HMU31" s="806"/>
      <c r="HMV31" s="806"/>
      <c r="HMW31" s="806"/>
      <c r="HMX31" s="806"/>
      <c r="HMY31" s="806"/>
      <c r="HMZ31" s="806"/>
      <c r="HNA31" s="806"/>
      <c r="HNB31" s="806"/>
      <c r="HNC31" s="806"/>
      <c r="HND31" s="806"/>
      <c r="HNE31" s="806"/>
      <c r="HNF31" s="806"/>
      <c r="HNG31" s="806"/>
      <c r="HNH31" s="806"/>
      <c r="HNI31" s="806"/>
      <c r="HNJ31" s="806"/>
      <c r="HNK31" s="806"/>
      <c r="HNL31" s="806"/>
      <c r="HNM31" s="806"/>
      <c r="HNN31" s="806"/>
      <c r="HNO31" s="806"/>
      <c r="HNP31" s="806"/>
      <c r="HNQ31" s="806"/>
      <c r="HNR31" s="806"/>
      <c r="HNS31" s="806"/>
      <c r="HNT31" s="806"/>
      <c r="HNU31" s="806"/>
      <c r="HNV31" s="806"/>
      <c r="HNW31" s="806"/>
      <c r="HNX31" s="806"/>
      <c r="HNY31" s="806"/>
      <c r="HNZ31" s="806"/>
      <c r="HOA31" s="806"/>
      <c r="HOB31" s="806"/>
      <c r="HOC31" s="806"/>
      <c r="HOD31" s="806"/>
      <c r="HOE31" s="806"/>
      <c r="HOF31" s="806"/>
      <c r="HOG31" s="806"/>
      <c r="HOH31" s="806"/>
      <c r="HOI31" s="806"/>
      <c r="HOJ31" s="806"/>
      <c r="HOK31" s="806"/>
      <c r="HOL31" s="806"/>
      <c r="HOM31" s="806"/>
      <c r="HON31" s="806"/>
      <c r="HOO31" s="806"/>
      <c r="HOP31" s="806"/>
      <c r="HOQ31" s="806"/>
      <c r="HOR31" s="806"/>
      <c r="HOS31" s="806"/>
      <c r="HOT31" s="806"/>
      <c r="HOU31" s="806"/>
      <c r="HOV31" s="806"/>
      <c r="HOW31" s="806"/>
      <c r="HOX31" s="806"/>
      <c r="HOY31" s="806"/>
      <c r="HOZ31" s="806"/>
      <c r="HPA31" s="806"/>
      <c r="HPB31" s="806"/>
      <c r="HPC31" s="806"/>
      <c r="HPD31" s="806"/>
      <c r="HPE31" s="806"/>
      <c r="HPF31" s="806"/>
      <c r="HPG31" s="806"/>
      <c r="HPH31" s="806"/>
      <c r="HPI31" s="806"/>
      <c r="HPJ31" s="806"/>
      <c r="HPK31" s="806"/>
      <c r="HPL31" s="806"/>
      <c r="HPM31" s="806"/>
      <c r="HPN31" s="806"/>
      <c r="HPO31" s="806"/>
      <c r="HPP31" s="806"/>
      <c r="HPQ31" s="806"/>
      <c r="HPR31" s="806"/>
      <c r="HPS31" s="806"/>
      <c r="HPT31" s="806"/>
      <c r="HPU31" s="806"/>
      <c r="HPV31" s="806"/>
      <c r="HPW31" s="806"/>
      <c r="HPX31" s="806"/>
      <c r="HPY31" s="806"/>
      <c r="HPZ31" s="806"/>
      <c r="HQA31" s="806"/>
      <c r="HQB31" s="806"/>
      <c r="HQC31" s="806"/>
      <c r="HQD31" s="806"/>
      <c r="HQE31" s="806"/>
      <c r="HQF31" s="806"/>
      <c r="HQG31" s="806"/>
      <c r="HQH31" s="806"/>
      <c r="HQI31" s="806"/>
      <c r="HQJ31" s="806"/>
      <c r="HQK31" s="806"/>
      <c r="HQL31" s="806"/>
      <c r="HQM31" s="806"/>
      <c r="HQN31" s="806"/>
      <c r="HQO31" s="806"/>
      <c r="HQP31" s="806"/>
      <c r="HQQ31" s="806"/>
      <c r="HQR31" s="806"/>
      <c r="HQS31" s="806"/>
      <c r="HQT31" s="806"/>
      <c r="HQU31" s="806"/>
      <c r="HQV31" s="806"/>
      <c r="HQW31" s="806"/>
      <c r="HQX31" s="806"/>
      <c r="HQY31" s="806"/>
      <c r="HQZ31" s="806"/>
      <c r="HRA31" s="806"/>
      <c r="HRB31" s="806"/>
      <c r="HRC31" s="806"/>
      <c r="HRD31" s="806"/>
      <c r="HRE31" s="806"/>
      <c r="HRF31" s="806"/>
      <c r="HRG31" s="806"/>
      <c r="HRH31" s="806"/>
      <c r="HRI31" s="806"/>
      <c r="HRJ31" s="806"/>
      <c r="HRK31" s="806"/>
      <c r="HRL31" s="806"/>
      <c r="HRM31" s="806"/>
      <c r="HRN31" s="806"/>
      <c r="HRO31" s="806"/>
      <c r="HRP31" s="806"/>
      <c r="HRQ31" s="806"/>
      <c r="HRR31" s="806"/>
      <c r="HRS31" s="806"/>
      <c r="HRT31" s="806"/>
      <c r="HRU31" s="806"/>
      <c r="HRV31" s="806"/>
      <c r="HRW31" s="806"/>
      <c r="HRX31" s="806"/>
      <c r="HRY31" s="806"/>
      <c r="HRZ31" s="806"/>
      <c r="HSA31" s="806"/>
      <c r="HSB31" s="806"/>
      <c r="HSC31" s="806"/>
      <c r="HSD31" s="806"/>
      <c r="HSE31" s="806"/>
      <c r="HSF31" s="806"/>
      <c r="HSG31" s="806"/>
      <c r="HSH31" s="806"/>
      <c r="HSI31" s="806"/>
      <c r="HSJ31" s="806"/>
      <c r="HSK31" s="806"/>
      <c r="HSL31" s="806"/>
      <c r="HSM31" s="806"/>
      <c r="HSN31" s="806"/>
      <c r="HSO31" s="806"/>
      <c r="HSP31" s="806"/>
      <c r="HSQ31" s="806"/>
      <c r="HSR31" s="806"/>
      <c r="HSS31" s="806"/>
      <c r="HST31" s="806"/>
      <c r="HSU31" s="806"/>
      <c r="HSV31" s="806"/>
      <c r="HSW31" s="806"/>
      <c r="HSX31" s="806"/>
      <c r="HSY31" s="806"/>
      <c r="HSZ31" s="806"/>
      <c r="HTA31" s="806"/>
      <c r="HTB31" s="806"/>
      <c r="HTC31" s="806"/>
      <c r="HTD31" s="806"/>
      <c r="HTE31" s="806"/>
      <c r="HTF31" s="806"/>
      <c r="HTG31" s="806"/>
      <c r="HTH31" s="806"/>
      <c r="HTI31" s="806"/>
      <c r="HTJ31" s="806"/>
      <c r="HTK31" s="806"/>
      <c r="HTL31" s="806"/>
      <c r="HTM31" s="806"/>
      <c r="HTN31" s="806"/>
      <c r="HTO31" s="806"/>
      <c r="HTP31" s="806"/>
      <c r="HTQ31" s="806"/>
      <c r="HTR31" s="806"/>
      <c r="HTS31" s="806"/>
      <c r="HTT31" s="806"/>
      <c r="HTU31" s="806"/>
      <c r="HTV31" s="806"/>
      <c r="HTW31" s="806"/>
      <c r="HTX31" s="806"/>
      <c r="HTY31" s="806"/>
      <c r="HTZ31" s="806"/>
      <c r="HUA31" s="806"/>
      <c r="HUB31" s="806"/>
      <c r="HUC31" s="806"/>
      <c r="HUD31" s="806"/>
      <c r="HUE31" s="806"/>
      <c r="HUF31" s="806"/>
      <c r="HUG31" s="806"/>
      <c r="HUH31" s="806"/>
      <c r="HUI31" s="806"/>
      <c r="HUJ31" s="806"/>
      <c r="HUK31" s="806"/>
      <c r="HUL31" s="806"/>
      <c r="HUM31" s="806"/>
      <c r="HUN31" s="806"/>
      <c r="HUO31" s="806"/>
      <c r="HUP31" s="806"/>
      <c r="HUQ31" s="806"/>
      <c r="HUR31" s="806"/>
      <c r="HUS31" s="806"/>
      <c r="HUT31" s="806"/>
      <c r="HUU31" s="806"/>
      <c r="HUV31" s="806"/>
      <c r="HUW31" s="806"/>
      <c r="HUX31" s="806"/>
      <c r="HUY31" s="806"/>
      <c r="HUZ31" s="806"/>
      <c r="HVA31" s="806"/>
      <c r="HVB31" s="806"/>
      <c r="HVC31" s="806"/>
      <c r="HVD31" s="806"/>
      <c r="HVE31" s="806"/>
      <c r="HVF31" s="806"/>
      <c r="HVG31" s="806"/>
      <c r="HVH31" s="806"/>
      <c r="HVI31" s="806"/>
      <c r="HVJ31" s="806"/>
      <c r="HVK31" s="806"/>
      <c r="HVL31" s="806"/>
      <c r="HVM31" s="806"/>
      <c r="HVN31" s="806"/>
      <c r="HVO31" s="806"/>
      <c r="HVP31" s="806"/>
      <c r="HVQ31" s="806"/>
      <c r="HVR31" s="806"/>
      <c r="HVS31" s="806"/>
      <c r="HVT31" s="806"/>
      <c r="HVU31" s="806"/>
      <c r="HVV31" s="806"/>
      <c r="HVW31" s="806"/>
      <c r="HVX31" s="806"/>
      <c r="HVY31" s="806"/>
      <c r="HVZ31" s="806"/>
      <c r="HWA31" s="806"/>
      <c r="HWB31" s="806"/>
      <c r="HWC31" s="806"/>
      <c r="HWD31" s="806"/>
      <c r="HWE31" s="806"/>
      <c r="HWF31" s="806"/>
      <c r="HWG31" s="806"/>
      <c r="HWH31" s="806"/>
      <c r="HWI31" s="806"/>
      <c r="HWJ31" s="806"/>
      <c r="HWK31" s="806"/>
      <c r="HWL31" s="806"/>
      <c r="HWM31" s="806"/>
      <c r="HWN31" s="806"/>
      <c r="HWO31" s="806"/>
      <c r="HWP31" s="806"/>
      <c r="HWQ31" s="806"/>
      <c r="HWR31" s="806"/>
      <c r="HWS31" s="806"/>
      <c r="HWT31" s="806"/>
      <c r="HWU31" s="806"/>
      <c r="HWV31" s="806"/>
      <c r="HWW31" s="806"/>
      <c r="HWX31" s="806"/>
      <c r="HWY31" s="806"/>
      <c r="HWZ31" s="806"/>
      <c r="HXA31" s="806"/>
      <c r="HXB31" s="806"/>
      <c r="HXC31" s="806"/>
      <c r="HXD31" s="806"/>
      <c r="HXE31" s="806"/>
      <c r="HXF31" s="806"/>
      <c r="HXG31" s="806"/>
      <c r="HXH31" s="806"/>
      <c r="HXI31" s="806"/>
      <c r="HXJ31" s="806"/>
      <c r="HXK31" s="806"/>
      <c r="HXL31" s="806"/>
      <c r="HXM31" s="806"/>
      <c r="HXN31" s="806"/>
      <c r="HXO31" s="806"/>
      <c r="HXP31" s="806"/>
      <c r="HXQ31" s="806"/>
      <c r="HXR31" s="806"/>
      <c r="HXS31" s="806"/>
      <c r="HXT31" s="806"/>
      <c r="HXU31" s="806"/>
      <c r="HXV31" s="806"/>
      <c r="HXW31" s="806"/>
      <c r="HXX31" s="806"/>
      <c r="HXY31" s="806"/>
      <c r="HXZ31" s="806"/>
      <c r="HYA31" s="806"/>
      <c r="HYB31" s="806"/>
      <c r="HYC31" s="806"/>
      <c r="HYD31" s="806"/>
      <c r="HYE31" s="806"/>
      <c r="HYF31" s="806"/>
      <c r="HYG31" s="806"/>
      <c r="HYH31" s="806"/>
      <c r="HYI31" s="806"/>
      <c r="HYJ31" s="806"/>
      <c r="HYK31" s="806"/>
      <c r="HYL31" s="806"/>
      <c r="HYM31" s="806"/>
      <c r="HYN31" s="806"/>
      <c r="HYO31" s="806"/>
      <c r="HYP31" s="806"/>
      <c r="HYQ31" s="806"/>
      <c r="HYR31" s="806"/>
      <c r="HYS31" s="806"/>
      <c r="HYT31" s="806"/>
      <c r="HYU31" s="806"/>
      <c r="HYV31" s="806"/>
      <c r="HYW31" s="806"/>
      <c r="HYX31" s="806"/>
      <c r="HYY31" s="806"/>
      <c r="HYZ31" s="806"/>
      <c r="HZA31" s="806"/>
      <c r="HZB31" s="806"/>
      <c r="HZC31" s="806"/>
      <c r="HZD31" s="806"/>
      <c r="HZE31" s="806"/>
      <c r="HZF31" s="806"/>
      <c r="HZG31" s="806"/>
      <c r="HZH31" s="806"/>
      <c r="HZI31" s="806"/>
      <c r="HZJ31" s="806"/>
      <c r="HZK31" s="806"/>
      <c r="HZL31" s="806"/>
      <c r="HZM31" s="806"/>
      <c r="HZN31" s="806"/>
      <c r="HZO31" s="806"/>
      <c r="HZP31" s="806"/>
      <c r="HZQ31" s="806"/>
      <c r="HZR31" s="806"/>
      <c r="HZS31" s="806"/>
      <c r="HZT31" s="806"/>
      <c r="HZU31" s="806"/>
      <c r="HZV31" s="806"/>
      <c r="HZW31" s="806"/>
      <c r="HZX31" s="806"/>
      <c r="HZY31" s="806"/>
      <c r="HZZ31" s="806"/>
      <c r="IAA31" s="806"/>
      <c r="IAB31" s="806"/>
      <c r="IAC31" s="806"/>
      <c r="IAD31" s="806"/>
      <c r="IAE31" s="806"/>
      <c r="IAF31" s="806"/>
      <c r="IAG31" s="806"/>
      <c r="IAH31" s="806"/>
      <c r="IAI31" s="806"/>
      <c r="IAJ31" s="806"/>
      <c r="IAK31" s="806"/>
      <c r="IAL31" s="806"/>
      <c r="IAM31" s="806"/>
      <c r="IAN31" s="806"/>
      <c r="IAO31" s="806"/>
      <c r="IAP31" s="806"/>
      <c r="IAQ31" s="806"/>
      <c r="IAR31" s="806"/>
      <c r="IAS31" s="806"/>
      <c r="IAT31" s="806"/>
      <c r="IAU31" s="806"/>
      <c r="IAV31" s="806"/>
      <c r="IAW31" s="806"/>
      <c r="IAX31" s="806"/>
      <c r="IAY31" s="806"/>
      <c r="IAZ31" s="806"/>
      <c r="IBA31" s="806"/>
      <c r="IBB31" s="806"/>
      <c r="IBC31" s="806"/>
      <c r="IBD31" s="806"/>
      <c r="IBE31" s="806"/>
      <c r="IBF31" s="806"/>
      <c r="IBG31" s="806"/>
      <c r="IBH31" s="806"/>
      <c r="IBI31" s="806"/>
      <c r="IBJ31" s="806"/>
      <c r="IBK31" s="806"/>
      <c r="IBL31" s="806"/>
      <c r="IBM31" s="806"/>
      <c r="IBN31" s="806"/>
      <c r="IBO31" s="806"/>
      <c r="IBP31" s="806"/>
      <c r="IBQ31" s="806"/>
      <c r="IBR31" s="806"/>
      <c r="IBS31" s="806"/>
      <c r="IBT31" s="806"/>
      <c r="IBU31" s="806"/>
      <c r="IBV31" s="806"/>
      <c r="IBW31" s="806"/>
      <c r="IBX31" s="806"/>
      <c r="IBY31" s="806"/>
      <c r="IBZ31" s="806"/>
      <c r="ICA31" s="806"/>
      <c r="ICB31" s="806"/>
      <c r="ICC31" s="806"/>
      <c r="ICD31" s="806"/>
      <c r="ICE31" s="806"/>
      <c r="ICF31" s="806"/>
      <c r="ICG31" s="806"/>
      <c r="ICH31" s="806"/>
      <c r="ICI31" s="806"/>
      <c r="ICJ31" s="806"/>
      <c r="ICK31" s="806"/>
      <c r="ICL31" s="806"/>
      <c r="ICM31" s="806"/>
      <c r="ICN31" s="806"/>
      <c r="ICO31" s="806"/>
      <c r="ICP31" s="806"/>
      <c r="ICQ31" s="806"/>
      <c r="ICR31" s="806"/>
      <c r="ICS31" s="806"/>
      <c r="ICT31" s="806"/>
      <c r="ICU31" s="806"/>
      <c r="ICV31" s="806"/>
      <c r="ICW31" s="806"/>
      <c r="ICX31" s="806"/>
      <c r="ICY31" s="806"/>
      <c r="ICZ31" s="806"/>
      <c r="IDA31" s="806"/>
      <c r="IDB31" s="806"/>
      <c r="IDC31" s="806"/>
      <c r="IDD31" s="806"/>
      <c r="IDE31" s="806"/>
      <c r="IDF31" s="806"/>
      <c r="IDG31" s="806"/>
      <c r="IDH31" s="806"/>
      <c r="IDI31" s="806"/>
      <c r="IDJ31" s="806"/>
      <c r="IDK31" s="806"/>
      <c r="IDL31" s="806"/>
      <c r="IDM31" s="806"/>
      <c r="IDN31" s="806"/>
      <c r="IDO31" s="806"/>
      <c r="IDP31" s="806"/>
      <c r="IDQ31" s="806"/>
      <c r="IDR31" s="806"/>
      <c r="IDS31" s="806"/>
      <c r="IDT31" s="806"/>
      <c r="IDU31" s="806"/>
      <c r="IDV31" s="806"/>
      <c r="IDW31" s="806"/>
      <c r="IDX31" s="806"/>
      <c r="IDY31" s="806"/>
      <c r="IDZ31" s="806"/>
      <c r="IEA31" s="806"/>
      <c r="IEB31" s="806"/>
      <c r="IEC31" s="806"/>
      <c r="IED31" s="806"/>
      <c r="IEE31" s="806"/>
      <c r="IEF31" s="806"/>
      <c r="IEG31" s="806"/>
      <c r="IEH31" s="806"/>
      <c r="IEI31" s="806"/>
      <c r="IEJ31" s="806"/>
      <c r="IEK31" s="806"/>
      <c r="IEL31" s="806"/>
      <c r="IEM31" s="806"/>
      <c r="IEN31" s="806"/>
      <c r="IEO31" s="806"/>
      <c r="IEP31" s="806"/>
      <c r="IEQ31" s="806"/>
      <c r="IER31" s="806"/>
      <c r="IES31" s="806"/>
      <c r="IET31" s="806"/>
      <c r="IEU31" s="806"/>
      <c r="IEV31" s="806"/>
      <c r="IEW31" s="806"/>
      <c r="IEX31" s="806"/>
      <c r="IEY31" s="806"/>
      <c r="IEZ31" s="806"/>
      <c r="IFA31" s="806"/>
      <c r="IFB31" s="806"/>
      <c r="IFC31" s="806"/>
      <c r="IFD31" s="806"/>
      <c r="IFE31" s="806"/>
      <c r="IFF31" s="806"/>
      <c r="IFG31" s="806"/>
      <c r="IFH31" s="806"/>
      <c r="IFI31" s="806"/>
      <c r="IFJ31" s="806"/>
      <c r="IFK31" s="806"/>
      <c r="IFL31" s="806"/>
      <c r="IFM31" s="806"/>
      <c r="IFN31" s="806"/>
      <c r="IFO31" s="806"/>
      <c r="IFP31" s="806"/>
      <c r="IFQ31" s="806"/>
      <c r="IFR31" s="806"/>
      <c r="IFS31" s="806"/>
      <c r="IFT31" s="806"/>
      <c r="IFU31" s="806"/>
      <c r="IFV31" s="806"/>
      <c r="IFW31" s="806"/>
      <c r="IFX31" s="806"/>
      <c r="IFY31" s="806"/>
      <c r="IFZ31" s="806"/>
      <c r="IGA31" s="806"/>
      <c r="IGB31" s="806"/>
      <c r="IGC31" s="806"/>
      <c r="IGD31" s="806"/>
      <c r="IGE31" s="806"/>
      <c r="IGF31" s="806"/>
      <c r="IGG31" s="806"/>
      <c r="IGH31" s="806"/>
      <c r="IGI31" s="806"/>
      <c r="IGJ31" s="806"/>
      <c r="IGK31" s="806"/>
      <c r="IGL31" s="806"/>
      <c r="IGM31" s="806"/>
      <c r="IGN31" s="806"/>
      <c r="IGO31" s="806"/>
      <c r="IGP31" s="806"/>
      <c r="IGQ31" s="806"/>
      <c r="IGR31" s="806"/>
      <c r="IGS31" s="806"/>
      <c r="IGT31" s="806"/>
      <c r="IGU31" s="806"/>
      <c r="IGV31" s="806"/>
      <c r="IGW31" s="806"/>
      <c r="IGX31" s="806"/>
      <c r="IGY31" s="806"/>
      <c r="IGZ31" s="806"/>
      <c r="IHA31" s="806"/>
      <c r="IHB31" s="806"/>
      <c r="IHC31" s="806"/>
      <c r="IHD31" s="806"/>
      <c r="IHE31" s="806"/>
      <c r="IHF31" s="806"/>
      <c r="IHG31" s="806"/>
      <c r="IHH31" s="806"/>
      <c r="IHI31" s="806"/>
      <c r="IHJ31" s="806"/>
      <c r="IHK31" s="806"/>
      <c r="IHL31" s="806"/>
      <c r="IHM31" s="806"/>
      <c r="IHN31" s="806"/>
      <c r="IHO31" s="806"/>
      <c r="IHP31" s="806"/>
      <c r="IHQ31" s="806"/>
      <c r="IHR31" s="806"/>
      <c r="IHS31" s="806"/>
      <c r="IHT31" s="806"/>
      <c r="IHU31" s="806"/>
      <c r="IHV31" s="806"/>
      <c r="IHW31" s="806"/>
      <c r="IHX31" s="806"/>
      <c r="IHY31" s="806"/>
      <c r="IHZ31" s="806"/>
      <c r="IIA31" s="806"/>
      <c r="IIB31" s="806"/>
      <c r="IIC31" s="806"/>
      <c r="IID31" s="806"/>
      <c r="IIE31" s="806"/>
      <c r="IIF31" s="806"/>
      <c r="IIG31" s="806"/>
      <c r="IIH31" s="806"/>
      <c r="III31" s="806"/>
      <c r="IIJ31" s="806"/>
      <c r="IIK31" s="806"/>
      <c r="IIL31" s="806"/>
      <c r="IIM31" s="806"/>
      <c r="IIN31" s="806"/>
      <c r="IIO31" s="806"/>
      <c r="IIP31" s="806"/>
      <c r="IIQ31" s="806"/>
      <c r="IIR31" s="806"/>
      <c r="IIS31" s="806"/>
      <c r="IIT31" s="806"/>
      <c r="IIU31" s="806"/>
      <c r="IIV31" s="806"/>
      <c r="IIW31" s="806"/>
      <c r="IIX31" s="806"/>
      <c r="IIY31" s="806"/>
      <c r="IIZ31" s="806"/>
      <c r="IJA31" s="806"/>
      <c r="IJB31" s="806"/>
      <c r="IJC31" s="806"/>
      <c r="IJD31" s="806"/>
      <c r="IJE31" s="806"/>
      <c r="IJF31" s="806"/>
      <c r="IJG31" s="806"/>
      <c r="IJH31" s="806"/>
      <c r="IJI31" s="806"/>
      <c r="IJJ31" s="806"/>
      <c r="IJK31" s="806"/>
      <c r="IJL31" s="806"/>
      <c r="IJM31" s="806"/>
      <c r="IJN31" s="806"/>
      <c r="IJO31" s="806"/>
      <c r="IJP31" s="806"/>
      <c r="IJQ31" s="806"/>
      <c r="IJR31" s="806"/>
      <c r="IJS31" s="806"/>
      <c r="IJT31" s="806"/>
      <c r="IJU31" s="806"/>
      <c r="IJV31" s="806"/>
      <c r="IJW31" s="806"/>
      <c r="IJX31" s="806"/>
      <c r="IJY31" s="806"/>
      <c r="IJZ31" s="806"/>
      <c r="IKA31" s="806"/>
      <c r="IKB31" s="806"/>
      <c r="IKC31" s="806"/>
      <c r="IKD31" s="806"/>
      <c r="IKE31" s="806"/>
      <c r="IKF31" s="806"/>
      <c r="IKG31" s="806"/>
      <c r="IKH31" s="806"/>
      <c r="IKI31" s="806"/>
      <c r="IKJ31" s="806"/>
      <c r="IKK31" s="806"/>
      <c r="IKL31" s="806"/>
      <c r="IKM31" s="806"/>
      <c r="IKN31" s="806"/>
      <c r="IKO31" s="806"/>
      <c r="IKP31" s="806"/>
      <c r="IKQ31" s="806"/>
      <c r="IKR31" s="806"/>
      <c r="IKS31" s="806"/>
      <c r="IKT31" s="806"/>
      <c r="IKU31" s="806"/>
      <c r="IKV31" s="806"/>
      <c r="IKW31" s="806"/>
      <c r="IKX31" s="806"/>
      <c r="IKY31" s="806"/>
      <c r="IKZ31" s="806"/>
      <c r="ILA31" s="806"/>
      <c r="ILB31" s="806"/>
      <c r="ILC31" s="806"/>
      <c r="ILD31" s="806"/>
      <c r="ILE31" s="806"/>
      <c r="ILF31" s="806"/>
      <c r="ILG31" s="806"/>
      <c r="ILH31" s="806"/>
      <c r="ILI31" s="806"/>
      <c r="ILJ31" s="806"/>
      <c r="ILK31" s="806"/>
      <c r="ILL31" s="806"/>
      <c r="ILM31" s="806"/>
      <c r="ILN31" s="806"/>
      <c r="ILO31" s="806"/>
      <c r="ILP31" s="806"/>
      <c r="ILQ31" s="806"/>
      <c r="ILR31" s="806"/>
      <c r="ILS31" s="806"/>
      <c r="ILT31" s="806"/>
      <c r="ILU31" s="806"/>
      <c r="ILV31" s="806"/>
      <c r="ILW31" s="806"/>
      <c r="ILX31" s="806"/>
      <c r="ILY31" s="806"/>
      <c r="ILZ31" s="806"/>
      <c r="IMA31" s="806"/>
      <c r="IMB31" s="806"/>
      <c r="IMC31" s="806"/>
      <c r="IMD31" s="806"/>
      <c r="IME31" s="806"/>
      <c r="IMF31" s="806"/>
      <c r="IMG31" s="806"/>
      <c r="IMH31" s="806"/>
      <c r="IMI31" s="806"/>
      <c r="IMJ31" s="806"/>
      <c r="IMK31" s="806"/>
      <c r="IML31" s="806"/>
      <c r="IMM31" s="806"/>
      <c r="IMN31" s="806"/>
      <c r="IMO31" s="806"/>
      <c r="IMP31" s="806"/>
      <c r="IMQ31" s="806"/>
      <c r="IMR31" s="806"/>
      <c r="IMS31" s="806"/>
      <c r="IMT31" s="806"/>
      <c r="IMU31" s="806"/>
      <c r="IMV31" s="806"/>
      <c r="IMW31" s="806"/>
      <c r="IMX31" s="806"/>
      <c r="IMY31" s="806"/>
      <c r="IMZ31" s="806"/>
      <c r="INA31" s="806"/>
      <c r="INB31" s="806"/>
      <c r="INC31" s="806"/>
      <c r="IND31" s="806"/>
      <c r="INE31" s="806"/>
      <c r="INF31" s="806"/>
      <c r="ING31" s="806"/>
      <c r="INH31" s="806"/>
      <c r="INI31" s="806"/>
      <c r="INJ31" s="806"/>
      <c r="INK31" s="806"/>
      <c r="INL31" s="806"/>
      <c r="INM31" s="806"/>
      <c r="INN31" s="806"/>
      <c r="INO31" s="806"/>
      <c r="INP31" s="806"/>
      <c r="INQ31" s="806"/>
      <c r="INR31" s="806"/>
      <c r="INS31" s="806"/>
      <c r="INT31" s="806"/>
      <c r="INU31" s="806"/>
      <c r="INV31" s="806"/>
      <c r="INW31" s="806"/>
      <c r="INX31" s="806"/>
      <c r="INY31" s="806"/>
      <c r="INZ31" s="806"/>
      <c r="IOA31" s="806"/>
      <c r="IOB31" s="806"/>
      <c r="IOC31" s="806"/>
      <c r="IOD31" s="806"/>
      <c r="IOE31" s="806"/>
      <c r="IOF31" s="806"/>
      <c r="IOG31" s="806"/>
      <c r="IOH31" s="806"/>
      <c r="IOI31" s="806"/>
      <c r="IOJ31" s="806"/>
      <c r="IOK31" s="806"/>
      <c r="IOL31" s="806"/>
      <c r="IOM31" s="806"/>
      <c r="ION31" s="806"/>
      <c r="IOO31" s="806"/>
      <c r="IOP31" s="806"/>
      <c r="IOQ31" s="806"/>
      <c r="IOR31" s="806"/>
      <c r="IOS31" s="806"/>
      <c r="IOT31" s="806"/>
      <c r="IOU31" s="806"/>
      <c r="IOV31" s="806"/>
      <c r="IOW31" s="806"/>
      <c r="IOX31" s="806"/>
      <c r="IOY31" s="806"/>
      <c r="IOZ31" s="806"/>
      <c r="IPA31" s="806"/>
      <c r="IPB31" s="806"/>
      <c r="IPC31" s="806"/>
      <c r="IPD31" s="806"/>
      <c r="IPE31" s="806"/>
      <c r="IPF31" s="806"/>
      <c r="IPG31" s="806"/>
      <c r="IPH31" s="806"/>
      <c r="IPI31" s="806"/>
      <c r="IPJ31" s="806"/>
      <c r="IPK31" s="806"/>
      <c r="IPL31" s="806"/>
      <c r="IPM31" s="806"/>
      <c r="IPN31" s="806"/>
      <c r="IPO31" s="806"/>
      <c r="IPP31" s="806"/>
      <c r="IPQ31" s="806"/>
      <c r="IPR31" s="806"/>
      <c r="IPS31" s="806"/>
      <c r="IPT31" s="806"/>
      <c r="IPU31" s="806"/>
      <c r="IPV31" s="806"/>
      <c r="IPW31" s="806"/>
      <c r="IPX31" s="806"/>
      <c r="IPY31" s="806"/>
      <c r="IPZ31" s="806"/>
      <c r="IQA31" s="806"/>
      <c r="IQB31" s="806"/>
      <c r="IQC31" s="806"/>
      <c r="IQD31" s="806"/>
      <c r="IQE31" s="806"/>
      <c r="IQF31" s="806"/>
      <c r="IQG31" s="806"/>
      <c r="IQH31" s="806"/>
      <c r="IQI31" s="806"/>
      <c r="IQJ31" s="806"/>
      <c r="IQK31" s="806"/>
      <c r="IQL31" s="806"/>
      <c r="IQM31" s="806"/>
      <c r="IQN31" s="806"/>
      <c r="IQO31" s="806"/>
      <c r="IQP31" s="806"/>
      <c r="IQQ31" s="806"/>
      <c r="IQR31" s="806"/>
      <c r="IQS31" s="806"/>
      <c r="IQT31" s="806"/>
      <c r="IQU31" s="806"/>
      <c r="IQV31" s="806"/>
      <c r="IQW31" s="806"/>
      <c r="IQX31" s="806"/>
      <c r="IQY31" s="806"/>
      <c r="IQZ31" s="806"/>
      <c r="IRA31" s="806"/>
      <c r="IRB31" s="806"/>
      <c r="IRC31" s="806"/>
      <c r="IRD31" s="806"/>
      <c r="IRE31" s="806"/>
      <c r="IRF31" s="806"/>
      <c r="IRG31" s="806"/>
      <c r="IRH31" s="806"/>
      <c r="IRI31" s="806"/>
      <c r="IRJ31" s="806"/>
      <c r="IRK31" s="806"/>
      <c r="IRL31" s="806"/>
      <c r="IRM31" s="806"/>
      <c r="IRN31" s="806"/>
      <c r="IRO31" s="806"/>
      <c r="IRP31" s="806"/>
      <c r="IRQ31" s="806"/>
      <c r="IRR31" s="806"/>
      <c r="IRS31" s="806"/>
      <c r="IRT31" s="806"/>
      <c r="IRU31" s="806"/>
      <c r="IRV31" s="806"/>
      <c r="IRW31" s="806"/>
      <c r="IRX31" s="806"/>
      <c r="IRY31" s="806"/>
      <c r="IRZ31" s="806"/>
      <c r="ISA31" s="806"/>
      <c r="ISB31" s="806"/>
      <c r="ISC31" s="806"/>
      <c r="ISD31" s="806"/>
      <c r="ISE31" s="806"/>
      <c r="ISF31" s="806"/>
      <c r="ISG31" s="806"/>
      <c r="ISH31" s="806"/>
      <c r="ISI31" s="806"/>
      <c r="ISJ31" s="806"/>
      <c r="ISK31" s="806"/>
      <c r="ISL31" s="806"/>
      <c r="ISM31" s="806"/>
      <c r="ISN31" s="806"/>
      <c r="ISO31" s="806"/>
      <c r="ISP31" s="806"/>
      <c r="ISQ31" s="806"/>
      <c r="ISR31" s="806"/>
      <c r="ISS31" s="806"/>
      <c r="IST31" s="806"/>
      <c r="ISU31" s="806"/>
      <c r="ISV31" s="806"/>
      <c r="ISW31" s="806"/>
      <c r="ISX31" s="806"/>
      <c r="ISY31" s="806"/>
      <c r="ISZ31" s="806"/>
      <c r="ITA31" s="806"/>
      <c r="ITB31" s="806"/>
      <c r="ITC31" s="806"/>
      <c r="ITD31" s="806"/>
      <c r="ITE31" s="806"/>
      <c r="ITF31" s="806"/>
      <c r="ITG31" s="806"/>
      <c r="ITH31" s="806"/>
      <c r="ITI31" s="806"/>
      <c r="ITJ31" s="806"/>
      <c r="ITK31" s="806"/>
      <c r="ITL31" s="806"/>
      <c r="ITM31" s="806"/>
      <c r="ITN31" s="806"/>
      <c r="ITO31" s="806"/>
      <c r="ITP31" s="806"/>
      <c r="ITQ31" s="806"/>
      <c r="ITR31" s="806"/>
      <c r="ITS31" s="806"/>
      <c r="ITT31" s="806"/>
      <c r="ITU31" s="806"/>
      <c r="ITV31" s="806"/>
      <c r="ITW31" s="806"/>
      <c r="ITX31" s="806"/>
      <c r="ITY31" s="806"/>
      <c r="ITZ31" s="806"/>
      <c r="IUA31" s="806"/>
      <c r="IUB31" s="806"/>
      <c r="IUC31" s="806"/>
      <c r="IUD31" s="806"/>
      <c r="IUE31" s="806"/>
      <c r="IUF31" s="806"/>
      <c r="IUG31" s="806"/>
      <c r="IUH31" s="806"/>
      <c r="IUI31" s="806"/>
      <c r="IUJ31" s="806"/>
      <c r="IUK31" s="806"/>
      <c r="IUL31" s="806"/>
      <c r="IUM31" s="806"/>
      <c r="IUN31" s="806"/>
      <c r="IUO31" s="806"/>
      <c r="IUP31" s="806"/>
      <c r="IUQ31" s="806"/>
      <c r="IUR31" s="806"/>
      <c r="IUS31" s="806"/>
      <c r="IUT31" s="806"/>
      <c r="IUU31" s="806"/>
      <c r="IUV31" s="806"/>
      <c r="IUW31" s="806"/>
      <c r="IUX31" s="806"/>
      <c r="IUY31" s="806"/>
      <c r="IUZ31" s="806"/>
      <c r="IVA31" s="806"/>
      <c r="IVB31" s="806"/>
      <c r="IVC31" s="806"/>
      <c r="IVD31" s="806"/>
      <c r="IVE31" s="806"/>
      <c r="IVF31" s="806"/>
      <c r="IVG31" s="806"/>
      <c r="IVH31" s="806"/>
      <c r="IVI31" s="806"/>
      <c r="IVJ31" s="806"/>
      <c r="IVK31" s="806"/>
      <c r="IVL31" s="806"/>
      <c r="IVM31" s="806"/>
      <c r="IVN31" s="806"/>
      <c r="IVO31" s="806"/>
      <c r="IVP31" s="806"/>
      <c r="IVQ31" s="806"/>
      <c r="IVR31" s="806"/>
      <c r="IVS31" s="806"/>
      <c r="IVT31" s="806"/>
      <c r="IVU31" s="806"/>
      <c r="IVV31" s="806"/>
      <c r="IVW31" s="806"/>
      <c r="IVX31" s="806"/>
      <c r="IVY31" s="806"/>
      <c r="IVZ31" s="806"/>
      <c r="IWA31" s="806"/>
      <c r="IWB31" s="806"/>
      <c r="IWC31" s="806"/>
      <c r="IWD31" s="806"/>
      <c r="IWE31" s="806"/>
      <c r="IWF31" s="806"/>
      <c r="IWG31" s="806"/>
      <c r="IWH31" s="806"/>
      <c r="IWI31" s="806"/>
      <c r="IWJ31" s="806"/>
      <c r="IWK31" s="806"/>
      <c r="IWL31" s="806"/>
      <c r="IWM31" s="806"/>
      <c r="IWN31" s="806"/>
      <c r="IWO31" s="806"/>
      <c r="IWP31" s="806"/>
      <c r="IWQ31" s="806"/>
      <c r="IWR31" s="806"/>
      <c r="IWS31" s="806"/>
      <c r="IWT31" s="806"/>
      <c r="IWU31" s="806"/>
      <c r="IWV31" s="806"/>
      <c r="IWW31" s="806"/>
      <c r="IWX31" s="806"/>
      <c r="IWY31" s="806"/>
      <c r="IWZ31" s="806"/>
      <c r="IXA31" s="806"/>
      <c r="IXB31" s="806"/>
      <c r="IXC31" s="806"/>
      <c r="IXD31" s="806"/>
      <c r="IXE31" s="806"/>
      <c r="IXF31" s="806"/>
      <c r="IXG31" s="806"/>
      <c r="IXH31" s="806"/>
      <c r="IXI31" s="806"/>
      <c r="IXJ31" s="806"/>
      <c r="IXK31" s="806"/>
      <c r="IXL31" s="806"/>
      <c r="IXM31" s="806"/>
      <c r="IXN31" s="806"/>
      <c r="IXO31" s="806"/>
      <c r="IXP31" s="806"/>
      <c r="IXQ31" s="806"/>
      <c r="IXR31" s="806"/>
      <c r="IXS31" s="806"/>
      <c r="IXT31" s="806"/>
      <c r="IXU31" s="806"/>
      <c r="IXV31" s="806"/>
      <c r="IXW31" s="806"/>
      <c r="IXX31" s="806"/>
      <c r="IXY31" s="806"/>
      <c r="IXZ31" s="806"/>
      <c r="IYA31" s="806"/>
      <c r="IYB31" s="806"/>
      <c r="IYC31" s="806"/>
      <c r="IYD31" s="806"/>
      <c r="IYE31" s="806"/>
      <c r="IYF31" s="806"/>
      <c r="IYG31" s="806"/>
      <c r="IYH31" s="806"/>
      <c r="IYI31" s="806"/>
      <c r="IYJ31" s="806"/>
      <c r="IYK31" s="806"/>
      <c r="IYL31" s="806"/>
      <c r="IYM31" s="806"/>
      <c r="IYN31" s="806"/>
      <c r="IYO31" s="806"/>
      <c r="IYP31" s="806"/>
      <c r="IYQ31" s="806"/>
      <c r="IYR31" s="806"/>
      <c r="IYS31" s="806"/>
      <c r="IYT31" s="806"/>
      <c r="IYU31" s="806"/>
      <c r="IYV31" s="806"/>
      <c r="IYW31" s="806"/>
      <c r="IYX31" s="806"/>
      <c r="IYY31" s="806"/>
      <c r="IYZ31" s="806"/>
      <c r="IZA31" s="806"/>
      <c r="IZB31" s="806"/>
      <c r="IZC31" s="806"/>
      <c r="IZD31" s="806"/>
      <c r="IZE31" s="806"/>
      <c r="IZF31" s="806"/>
      <c r="IZG31" s="806"/>
      <c r="IZH31" s="806"/>
      <c r="IZI31" s="806"/>
      <c r="IZJ31" s="806"/>
      <c r="IZK31" s="806"/>
      <c r="IZL31" s="806"/>
      <c r="IZM31" s="806"/>
      <c r="IZN31" s="806"/>
      <c r="IZO31" s="806"/>
      <c r="IZP31" s="806"/>
      <c r="IZQ31" s="806"/>
      <c r="IZR31" s="806"/>
      <c r="IZS31" s="806"/>
      <c r="IZT31" s="806"/>
      <c r="IZU31" s="806"/>
      <c r="IZV31" s="806"/>
      <c r="IZW31" s="806"/>
      <c r="IZX31" s="806"/>
      <c r="IZY31" s="806"/>
      <c r="IZZ31" s="806"/>
      <c r="JAA31" s="806"/>
      <c r="JAB31" s="806"/>
      <c r="JAC31" s="806"/>
      <c r="JAD31" s="806"/>
      <c r="JAE31" s="806"/>
      <c r="JAF31" s="806"/>
      <c r="JAG31" s="806"/>
      <c r="JAH31" s="806"/>
      <c r="JAI31" s="806"/>
      <c r="JAJ31" s="806"/>
      <c r="JAK31" s="806"/>
      <c r="JAL31" s="806"/>
      <c r="JAM31" s="806"/>
      <c r="JAN31" s="806"/>
      <c r="JAO31" s="806"/>
      <c r="JAP31" s="806"/>
      <c r="JAQ31" s="806"/>
      <c r="JAR31" s="806"/>
      <c r="JAS31" s="806"/>
      <c r="JAT31" s="806"/>
      <c r="JAU31" s="806"/>
      <c r="JAV31" s="806"/>
      <c r="JAW31" s="806"/>
      <c r="JAX31" s="806"/>
      <c r="JAY31" s="806"/>
      <c r="JAZ31" s="806"/>
      <c r="JBA31" s="806"/>
      <c r="JBB31" s="806"/>
      <c r="JBC31" s="806"/>
      <c r="JBD31" s="806"/>
      <c r="JBE31" s="806"/>
      <c r="JBF31" s="806"/>
      <c r="JBG31" s="806"/>
      <c r="JBH31" s="806"/>
      <c r="JBI31" s="806"/>
      <c r="JBJ31" s="806"/>
      <c r="JBK31" s="806"/>
      <c r="JBL31" s="806"/>
      <c r="JBM31" s="806"/>
      <c r="JBN31" s="806"/>
      <c r="JBO31" s="806"/>
      <c r="JBP31" s="806"/>
      <c r="JBQ31" s="806"/>
      <c r="JBR31" s="806"/>
      <c r="JBS31" s="806"/>
      <c r="JBT31" s="806"/>
      <c r="JBU31" s="806"/>
      <c r="JBV31" s="806"/>
      <c r="JBW31" s="806"/>
      <c r="JBX31" s="806"/>
      <c r="JBY31" s="806"/>
      <c r="JBZ31" s="806"/>
      <c r="JCA31" s="806"/>
      <c r="JCB31" s="806"/>
      <c r="JCC31" s="806"/>
      <c r="JCD31" s="806"/>
      <c r="JCE31" s="806"/>
      <c r="JCF31" s="806"/>
      <c r="JCG31" s="806"/>
      <c r="JCH31" s="806"/>
      <c r="JCI31" s="806"/>
      <c r="JCJ31" s="806"/>
      <c r="JCK31" s="806"/>
      <c r="JCL31" s="806"/>
      <c r="JCM31" s="806"/>
      <c r="JCN31" s="806"/>
      <c r="JCO31" s="806"/>
      <c r="JCP31" s="806"/>
      <c r="JCQ31" s="806"/>
      <c r="JCR31" s="806"/>
      <c r="JCS31" s="806"/>
      <c r="JCT31" s="806"/>
      <c r="JCU31" s="806"/>
      <c r="JCV31" s="806"/>
      <c r="JCW31" s="806"/>
      <c r="JCX31" s="806"/>
      <c r="JCY31" s="806"/>
      <c r="JCZ31" s="806"/>
      <c r="JDA31" s="806"/>
      <c r="JDB31" s="806"/>
      <c r="JDC31" s="806"/>
      <c r="JDD31" s="806"/>
      <c r="JDE31" s="806"/>
      <c r="JDF31" s="806"/>
      <c r="JDG31" s="806"/>
      <c r="JDH31" s="806"/>
      <c r="JDI31" s="806"/>
      <c r="JDJ31" s="806"/>
      <c r="JDK31" s="806"/>
      <c r="JDL31" s="806"/>
      <c r="JDM31" s="806"/>
      <c r="JDN31" s="806"/>
      <c r="JDO31" s="806"/>
      <c r="JDP31" s="806"/>
      <c r="JDQ31" s="806"/>
      <c r="JDR31" s="806"/>
      <c r="JDS31" s="806"/>
      <c r="JDT31" s="806"/>
      <c r="JDU31" s="806"/>
      <c r="JDV31" s="806"/>
      <c r="JDW31" s="806"/>
      <c r="JDX31" s="806"/>
      <c r="JDY31" s="806"/>
      <c r="JDZ31" s="806"/>
      <c r="JEA31" s="806"/>
      <c r="JEB31" s="806"/>
      <c r="JEC31" s="806"/>
      <c r="JED31" s="806"/>
      <c r="JEE31" s="806"/>
      <c r="JEF31" s="806"/>
      <c r="JEG31" s="806"/>
      <c r="JEH31" s="806"/>
      <c r="JEI31" s="806"/>
      <c r="JEJ31" s="806"/>
      <c r="JEK31" s="806"/>
      <c r="JEL31" s="806"/>
      <c r="JEM31" s="806"/>
      <c r="JEN31" s="806"/>
      <c r="JEO31" s="806"/>
      <c r="JEP31" s="806"/>
      <c r="JEQ31" s="806"/>
      <c r="JER31" s="806"/>
      <c r="JES31" s="806"/>
      <c r="JET31" s="806"/>
      <c r="JEU31" s="806"/>
      <c r="JEV31" s="806"/>
      <c r="JEW31" s="806"/>
      <c r="JEX31" s="806"/>
      <c r="JEY31" s="806"/>
      <c r="JEZ31" s="806"/>
      <c r="JFA31" s="806"/>
      <c r="JFB31" s="806"/>
      <c r="JFC31" s="806"/>
      <c r="JFD31" s="806"/>
      <c r="JFE31" s="806"/>
      <c r="JFF31" s="806"/>
      <c r="JFG31" s="806"/>
      <c r="JFH31" s="806"/>
      <c r="JFI31" s="806"/>
      <c r="JFJ31" s="806"/>
      <c r="JFK31" s="806"/>
      <c r="JFL31" s="806"/>
      <c r="JFM31" s="806"/>
      <c r="JFN31" s="806"/>
      <c r="JFO31" s="806"/>
      <c r="JFP31" s="806"/>
      <c r="JFQ31" s="806"/>
      <c r="JFR31" s="806"/>
      <c r="JFS31" s="806"/>
      <c r="JFT31" s="806"/>
      <c r="JFU31" s="806"/>
      <c r="JFV31" s="806"/>
      <c r="JFW31" s="806"/>
      <c r="JFX31" s="806"/>
      <c r="JFY31" s="806"/>
      <c r="JFZ31" s="806"/>
      <c r="JGA31" s="806"/>
      <c r="JGB31" s="806"/>
      <c r="JGC31" s="806"/>
      <c r="JGD31" s="806"/>
      <c r="JGE31" s="806"/>
      <c r="JGF31" s="806"/>
      <c r="JGG31" s="806"/>
      <c r="JGH31" s="806"/>
      <c r="JGI31" s="806"/>
      <c r="JGJ31" s="806"/>
      <c r="JGK31" s="806"/>
      <c r="JGL31" s="806"/>
      <c r="JGM31" s="806"/>
      <c r="JGN31" s="806"/>
      <c r="JGO31" s="806"/>
      <c r="JGP31" s="806"/>
      <c r="JGQ31" s="806"/>
      <c r="JGR31" s="806"/>
      <c r="JGS31" s="806"/>
      <c r="JGT31" s="806"/>
      <c r="JGU31" s="806"/>
      <c r="JGV31" s="806"/>
      <c r="JGW31" s="806"/>
      <c r="JGX31" s="806"/>
      <c r="JGY31" s="806"/>
      <c r="JGZ31" s="806"/>
      <c r="JHA31" s="806"/>
      <c r="JHB31" s="806"/>
      <c r="JHC31" s="806"/>
      <c r="JHD31" s="806"/>
      <c r="JHE31" s="806"/>
      <c r="JHF31" s="806"/>
      <c r="JHG31" s="806"/>
      <c r="JHH31" s="806"/>
      <c r="JHI31" s="806"/>
      <c r="JHJ31" s="806"/>
      <c r="JHK31" s="806"/>
      <c r="JHL31" s="806"/>
      <c r="JHM31" s="806"/>
      <c r="JHN31" s="806"/>
      <c r="JHO31" s="806"/>
      <c r="JHP31" s="806"/>
      <c r="JHQ31" s="806"/>
      <c r="JHR31" s="806"/>
      <c r="JHS31" s="806"/>
      <c r="JHT31" s="806"/>
      <c r="JHU31" s="806"/>
      <c r="JHV31" s="806"/>
      <c r="JHW31" s="806"/>
      <c r="JHX31" s="806"/>
      <c r="JHY31" s="806"/>
      <c r="JHZ31" s="806"/>
      <c r="JIA31" s="806"/>
      <c r="JIB31" s="806"/>
      <c r="JIC31" s="806"/>
      <c r="JID31" s="806"/>
      <c r="JIE31" s="806"/>
      <c r="JIF31" s="806"/>
      <c r="JIG31" s="806"/>
      <c r="JIH31" s="806"/>
      <c r="JII31" s="806"/>
      <c r="JIJ31" s="806"/>
      <c r="JIK31" s="806"/>
      <c r="JIL31" s="806"/>
      <c r="JIM31" s="806"/>
      <c r="JIN31" s="806"/>
      <c r="JIO31" s="806"/>
      <c r="JIP31" s="806"/>
      <c r="JIQ31" s="806"/>
      <c r="JIR31" s="806"/>
      <c r="JIS31" s="806"/>
      <c r="JIT31" s="806"/>
      <c r="JIU31" s="806"/>
      <c r="JIV31" s="806"/>
      <c r="JIW31" s="806"/>
      <c r="JIX31" s="806"/>
      <c r="JIY31" s="806"/>
      <c r="JIZ31" s="806"/>
      <c r="JJA31" s="806"/>
      <c r="JJB31" s="806"/>
      <c r="JJC31" s="806"/>
      <c r="JJD31" s="806"/>
      <c r="JJE31" s="806"/>
      <c r="JJF31" s="806"/>
      <c r="JJG31" s="806"/>
      <c r="JJH31" s="806"/>
      <c r="JJI31" s="806"/>
      <c r="JJJ31" s="806"/>
      <c r="JJK31" s="806"/>
      <c r="JJL31" s="806"/>
      <c r="JJM31" s="806"/>
      <c r="JJN31" s="806"/>
      <c r="JJO31" s="806"/>
      <c r="JJP31" s="806"/>
      <c r="JJQ31" s="806"/>
      <c r="JJR31" s="806"/>
      <c r="JJS31" s="806"/>
      <c r="JJT31" s="806"/>
      <c r="JJU31" s="806"/>
      <c r="JJV31" s="806"/>
      <c r="JJW31" s="806"/>
      <c r="JJX31" s="806"/>
      <c r="JJY31" s="806"/>
      <c r="JJZ31" s="806"/>
      <c r="JKA31" s="806"/>
      <c r="JKB31" s="806"/>
      <c r="JKC31" s="806"/>
      <c r="JKD31" s="806"/>
      <c r="JKE31" s="806"/>
      <c r="JKF31" s="806"/>
      <c r="JKG31" s="806"/>
      <c r="JKH31" s="806"/>
      <c r="JKI31" s="806"/>
      <c r="JKJ31" s="806"/>
      <c r="JKK31" s="806"/>
      <c r="JKL31" s="806"/>
      <c r="JKM31" s="806"/>
      <c r="JKN31" s="806"/>
      <c r="JKO31" s="806"/>
      <c r="JKP31" s="806"/>
      <c r="JKQ31" s="806"/>
      <c r="JKR31" s="806"/>
      <c r="JKS31" s="806"/>
      <c r="JKT31" s="806"/>
      <c r="JKU31" s="806"/>
      <c r="JKV31" s="806"/>
      <c r="JKW31" s="806"/>
      <c r="JKX31" s="806"/>
      <c r="JKY31" s="806"/>
      <c r="JKZ31" s="806"/>
      <c r="JLA31" s="806"/>
      <c r="JLB31" s="806"/>
      <c r="JLC31" s="806"/>
      <c r="JLD31" s="806"/>
      <c r="JLE31" s="806"/>
      <c r="JLF31" s="806"/>
      <c r="JLG31" s="806"/>
      <c r="JLH31" s="806"/>
      <c r="JLI31" s="806"/>
      <c r="JLJ31" s="806"/>
      <c r="JLK31" s="806"/>
      <c r="JLL31" s="806"/>
      <c r="JLM31" s="806"/>
      <c r="JLN31" s="806"/>
      <c r="JLO31" s="806"/>
      <c r="JLP31" s="806"/>
      <c r="JLQ31" s="806"/>
      <c r="JLR31" s="806"/>
      <c r="JLS31" s="806"/>
      <c r="JLT31" s="806"/>
      <c r="JLU31" s="806"/>
      <c r="JLV31" s="806"/>
      <c r="JLW31" s="806"/>
      <c r="JLX31" s="806"/>
      <c r="JLY31" s="806"/>
      <c r="JLZ31" s="806"/>
      <c r="JMA31" s="806"/>
      <c r="JMB31" s="806"/>
      <c r="JMC31" s="806"/>
      <c r="JMD31" s="806"/>
      <c r="JME31" s="806"/>
      <c r="JMF31" s="806"/>
      <c r="JMG31" s="806"/>
      <c r="JMH31" s="806"/>
      <c r="JMI31" s="806"/>
      <c r="JMJ31" s="806"/>
      <c r="JMK31" s="806"/>
      <c r="JML31" s="806"/>
      <c r="JMM31" s="806"/>
      <c r="JMN31" s="806"/>
      <c r="JMO31" s="806"/>
      <c r="JMP31" s="806"/>
      <c r="JMQ31" s="806"/>
      <c r="JMR31" s="806"/>
      <c r="JMS31" s="806"/>
      <c r="JMT31" s="806"/>
      <c r="JMU31" s="806"/>
      <c r="JMV31" s="806"/>
      <c r="JMW31" s="806"/>
      <c r="JMX31" s="806"/>
      <c r="JMY31" s="806"/>
      <c r="JMZ31" s="806"/>
      <c r="JNA31" s="806"/>
      <c r="JNB31" s="806"/>
      <c r="JNC31" s="806"/>
      <c r="JND31" s="806"/>
      <c r="JNE31" s="806"/>
      <c r="JNF31" s="806"/>
      <c r="JNG31" s="806"/>
      <c r="JNH31" s="806"/>
      <c r="JNI31" s="806"/>
      <c r="JNJ31" s="806"/>
      <c r="JNK31" s="806"/>
      <c r="JNL31" s="806"/>
      <c r="JNM31" s="806"/>
      <c r="JNN31" s="806"/>
      <c r="JNO31" s="806"/>
      <c r="JNP31" s="806"/>
      <c r="JNQ31" s="806"/>
      <c r="JNR31" s="806"/>
      <c r="JNS31" s="806"/>
      <c r="JNT31" s="806"/>
      <c r="JNU31" s="806"/>
      <c r="JNV31" s="806"/>
      <c r="JNW31" s="806"/>
      <c r="JNX31" s="806"/>
      <c r="JNY31" s="806"/>
      <c r="JNZ31" s="806"/>
      <c r="JOA31" s="806"/>
      <c r="JOB31" s="806"/>
      <c r="JOC31" s="806"/>
      <c r="JOD31" s="806"/>
      <c r="JOE31" s="806"/>
      <c r="JOF31" s="806"/>
      <c r="JOG31" s="806"/>
      <c r="JOH31" s="806"/>
      <c r="JOI31" s="806"/>
      <c r="JOJ31" s="806"/>
      <c r="JOK31" s="806"/>
      <c r="JOL31" s="806"/>
      <c r="JOM31" s="806"/>
      <c r="JON31" s="806"/>
      <c r="JOO31" s="806"/>
      <c r="JOP31" s="806"/>
      <c r="JOQ31" s="806"/>
      <c r="JOR31" s="806"/>
      <c r="JOS31" s="806"/>
      <c r="JOT31" s="806"/>
      <c r="JOU31" s="806"/>
      <c r="JOV31" s="806"/>
      <c r="JOW31" s="806"/>
      <c r="JOX31" s="806"/>
      <c r="JOY31" s="806"/>
      <c r="JOZ31" s="806"/>
      <c r="JPA31" s="806"/>
      <c r="JPB31" s="806"/>
      <c r="JPC31" s="806"/>
      <c r="JPD31" s="806"/>
      <c r="JPE31" s="806"/>
      <c r="JPF31" s="806"/>
      <c r="JPG31" s="806"/>
      <c r="JPH31" s="806"/>
      <c r="JPI31" s="806"/>
      <c r="JPJ31" s="806"/>
      <c r="JPK31" s="806"/>
      <c r="JPL31" s="806"/>
      <c r="JPM31" s="806"/>
      <c r="JPN31" s="806"/>
      <c r="JPO31" s="806"/>
      <c r="JPP31" s="806"/>
      <c r="JPQ31" s="806"/>
      <c r="JPR31" s="806"/>
      <c r="JPS31" s="806"/>
      <c r="JPT31" s="806"/>
      <c r="JPU31" s="806"/>
      <c r="JPV31" s="806"/>
      <c r="JPW31" s="806"/>
      <c r="JPX31" s="806"/>
      <c r="JPY31" s="806"/>
      <c r="JPZ31" s="806"/>
      <c r="JQA31" s="806"/>
      <c r="JQB31" s="806"/>
      <c r="JQC31" s="806"/>
      <c r="JQD31" s="806"/>
      <c r="JQE31" s="806"/>
      <c r="JQF31" s="806"/>
      <c r="JQG31" s="806"/>
      <c r="JQH31" s="806"/>
      <c r="JQI31" s="806"/>
      <c r="JQJ31" s="806"/>
      <c r="JQK31" s="806"/>
      <c r="JQL31" s="806"/>
      <c r="JQM31" s="806"/>
      <c r="JQN31" s="806"/>
      <c r="JQO31" s="806"/>
      <c r="JQP31" s="806"/>
      <c r="JQQ31" s="806"/>
      <c r="JQR31" s="806"/>
      <c r="JQS31" s="806"/>
      <c r="JQT31" s="806"/>
      <c r="JQU31" s="806"/>
      <c r="JQV31" s="806"/>
      <c r="JQW31" s="806"/>
      <c r="JQX31" s="806"/>
      <c r="JQY31" s="806"/>
      <c r="JQZ31" s="806"/>
      <c r="JRA31" s="806"/>
      <c r="JRB31" s="806"/>
      <c r="JRC31" s="806"/>
      <c r="JRD31" s="806"/>
      <c r="JRE31" s="806"/>
      <c r="JRF31" s="806"/>
      <c r="JRG31" s="806"/>
      <c r="JRH31" s="806"/>
      <c r="JRI31" s="806"/>
      <c r="JRJ31" s="806"/>
      <c r="JRK31" s="806"/>
      <c r="JRL31" s="806"/>
      <c r="JRM31" s="806"/>
      <c r="JRN31" s="806"/>
      <c r="JRO31" s="806"/>
      <c r="JRP31" s="806"/>
      <c r="JRQ31" s="806"/>
      <c r="JRR31" s="806"/>
      <c r="JRS31" s="806"/>
      <c r="JRT31" s="806"/>
      <c r="JRU31" s="806"/>
      <c r="JRV31" s="806"/>
      <c r="JRW31" s="806"/>
      <c r="JRX31" s="806"/>
      <c r="JRY31" s="806"/>
      <c r="JRZ31" s="806"/>
      <c r="JSA31" s="806"/>
      <c r="JSB31" s="806"/>
      <c r="JSC31" s="806"/>
      <c r="JSD31" s="806"/>
      <c r="JSE31" s="806"/>
      <c r="JSF31" s="806"/>
      <c r="JSG31" s="806"/>
      <c r="JSH31" s="806"/>
      <c r="JSI31" s="806"/>
      <c r="JSJ31" s="806"/>
      <c r="JSK31" s="806"/>
      <c r="JSL31" s="806"/>
      <c r="JSM31" s="806"/>
      <c r="JSN31" s="806"/>
      <c r="JSO31" s="806"/>
      <c r="JSP31" s="806"/>
      <c r="JSQ31" s="806"/>
      <c r="JSR31" s="806"/>
      <c r="JSS31" s="806"/>
      <c r="JST31" s="806"/>
      <c r="JSU31" s="806"/>
      <c r="JSV31" s="806"/>
      <c r="JSW31" s="806"/>
      <c r="JSX31" s="806"/>
      <c r="JSY31" s="806"/>
      <c r="JSZ31" s="806"/>
      <c r="JTA31" s="806"/>
      <c r="JTB31" s="806"/>
      <c r="JTC31" s="806"/>
      <c r="JTD31" s="806"/>
      <c r="JTE31" s="806"/>
      <c r="JTF31" s="806"/>
      <c r="JTG31" s="806"/>
      <c r="JTH31" s="806"/>
      <c r="JTI31" s="806"/>
      <c r="JTJ31" s="806"/>
      <c r="JTK31" s="806"/>
      <c r="JTL31" s="806"/>
      <c r="JTM31" s="806"/>
      <c r="JTN31" s="806"/>
      <c r="JTO31" s="806"/>
      <c r="JTP31" s="806"/>
      <c r="JTQ31" s="806"/>
      <c r="JTR31" s="806"/>
      <c r="JTS31" s="806"/>
      <c r="JTT31" s="806"/>
      <c r="JTU31" s="806"/>
      <c r="JTV31" s="806"/>
      <c r="JTW31" s="806"/>
      <c r="JTX31" s="806"/>
      <c r="JTY31" s="806"/>
      <c r="JTZ31" s="806"/>
      <c r="JUA31" s="806"/>
      <c r="JUB31" s="806"/>
      <c r="JUC31" s="806"/>
      <c r="JUD31" s="806"/>
      <c r="JUE31" s="806"/>
      <c r="JUF31" s="806"/>
      <c r="JUG31" s="806"/>
      <c r="JUH31" s="806"/>
      <c r="JUI31" s="806"/>
      <c r="JUJ31" s="806"/>
      <c r="JUK31" s="806"/>
      <c r="JUL31" s="806"/>
      <c r="JUM31" s="806"/>
      <c r="JUN31" s="806"/>
      <c r="JUO31" s="806"/>
      <c r="JUP31" s="806"/>
      <c r="JUQ31" s="806"/>
      <c r="JUR31" s="806"/>
      <c r="JUS31" s="806"/>
      <c r="JUT31" s="806"/>
      <c r="JUU31" s="806"/>
      <c r="JUV31" s="806"/>
      <c r="JUW31" s="806"/>
      <c r="JUX31" s="806"/>
      <c r="JUY31" s="806"/>
      <c r="JUZ31" s="806"/>
      <c r="JVA31" s="806"/>
      <c r="JVB31" s="806"/>
      <c r="JVC31" s="806"/>
      <c r="JVD31" s="806"/>
      <c r="JVE31" s="806"/>
      <c r="JVF31" s="806"/>
      <c r="JVG31" s="806"/>
      <c r="JVH31" s="806"/>
      <c r="JVI31" s="806"/>
      <c r="JVJ31" s="806"/>
      <c r="JVK31" s="806"/>
      <c r="JVL31" s="806"/>
      <c r="JVM31" s="806"/>
      <c r="JVN31" s="806"/>
      <c r="JVO31" s="806"/>
      <c r="JVP31" s="806"/>
      <c r="JVQ31" s="806"/>
      <c r="JVR31" s="806"/>
      <c r="JVS31" s="806"/>
      <c r="JVT31" s="806"/>
      <c r="JVU31" s="806"/>
      <c r="JVV31" s="806"/>
      <c r="JVW31" s="806"/>
      <c r="JVX31" s="806"/>
      <c r="JVY31" s="806"/>
      <c r="JVZ31" s="806"/>
      <c r="JWA31" s="806"/>
      <c r="JWB31" s="806"/>
      <c r="JWC31" s="806"/>
      <c r="JWD31" s="806"/>
      <c r="JWE31" s="806"/>
      <c r="JWF31" s="806"/>
      <c r="JWG31" s="806"/>
      <c r="JWH31" s="806"/>
      <c r="JWI31" s="806"/>
      <c r="JWJ31" s="806"/>
      <c r="JWK31" s="806"/>
      <c r="JWL31" s="806"/>
      <c r="JWM31" s="806"/>
      <c r="JWN31" s="806"/>
      <c r="JWO31" s="806"/>
      <c r="JWP31" s="806"/>
      <c r="JWQ31" s="806"/>
      <c r="JWR31" s="806"/>
      <c r="JWS31" s="806"/>
      <c r="JWT31" s="806"/>
      <c r="JWU31" s="806"/>
      <c r="JWV31" s="806"/>
      <c r="JWW31" s="806"/>
      <c r="JWX31" s="806"/>
      <c r="JWY31" s="806"/>
      <c r="JWZ31" s="806"/>
      <c r="JXA31" s="806"/>
      <c r="JXB31" s="806"/>
      <c r="JXC31" s="806"/>
      <c r="JXD31" s="806"/>
      <c r="JXE31" s="806"/>
      <c r="JXF31" s="806"/>
      <c r="JXG31" s="806"/>
      <c r="JXH31" s="806"/>
      <c r="JXI31" s="806"/>
      <c r="JXJ31" s="806"/>
      <c r="JXK31" s="806"/>
      <c r="JXL31" s="806"/>
      <c r="JXM31" s="806"/>
      <c r="JXN31" s="806"/>
      <c r="JXO31" s="806"/>
      <c r="JXP31" s="806"/>
      <c r="JXQ31" s="806"/>
      <c r="JXR31" s="806"/>
      <c r="JXS31" s="806"/>
      <c r="JXT31" s="806"/>
      <c r="JXU31" s="806"/>
      <c r="JXV31" s="806"/>
      <c r="JXW31" s="806"/>
      <c r="JXX31" s="806"/>
      <c r="JXY31" s="806"/>
      <c r="JXZ31" s="806"/>
      <c r="JYA31" s="806"/>
      <c r="JYB31" s="806"/>
      <c r="JYC31" s="806"/>
      <c r="JYD31" s="806"/>
      <c r="JYE31" s="806"/>
      <c r="JYF31" s="806"/>
      <c r="JYG31" s="806"/>
      <c r="JYH31" s="806"/>
      <c r="JYI31" s="806"/>
      <c r="JYJ31" s="806"/>
      <c r="JYK31" s="806"/>
      <c r="JYL31" s="806"/>
      <c r="JYM31" s="806"/>
      <c r="JYN31" s="806"/>
      <c r="JYO31" s="806"/>
      <c r="JYP31" s="806"/>
      <c r="JYQ31" s="806"/>
      <c r="JYR31" s="806"/>
      <c r="JYS31" s="806"/>
      <c r="JYT31" s="806"/>
      <c r="JYU31" s="806"/>
      <c r="JYV31" s="806"/>
      <c r="JYW31" s="806"/>
      <c r="JYX31" s="806"/>
      <c r="JYY31" s="806"/>
      <c r="JYZ31" s="806"/>
      <c r="JZA31" s="806"/>
      <c r="JZB31" s="806"/>
      <c r="JZC31" s="806"/>
      <c r="JZD31" s="806"/>
      <c r="JZE31" s="806"/>
      <c r="JZF31" s="806"/>
      <c r="JZG31" s="806"/>
      <c r="JZH31" s="806"/>
      <c r="JZI31" s="806"/>
      <c r="JZJ31" s="806"/>
      <c r="JZK31" s="806"/>
      <c r="JZL31" s="806"/>
      <c r="JZM31" s="806"/>
      <c r="JZN31" s="806"/>
      <c r="JZO31" s="806"/>
      <c r="JZP31" s="806"/>
      <c r="JZQ31" s="806"/>
      <c r="JZR31" s="806"/>
      <c r="JZS31" s="806"/>
      <c r="JZT31" s="806"/>
      <c r="JZU31" s="806"/>
      <c r="JZV31" s="806"/>
      <c r="JZW31" s="806"/>
      <c r="JZX31" s="806"/>
      <c r="JZY31" s="806"/>
      <c r="JZZ31" s="806"/>
      <c r="KAA31" s="806"/>
      <c r="KAB31" s="806"/>
      <c r="KAC31" s="806"/>
      <c r="KAD31" s="806"/>
      <c r="KAE31" s="806"/>
      <c r="KAF31" s="806"/>
      <c r="KAG31" s="806"/>
      <c r="KAH31" s="806"/>
      <c r="KAI31" s="806"/>
      <c r="KAJ31" s="806"/>
      <c r="KAK31" s="806"/>
      <c r="KAL31" s="806"/>
      <c r="KAM31" s="806"/>
      <c r="KAN31" s="806"/>
      <c r="KAO31" s="806"/>
      <c r="KAP31" s="806"/>
      <c r="KAQ31" s="806"/>
      <c r="KAR31" s="806"/>
      <c r="KAS31" s="806"/>
      <c r="KAT31" s="806"/>
      <c r="KAU31" s="806"/>
      <c r="KAV31" s="806"/>
      <c r="KAW31" s="806"/>
      <c r="KAX31" s="806"/>
      <c r="KAY31" s="806"/>
      <c r="KAZ31" s="806"/>
      <c r="KBA31" s="806"/>
      <c r="KBB31" s="806"/>
      <c r="KBC31" s="806"/>
      <c r="KBD31" s="806"/>
      <c r="KBE31" s="806"/>
      <c r="KBF31" s="806"/>
      <c r="KBG31" s="806"/>
      <c r="KBH31" s="806"/>
      <c r="KBI31" s="806"/>
      <c r="KBJ31" s="806"/>
      <c r="KBK31" s="806"/>
      <c r="KBL31" s="806"/>
      <c r="KBM31" s="806"/>
      <c r="KBN31" s="806"/>
      <c r="KBO31" s="806"/>
      <c r="KBP31" s="806"/>
      <c r="KBQ31" s="806"/>
      <c r="KBR31" s="806"/>
      <c r="KBS31" s="806"/>
      <c r="KBT31" s="806"/>
      <c r="KBU31" s="806"/>
      <c r="KBV31" s="806"/>
      <c r="KBW31" s="806"/>
      <c r="KBX31" s="806"/>
      <c r="KBY31" s="806"/>
      <c r="KBZ31" s="806"/>
      <c r="KCA31" s="806"/>
      <c r="KCB31" s="806"/>
      <c r="KCC31" s="806"/>
      <c r="KCD31" s="806"/>
      <c r="KCE31" s="806"/>
      <c r="KCF31" s="806"/>
      <c r="KCG31" s="806"/>
      <c r="KCH31" s="806"/>
      <c r="KCI31" s="806"/>
      <c r="KCJ31" s="806"/>
      <c r="KCK31" s="806"/>
      <c r="KCL31" s="806"/>
      <c r="KCM31" s="806"/>
      <c r="KCN31" s="806"/>
      <c r="KCO31" s="806"/>
      <c r="KCP31" s="806"/>
      <c r="KCQ31" s="806"/>
      <c r="KCR31" s="806"/>
      <c r="KCS31" s="806"/>
      <c r="KCT31" s="806"/>
      <c r="KCU31" s="806"/>
      <c r="KCV31" s="806"/>
      <c r="KCW31" s="806"/>
      <c r="KCX31" s="806"/>
      <c r="KCY31" s="806"/>
      <c r="KCZ31" s="806"/>
      <c r="KDA31" s="806"/>
      <c r="KDB31" s="806"/>
      <c r="KDC31" s="806"/>
      <c r="KDD31" s="806"/>
      <c r="KDE31" s="806"/>
      <c r="KDF31" s="806"/>
      <c r="KDG31" s="806"/>
      <c r="KDH31" s="806"/>
      <c r="KDI31" s="806"/>
      <c r="KDJ31" s="806"/>
      <c r="KDK31" s="806"/>
      <c r="KDL31" s="806"/>
      <c r="KDM31" s="806"/>
      <c r="KDN31" s="806"/>
      <c r="KDO31" s="806"/>
      <c r="KDP31" s="806"/>
      <c r="KDQ31" s="806"/>
      <c r="KDR31" s="806"/>
      <c r="KDS31" s="806"/>
      <c r="KDT31" s="806"/>
      <c r="KDU31" s="806"/>
      <c r="KDV31" s="806"/>
      <c r="KDW31" s="806"/>
      <c r="KDX31" s="806"/>
      <c r="KDY31" s="806"/>
      <c r="KDZ31" s="806"/>
      <c r="KEA31" s="806"/>
      <c r="KEB31" s="806"/>
      <c r="KEC31" s="806"/>
      <c r="KED31" s="806"/>
      <c r="KEE31" s="806"/>
      <c r="KEF31" s="806"/>
      <c r="KEG31" s="806"/>
      <c r="KEH31" s="806"/>
      <c r="KEI31" s="806"/>
      <c r="KEJ31" s="806"/>
      <c r="KEK31" s="806"/>
      <c r="KEL31" s="806"/>
      <c r="KEM31" s="806"/>
      <c r="KEN31" s="806"/>
      <c r="KEO31" s="806"/>
      <c r="KEP31" s="806"/>
      <c r="KEQ31" s="806"/>
      <c r="KER31" s="806"/>
      <c r="KES31" s="806"/>
      <c r="KET31" s="806"/>
      <c r="KEU31" s="806"/>
      <c r="KEV31" s="806"/>
      <c r="KEW31" s="806"/>
      <c r="KEX31" s="806"/>
      <c r="KEY31" s="806"/>
      <c r="KEZ31" s="806"/>
      <c r="KFA31" s="806"/>
      <c r="KFB31" s="806"/>
      <c r="KFC31" s="806"/>
      <c r="KFD31" s="806"/>
      <c r="KFE31" s="806"/>
      <c r="KFF31" s="806"/>
      <c r="KFG31" s="806"/>
      <c r="KFH31" s="806"/>
      <c r="KFI31" s="806"/>
      <c r="KFJ31" s="806"/>
      <c r="KFK31" s="806"/>
      <c r="KFL31" s="806"/>
      <c r="KFM31" s="806"/>
      <c r="KFN31" s="806"/>
      <c r="KFO31" s="806"/>
      <c r="KFP31" s="806"/>
      <c r="KFQ31" s="806"/>
      <c r="KFR31" s="806"/>
      <c r="KFS31" s="806"/>
      <c r="KFT31" s="806"/>
      <c r="KFU31" s="806"/>
      <c r="KFV31" s="806"/>
      <c r="KFW31" s="806"/>
      <c r="KFX31" s="806"/>
      <c r="KFY31" s="806"/>
      <c r="KFZ31" s="806"/>
      <c r="KGA31" s="806"/>
      <c r="KGB31" s="806"/>
      <c r="KGC31" s="806"/>
      <c r="KGD31" s="806"/>
      <c r="KGE31" s="806"/>
      <c r="KGF31" s="806"/>
      <c r="KGG31" s="806"/>
      <c r="KGH31" s="806"/>
      <c r="KGI31" s="806"/>
      <c r="KGJ31" s="806"/>
      <c r="KGK31" s="806"/>
      <c r="KGL31" s="806"/>
      <c r="KGM31" s="806"/>
      <c r="KGN31" s="806"/>
      <c r="KGO31" s="806"/>
      <c r="KGP31" s="806"/>
      <c r="KGQ31" s="806"/>
      <c r="KGR31" s="806"/>
      <c r="KGS31" s="806"/>
      <c r="KGT31" s="806"/>
      <c r="KGU31" s="806"/>
      <c r="KGV31" s="806"/>
      <c r="KGW31" s="806"/>
      <c r="KGX31" s="806"/>
      <c r="KGY31" s="806"/>
      <c r="KGZ31" s="806"/>
      <c r="KHA31" s="806"/>
      <c r="KHB31" s="806"/>
      <c r="KHC31" s="806"/>
      <c r="KHD31" s="806"/>
      <c r="KHE31" s="806"/>
      <c r="KHF31" s="806"/>
      <c r="KHG31" s="806"/>
      <c r="KHH31" s="806"/>
      <c r="KHI31" s="806"/>
      <c r="KHJ31" s="806"/>
      <c r="KHK31" s="806"/>
      <c r="KHL31" s="806"/>
      <c r="KHM31" s="806"/>
      <c r="KHN31" s="806"/>
      <c r="KHO31" s="806"/>
      <c r="KHP31" s="806"/>
      <c r="KHQ31" s="806"/>
      <c r="KHR31" s="806"/>
      <c r="KHS31" s="806"/>
      <c r="KHT31" s="806"/>
      <c r="KHU31" s="806"/>
      <c r="KHV31" s="806"/>
      <c r="KHW31" s="806"/>
      <c r="KHX31" s="806"/>
      <c r="KHY31" s="806"/>
      <c r="KHZ31" s="806"/>
      <c r="KIA31" s="806"/>
      <c r="KIB31" s="806"/>
      <c r="KIC31" s="806"/>
      <c r="KID31" s="806"/>
      <c r="KIE31" s="806"/>
      <c r="KIF31" s="806"/>
      <c r="KIG31" s="806"/>
      <c r="KIH31" s="806"/>
      <c r="KII31" s="806"/>
      <c r="KIJ31" s="806"/>
      <c r="KIK31" s="806"/>
      <c r="KIL31" s="806"/>
      <c r="KIM31" s="806"/>
      <c r="KIN31" s="806"/>
      <c r="KIO31" s="806"/>
      <c r="KIP31" s="806"/>
      <c r="KIQ31" s="806"/>
      <c r="KIR31" s="806"/>
      <c r="KIS31" s="806"/>
      <c r="KIT31" s="806"/>
      <c r="KIU31" s="806"/>
      <c r="KIV31" s="806"/>
      <c r="KIW31" s="806"/>
      <c r="KIX31" s="806"/>
      <c r="KIY31" s="806"/>
      <c r="KIZ31" s="806"/>
      <c r="KJA31" s="806"/>
      <c r="KJB31" s="806"/>
      <c r="KJC31" s="806"/>
      <c r="KJD31" s="806"/>
      <c r="KJE31" s="806"/>
      <c r="KJF31" s="806"/>
      <c r="KJG31" s="806"/>
      <c r="KJH31" s="806"/>
      <c r="KJI31" s="806"/>
      <c r="KJJ31" s="806"/>
      <c r="KJK31" s="806"/>
      <c r="KJL31" s="806"/>
      <c r="KJM31" s="806"/>
      <c r="KJN31" s="806"/>
      <c r="KJO31" s="806"/>
      <c r="KJP31" s="806"/>
      <c r="KJQ31" s="806"/>
      <c r="KJR31" s="806"/>
      <c r="KJS31" s="806"/>
      <c r="KJT31" s="806"/>
      <c r="KJU31" s="806"/>
      <c r="KJV31" s="806"/>
      <c r="KJW31" s="806"/>
      <c r="KJX31" s="806"/>
      <c r="KJY31" s="806"/>
      <c r="KJZ31" s="806"/>
      <c r="KKA31" s="806"/>
      <c r="KKB31" s="806"/>
      <c r="KKC31" s="806"/>
      <c r="KKD31" s="806"/>
      <c r="KKE31" s="806"/>
      <c r="KKF31" s="806"/>
      <c r="KKG31" s="806"/>
      <c r="KKH31" s="806"/>
      <c r="KKI31" s="806"/>
      <c r="KKJ31" s="806"/>
      <c r="KKK31" s="806"/>
      <c r="KKL31" s="806"/>
      <c r="KKM31" s="806"/>
      <c r="KKN31" s="806"/>
      <c r="KKO31" s="806"/>
      <c r="KKP31" s="806"/>
      <c r="KKQ31" s="806"/>
      <c r="KKR31" s="806"/>
      <c r="KKS31" s="806"/>
      <c r="KKT31" s="806"/>
      <c r="KKU31" s="806"/>
      <c r="KKV31" s="806"/>
      <c r="KKW31" s="806"/>
      <c r="KKX31" s="806"/>
      <c r="KKY31" s="806"/>
      <c r="KKZ31" s="806"/>
      <c r="KLA31" s="806"/>
      <c r="KLB31" s="806"/>
      <c r="KLC31" s="806"/>
      <c r="KLD31" s="806"/>
      <c r="KLE31" s="806"/>
      <c r="KLF31" s="806"/>
      <c r="KLG31" s="806"/>
      <c r="KLH31" s="806"/>
      <c r="KLI31" s="806"/>
      <c r="KLJ31" s="806"/>
      <c r="KLK31" s="806"/>
      <c r="KLL31" s="806"/>
      <c r="KLM31" s="806"/>
      <c r="KLN31" s="806"/>
      <c r="KLO31" s="806"/>
      <c r="KLP31" s="806"/>
      <c r="KLQ31" s="806"/>
      <c r="KLR31" s="806"/>
      <c r="KLS31" s="806"/>
      <c r="KLT31" s="806"/>
      <c r="KLU31" s="806"/>
      <c r="KLV31" s="806"/>
      <c r="KLW31" s="806"/>
      <c r="KLX31" s="806"/>
      <c r="KLY31" s="806"/>
      <c r="KLZ31" s="806"/>
      <c r="KMA31" s="806"/>
      <c r="KMB31" s="806"/>
      <c r="KMC31" s="806"/>
      <c r="KMD31" s="806"/>
      <c r="KME31" s="806"/>
      <c r="KMF31" s="806"/>
      <c r="KMG31" s="806"/>
      <c r="KMH31" s="806"/>
      <c r="KMI31" s="806"/>
      <c r="KMJ31" s="806"/>
      <c r="KMK31" s="806"/>
      <c r="KML31" s="806"/>
      <c r="KMM31" s="806"/>
      <c r="KMN31" s="806"/>
      <c r="KMO31" s="806"/>
      <c r="KMP31" s="806"/>
      <c r="KMQ31" s="806"/>
      <c r="KMR31" s="806"/>
      <c r="KMS31" s="806"/>
      <c r="KMT31" s="806"/>
      <c r="KMU31" s="806"/>
      <c r="KMV31" s="806"/>
      <c r="KMW31" s="806"/>
      <c r="KMX31" s="806"/>
      <c r="KMY31" s="806"/>
      <c r="KMZ31" s="806"/>
      <c r="KNA31" s="806"/>
      <c r="KNB31" s="806"/>
      <c r="KNC31" s="806"/>
      <c r="KND31" s="806"/>
      <c r="KNE31" s="806"/>
      <c r="KNF31" s="806"/>
      <c r="KNG31" s="806"/>
      <c r="KNH31" s="806"/>
      <c r="KNI31" s="806"/>
      <c r="KNJ31" s="806"/>
      <c r="KNK31" s="806"/>
      <c r="KNL31" s="806"/>
      <c r="KNM31" s="806"/>
      <c r="KNN31" s="806"/>
      <c r="KNO31" s="806"/>
      <c r="KNP31" s="806"/>
      <c r="KNQ31" s="806"/>
      <c r="KNR31" s="806"/>
      <c r="KNS31" s="806"/>
      <c r="KNT31" s="806"/>
      <c r="KNU31" s="806"/>
      <c r="KNV31" s="806"/>
      <c r="KNW31" s="806"/>
      <c r="KNX31" s="806"/>
      <c r="KNY31" s="806"/>
      <c r="KNZ31" s="806"/>
      <c r="KOA31" s="806"/>
      <c r="KOB31" s="806"/>
      <c r="KOC31" s="806"/>
      <c r="KOD31" s="806"/>
      <c r="KOE31" s="806"/>
      <c r="KOF31" s="806"/>
      <c r="KOG31" s="806"/>
      <c r="KOH31" s="806"/>
      <c r="KOI31" s="806"/>
      <c r="KOJ31" s="806"/>
      <c r="KOK31" s="806"/>
      <c r="KOL31" s="806"/>
      <c r="KOM31" s="806"/>
      <c r="KON31" s="806"/>
      <c r="KOO31" s="806"/>
      <c r="KOP31" s="806"/>
      <c r="KOQ31" s="806"/>
      <c r="KOR31" s="806"/>
      <c r="KOS31" s="806"/>
      <c r="KOT31" s="806"/>
      <c r="KOU31" s="806"/>
      <c r="KOV31" s="806"/>
      <c r="KOW31" s="806"/>
      <c r="KOX31" s="806"/>
      <c r="KOY31" s="806"/>
      <c r="KOZ31" s="806"/>
      <c r="KPA31" s="806"/>
      <c r="KPB31" s="806"/>
      <c r="KPC31" s="806"/>
      <c r="KPD31" s="806"/>
      <c r="KPE31" s="806"/>
      <c r="KPF31" s="806"/>
      <c r="KPG31" s="806"/>
      <c r="KPH31" s="806"/>
      <c r="KPI31" s="806"/>
      <c r="KPJ31" s="806"/>
      <c r="KPK31" s="806"/>
      <c r="KPL31" s="806"/>
      <c r="KPM31" s="806"/>
      <c r="KPN31" s="806"/>
      <c r="KPO31" s="806"/>
      <c r="KPP31" s="806"/>
      <c r="KPQ31" s="806"/>
      <c r="KPR31" s="806"/>
      <c r="KPS31" s="806"/>
      <c r="KPT31" s="806"/>
      <c r="KPU31" s="806"/>
      <c r="KPV31" s="806"/>
      <c r="KPW31" s="806"/>
      <c r="KPX31" s="806"/>
      <c r="KPY31" s="806"/>
      <c r="KPZ31" s="806"/>
      <c r="KQA31" s="806"/>
      <c r="KQB31" s="806"/>
      <c r="KQC31" s="806"/>
      <c r="KQD31" s="806"/>
      <c r="KQE31" s="806"/>
      <c r="KQF31" s="806"/>
      <c r="KQG31" s="806"/>
      <c r="KQH31" s="806"/>
      <c r="KQI31" s="806"/>
      <c r="KQJ31" s="806"/>
      <c r="KQK31" s="806"/>
      <c r="KQL31" s="806"/>
      <c r="KQM31" s="806"/>
      <c r="KQN31" s="806"/>
      <c r="KQO31" s="806"/>
      <c r="KQP31" s="806"/>
      <c r="KQQ31" s="806"/>
      <c r="KQR31" s="806"/>
      <c r="KQS31" s="806"/>
      <c r="KQT31" s="806"/>
      <c r="KQU31" s="806"/>
      <c r="KQV31" s="806"/>
      <c r="KQW31" s="806"/>
      <c r="KQX31" s="806"/>
      <c r="KQY31" s="806"/>
      <c r="KQZ31" s="806"/>
      <c r="KRA31" s="806"/>
      <c r="KRB31" s="806"/>
      <c r="KRC31" s="806"/>
      <c r="KRD31" s="806"/>
      <c r="KRE31" s="806"/>
      <c r="KRF31" s="806"/>
      <c r="KRG31" s="806"/>
      <c r="KRH31" s="806"/>
      <c r="KRI31" s="806"/>
      <c r="KRJ31" s="806"/>
      <c r="KRK31" s="806"/>
      <c r="KRL31" s="806"/>
      <c r="KRM31" s="806"/>
      <c r="KRN31" s="806"/>
      <c r="KRO31" s="806"/>
      <c r="KRP31" s="806"/>
      <c r="KRQ31" s="806"/>
      <c r="KRR31" s="806"/>
      <c r="KRS31" s="806"/>
      <c r="KRT31" s="806"/>
      <c r="KRU31" s="806"/>
      <c r="KRV31" s="806"/>
      <c r="KRW31" s="806"/>
      <c r="KRX31" s="806"/>
      <c r="KRY31" s="806"/>
      <c r="KRZ31" s="806"/>
      <c r="KSA31" s="806"/>
      <c r="KSB31" s="806"/>
      <c r="KSC31" s="806"/>
      <c r="KSD31" s="806"/>
      <c r="KSE31" s="806"/>
      <c r="KSF31" s="806"/>
      <c r="KSG31" s="806"/>
      <c r="KSH31" s="806"/>
      <c r="KSI31" s="806"/>
      <c r="KSJ31" s="806"/>
      <c r="KSK31" s="806"/>
      <c r="KSL31" s="806"/>
      <c r="KSM31" s="806"/>
      <c r="KSN31" s="806"/>
      <c r="KSO31" s="806"/>
      <c r="KSP31" s="806"/>
      <c r="KSQ31" s="806"/>
      <c r="KSR31" s="806"/>
      <c r="KSS31" s="806"/>
      <c r="KST31" s="806"/>
      <c r="KSU31" s="806"/>
      <c r="KSV31" s="806"/>
      <c r="KSW31" s="806"/>
      <c r="KSX31" s="806"/>
      <c r="KSY31" s="806"/>
      <c r="KSZ31" s="806"/>
      <c r="KTA31" s="806"/>
      <c r="KTB31" s="806"/>
      <c r="KTC31" s="806"/>
      <c r="KTD31" s="806"/>
      <c r="KTE31" s="806"/>
      <c r="KTF31" s="806"/>
      <c r="KTG31" s="806"/>
      <c r="KTH31" s="806"/>
      <c r="KTI31" s="806"/>
      <c r="KTJ31" s="806"/>
      <c r="KTK31" s="806"/>
      <c r="KTL31" s="806"/>
      <c r="KTM31" s="806"/>
      <c r="KTN31" s="806"/>
      <c r="KTO31" s="806"/>
      <c r="KTP31" s="806"/>
      <c r="KTQ31" s="806"/>
      <c r="KTR31" s="806"/>
      <c r="KTS31" s="806"/>
      <c r="KTT31" s="806"/>
      <c r="KTU31" s="806"/>
      <c r="KTV31" s="806"/>
      <c r="KTW31" s="806"/>
      <c r="KTX31" s="806"/>
      <c r="KTY31" s="806"/>
      <c r="KTZ31" s="806"/>
      <c r="KUA31" s="806"/>
      <c r="KUB31" s="806"/>
      <c r="KUC31" s="806"/>
      <c r="KUD31" s="806"/>
      <c r="KUE31" s="806"/>
      <c r="KUF31" s="806"/>
      <c r="KUG31" s="806"/>
      <c r="KUH31" s="806"/>
      <c r="KUI31" s="806"/>
      <c r="KUJ31" s="806"/>
      <c r="KUK31" s="806"/>
      <c r="KUL31" s="806"/>
      <c r="KUM31" s="806"/>
      <c r="KUN31" s="806"/>
      <c r="KUO31" s="806"/>
      <c r="KUP31" s="806"/>
      <c r="KUQ31" s="806"/>
      <c r="KUR31" s="806"/>
      <c r="KUS31" s="806"/>
      <c r="KUT31" s="806"/>
      <c r="KUU31" s="806"/>
      <c r="KUV31" s="806"/>
      <c r="KUW31" s="806"/>
      <c r="KUX31" s="806"/>
      <c r="KUY31" s="806"/>
      <c r="KUZ31" s="806"/>
      <c r="KVA31" s="806"/>
      <c r="KVB31" s="806"/>
      <c r="KVC31" s="806"/>
      <c r="KVD31" s="806"/>
      <c r="KVE31" s="806"/>
      <c r="KVF31" s="806"/>
      <c r="KVG31" s="806"/>
      <c r="KVH31" s="806"/>
      <c r="KVI31" s="806"/>
      <c r="KVJ31" s="806"/>
      <c r="KVK31" s="806"/>
      <c r="KVL31" s="806"/>
      <c r="KVM31" s="806"/>
      <c r="KVN31" s="806"/>
      <c r="KVO31" s="806"/>
      <c r="KVP31" s="806"/>
      <c r="KVQ31" s="806"/>
      <c r="KVR31" s="806"/>
      <c r="KVS31" s="806"/>
      <c r="KVT31" s="806"/>
      <c r="KVU31" s="806"/>
      <c r="KVV31" s="806"/>
      <c r="KVW31" s="806"/>
      <c r="KVX31" s="806"/>
      <c r="KVY31" s="806"/>
      <c r="KVZ31" s="806"/>
      <c r="KWA31" s="806"/>
      <c r="KWB31" s="806"/>
      <c r="KWC31" s="806"/>
      <c r="KWD31" s="806"/>
      <c r="KWE31" s="806"/>
      <c r="KWF31" s="806"/>
      <c r="KWG31" s="806"/>
      <c r="KWH31" s="806"/>
      <c r="KWI31" s="806"/>
      <c r="KWJ31" s="806"/>
      <c r="KWK31" s="806"/>
      <c r="KWL31" s="806"/>
      <c r="KWM31" s="806"/>
      <c r="KWN31" s="806"/>
      <c r="KWO31" s="806"/>
      <c r="KWP31" s="806"/>
      <c r="KWQ31" s="806"/>
      <c r="KWR31" s="806"/>
      <c r="KWS31" s="806"/>
      <c r="KWT31" s="806"/>
      <c r="KWU31" s="806"/>
      <c r="KWV31" s="806"/>
      <c r="KWW31" s="806"/>
      <c r="KWX31" s="806"/>
      <c r="KWY31" s="806"/>
      <c r="KWZ31" s="806"/>
      <c r="KXA31" s="806"/>
      <c r="KXB31" s="806"/>
      <c r="KXC31" s="806"/>
      <c r="KXD31" s="806"/>
      <c r="KXE31" s="806"/>
      <c r="KXF31" s="806"/>
      <c r="KXG31" s="806"/>
      <c r="KXH31" s="806"/>
      <c r="KXI31" s="806"/>
      <c r="KXJ31" s="806"/>
      <c r="KXK31" s="806"/>
      <c r="KXL31" s="806"/>
      <c r="KXM31" s="806"/>
      <c r="KXN31" s="806"/>
      <c r="KXO31" s="806"/>
      <c r="KXP31" s="806"/>
      <c r="KXQ31" s="806"/>
      <c r="KXR31" s="806"/>
      <c r="KXS31" s="806"/>
      <c r="KXT31" s="806"/>
      <c r="KXU31" s="806"/>
      <c r="KXV31" s="806"/>
      <c r="KXW31" s="806"/>
      <c r="KXX31" s="806"/>
      <c r="KXY31" s="806"/>
      <c r="KXZ31" s="806"/>
      <c r="KYA31" s="806"/>
      <c r="KYB31" s="806"/>
      <c r="KYC31" s="806"/>
      <c r="KYD31" s="806"/>
      <c r="KYE31" s="806"/>
      <c r="KYF31" s="806"/>
      <c r="KYG31" s="806"/>
      <c r="KYH31" s="806"/>
      <c r="KYI31" s="806"/>
      <c r="KYJ31" s="806"/>
      <c r="KYK31" s="806"/>
      <c r="KYL31" s="806"/>
      <c r="KYM31" s="806"/>
      <c r="KYN31" s="806"/>
      <c r="KYO31" s="806"/>
      <c r="KYP31" s="806"/>
      <c r="KYQ31" s="806"/>
      <c r="KYR31" s="806"/>
      <c r="KYS31" s="806"/>
      <c r="KYT31" s="806"/>
      <c r="KYU31" s="806"/>
      <c r="KYV31" s="806"/>
      <c r="KYW31" s="806"/>
      <c r="KYX31" s="806"/>
      <c r="KYY31" s="806"/>
      <c r="KYZ31" s="806"/>
      <c r="KZA31" s="806"/>
      <c r="KZB31" s="806"/>
      <c r="KZC31" s="806"/>
      <c r="KZD31" s="806"/>
      <c r="KZE31" s="806"/>
      <c r="KZF31" s="806"/>
      <c r="KZG31" s="806"/>
      <c r="KZH31" s="806"/>
      <c r="KZI31" s="806"/>
      <c r="KZJ31" s="806"/>
      <c r="KZK31" s="806"/>
      <c r="KZL31" s="806"/>
      <c r="KZM31" s="806"/>
      <c r="KZN31" s="806"/>
      <c r="KZO31" s="806"/>
      <c r="KZP31" s="806"/>
      <c r="KZQ31" s="806"/>
      <c r="KZR31" s="806"/>
      <c r="KZS31" s="806"/>
      <c r="KZT31" s="806"/>
      <c r="KZU31" s="806"/>
      <c r="KZV31" s="806"/>
      <c r="KZW31" s="806"/>
      <c r="KZX31" s="806"/>
      <c r="KZY31" s="806"/>
      <c r="KZZ31" s="806"/>
      <c r="LAA31" s="806"/>
      <c r="LAB31" s="806"/>
      <c r="LAC31" s="806"/>
      <c r="LAD31" s="806"/>
      <c r="LAE31" s="806"/>
      <c r="LAF31" s="806"/>
      <c r="LAG31" s="806"/>
      <c r="LAH31" s="806"/>
      <c r="LAI31" s="806"/>
      <c r="LAJ31" s="806"/>
      <c r="LAK31" s="806"/>
      <c r="LAL31" s="806"/>
      <c r="LAM31" s="806"/>
      <c r="LAN31" s="806"/>
      <c r="LAO31" s="806"/>
      <c r="LAP31" s="806"/>
      <c r="LAQ31" s="806"/>
      <c r="LAR31" s="806"/>
      <c r="LAS31" s="806"/>
      <c r="LAT31" s="806"/>
      <c r="LAU31" s="806"/>
      <c r="LAV31" s="806"/>
      <c r="LAW31" s="806"/>
      <c r="LAX31" s="806"/>
      <c r="LAY31" s="806"/>
      <c r="LAZ31" s="806"/>
      <c r="LBA31" s="806"/>
      <c r="LBB31" s="806"/>
      <c r="LBC31" s="806"/>
      <c r="LBD31" s="806"/>
      <c r="LBE31" s="806"/>
      <c r="LBF31" s="806"/>
      <c r="LBG31" s="806"/>
      <c r="LBH31" s="806"/>
      <c r="LBI31" s="806"/>
      <c r="LBJ31" s="806"/>
      <c r="LBK31" s="806"/>
      <c r="LBL31" s="806"/>
      <c r="LBM31" s="806"/>
      <c r="LBN31" s="806"/>
      <c r="LBO31" s="806"/>
      <c r="LBP31" s="806"/>
      <c r="LBQ31" s="806"/>
      <c r="LBR31" s="806"/>
      <c r="LBS31" s="806"/>
      <c r="LBT31" s="806"/>
      <c r="LBU31" s="806"/>
      <c r="LBV31" s="806"/>
      <c r="LBW31" s="806"/>
      <c r="LBX31" s="806"/>
      <c r="LBY31" s="806"/>
      <c r="LBZ31" s="806"/>
      <c r="LCA31" s="806"/>
      <c r="LCB31" s="806"/>
      <c r="LCC31" s="806"/>
      <c r="LCD31" s="806"/>
      <c r="LCE31" s="806"/>
      <c r="LCF31" s="806"/>
      <c r="LCG31" s="806"/>
      <c r="LCH31" s="806"/>
      <c r="LCI31" s="806"/>
      <c r="LCJ31" s="806"/>
      <c r="LCK31" s="806"/>
      <c r="LCL31" s="806"/>
      <c r="LCM31" s="806"/>
      <c r="LCN31" s="806"/>
      <c r="LCO31" s="806"/>
      <c r="LCP31" s="806"/>
      <c r="LCQ31" s="806"/>
      <c r="LCR31" s="806"/>
      <c r="LCS31" s="806"/>
      <c r="LCT31" s="806"/>
      <c r="LCU31" s="806"/>
      <c r="LCV31" s="806"/>
      <c r="LCW31" s="806"/>
      <c r="LCX31" s="806"/>
      <c r="LCY31" s="806"/>
      <c r="LCZ31" s="806"/>
      <c r="LDA31" s="806"/>
      <c r="LDB31" s="806"/>
      <c r="LDC31" s="806"/>
      <c r="LDD31" s="806"/>
      <c r="LDE31" s="806"/>
      <c r="LDF31" s="806"/>
      <c r="LDG31" s="806"/>
      <c r="LDH31" s="806"/>
      <c r="LDI31" s="806"/>
      <c r="LDJ31" s="806"/>
      <c r="LDK31" s="806"/>
      <c r="LDL31" s="806"/>
      <c r="LDM31" s="806"/>
      <c r="LDN31" s="806"/>
      <c r="LDO31" s="806"/>
      <c r="LDP31" s="806"/>
      <c r="LDQ31" s="806"/>
      <c r="LDR31" s="806"/>
      <c r="LDS31" s="806"/>
      <c r="LDT31" s="806"/>
      <c r="LDU31" s="806"/>
      <c r="LDV31" s="806"/>
      <c r="LDW31" s="806"/>
      <c r="LDX31" s="806"/>
      <c r="LDY31" s="806"/>
      <c r="LDZ31" s="806"/>
      <c r="LEA31" s="806"/>
      <c r="LEB31" s="806"/>
      <c r="LEC31" s="806"/>
      <c r="LED31" s="806"/>
      <c r="LEE31" s="806"/>
      <c r="LEF31" s="806"/>
      <c r="LEG31" s="806"/>
      <c r="LEH31" s="806"/>
      <c r="LEI31" s="806"/>
      <c r="LEJ31" s="806"/>
      <c r="LEK31" s="806"/>
      <c r="LEL31" s="806"/>
      <c r="LEM31" s="806"/>
      <c r="LEN31" s="806"/>
      <c r="LEO31" s="806"/>
      <c r="LEP31" s="806"/>
      <c r="LEQ31" s="806"/>
      <c r="LER31" s="806"/>
      <c r="LES31" s="806"/>
      <c r="LET31" s="806"/>
      <c r="LEU31" s="806"/>
      <c r="LEV31" s="806"/>
      <c r="LEW31" s="806"/>
      <c r="LEX31" s="806"/>
      <c r="LEY31" s="806"/>
      <c r="LEZ31" s="806"/>
      <c r="LFA31" s="806"/>
      <c r="LFB31" s="806"/>
      <c r="LFC31" s="806"/>
      <c r="LFD31" s="806"/>
      <c r="LFE31" s="806"/>
      <c r="LFF31" s="806"/>
      <c r="LFG31" s="806"/>
      <c r="LFH31" s="806"/>
      <c r="LFI31" s="806"/>
      <c r="LFJ31" s="806"/>
      <c r="LFK31" s="806"/>
      <c r="LFL31" s="806"/>
      <c r="LFM31" s="806"/>
      <c r="LFN31" s="806"/>
      <c r="LFO31" s="806"/>
      <c r="LFP31" s="806"/>
      <c r="LFQ31" s="806"/>
      <c r="LFR31" s="806"/>
      <c r="LFS31" s="806"/>
      <c r="LFT31" s="806"/>
      <c r="LFU31" s="806"/>
      <c r="LFV31" s="806"/>
      <c r="LFW31" s="806"/>
      <c r="LFX31" s="806"/>
      <c r="LFY31" s="806"/>
      <c r="LFZ31" s="806"/>
      <c r="LGA31" s="806"/>
      <c r="LGB31" s="806"/>
      <c r="LGC31" s="806"/>
      <c r="LGD31" s="806"/>
      <c r="LGE31" s="806"/>
      <c r="LGF31" s="806"/>
      <c r="LGG31" s="806"/>
      <c r="LGH31" s="806"/>
      <c r="LGI31" s="806"/>
      <c r="LGJ31" s="806"/>
      <c r="LGK31" s="806"/>
      <c r="LGL31" s="806"/>
      <c r="LGM31" s="806"/>
      <c r="LGN31" s="806"/>
      <c r="LGO31" s="806"/>
      <c r="LGP31" s="806"/>
      <c r="LGQ31" s="806"/>
      <c r="LGR31" s="806"/>
      <c r="LGS31" s="806"/>
      <c r="LGT31" s="806"/>
      <c r="LGU31" s="806"/>
      <c r="LGV31" s="806"/>
      <c r="LGW31" s="806"/>
      <c r="LGX31" s="806"/>
      <c r="LGY31" s="806"/>
      <c r="LGZ31" s="806"/>
      <c r="LHA31" s="806"/>
      <c r="LHB31" s="806"/>
      <c r="LHC31" s="806"/>
      <c r="LHD31" s="806"/>
      <c r="LHE31" s="806"/>
      <c r="LHF31" s="806"/>
      <c r="LHG31" s="806"/>
      <c r="LHH31" s="806"/>
      <c r="LHI31" s="806"/>
      <c r="LHJ31" s="806"/>
      <c r="LHK31" s="806"/>
      <c r="LHL31" s="806"/>
      <c r="LHM31" s="806"/>
      <c r="LHN31" s="806"/>
      <c r="LHO31" s="806"/>
      <c r="LHP31" s="806"/>
      <c r="LHQ31" s="806"/>
      <c r="LHR31" s="806"/>
      <c r="LHS31" s="806"/>
      <c r="LHT31" s="806"/>
      <c r="LHU31" s="806"/>
      <c r="LHV31" s="806"/>
      <c r="LHW31" s="806"/>
      <c r="LHX31" s="806"/>
      <c r="LHY31" s="806"/>
      <c r="LHZ31" s="806"/>
      <c r="LIA31" s="806"/>
      <c r="LIB31" s="806"/>
      <c r="LIC31" s="806"/>
      <c r="LID31" s="806"/>
      <c r="LIE31" s="806"/>
      <c r="LIF31" s="806"/>
      <c r="LIG31" s="806"/>
      <c r="LIH31" s="806"/>
      <c r="LII31" s="806"/>
      <c r="LIJ31" s="806"/>
      <c r="LIK31" s="806"/>
      <c r="LIL31" s="806"/>
      <c r="LIM31" s="806"/>
      <c r="LIN31" s="806"/>
      <c r="LIO31" s="806"/>
      <c r="LIP31" s="806"/>
      <c r="LIQ31" s="806"/>
      <c r="LIR31" s="806"/>
      <c r="LIS31" s="806"/>
      <c r="LIT31" s="806"/>
      <c r="LIU31" s="806"/>
      <c r="LIV31" s="806"/>
      <c r="LIW31" s="806"/>
      <c r="LIX31" s="806"/>
      <c r="LIY31" s="806"/>
      <c r="LIZ31" s="806"/>
      <c r="LJA31" s="806"/>
      <c r="LJB31" s="806"/>
      <c r="LJC31" s="806"/>
      <c r="LJD31" s="806"/>
      <c r="LJE31" s="806"/>
      <c r="LJF31" s="806"/>
      <c r="LJG31" s="806"/>
      <c r="LJH31" s="806"/>
      <c r="LJI31" s="806"/>
      <c r="LJJ31" s="806"/>
      <c r="LJK31" s="806"/>
      <c r="LJL31" s="806"/>
      <c r="LJM31" s="806"/>
      <c r="LJN31" s="806"/>
      <c r="LJO31" s="806"/>
      <c r="LJP31" s="806"/>
      <c r="LJQ31" s="806"/>
      <c r="LJR31" s="806"/>
      <c r="LJS31" s="806"/>
      <c r="LJT31" s="806"/>
      <c r="LJU31" s="806"/>
      <c r="LJV31" s="806"/>
      <c r="LJW31" s="806"/>
      <c r="LJX31" s="806"/>
      <c r="LJY31" s="806"/>
      <c r="LJZ31" s="806"/>
      <c r="LKA31" s="806"/>
      <c r="LKB31" s="806"/>
      <c r="LKC31" s="806"/>
      <c r="LKD31" s="806"/>
      <c r="LKE31" s="806"/>
      <c r="LKF31" s="806"/>
      <c r="LKG31" s="806"/>
      <c r="LKH31" s="806"/>
      <c r="LKI31" s="806"/>
      <c r="LKJ31" s="806"/>
      <c r="LKK31" s="806"/>
      <c r="LKL31" s="806"/>
      <c r="LKM31" s="806"/>
      <c r="LKN31" s="806"/>
      <c r="LKO31" s="806"/>
      <c r="LKP31" s="806"/>
      <c r="LKQ31" s="806"/>
      <c r="LKR31" s="806"/>
      <c r="LKS31" s="806"/>
      <c r="LKT31" s="806"/>
      <c r="LKU31" s="806"/>
      <c r="LKV31" s="806"/>
      <c r="LKW31" s="806"/>
      <c r="LKX31" s="806"/>
      <c r="LKY31" s="806"/>
      <c r="LKZ31" s="806"/>
      <c r="LLA31" s="806"/>
      <c r="LLB31" s="806"/>
      <c r="LLC31" s="806"/>
      <c r="LLD31" s="806"/>
      <c r="LLE31" s="806"/>
      <c r="LLF31" s="806"/>
      <c r="LLG31" s="806"/>
      <c r="LLH31" s="806"/>
      <c r="LLI31" s="806"/>
      <c r="LLJ31" s="806"/>
      <c r="LLK31" s="806"/>
      <c r="LLL31" s="806"/>
      <c r="LLM31" s="806"/>
      <c r="LLN31" s="806"/>
      <c r="LLO31" s="806"/>
      <c r="LLP31" s="806"/>
      <c r="LLQ31" s="806"/>
      <c r="LLR31" s="806"/>
      <c r="LLS31" s="806"/>
      <c r="LLT31" s="806"/>
      <c r="LLU31" s="806"/>
      <c r="LLV31" s="806"/>
      <c r="LLW31" s="806"/>
      <c r="LLX31" s="806"/>
      <c r="LLY31" s="806"/>
      <c r="LLZ31" s="806"/>
      <c r="LMA31" s="806"/>
      <c r="LMB31" s="806"/>
      <c r="LMC31" s="806"/>
      <c r="LMD31" s="806"/>
      <c r="LME31" s="806"/>
      <c r="LMF31" s="806"/>
      <c r="LMG31" s="806"/>
      <c r="LMH31" s="806"/>
      <c r="LMI31" s="806"/>
      <c r="LMJ31" s="806"/>
      <c r="LMK31" s="806"/>
      <c r="LML31" s="806"/>
      <c r="LMM31" s="806"/>
      <c r="LMN31" s="806"/>
      <c r="LMO31" s="806"/>
      <c r="LMP31" s="806"/>
      <c r="LMQ31" s="806"/>
      <c r="LMR31" s="806"/>
      <c r="LMS31" s="806"/>
      <c r="LMT31" s="806"/>
      <c r="LMU31" s="806"/>
      <c r="LMV31" s="806"/>
      <c r="LMW31" s="806"/>
      <c r="LMX31" s="806"/>
      <c r="LMY31" s="806"/>
      <c r="LMZ31" s="806"/>
      <c r="LNA31" s="806"/>
      <c r="LNB31" s="806"/>
      <c r="LNC31" s="806"/>
      <c r="LND31" s="806"/>
      <c r="LNE31" s="806"/>
      <c r="LNF31" s="806"/>
      <c r="LNG31" s="806"/>
      <c r="LNH31" s="806"/>
      <c r="LNI31" s="806"/>
      <c r="LNJ31" s="806"/>
      <c r="LNK31" s="806"/>
      <c r="LNL31" s="806"/>
      <c r="LNM31" s="806"/>
      <c r="LNN31" s="806"/>
      <c r="LNO31" s="806"/>
      <c r="LNP31" s="806"/>
      <c r="LNQ31" s="806"/>
      <c r="LNR31" s="806"/>
      <c r="LNS31" s="806"/>
      <c r="LNT31" s="806"/>
      <c r="LNU31" s="806"/>
      <c r="LNV31" s="806"/>
      <c r="LNW31" s="806"/>
      <c r="LNX31" s="806"/>
      <c r="LNY31" s="806"/>
      <c r="LNZ31" s="806"/>
      <c r="LOA31" s="806"/>
      <c r="LOB31" s="806"/>
      <c r="LOC31" s="806"/>
      <c r="LOD31" s="806"/>
      <c r="LOE31" s="806"/>
      <c r="LOF31" s="806"/>
      <c r="LOG31" s="806"/>
      <c r="LOH31" s="806"/>
      <c r="LOI31" s="806"/>
      <c r="LOJ31" s="806"/>
      <c r="LOK31" s="806"/>
      <c r="LOL31" s="806"/>
      <c r="LOM31" s="806"/>
      <c r="LON31" s="806"/>
      <c r="LOO31" s="806"/>
      <c r="LOP31" s="806"/>
      <c r="LOQ31" s="806"/>
      <c r="LOR31" s="806"/>
      <c r="LOS31" s="806"/>
      <c r="LOT31" s="806"/>
      <c r="LOU31" s="806"/>
      <c r="LOV31" s="806"/>
      <c r="LOW31" s="806"/>
      <c r="LOX31" s="806"/>
      <c r="LOY31" s="806"/>
      <c r="LOZ31" s="806"/>
      <c r="LPA31" s="806"/>
      <c r="LPB31" s="806"/>
      <c r="LPC31" s="806"/>
      <c r="LPD31" s="806"/>
      <c r="LPE31" s="806"/>
      <c r="LPF31" s="806"/>
      <c r="LPG31" s="806"/>
      <c r="LPH31" s="806"/>
      <c r="LPI31" s="806"/>
      <c r="LPJ31" s="806"/>
      <c r="LPK31" s="806"/>
      <c r="LPL31" s="806"/>
      <c r="LPM31" s="806"/>
      <c r="LPN31" s="806"/>
      <c r="LPO31" s="806"/>
      <c r="LPP31" s="806"/>
      <c r="LPQ31" s="806"/>
      <c r="LPR31" s="806"/>
      <c r="LPS31" s="806"/>
      <c r="LPT31" s="806"/>
      <c r="LPU31" s="806"/>
      <c r="LPV31" s="806"/>
      <c r="LPW31" s="806"/>
      <c r="LPX31" s="806"/>
      <c r="LPY31" s="806"/>
      <c r="LPZ31" s="806"/>
      <c r="LQA31" s="806"/>
      <c r="LQB31" s="806"/>
      <c r="LQC31" s="806"/>
      <c r="LQD31" s="806"/>
      <c r="LQE31" s="806"/>
      <c r="LQF31" s="806"/>
      <c r="LQG31" s="806"/>
      <c r="LQH31" s="806"/>
      <c r="LQI31" s="806"/>
      <c r="LQJ31" s="806"/>
      <c r="LQK31" s="806"/>
      <c r="LQL31" s="806"/>
      <c r="LQM31" s="806"/>
      <c r="LQN31" s="806"/>
      <c r="LQO31" s="806"/>
      <c r="LQP31" s="806"/>
      <c r="LQQ31" s="806"/>
      <c r="LQR31" s="806"/>
      <c r="LQS31" s="806"/>
      <c r="LQT31" s="806"/>
      <c r="LQU31" s="806"/>
      <c r="LQV31" s="806"/>
      <c r="LQW31" s="806"/>
      <c r="LQX31" s="806"/>
      <c r="LQY31" s="806"/>
      <c r="LQZ31" s="806"/>
      <c r="LRA31" s="806"/>
      <c r="LRB31" s="806"/>
      <c r="LRC31" s="806"/>
      <c r="LRD31" s="806"/>
      <c r="LRE31" s="806"/>
      <c r="LRF31" s="806"/>
      <c r="LRG31" s="806"/>
      <c r="LRH31" s="806"/>
      <c r="LRI31" s="806"/>
      <c r="LRJ31" s="806"/>
      <c r="LRK31" s="806"/>
      <c r="LRL31" s="806"/>
      <c r="LRM31" s="806"/>
      <c r="LRN31" s="806"/>
      <c r="LRO31" s="806"/>
      <c r="LRP31" s="806"/>
      <c r="LRQ31" s="806"/>
      <c r="LRR31" s="806"/>
      <c r="LRS31" s="806"/>
      <c r="LRT31" s="806"/>
      <c r="LRU31" s="806"/>
      <c r="LRV31" s="806"/>
      <c r="LRW31" s="806"/>
      <c r="LRX31" s="806"/>
      <c r="LRY31" s="806"/>
      <c r="LRZ31" s="806"/>
      <c r="LSA31" s="806"/>
      <c r="LSB31" s="806"/>
      <c r="LSC31" s="806"/>
      <c r="LSD31" s="806"/>
      <c r="LSE31" s="806"/>
      <c r="LSF31" s="806"/>
      <c r="LSG31" s="806"/>
      <c r="LSH31" s="806"/>
      <c r="LSI31" s="806"/>
      <c r="LSJ31" s="806"/>
      <c r="LSK31" s="806"/>
      <c r="LSL31" s="806"/>
      <c r="LSM31" s="806"/>
      <c r="LSN31" s="806"/>
      <c r="LSO31" s="806"/>
      <c r="LSP31" s="806"/>
      <c r="LSQ31" s="806"/>
      <c r="LSR31" s="806"/>
      <c r="LSS31" s="806"/>
      <c r="LST31" s="806"/>
      <c r="LSU31" s="806"/>
      <c r="LSV31" s="806"/>
      <c r="LSW31" s="806"/>
      <c r="LSX31" s="806"/>
      <c r="LSY31" s="806"/>
      <c r="LSZ31" s="806"/>
      <c r="LTA31" s="806"/>
      <c r="LTB31" s="806"/>
      <c r="LTC31" s="806"/>
      <c r="LTD31" s="806"/>
      <c r="LTE31" s="806"/>
      <c r="LTF31" s="806"/>
      <c r="LTG31" s="806"/>
      <c r="LTH31" s="806"/>
      <c r="LTI31" s="806"/>
      <c r="LTJ31" s="806"/>
      <c r="LTK31" s="806"/>
      <c r="LTL31" s="806"/>
      <c r="LTM31" s="806"/>
      <c r="LTN31" s="806"/>
      <c r="LTO31" s="806"/>
      <c r="LTP31" s="806"/>
      <c r="LTQ31" s="806"/>
      <c r="LTR31" s="806"/>
      <c r="LTS31" s="806"/>
      <c r="LTT31" s="806"/>
      <c r="LTU31" s="806"/>
      <c r="LTV31" s="806"/>
      <c r="LTW31" s="806"/>
      <c r="LTX31" s="806"/>
      <c r="LTY31" s="806"/>
      <c r="LTZ31" s="806"/>
      <c r="LUA31" s="806"/>
      <c r="LUB31" s="806"/>
      <c r="LUC31" s="806"/>
      <c r="LUD31" s="806"/>
      <c r="LUE31" s="806"/>
      <c r="LUF31" s="806"/>
      <c r="LUG31" s="806"/>
      <c r="LUH31" s="806"/>
      <c r="LUI31" s="806"/>
      <c r="LUJ31" s="806"/>
      <c r="LUK31" s="806"/>
      <c r="LUL31" s="806"/>
      <c r="LUM31" s="806"/>
      <c r="LUN31" s="806"/>
      <c r="LUO31" s="806"/>
      <c r="LUP31" s="806"/>
      <c r="LUQ31" s="806"/>
      <c r="LUR31" s="806"/>
      <c r="LUS31" s="806"/>
      <c r="LUT31" s="806"/>
      <c r="LUU31" s="806"/>
      <c r="LUV31" s="806"/>
      <c r="LUW31" s="806"/>
      <c r="LUX31" s="806"/>
      <c r="LUY31" s="806"/>
      <c r="LUZ31" s="806"/>
      <c r="LVA31" s="806"/>
      <c r="LVB31" s="806"/>
      <c r="LVC31" s="806"/>
      <c r="LVD31" s="806"/>
      <c r="LVE31" s="806"/>
      <c r="LVF31" s="806"/>
      <c r="LVG31" s="806"/>
      <c r="LVH31" s="806"/>
      <c r="LVI31" s="806"/>
      <c r="LVJ31" s="806"/>
      <c r="LVK31" s="806"/>
      <c r="LVL31" s="806"/>
      <c r="LVM31" s="806"/>
      <c r="LVN31" s="806"/>
      <c r="LVO31" s="806"/>
      <c r="LVP31" s="806"/>
      <c r="LVQ31" s="806"/>
      <c r="LVR31" s="806"/>
      <c r="LVS31" s="806"/>
      <c r="LVT31" s="806"/>
      <c r="LVU31" s="806"/>
      <c r="LVV31" s="806"/>
      <c r="LVW31" s="806"/>
      <c r="LVX31" s="806"/>
      <c r="LVY31" s="806"/>
      <c r="LVZ31" s="806"/>
      <c r="LWA31" s="806"/>
      <c r="LWB31" s="806"/>
      <c r="LWC31" s="806"/>
      <c r="LWD31" s="806"/>
      <c r="LWE31" s="806"/>
      <c r="LWF31" s="806"/>
      <c r="LWG31" s="806"/>
      <c r="LWH31" s="806"/>
      <c r="LWI31" s="806"/>
      <c r="LWJ31" s="806"/>
      <c r="LWK31" s="806"/>
      <c r="LWL31" s="806"/>
      <c r="LWM31" s="806"/>
      <c r="LWN31" s="806"/>
      <c r="LWO31" s="806"/>
      <c r="LWP31" s="806"/>
      <c r="LWQ31" s="806"/>
      <c r="LWR31" s="806"/>
      <c r="LWS31" s="806"/>
      <c r="LWT31" s="806"/>
      <c r="LWU31" s="806"/>
      <c r="LWV31" s="806"/>
      <c r="LWW31" s="806"/>
      <c r="LWX31" s="806"/>
      <c r="LWY31" s="806"/>
      <c r="LWZ31" s="806"/>
      <c r="LXA31" s="806"/>
      <c r="LXB31" s="806"/>
      <c r="LXC31" s="806"/>
      <c r="LXD31" s="806"/>
      <c r="LXE31" s="806"/>
      <c r="LXF31" s="806"/>
      <c r="LXG31" s="806"/>
      <c r="LXH31" s="806"/>
      <c r="LXI31" s="806"/>
      <c r="LXJ31" s="806"/>
      <c r="LXK31" s="806"/>
      <c r="LXL31" s="806"/>
      <c r="LXM31" s="806"/>
      <c r="LXN31" s="806"/>
      <c r="LXO31" s="806"/>
      <c r="LXP31" s="806"/>
      <c r="LXQ31" s="806"/>
      <c r="LXR31" s="806"/>
      <c r="LXS31" s="806"/>
      <c r="LXT31" s="806"/>
      <c r="LXU31" s="806"/>
      <c r="LXV31" s="806"/>
      <c r="LXW31" s="806"/>
      <c r="LXX31" s="806"/>
      <c r="LXY31" s="806"/>
      <c r="LXZ31" s="806"/>
      <c r="LYA31" s="806"/>
      <c r="LYB31" s="806"/>
      <c r="LYC31" s="806"/>
      <c r="LYD31" s="806"/>
      <c r="LYE31" s="806"/>
      <c r="LYF31" s="806"/>
      <c r="LYG31" s="806"/>
      <c r="LYH31" s="806"/>
      <c r="LYI31" s="806"/>
      <c r="LYJ31" s="806"/>
      <c r="LYK31" s="806"/>
      <c r="LYL31" s="806"/>
      <c r="LYM31" s="806"/>
      <c r="LYN31" s="806"/>
      <c r="LYO31" s="806"/>
      <c r="LYP31" s="806"/>
      <c r="LYQ31" s="806"/>
      <c r="LYR31" s="806"/>
      <c r="LYS31" s="806"/>
      <c r="LYT31" s="806"/>
      <c r="LYU31" s="806"/>
      <c r="LYV31" s="806"/>
      <c r="LYW31" s="806"/>
      <c r="LYX31" s="806"/>
      <c r="LYY31" s="806"/>
      <c r="LYZ31" s="806"/>
      <c r="LZA31" s="806"/>
      <c r="LZB31" s="806"/>
      <c r="LZC31" s="806"/>
      <c r="LZD31" s="806"/>
      <c r="LZE31" s="806"/>
      <c r="LZF31" s="806"/>
      <c r="LZG31" s="806"/>
      <c r="LZH31" s="806"/>
      <c r="LZI31" s="806"/>
      <c r="LZJ31" s="806"/>
      <c r="LZK31" s="806"/>
      <c r="LZL31" s="806"/>
      <c r="LZM31" s="806"/>
      <c r="LZN31" s="806"/>
      <c r="LZO31" s="806"/>
      <c r="LZP31" s="806"/>
      <c r="LZQ31" s="806"/>
      <c r="LZR31" s="806"/>
      <c r="LZS31" s="806"/>
      <c r="LZT31" s="806"/>
      <c r="LZU31" s="806"/>
      <c r="LZV31" s="806"/>
      <c r="LZW31" s="806"/>
      <c r="LZX31" s="806"/>
      <c r="LZY31" s="806"/>
      <c r="LZZ31" s="806"/>
      <c r="MAA31" s="806"/>
      <c r="MAB31" s="806"/>
      <c r="MAC31" s="806"/>
      <c r="MAD31" s="806"/>
      <c r="MAE31" s="806"/>
      <c r="MAF31" s="806"/>
      <c r="MAG31" s="806"/>
      <c r="MAH31" s="806"/>
      <c r="MAI31" s="806"/>
      <c r="MAJ31" s="806"/>
      <c r="MAK31" s="806"/>
      <c r="MAL31" s="806"/>
      <c r="MAM31" s="806"/>
      <c r="MAN31" s="806"/>
      <c r="MAO31" s="806"/>
      <c r="MAP31" s="806"/>
      <c r="MAQ31" s="806"/>
      <c r="MAR31" s="806"/>
      <c r="MAS31" s="806"/>
      <c r="MAT31" s="806"/>
      <c r="MAU31" s="806"/>
      <c r="MAV31" s="806"/>
      <c r="MAW31" s="806"/>
      <c r="MAX31" s="806"/>
      <c r="MAY31" s="806"/>
      <c r="MAZ31" s="806"/>
      <c r="MBA31" s="806"/>
      <c r="MBB31" s="806"/>
      <c r="MBC31" s="806"/>
      <c r="MBD31" s="806"/>
      <c r="MBE31" s="806"/>
      <c r="MBF31" s="806"/>
      <c r="MBG31" s="806"/>
      <c r="MBH31" s="806"/>
      <c r="MBI31" s="806"/>
      <c r="MBJ31" s="806"/>
      <c r="MBK31" s="806"/>
      <c r="MBL31" s="806"/>
      <c r="MBM31" s="806"/>
      <c r="MBN31" s="806"/>
      <c r="MBO31" s="806"/>
      <c r="MBP31" s="806"/>
      <c r="MBQ31" s="806"/>
      <c r="MBR31" s="806"/>
      <c r="MBS31" s="806"/>
      <c r="MBT31" s="806"/>
      <c r="MBU31" s="806"/>
      <c r="MBV31" s="806"/>
      <c r="MBW31" s="806"/>
      <c r="MBX31" s="806"/>
      <c r="MBY31" s="806"/>
      <c r="MBZ31" s="806"/>
      <c r="MCA31" s="806"/>
      <c r="MCB31" s="806"/>
      <c r="MCC31" s="806"/>
      <c r="MCD31" s="806"/>
      <c r="MCE31" s="806"/>
      <c r="MCF31" s="806"/>
      <c r="MCG31" s="806"/>
      <c r="MCH31" s="806"/>
      <c r="MCI31" s="806"/>
      <c r="MCJ31" s="806"/>
      <c r="MCK31" s="806"/>
      <c r="MCL31" s="806"/>
      <c r="MCM31" s="806"/>
      <c r="MCN31" s="806"/>
      <c r="MCO31" s="806"/>
      <c r="MCP31" s="806"/>
      <c r="MCQ31" s="806"/>
      <c r="MCR31" s="806"/>
      <c r="MCS31" s="806"/>
      <c r="MCT31" s="806"/>
      <c r="MCU31" s="806"/>
      <c r="MCV31" s="806"/>
      <c r="MCW31" s="806"/>
      <c r="MCX31" s="806"/>
      <c r="MCY31" s="806"/>
      <c r="MCZ31" s="806"/>
      <c r="MDA31" s="806"/>
      <c r="MDB31" s="806"/>
      <c r="MDC31" s="806"/>
      <c r="MDD31" s="806"/>
      <c r="MDE31" s="806"/>
      <c r="MDF31" s="806"/>
      <c r="MDG31" s="806"/>
      <c r="MDH31" s="806"/>
      <c r="MDI31" s="806"/>
      <c r="MDJ31" s="806"/>
      <c r="MDK31" s="806"/>
      <c r="MDL31" s="806"/>
      <c r="MDM31" s="806"/>
      <c r="MDN31" s="806"/>
      <c r="MDO31" s="806"/>
      <c r="MDP31" s="806"/>
      <c r="MDQ31" s="806"/>
      <c r="MDR31" s="806"/>
      <c r="MDS31" s="806"/>
      <c r="MDT31" s="806"/>
      <c r="MDU31" s="806"/>
      <c r="MDV31" s="806"/>
      <c r="MDW31" s="806"/>
      <c r="MDX31" s="806"/>
      <c r="MDY31" s="806"/>
      <c r="MDZ31" s="806"/>
      <c r="MEA31" s="806"/>
      <c r="MEB31" s="806"/>
      <c r="MEC31" s="806"/>
      <c r="MED31" s="806"/>
      <c r="MEE31" s="806"/>
      <c r="MEF31" s="806"/>
      <c r="MEG31" s="806"/>
      <c r="MEH31" s="806"/>
      <c r="MEI31" s="806"/>
      <c r="MEJ31" s="806"/>
      <c r="MEK31" s="806"/>
      <c r="MEL31" s="806"/>
      <c r="MEM31" s="806"/>
      <c r="MEN31" s="806"/>
      <c r="MEO31" s="806"/>
      <c r="MEP31" s="806"/>
      <c r="MEQ31" s="806"/>
      <c r="MER31" s="806"/>
      <c r="MES31" s="806"/>
      <c r="MET31" s="806"/>
      <c r="MEU31" s="806"/>
      <c r="MEV31" s="806"/>
      <c r="MEW31" s="806"/>
      <c r="MEX31" s="806"/>
      <c r="MEY31" s="806"/>
      <c r="MEZ31" s="806"/>
      <c r="MFA31" s="806"/>
      <c r="MFB31" s="806"/>
      <c r="MFC31" s="806"/>
      <c r="MFD31" s="806"/>
      <c r="MFE31" s="806"/>
      <c r="MFF31" s="806"/>
      <c r="MFG31" s="806"/>
      <c r="MFH31" s="806"/>
      <c r="MFI31" s="806"/>
      <c r="MFJ31" s="806"/>
      <c r="MFK31" s="806"/>
      <c r="MFL31" s="806"/>
      <c r="MFM31" s="806"/>
      <c r="MFN31" s="806"/>
      <c r="MFO31" s="806"/>
      <c r="MFP31" s="806"/>
      <c r="MFQ31" s="806"/>
      <c r="MFR31" s="806"/>
      <c r="MFS31" s="806"/>
      <c r="MFT31" s="806"/>
      <c r="MFU31" s="806"/>
      <c r="MFV31" s="806"/>
      <c r="MFW31" s="806"/>
      <c r="MFX31" s="806"/>
      <c r="MFY31" s="806"/>
      <c r="MFZ31" s="806"/>
      <c r="MGA31" s="806"/>
      <c r="MGB31" s="806"/>
      <c r="MGC31" s="806"/>
      <c r="MGD31" s="806"/>
      <c r="MGE31" s="806"/>
      <c r="MGF31" s="806"/>
      <c r="MGG31" s="806"/>
      <c r="MGH31" s="806"/>
      <c r="MGI31" s="806"/>
      <c r="MGJ31" s="806"/>
      <c r="MGK31" s="806"/>
      <c r="MGL31" s="806"/>
      <c r="MGM31" s="806"/>
      <c r="MGN31" s="806"/>
      <c r="MGO31" s="806"/>
      <c r="MGP31" s="806"/>
      <c r="MGQ31" s="806"/>
      <c r="MGR31" s="806"/>
      <c r="MGS31" s="806"/>
      <c r="MGT31" s="806"/>
      <c r="MGU31" s="806"/>
      <c r="MGV31" s="806"/>
      <c r="MGW31" s="806"/>
      <c r="MGX31" s="806"/>
      <c r="MGY31" s="806"/>
      <c r="MGZ31" s="806"/>
      <c r="MHA31" s="806"/>
      <c r="MHB31" s="806"/>
      <c r="MHC31" s="806"/>
      <c r="MHD31" s="806"/>
      <c r="MHE31" s="806"/>
      <c r="MHF31" s="806"/>
      <c r="MHG31" s="806"/>
      <c r="MHH31" s="806"/>
      <c r="MHI31" s="806"/>
      <c r="MHJ31" s="806"/>
      <c r="MHK31" s="806"/>
      <c r="MHL31" s="806"/>
      <c r="MHM31" s="806"/>
      <c r="MHN31" s="806"/>
      <c r="MHO31" s="806"/>
      <c r="MHP31" s="806"/>
      <c r="MHQ31" s="806"/>
      <c r="MHR31" s="806"/>
      <c r="MHS31" s="806"/>
      <c r="MHT31" s="806"/>
      <c r="MHU31" s="806"/>
      <c r="MHV31" s="806"/>
      <c r="MHW31" s="806"/>
      <c r="MHX31" s="806"/>
      <c r="MHY31" s="806"/>
      <c r="MHZ31" s="806"/>
      <c r="MIA31" s="806"/>
      <c r="MIB31" s="806"/>
      <c r="MIC31" s="806"/>
      <c r="MID31" s="806"/>
      <c r="MIE31" s="806"/>
      <c r="MIF31" s="806"/>
      <c r="MIG31" s="806"/>
      <c r="MIH31" s="806"/>
      <c r="MII31" s="806"/>
      <c r="MIJ31" s="806"/>
      <c r="MIK31" s="806"/>
      <c r="MIL31" s="806"/>
      <c r="MIM31" s="806"/>
      <c r="MIN31" s="806"/>
      <c r="MIO31" s="806"/>
      <c r="MIP31" s="806"/>
      <c r="MIQ31" s="806"/>
      <c r="MIR31" s="806"/>
      <c r="MIS31" s="806"/>
      <c r="MIT31" s="806"/>
      <c r="MIU31" s="806"/>
      <c r="MIV31" s="806"/>
      <c r="MIW31" s="806"/>
      <c r="MIX31" s="806"/>
      <c r="MIY31" s="806"/>
      <c r="MIZ31" s="806"/>
      <c r="MJA31" s="806"/>
      <c r="MJB31" s="806"/>
      <c r="MJC31" s="806"/>
      <c r="MJD31" s="806"/>
      <c r="MJE31" s="806"/>
      <c r="MJF31" s="806"/>
      <c r="MJG31" s="806"/>
      <c r="MJH31" s="806"/>
      <c r="MJI31" s="806"/>
      <c r="MJJ31" s="806"/>
      <c r="MJK31" s="806"/>
      <c r="MJL31" s="806"/>
      <c r="MJM31" s="806"/>
      <c r="MJN31" s="806"/>
      <c r="MJO31" s="806"/>
      <c r="MJP31" s="806"/>
      <c r="MJQ31" s="806"/>
      <c r="MJR31" s="806"/>
      <c r="MJS31" s="806"/>
      <c r="MJT31" s="806"/>
      <c r="MJU31" s="806"/>
      <c r="MJV31" s="806"/>
      <c r="MJW31" s="806"/>
      <c r="MJX31" s="806"/>
      <c r="MJY31" s="806"/>
      <c r="MJZ31" s="806"/>
      <c r="MKA31" s="806"/>
      <c r="MKB31" s="806"/>
      <c r="MKC31" s="806"/>
      <c r="MKD31" s="806"/>
      <c r="MKE31" s="806"/>
      <c r="MKF31" s="806"/>
      <c r="MKG31" s="806"/>
      <c r="MKH31" s="806"/>
      <c r="MKI31" s="806"/>
      <c r="MKJ31" s="806"/>
      <c r="MKK31" s="806"/>
      <c r="MKL31" s="806"/>
      <c r="MKM31" s="806"/>
      <c r="MKN31" s="806"/>
      <c r="MKO31" s="806"/>
      <c r="MKP31" s="806"/>
      <c r="MKQ31" s="806"/>
      <c r="MKR31" s="806"/>
      <c r="MKS31" s="806"/>
      <c r="MKT31" s="806"/>
      <c r="MKU31" s="806"/>
      <c r="MKV31" s="806"/>
      <c r="MKW31" s="806"/>
      <c r="MKX31" s="806"/>
      <c r="MKY31" s="806"/>
      <c r="MKZ31" s="806"/>
      <c r="MLA31" s="806"/>
      <c r="MLB31" s="806"/>
      <c r="MLC31" s="806"/>
      <c r="MLD31" s="806"/>
      <c r="MLE31" s="806"/>
      <c r="MLF31" s="806"/>
      <c r="MLG31" s="806"/>
      <c r="MLH31" s="806"/>
      <c r="MLI31" s="806"/>
      <c r="MLJ31" s="806"/>
      <c r="MLK31" s="806"/>
      <c r="MLL31" s="806"/>
      <c r="MLM31" s="806"/>
      <c r="MLN31" s="806"/>
      <c r="MLO31" s="806"/>
      <c r="MLP31" s="806"/>
      <c r="MLQ31" s="806"/>
      <c r="MLR31" s="806"/>
      <c r="MLS31" s="806"/>
      <c r="MLT31" s="806"/>
      <c r="MLU31" s="806"/>
      <c r="MLV31" s="806"/>
      <c r="MLW31" s="806"/>
      <c r="MLX31" s="806"/>
      <c r="MLY31" s="806"/>
      <c r="MLZ31" s="806"/>
      <c r="MMA31" s="806"/>
      <c r="MMB31" s="806"/>
      <c r="MMC31" s="806"/>
      <c r="MMD31" s="806"/>
      <c r="MME31" s="806"/>
      <c r="MMF31" s="806"/>
      <c r="MMG31" s="806"/>
      <c r="MMH31" s="806"/>
      <c r="MMI31" s="806"/>
      <c r="MMJ31" s="806"/>
      <c r="MMK31" s="806"/>
      <c r="MML31" s="806"/>
      <c r="MMM31" s="806"/>
      <c r="MMN31" s="806"/>
      <c r="MMO31" s="806"/>
      <c r="MMP31" s="806"/>
      <c r="MMQ31" s="806"/>
      <c r="MMR31" s="806"/>
      <c r="MMS31" s="806"/>
      <c r="MMT31" s="806"/>
      <c r="MMU31" s="806"/>
      <c r="MMV31" s="806"/>
      <c r="MMW31" s="806"/>
      <c r="MMX31" s="806"/>
      <c r="MMY31" s="806"/>
      <c r="MMZ31" s="806"/>
      <c r="MNA31" s="806"/>
      <c r="MNB31" s="806"/>
      <c r="MNC31" s="806"/>
      <c r="MND31" s="806"/>
      <c r="MNE31" s="806"/>
      <c r="MNF31" s="806"/>
      <c r="MNG31" s="806"/>
      <c r="MNH31" s="806"/>
      <c r="MNI31" s="806"/>
      <c r="MNJ31" s="806"/>
      <c r="MNK31" s="806"/>
      <c r="MNL31" s="806"/>
      <c r="MNM31" s="806"/>
      <c r="MNN31" s="806"/>
      <c r="MNO31" s="806"/>
      <c r="MNP31" s="806"/>
      <c r="MNQ31" s="806"/>
      <c r="MNR31" s="806"/>
      <c r="MNS31" s="806"/>
      <c r="MNT31" s="806"/>
      <c r="MNU31" s="806"/>
      <c r="MNV31" s="806"/>
      <c r="MNW31" s="806"/>
      <c r="MNX31" s="806"/>
      <c r="MNY31" s="806"/>
      <c r="MNZ31" s="806"/>
      <c r="MOA31" s="806"/>
      <c r="MOB31" s="806"/>
      <c r="MOC31" s="806"/>
      <c r="MOD31" s="806"/>
      <c r="MOE31" s="806"/>
      <c r="MOF31" s="806"/>
      <c r="MOG31" s="806"/>
      <c r="MOH31" s="806"/>
      <c r="MOI31" s="806"/>
      <c r="MOJ31" s="806"/>
      <c r="MOK31" s="806"/>
      <c r="MOL31" s="806"/>
      <c r="MOM31" s="806"/>
      <c r="MON31" s="806"/>
      <c r="MOO31" s="806"/>
      <c r="MOP31" s="806"/>
      <c r="MOQ31" s="806"/>
      <c r="MOR31" s="806"/>
      <c r="MOS31" s="806"/>
      <c r="MOT31" s="806"/>
      <c r="MOU31" s="806"/>
      <c r="MOV31" s="806"/>
      <c r="MOW31" s="806"/>
      <c r="MOX31" s="806"/>
      <c r="MOY31" s="806"/>
      <c r="MOZ31" s="806"/>
      <c r="MPA31" s="806"/>
      <c r="MPB31" s="806"/>
      <c r="MPC31" s="806"/>
      <c r="MPD31" s="806"/>
      <c r="MPE31" s="806"/>
      <c r="MPF31" s="806"/>
      <c r="MPG31" s="806"/>
      <c r="MPH31" s="806"/>
      <c r="MPI31" s="806"/>
      <c r="MPJ31" s="806"/>
      <c r="MPK31" s="806"/>
      <c r="MPL31" s="806"/>
      <c r="MPM31" s="806"/>
      <c r="MPN31" s="806"/>
      <c r="MPO31" s="806"/>
      <c r="MPP31" s="806"/>
      <c r="MPQ31" s="806"/>
      <c r="MPR31" s="806"/>
      <c r="MPS31" s="806"/>
      <c r="MPT31" s="806"/>
      <c r="MPU31" s="806"/>
      <c r="MPV31" s="806"/>
      <c r="MPW31" s="806"/>
      <c r="MPX31" s="806"/>
      <c r="MPY31" s="806"/>
      <c r="MPZ31" s="806"/>
      <c r="MQA31" s="806"/>
      <c r="MQB31" s="806"/>
      <c r="MQC31" s="806"/>
      <c r="MQD31" s="806"/>
      <c r="MQE31" s="806"/>
      <c r="MQF31" s="806"/>
      <c r="MQG31" s="806"/>
      <c r="MQH31" s="806"/>
      <c r="MQI31" s="806"/>
      <c r="MQJ31" s="806"/>
      <c r="MQK31" s="806"/>
      <c r="MQL31" s="806"/>
      <c r="MQM31" s="806"/>
      <c r="MQN31" s="806"/>
      <c r="MQO31" s="806"/>
      <c r="MQP31" s="806"/>
      <c r="MQQ31" s="806"/>
      <c r="MQR31" s="806"/>
      <c r="MQS31" s="806"/>
      <c r="MQT31" s="806"/>
      <c r="MQU31" s="806"/>
      <c r="MQV31" s="806"/>
      <c r="MQW31" s="806"/>
      <c r="MQX31" s="806"/>
      <c r="MQY31" s="806"/>
      <c r="MQZ31" s="806"/>
      <c r="MRA31" s="806"/>
      <c r="MRB31" s="806"/>
      <c r="MRC31" s="806"/>
      <c r="MRD31" s="806"/>
      <c r="MRE31" s="806"/>
      <c r="MRF31" s="806"/>
      <c r="MRG31" s="806"/>
      <c r="MRH31" s="806"/>
      <c r="MRI31" s="806"/>
      <c r="MRJ31" s="806"/>
      <c r="MRK31" s="806"/>
      <c r="MRL31" s="806"/>
      <c r="MRM31" s="806"/>
      <c r="MRN31" s="806"/>
      <c r="MRO31" s="806"/>
      <c r="MRP31" s="806"/>
      <c r="MRQ31" s="806"/>
      <c r="MRR31" s="806"/>
      <c r="MRS31" s="806"/>
      <c r="MRT31" s="806"/>
      <c r="MRU31" s="806"/>
      <c r="MRV31" s="806"/>
      <c r="MRW31" s="806"/>
      <c r="MRX31" s="806"/>
      <c r="MRY31" s="806"/>
      <c r="MRZ31" s="806"/>
      <c r="MSA31" s="806"/>
      <c r="MSB31" s="806"/>
      <c r="MSC31" s="806"/>
      <c r="MSD31" s="806"/>
      <c r="MSE31" s="806"/>
      <c r="MSF31" s="806"/>
      <c r="MSG31" s="806"/>
      <c r="MSH31" s="806"/>
      <c r="MSI31" s="806"/>
      <c r="MSJ31" s="806"/>
      <c r="MSK31" s="806"/>
      <c r="MSL31" s="806"/>
      <c r="MSM31" s="806"/>
      <c r="MSN31" s="806"/>
      <c r="MSO31" s="806"/>
      <c r="MSP31" s="806"/>
      <c r="MSQ31" s="806"/>
      <c r="MSR31" s="806"/>
      <c r="MSS31" s="806"/>
      <c r="MST31" s="806"/>
      <c r="MSU31" s="806"/>
      <c r="MSV31" s="806"/>
      <c r="MSW31" s="806"/>
      <c r="MSX31" s="806"/>
      <c r="MSY31" s="806"/>
      <c r="MSZ31" s="806"/>
      <c r="MTA31" s="806"/>
      <c r="MTB31" s="806"/>
      <c r="MTC31" s="806"/>
      <c r="MTD31" s="806"/>
      <c r="MTE31" s="806"/>
      <c r="MTF31" s="806"/>
      <c r="MTG31" s="806"/>
      <c r="MTH31" s="806"/>
      <c r="MTI31" s="806"/>
      <c r="MTJ31" s="806"/>
      <c r="MTK31" s="806"/>
      <c r="MTL31" s="806"/>
      <c r="MTM31" s="806"/>
      <c r="MTN31" s="806"/>
      <c r="MTO31" s="806"/>
      <c r="MTP31" s="806"/>
      <c r="MTQ31" s="806"/>
      <c r="MTR31" s="806"/>
      <c r="MTS31" s="806"/>
      <c r="MTT31" s="806"/>
      <c r="MTU31" s="806"/>
      <c r="MTV31" s="806"/>
      <c r="MTW31" s="806"/>
      <c r="MTX31" s="806"/>
      <c r="MTY31" s="806"/>
      <c r="MTZ31" s="806"/>
      <c r="MUA31" s="806"/>
      <c r="MUB31" s="806"/>
      <c r="MUC31" s="806"/>
      <c r="MUD31" s="806"/>
      <c r="MUE31" s="806"/>
      <c r="MUF31" s="806"/>
      <c r="MUG31" s="806"/>
      <c r="MUH31" s="806"/>
      <c r="MUI31" s="806"/>
      <c r="MUJ31" s="806"/>
      <c r="MUK31" s="806"/>
      <c r="MUL31" s="806"/>
      <c r="MUM31" s="806"/>
      <c r="MUN31" s="806"/>
      <c r="MUO31" s="806"/>
      <c r="MUP31" s="806"/>
      <c r="MUQ31" s="806"/>
      <c r="MUR31" s="806"/>
      <c r="MUS31" s="806"/>
      <c r="MUT31" s="806"/>
      <c r="MUU31" s="806"/>
      <c r="MUV31" s="806"/>
      <c r="MUW31" s="806"/>
      <c r="MUX31" s="806"/>
      <c r="MUY31" s="806"/>
      <c r="MUZ31" s="806"/>
      <c r="MVA31" s="806"/>
      <c r="MVB31" s="806"/>
      <c r="MVC31" s="806"/>
      <c r="MVD31" s="806"/>
      <c r="MVE31" s="806"/>
      <c r="MVF31" s="806"/>
      <c r="MVG31" s="806"/>
      <c r="MVH31" s="806"/>
      <c r="MVI31" s="806"/>
      <c r="MVJ31" s="806"/>
      <c r="MVK31" s="806"/>
      <c r="MVL31" s="806"/>
      <c r="MVM31" s="806"/>
      <c r="MVN31" s="806"/>
      <c r="MVO31" s="806"/>
      <c r="MVP31" s="806"/>
      <c r="MVQ31" s="806"/>
      <c r="MVR31" s="806"/>
      <c r="MVS31" s="806"/>
      <c r="MVT31" s="806"/>
      <c r="MVU31" s="806"/>
      <c r="MVV31" s="806"/>
      <c r="MVW31" s="806"/>
      <c r="MVX31" s="806"/>
      <c r="MVY31" s="806"/>
      <c r="MVZ31" s="806"/>
      <c r="MWA31" s="806"/>
      <c r="MWB31" s="806"/>
      <c r="MWC31" s="806"/>
      <c r="MWD31" s="806"/>
      <c r="MWE31" s="806"/>
      <c r="MWF31" s="806"/>
      <c r="MWG31" s="806"/>
      <c r="MWH31" s="806"/>
      <c r="MWI31" s="806"/>
      <c r="MWJ31" s="806"/>
      <c r="MWK31" s="806"/>
      <c r="MWL31" s="806"/>
      <c r="MWM31" s="806"/>
      <c r="MWN31" s="806"/>
      <c r="MWO31" s="806"/>
      <c r="MWP31" s="806"/>
      <c r="MWQ31" s="806"/>
      <c r="MWR31" s="806"/>
      <c r="MWS31" s="806"/>
      <c r="MWT31" s="806"/>
      <c r="MWU31" s="806"/>
      <c r="MWV31" s="806"/>
      <c r="MWW31" s="806"/>
      <c r="MWX31" s="806"/>
      <c r="MWY31" s="806"/>
      <c r="MWZ31" s="806"/>
      <c r="MXA31" s="806"/>
      <c r="MXB31" s="806"/>
      <c r="MXC31" s="806"/>
      <c r="MXD31" s="806"/>
      <c r="MXE31" s="806"/>
      <c r="MXF31" s="806"/>
      <c r="MXG31" s="806"/>
      <c r="MXH31" s="806"/>
      <c r="MXI31" s="806"/>
      <c r="MXJ31" s="806"/>
      <c r="MXK31" s="806"/>
      <c r="MXL31" s="806"/>
      <c r="MXM31" s="806"/>
      <c r="MXN31" s="806"/>
      <c r="MXO31" s="806"/>
      <c r="MXP31" s="806"/>
      <c r="MXQ31" s="806"/>
      <c r="MXR31" s="806"/>
      <c r="MXS31" s="806"/>
      <c r="MXT31" s="806"/>
      <c r="MXU31" s="806"/>
      <c r="MXV31" s="806"/>
      <c r="MXW31" s="806"/>
      <c r="MXX31" s="806"/>
      <c r="MXY31" s="806"/>
      <c r="MXZ31" s="806"/>
      <c r="MYA31" s="806"/>
      <c r="MYB31" s="806"/>
      <c r="MYC31" s="806"/>
      <c r="MYD31" s="806"/>
      <c r="MYE31" s="806"/>
      <c r="MYF31" s="806"/>
      <c r="MYG31" s="806"/>
      <c r="MYH31" s="806"/>
      <c r="MYI31" s="806"/>
      <c r="MYJ31" s="806"/>
      <c r="MYK31" s="806"/>
      <c r="MYL31" s="806"/>
      <c r="MYM31" s="806"/>
      <c r="MYN31" s="806"/>
      <c r="MYO31" s="806"/>
      <c r="MYP31" s="806"/>
      <c r="MYQ31" s="806"/>
      <c r="MYR31" s="806"/>
      <c r="MYS31" s="806"/>
      <c r="MYT31" s="806"/>
      <c r="MYU31" s="806"/>
      <c r="MYV31" s="806"/>
      <c r="MYW31" s="806"/>
      <c r="MYX31" s="806"/>
      <c r="MYY31" s="806"/>
      <c r="MYZ31" s="806"/>
      <c r="MZA31" s="806"/>
      <c r="MZB31" s="806"/>
      <c r="MZC31" s="806"/>
      <c r="MZD31" s="806"/>
      <c r="MZE31" s="806"/>
      <c r="MZF31" s="806"/>
      <c r="MZG31" s="806"/>
      <c r="MZH31" s="806"/>
      <c r="MZI31" s="806"/>
      <c r="MZJ31" s="806"/>
      <c r="MZK31" s="806"/>
      <c r="MZL31" s="806"/>
      <c r="MZM31" s="806"/>
      <c r="MZN31" s="806"/>
      <c r="MZO31" s="806"/>
      <c r="MZP31" s="806"/>
      <c r="MZQ31" s="806"/>
      <c r="MZR31" s="806"/>
      <c r="MZS31" s="806"/>
      <c r="MZT31" s="806"/>
      <c r="MZU31" s="806"/>
      <c r="MZV31" s="806"/>
      <c r="MZW31" s="806"/>
      <c r="MZX31" s="806"/>
      <c r="MZY31" s="806"/>
      <c r="MZZ31" s="806"/>
      <c r="NAA31" s="806"/>
      <c r="NAB31" s="806"/>
      <c r="NAC31" s="806"/>
      <c r="NAD31" s="806"/>
      <c r="NAE31" s="806"/>
      <c r="NAF31" s="806"/>
      <c r="NAG31" s="806"/>
      <c r="NAH31" s="806"/>
      <c r="NAI31" s="806"/>
      <c r="NAJ31" s="806"/>
      <c r="NAK31" s="806"/>
      <c r="NAL31" s="806"/>
      <c r="NAM31" s="806"/>
      <c r="NAN31" s="806"/>
      <c r="NAO31" s="806"/>
      <c r="NAP31" s="806"/>
      <c r="NAQ31" s="806"/>
      <c r="NAR31" s="806"/>
      <c r="NAS31" s="806"/>
      <c r="NAT31" s="806"/>
      <c r="NAU31" s="806"/>
      <c r="NAV31" s="806"/>
      <c r="NAW31" s="806"/>
      <c r="NAX31" s="806"/>
      <c r="NAY31" s="806"/>
      <c r="NAZ31" s="806"/>
      <c r="NBA31" s="806"/>
      <c r="NBB31" s="806"/>
      <c r="NBC31" s="806"/>
      <c r="NBD31" s="806"/>
      <c r="NBE31" s="806"/>
      <c r="NBF31" s="806"/>
      <c r="NBG31" s="806"/>
      <c r="NBH31" s="806"/>
      <c r="NBI31" s="806"/>
      <c r="NBJ31" s="806"/>
      <c r="NBK31" s="806"/>
      <c r="NBL31" s="806"/>
      <c r="NBM31" s="806"/>
      <c r="NBN31" s="806"/>
      <c r="NBO31" s="806"/>
      <c r="NBP31" s="806"/>
      <c r="NBQ31" s="806"/>
      <c r="NBR31" s="806"/>
      <c r="NBS31" s="806"/>
      <c r="NBT31" s="806"/>
      <c r="NBU31" s="806"/>
      <c r="NBV31" s="806"/>
      <c r="NBW31" s="806"/>
      <c r="NBX31" s="806"/>
      <c r="NBY31" s="806"/>
      <c r="NBZ31" s="806"/>
      <c r="NCA31" s="806"/>
      <c r="NCB31" s="806"/>
      <c r="NCC31" s="806"/>
      <c r="NCD31" s="806"/>
      <c r="NCE31" s="806"/>
      <c r="NCF31" s="806"/>
      <c r="NCG31" s="806"/>
      <c r="NCH31" s="806"/>
      <c r="NCI31" s="806"/>
      <c r="NCJ31" s="806"/>
      <c r="NCK31" s="806"/>
      <c r="NCL31" s="806"/>
      <c r="NCM31" s="806"/>
      <c r="NCN31" s="806"/>
      <c r="NCO31" s="806"/>
      <c r="NCP31" s="806"/>
      <c r="NCQ31" s="806"/>
      <c r="NCR31" s="806"/>
      <c r="NCS31" s="806"/>
      <c r="NCT31" s="806"/>
      <c r="NCU31" s="806"/>
      <c r="NCV31" s="806"/>
      <c r="NCW31" s="806"/>
      <c r="NCX31" s="806"/>
      <c r="NCY31" s="806"/>
      <c r="NCZ31" s="806"/>
      <c r="NDA31" s="806"/>
      <c r="NDB31" s="806"/>
      <c r="NDC31" s="806"/>
      <c r="NDD31" s="806"/>
      <c r="NDE31" s="806"/>
      <c r="NDF31" s="806"/>
      <c r="NDG31" s="806"/>
      <c r="NDH31" s="806"/>
      <c r="NDI31" s="806"/>
      <c r="NDJ31" s="806"/>
      <c r="NDK31" s="806"/>
      <c r="NDL31" s="806"/>
      <c r="NDM31" s="806"/>
      <c r="NDN31" s="806"/>
      <c r="NDO31" s="806"/>
      <c r="NDP31" s="806"/>
      <c r="NDQ31" s="806"/>
      <c r="NDR31" s="806"/>
      <c r="NDS31" s="806"/>
      <c r="NDT31" s="806"/>
      <c r="NDU31" s="806"/>
      <c r="NDV31" s="806"/>
      <c r="NDW31" s="806"/>
      <c r="NDX31" s="806"/>
      <c r="NDY31" s="806"/>
      <c r="NDZ31" s="806"/>
      <c r="NEA31" s="806"/>
      <c r="NEB31" s="806"/>
      <c r="NEC31" s="806"/>
      <c r="NED31" s="806"/>
      <c r="NEE31" s="806"/>
      <c r="NEF31" s="806"/>
      <c r="NEG31" s="806"/>
      <c r="NEH31" s="806"/>
      <c r="NEI31" s="806"/>
      <c r="NEJ31" s="806"/>
      <c r="NEK31" s="806"/>
      <c r="NEL31" s="806"/>
      <c r="NEM31" s="806"/>
      <c r="NEN31" s="806"/>
      <c r="NEO31" s="806"/>
      <c r="NEP31" s="806"/>
      <c r="NEQ31" s="806"/>
      <c r="NER31" s="806"/>
      <c r="NES31" s="806"/>
      <c r="NET31" s="806"/>
      <c r="NEU31" s="806"/>
      <c r="NEV31" s="806"/>
      <c r="NEW31" s="806"/>
      <c r="NEX31" s="806"/>
      <c r="NEY31" s="806"/>
      <c r="NEZ31" s="806"/>
      <c r="NFA31" s="806"/>
      <c r="NFB31" s="806"/>
      <c r="NFC31" s="806"/>
      <c r="NFD31" s="806"/>
      <c r="NFE31" s="806"/>
      <c r="NFF31" s="806"/>
      <c r="NFG31" s="806"/>
      <c r="NFH31" s="806"/>
      <c r="NFI31" s="806"/>
      <c r="NFJ31" s="806"/>
      <c r="NFK31" s="806"/>
      <c r="NFL31" s="806"/>
      <c r="NFM31" s="806"/>
      <c r="NFN31" s="806"/>
      <c r="NFO31" s="806"/>
      <c r="NFP31" s="806"/>
      <c r="NFQ31" s="806"/>
      <c r="NFR31" s="806"/>
      <c r="NFS31" s="806"/>
      <c r="NFT31" s="806"/>
      <c r="NFU31" s="806"/>
      <c r="NFV31" s="806"/>
      <c r="NFW31" s="806"/>
      <c r="NFX31" s="806"/>
      <c r="NFY31" s="806"/>
      <c r="NFZ31" s="806"/>
      <c r="NGA31" s="806"/>
      <c r="NGB31" s="806"/>
      <c r="NGC31" s="806"/>
      <c r="NGD31" s="806"/>
      <c r="NGE31" s="806"/>
      <c r="NGF31" s="806"/>
      <c r="NGG31" s="806"/>
      <c r="NGH31" s="806"/>
      <c r="NGI31" s="806"/>
      <c r="NGJ31" s="806"/>
      <c r="NGK31" s="806"/>
      <c r="NGL31" s="806"/>
      <c r="NGM31" s="806"/>
      <c r="NGN31" s="806"/>
      <c r="NGO31" s="806"/>
      <c r="NGP31" s="806"/>
      <c r="NGQ31" s="806"/>
      <c r="NGR31" s="806"/>
      <c r="NGS31" s="806"/>
      <c r="NGT31" s="806"/>
      <c r="NGU31" s="806"/>
      <c r="NGV31" s="806"/>
      <c r="NGW31" s="806"/>
      <c r="NGX31" s="806"/>
      <c r="NGY31" s="806"/>
      <c r="NGZ31" s="806"/>
      <c r="NHA31" s="806"/>
      <c r="NHB31" s="806"/>
      <c r="NHC31" s="806"/>
      <c r="NHD31" s="806"/>
      <c r="NHE31" s="806"/>
      <c r="NHF31" s="806"/>
      <c r="NHG31" s="806"/>
      <c r="NHH31" s="806"/>
      <c r="NHI31" s="806"/>
      <c r="NHJ31" s="806"/>
      <c r="NHK31" s="806"/>
      <c r="NHL31" s="806"/>
      <c r="NHM31" s="806"/>
      <c r="NHN31" s="806"/>
      <c r="NHO31" s="806"/>
      <c r="NHP31" s="806"/>
      <c r="NHQ31" s="806"/>
      <c r="NHR31" s="806"/>
      <c r="NHS31" s="806"/>
      <c r="NHT31" s="806"/>
      <c r="NHU31" s="806"/>
      <c r="NHV31" s="806"/>
      <c r="NHW31" s="806"/>
      <c r="NHX31" s="806"/>
      <c r="NHY31" s="806"/>
      <c r="NHZ31" s="806"/>
      <c r="NIA31" s="806"/>
      <c r="NIB31" s="806"/>
      <c r="NIC31" s="806"/>
      <c r="NID31" s="806"/>
      <c r="NIE31" s="806"/>
      <c r="NIF31" s="806"/>
      <c r="NIG31" s="806"/>
      <c r="NIH31" s="806"/>
      <c r="NII31" s="806"/>
      <c r="NIJ31" s="806"/>
      <c r="NIK31" s="806"/>
      <c r="NIL31" s="806"/>
      <c r="NIM31" s="806"/>
      <c r="NIN31" s="806"/>
      <c r="NIO31" s="806"/>
      <c r="NIP31" s="806"/>
      <c r="NIQ31" s="806"/>
      <c r="NIR31" s="806"/>
      <c r="NIS31" s="806"/>
      <c r="NIT31" s="806"/>
      <c r="NIU31" s="806"/>
      <c r="NIV31" s="806"/>
      <c r="NIW31" s="806"/>
      <c r="NIX31" s="806"/>
      <c r="NIY31" s="806"/>
      <c r="NIZ31" s="806"/>
      <c r="NJA31" s="806"/>
      <c r="NJB31" s="806"/>
      <c r="NJC31" s="806"/>
      <c r="NJD31" s="806"/>
      <c r="NJE31" s="806"/>
      <c r="NJF31" s="806"/>
      <c r="NJG31" s="806"/>
      <c r="NJH31" s="806"/>
      <c r="NJI31" s="806"/>
      <c r="NJJ31" s="806"/>
      <c r="NJK31" s="806"/>
      <c r="NJL31" s="806"/>
      <c r="NJM31" s="806"/>
      <c r="NJN31" s="806"/>
      <c r="NJO31" s="806"/>
      <c r="NJP31" s="806"/>
      <c r="NJQ31" s="806"/>
      <c r="NJR31" s="806"/>
      <c r="NJS31" s="806"/>
      <c r="NJT31" s="806"/>
      <c r="NJU31" s="806"/>
      <c r="NJV31" s="806"/>
      <c r="NJW31" s="806"/>
      <c r="NJX31" s="806"/>
      <c r="NJY31" s="806"/>
      <c r="NJZ31" s="806"/>
      <c r="NKA31" s="806"/>
      <c r="NKB31" s="806"/>
      <c r="NKC31" s="806"/>
      <c r="NKD31" s="806"/>
      <c r="NKE31" s="806"/>
      <c r="NKF31" s="806"/>
      <c r="NKG31" s="806"/>
      <c r="NKH31" s="806"/>
      <c r="NKI31" s="806"/>
      <c r="NKJ31" s="806"/>
      <c r="NKK31" s="806"/>
      <c r="NKL31" s="806"/>
      <c r="NKM31" s="806"/>
      <c r="NKN31" s="806"/>
      <c r="NKO31" s="806"/>
      <c r="NKP31" s="806"/>
      <c r="NKQ31" s="806"/>
      <c r="NKR31" s="806"/>
      <c r="NKS31" s="806"/>
      <c r="NKT31" s="806"/>
      <c r="NKU31" s="806"/>
      <c r="NKV31" s="806"/>
      <c r="NKW31" s="806"/>
      <c r="NKX31" s="806"/>
      <c r="NKY31" s="806"/>
      <c r="NKZ31" s="806"/>
      <c r="NLA31" s="806"/>
      <c r="NLB31" s="806"/>
      <c r="NLC31" s="806"/>
      <c r="NLD31" s="806"/>
      <c r="NLE31" s="806"/>
      <c r="NLF31" s="806"/>
      <c r="NLG31" s="806"/>
      <c r="NLH31" s="806"/>
      <c r="NLI31" s="806"/>
      <c r="NLJ31" s="806"/>
      <c r="NLK31" s="806"/>
      <c r="NLL31" s="806"/>
      <c r="NLM31" s="806"/>
      <c r="NLN31" s="806"/>
      <c r="NLO31" s="806"/>
      <c r="NLP31" s="806"/>
      <c r="NLQ31" s="806"/>
      <c r="NLR31" s="806"/>
      <c r="NLS31" s="806"/>
      <c r="NLT31" s="806"/>
      <c r="NLU31" s="806"/>
      <c r="NLV31" s="806"/>
      <c r="NLW31" s="806"/>
      <c r="NLX31" s="806"/>
      <c r="NLY31" s="806"/>
      <c r="NLZ31" s="806"/>
      <c r="NMA31" s="806"/>
      <c r="NMB31" s="806"/>
      <c r="NMC31" s="806"/>
      <c r="NMD31" s="806"/>
      <c r="NME31" s="806"/>
      <c r="NMF31" s="806"/>
      <c r="NMG31" s="806"/>
      <c r="NMH31" s="806"/>
      <c r="NMI31" s="806"/>
      <c r="NMJ31" s="806"/>
      <c r="NMK31" s="806"/>
      <c r="NML31" s="806"/>
      <c r="NMM31" s="806"/>
      <c r="NMN31" s="806"/>
      <c r="NMO31" s="806"/>
      <c r="NMP31" s="806"/>
      <c r="NMQ31" s="806"/>
      <c r="NMR31" s="806"/>
      <c r="NMS31" s="806"/>
      <c r="NMT31" s="806"/>
      <c r="NMU31" s="806"/>
      <c r="NMV31" s="806"/>
      <c r="NMW31" s="806"/>
      <c r="NMX31" s="806"/>
      <c r="NMY31" s="806"/>
      <c r="NMZ31" s="806"/>
      <c r="NNA31" s="806"/>
      <c r="NNB31" s="806"/>
      <c r="NNC31" s="806"/>
      <c r="NND31" s="806"/>
      <c r="NNE31" s="806"/>
      <c r="NNF31" s="806"/>
      <c r="NNG31" s="806"/>
      <c r="NNH31" s="806"/>
      <c r="NNI31" s="806"/>
      <c r="NNJ31" s="806"/>
      <c r="NNK31" s="806"/>
      <c r="NNL31" s="806"/>
      <c r="NNM31" s="806"/>
      <c r="NNN31" s="806"/>
      <c r="NNO31" s="806"/>
      <c r="NNP31" s="806"/>
      <c r="NNQ31" s="806"/>
      <c r="NNR31" s="806"/>
      <c r="NNS31" s="806"/>
      <c r="NNT31" s="806"/>
      <c r="NNU31" s="806"/>
      <c r="NNV31" s="806"/>
      <c r="NNW31" s="806"/>
      <c r="NNX31" s="806"/>
      <c r="NNY31" s="806"/>
      <c r="NNZ31" s="806"/>
      <c r="NOA31" s="806"/>
      <c r="NOB31" s="806"/>
      <c r="NOC31" s="806"/>
      <c r="NOD31" s="806"/>
      <c r="NOE31" s="806"/>
      <c r="NOF31" s="806"/>
      <c r="NOG31" s="806"/>
      <c r="NOH31" s="806"/>
      <c r="NOI31" s="806"/>
      <c r="NOJ31" s="806"/>
      <c r="NOK31" s="806"/>
      <c r="NOL31" s="806"/>
      <c r="NOM31" s="806"/>
      <c r="NON31" s="806"/>
      <c r="NOO31" s="806"/>
      <c r="NOP31" s="806"/>
      <c r="NOQ31" s="806"/>
      <c r="NOR31" s="806"/>
      <c r="NOS31" s="806"/>
      <c r="NOT31" s="806"/>
      <c r="NOU31" s="806"/>
      <c r="NOV31" s="806"/>
      <c r="NOW31" s="806"/>
      <c r="NOX31" s="806"/>
      <c r="NOY31" s="806"/>
      <c r="NOZ31" s="806"/>
      <c r="NPA31" s="806"/>
      <c r="NPB31" s="806"/>
      <c r="NPC31" s="806"/>
      <c r="NPD31" s="806"/>
      <c r="NPE31" s="806"/>
      <c r="NPF31" s="806"/>
      <c r="NPG31" s="806"/>
      <c r="NPH31" s="806"/>
      <c r="NPI31" s="806"/>
      <c r="NPJ31" s="806"/>
      <c r="NPK31" s="806"/>
      <c r="NPL31" s="806"/>
      <c r="NPM31" s="806"/>
      <c r="NPN31" s="806"/>
      <c r="NPO31" s="806"/>
      <c r="NPP31" s="806"/>
      <c r="NPQ31" s="806"/>
      <c r="NPR31" s="806"/>
      <c r="NPS31" s="806"/>
      <c r="NPT31" s="806"/>
      <c r="NPU31" s="806"/>
      <c r="NPV31" s="806"/>
      <c r="NPW31" s="806"/>
      <c r="NPX31" s="806"/>
      <c r="NPY31" s="806"/>
      <c r="NPZ31" s="806"/>
      <c r="NQA31" s="806"/>
      <c r="NQB31" s="806"/>
      <c r="NQC31" s="806"/>
      <c r="NQD31" s="806"/>
      <c r="NQE31" s="806"/>
      <c r="NQF31" s="806"/>
      <c r="NQG31" s="806"/>
      <c r="NQH31" s="806"/>
      <c r="NQI31" s="806"/>
      <c r="NQJ31" s="806"/>
      <c r="NQK31" s="806"/>
      <c r="NQL31" s="806"/>
      <c r="NQM31" s="806"/>
      <c r="NQN31" s="806"/>
      <c r="NQO31" s="806"/>
      <c r="NQP31" s="806"/>
      <c r="NQQ31" s="806"/>
      <c r="NQR31" s="806"/>
      <c r="NQS31" s="806"/>
      <c r="NQT31" s="806"/>
      <c r="NQU31" s="806"/>
      <c r="NQV31" s="806"/>
      <c r="NQW31" s="806"/>
      <c r="NQX31" s="806"/>
      <c r="NQY31" s="806"/>
      <c r="NQZ31" s="806"/>
      <c r="NRA31" s="806"/>
      <c r="NRB31" s="806"/>
      <c r="NRC31" s="806"/>
      <c r="NRD31" s="806"/>
      <c r="NRE31" s="806"/>
      <c r="NRF31" s="806"/>
      <c r="NRG31" s="806"/>
      <c r="NRH31" s="806"/>
      <c r="NRI31" s="806"/>
      <c r="NRJ31" s="806"/>
      <c r="NRK31" s="806"/>
      <c r="NRL31" s="806"/>
      <c r="NRM31" s="806"/>
      <c r="NRN31" s="806"/>
      <c r="NRO31" s="806"/>
      <c r="NRP31" s="806"/>
      <c r="NRQ31" s="806"/>
      <c r="NRR31" s="806"/>
      <c r="NRS31" s="806"/>
      <c r="NRT31" s="806"/>
      <c r="NRU31" s="806"/>
      <c r="NRV31" s="806"/>
      <c r="NRW31" s="806"/>
      <c r="NRX31" s="806"/>
      <c r="NRY31" s="806"/>
      <c r="NRZ31" s="806"/>
      <c r="NSA31" s="806"/>
      <c r="NSB31" s="806"/>
      <c r="NSC31" s="806"/>
      <c r="NSD31" s="806"/>
      <c r="NSE31" s="806"/>
      <c r="NSF31" s="806"/>
      <c r="NSG31" s="806"/>
      <c r="NSH31" s="806"/>
      <c r="NSI31" s="806"/>
      <c r="NSJ31" s="806"/>
      <c r="NSK31" s="806"/>
      <c r="NSL31" s="806"/>
      <c r="NSM31" s="806"/>
      <c r="NSN31" s="806"/>
      <c r="NSO31" s="806"/>
      <c r="NSP31" s="806"/>
      <c r="NSQ31" s="806"/>
      <c r="NSR31" s="806"/>
      <c r="NSS31" s="806"/>
      <c r="NST31" s="806"/>
      <c r="NSU31" s="806"/>
      <c r="NSV31" s="806"/>
      <c r="NSW31" s="806"/>
      <c r="NSX31" s="806"/>
      <c r="NSY31" s="806"/>
      <c r="NSZ31" s="806"/>
      <c r="NTA31" s="806"/>
      <c r="NTB31" s="806"/>
      <c r="NTC31" s="806"/>
      <c r="NTD31" s="806"/>
      <c r="NTE31" s="806"/>
      <c r="NTF31" s="806"/>
      <c r="NTG31" s="806"/>
      <c r="NTH31" s="806"/>
      <c r="NTI31" s="806"/>
      <c r="NTJ31" s="806"/>
      <c r="NTK31" s="806"/>
      <c r="NTL31" s="806"/>
      <c r="NTM31" s="806"/>
      <c r="NTN31" s="806"/>
      <c r="NTO31" s="806"/>
      <c r="NTP31" s="806"/>
      <c r="NTQ31" s="806"/>
      <c r="NTR31" s="806"/>
      <c r="NTS31" s="806"/>
      <c r="NTT31" s="806"/>
      <c r="NTU31" s="806"/>
      <c r="NTV31" s="806"/>
      <c r="NTW31" s="806"/>
      <c r="NTX31" s="806"/>
      <c r="NTY31" s="806"/>
      <c r="NTZ31" s="806"/>
      <c r="NUA31" s="806"/>
      <c r="NUB31" s="806"/>
      <c r="NUC31" s="806"/>
      <c r="NUD31" s="806"/>
      <c r="NUE31" s="806"/>
      <c r="NUF31" s="806"/>
      <c r="NUG31" s="806"/>
      <c r="NUH31" s="806"/>
      <c r="NUI31" s="806"/>
      <c r="NUJ31" s="806"/>
      <c r="NUK31" s="806"/>
      <c r="NUL31" s="806"/>
      <c r="NUM31" s="806"/>
      <c r="NUN31" s="806"/>
      <c r="NUO31" s="806"/>
      <c r="NUP31" s="806"/>
      <c r="NUQ31" s="806"/>
      <c r="NUR31" s="806"/>
      <c r="NUS31" s="806"/>
      <c r="NUT31" s="806"/>
      <c r="NUU31" s="806"/>
      <c r="NUV31" s="806"/>
      <c r="NUW31" s="806"/>
      <c r="NUX31" s="806"/>
      <c r="NUY31" s="806"/>
      <c r="NUZ31" s="806"/>
      <c r="NVA31" s="806"/>
      <c r="NVB31" s="806"/>
      <c r="NVC31" s="806"/>
      <c r="NVD31" s="806"/>
      <c r="NVE31" s="806"/>
      <c r="NVF31" s="806"/>
      <c r="NVG31" s="806"/>
      <c r="NVH31" s="806"/>
      <c r="NVI31" s="806"/>
      <c r="NVJ31" s="806"/>
      <c r="NVK31" s="806"/>
      <c r="NVL31" s="806"/>
      <c r="NVM31" s="806"/>
      <c r="NVN31" s="806"/>
      <c r="NVO31" s="806"/>
      <c r="NVP31" s="806"/>
      <c r="NVQ31" s="806"/>
      <c r="NVR31" s="806"/>
      <c r="NVS31" s="806"/>
      <c r="NVT31" s="806"/>
      <c r="NVU31" s="806"/>
      <c r="NVV31" s="806"/>
      <c r="NVW31" s="806"/>
      <c r="NVX31" s="806"/>
      <c r="NVY31" s="806"/>
      <c r="NVZ31" s="806"/>
      <c r="NWA31" s="806"/>
      <c r="NWB31" s="806"/>
      <c r="NWC31" s="806"/>
      <c r="NWD31" s="806"/>
      <c r="NWE31" s="806"/>
      <c r="NWF31" s="806"/>
      <c r="NWG31" s="806"/>
      <c r="NWH31" s="806"/>
      <c r="NWI31" s="806"/>
      <c r="NWJ31" s="806"/>
      <c r="NWK31" s="806"/>
      <c r="NWL31" s="806"/>
      <c r="NWM31" s="806"/>
      <c r="NWN31" s="806"/>
      <c r="NWO31" s="806"/>
      <c r="NWP31" s="806"/>
      <c r="NWQ31" s="806"/>
      <c r="NWR31" s="806"/>
      <c r="NWS31" s="806"/>
      <c r="NWT31" s="806"/>
      <c r="NWU31" s="806"/>
      <c r="NWV31" s="806"/>
      <c r="NWW31" s="806"/>
      <c r="NWX31" s="806"/>
      <c r="NWY31" s="806"/>
      <c r="NWZ31" s="806"/>
      <c r="NXA31" s="806"/>
      <c r="NXB31" s="806"/>
      <c r="NXC31" s="806"/>
      <c r="NXD31" s="806"/>
      <c r="NXE31" s="806"/>
      <c r="NXF31" s="806"/>
      <c r="NXG31" s="806"/>
      <c r="NXH31" s="806"/>
      <c r="NXI31" s="806"/>
      <c r="NXJ31" s="806"/>
      <c r="NXK31" s="806"/>
      <c r="NXL31" s="806"/>
      <c r="NXM31" s="806"/>
      <c r="NXN31" s="806"/>
      <c r="NXO31" s="806"/>
      <c r="NXP31" s="806"/>
      <c r="NXQ31" s="806"/>
      <c r="NXR31" s="806"/>
      <c r="NXS31" s="806"/>
      <c r="NXT31" s="806"/>
      <c r="NXU31" s="806"/>
      <c r="NXV31" s="806"/>
      <c r="NXW31" s="806"/>
      <c r="NXX31" s="806"/>
      <c r="NXY31" s="806"/>
      <c r="NXZ31" s="806"/>
      <c r="NYA31" s="806"/>
      <c r="NYB31" s="806"/>
      <c r="NYC31" s="806"/>
      <c r="NYD31" s="806"/>
      <c r="NYE31" s="806"/>
      <c r="NYF31" s="806"/>
      <c r="NYG31" s="806"/>
      <c r="NYH31" s="806"/>
      <c r="NYI31" s="806"/>
      <c r="NYJ31" s="806"/>
      <c r="NYK31" s="806"/>
      <c r="NYL31" s="806"/>
      <c r="NYM31" s="806"/>
      <c r="NYN31" s="806"/>
      <c r="NYO31" s="806"/>
      <c r="NYP31" s="806"/>
      <c r="NYQ31" s="806"/>
      <c r="NYR31" s="806"/>
      <c r="NYS31" s="806"/>
      <c r="NYT31" s="806"/>
      <c r="NYU31" s="806"/>
      <c r="NYV31" s="806"/>
      <c r="NYW31" s="806"/>
      <c r="NYX31" s="806"/>
      <c r="NYY31" s="806"/>
      <c r="NYZ31" s="806"/>
      <c r="NZA31" s="806"/>
      <c r="NZB31" s="806"/>
      <c r="NZC31" s="806"/>
      <c r="NZD31" s="806"/>
      <c r="NZE31" s="806"/>
      <c r="NZF31" s="806"/>
      <c r="NZG31" s="806"/>
      <c r="NZH31" s="806"/>
      <c r="NZI31" s="806"/>
      <c r="NZJ31" s="806"/>
      <c r="NZK31" s="806"/>
      <c r="NZL31" s="806"/>
      <c r="NZM31" s="806"/>
      <c r="NZN31" s="806"/>
      <c r="NZO31" s="806"/>
      <c r="NZP31" s="806"/>
      <c r="NZQ31" s="806"/>
      <c r="NZR31" s="806"/>
      <c r="NZS31" s="806"/>
      <c r="NZT31" s="806"/>
      <c r="NZU31" s="806"/>
      <c r="NZV31" s="806"/>
      <c r="NZW31" s="806"/>
      <c r="NZX31" s="806"/>
      <c r="NZY31" s="806"/>
      <c r="NZZ31" s="806"/>
      <c r="OAA31" s="806"/>
      <c r="OAB31" s="806"/>
      <c r="OAC31" s="806"/>
      <c r="OAD31" s="806"/>
      <c r="OAE31" s="806"/>
      <c r="OAF31" s="806"/>
      <c r="OAG31" s="806"/>
      <c r="OAH31" s="806"/>
      <c r="OAI31" s="806"/>
      <c r="OAJ31" s="806"/>
      <c r="OAK31" s="806"/>
      <c r="OAL31" s="806"/>
      <c r="OAM31" s="806"/>
      <c r="OAN31" s="806"/>
      <c r="OAO31" s="806"/>
      <c r="OAP31" s="806"/>
      <c r="OAQ31" s="806"/>
      <c r="OAR31" s="806"/>
      <c r="OAS31" s="806"/>
      <c r="OAT31" s="806"/>
      <c r="OAU31" s="806"/>
      <c r="OAV31" s="806"/>
      <c r="OAW31" s="806"/>
      <c r="OAX31" s="806"/>
      <c r="OAY31" s="806"/>
      <c r="OAZ31" s="806"/>
      <c r="OBA31" s="806"/>
      <c r="OBB31" s="806"/>
      <c r="OBC31" s="806"/>
      <c r="OBD31" s="806"/>
      <c r="OBE31" s="806"/>
      <c r="OBF31" s="806"/>
      <c r="OBG31" s="806"/>
      <c r="OBH31" s="806"/>
      <c r="OBI31" s="806"/>
      <c r="OBJ31" s="806"/>
      <c r="OBK31" s="806"/>
      <c r="OBL31" s="806"/>
      <c r="OBM31" s="806"/>
      <c r="OBN31" s="806"/>
      <c r="OBO31" s="806"/>
      <c r="OBP31" s="806"/>
      <c r="OBQ31" s="806"/>
      <c r="OBR31" s="806"/>
      <c r="OBS31" s="806"/>
      <c r="OBT31" s="806"/>
      <c r="OBU31" s="806"/>
      <c r="OBV31" s="806"/>
      <c r="OBW31" s="806"/>
      <c r="OBX31" s="806"/>
      <c r="OBY31" s="806"/>
      <c r="OBZ31" s="806"/>
      <c r="OCA31" s="806"/>
      <c r="OCB31" s="806"/>
      <c r="OCC31" s="806"/>
      <c r="OCD31" s="806"/>
      <c r="OCE31" s="806"/>
      <c r="OCF31" s="806"/>
      <c r="OCG31" s="806"/>
      <c r="OCH31" s="806"/>
      <c r="OCI31" s="806"/>
      <c r="OCJ31" s="806"/>
      <c r="OCK31" s="806"/>
      <c r="OCL31" s="806"/>
      <c r="OCM31" s="806"/>
      <c r="OCN31" s="806"/>
      <c r="OCO31" s="806"/>
      <c r="OCP31" s="806"/>
      <c r="OCQ31" s="806"/>
      <c r="OCR31" s="806"/>
      <c r="OCS31" s="806"/>
      <c r="OCT31" s="806"/>
      <c r="OCU31" s="806"/>
      <c r="OCV31" s="806"/>
      <c r="OCW31" s="806"/>
      <c r="OCX31" s="806"/>
      <c r="OCY31" s="806"/>
      <c r="OCZ31" s="806"/>
      <c r="ODA31" s="806"/>
      <c r="ODB31" s="806"/>
      <c r="ODC31" s="806"/>
      <c r="ODD31" s="806"/>
      <c r="ODE31" s="806"/>
      <c r="ODF31" s="806"/>
      <c r="ODG31" s="806"/>
      <c r="ODH31" s="806"/>
      <c r="ODI31" s="806"/>
      <c r="ODJ31" s="806"/>
      <c r="ODK31" s="806"/>
      <c r="ODL31" s="806"/>
      <c r="ODM31" s="806"/>
      <c r="ODN31" s="806"/>
      <c r="ODO31" s="806"/>
      <c r="ODP31" s="806"/>
      <c r="ODQ31" s="806"/>
      <c r="ODR31" s="806"/>
      <c r="ODS31" s="806"/>
      <c r="ODT31" s="806"/>
      <c r="ODU31" s="806"/>
      <c r="ODV31" s="806"/>
      <c r="ODW31" s="806"/>
      <c r="ODX31" s="806"/>
      <c r="ODY31" s="806"/>
      <c r="ODZ31" s="806"/>
      <c r="OEA31" s="806"/>
      <c r="OEB31" s="806"/>
      <c r="OEC31" s="806"/>
      <c r="OED31" s="806"/>
      <c r="OEE31" s="806"/>
      <c r="OEF31" s="806"/>
      <c r="OEG31" s="806"/>
      <c r="OEH31" s="806"/>
      <c r="OEI31" s="806"/>
      <c r="OEJ31" s="806"/>
      <c r="OEK31" s="806"/>
      <c r="OEL31" s="806"/>
      <c r="OEM31" s="806"/>
      <c r="OEN31" s="806"/>
      <c r="OEO31" s="806"/>
      <c r="OEP31" s="806"/>
      <c r="OEQ31" s="806"/>
      <c r="OER31" s="806"/>
      <c r="OES31" s="806"/>
      <c r="OET31" s="806"/>
      <c r="OEU31" s="806"/>
      <c r="OEV31" s="806"/>
      <c r="OEW31" s="806"/>
      <c r="OEX31" s="806"/>
      <c r="OEY31" s="806"/>
      <c r="OEZ31" s="806"/>
      <c r="OFA31" s="806"/>
      <c r="OFB31" s="806"/>
      <c r="OFC31" s="806"/>
      <c r="OFD31" s="806"/>
      <c r="OFE31" s="806"/>
      <c r="OFF31" s="806"/>
      <c r="OFG31" s="806"/>
      <c r="OFH31" s="806"/>
      <c r="OFI31" s="806"/>
      <c r="OFJ31" s="806"/>
      <c r="OFK31" s="806"/>
      <c r="OFL31" s="806"/>
      <c r="OFM31" s="806"/>
      <c r="OFN31" s="806"/>
      <c r="OFO31" s="806"/>
      <c r="OFP31" s="806"/>
      <c r="OFQ31" s="806"/>
      <c r="OFR31" s="806"/>
      <c r="OFS31" s="806"/>
      <c r="OFT31" s="806"/>
      <c r="OFU31" s="806"/>
      <c r="OFV31" s="806"/>
      <c r="OFW31" s="806"/>
      <c r="OFX31" s="806"/>
      <c r="OFY31" s="806"/>
      <c r="OFZ31" s="806"/>
      <c r="OGA31" s="806"/>
      <c r="OGB31" s="806"/>
      <c r="OGC31" s="806"/>
      <c r="OGD31" s="806"/>
      <c r="OGE31" s="806"/>
      <c r="OGF31" s="806"/>
      <c r="OGG31" s="806"/>
      <c r="OGH31" s="806"/>
      <c r="OGI31" s="806"/>
      <c r="OGJ31" s="806"/>
      <c r="OGK31" s="806"/>
      <c r="OGL31" s="806"/>
      <c r="OGM31" s="806"/>
      <c r="OGN31" s="806"/>
      <c r="OGO31" s="806"/>
      <c r="OGP31" s="806"/>
      <c r="OGQ31" s="806"/>
      <c r="OGR31" s="806"/>
      <c r="OGS31" s="806"/>
      <c r="OGT31" s="806"/>
      <c r="OGU31" s="806"/>
      <c r="OGV31" s="806"/>
      <c r="OGW31" s="806"/>
      <c r="OGX31" s="806"/>
      <c r="OGY31" s="806"/>
      <c r="OGZ31" s="806"/>
      <c r="OHA31" s="806"/>
      <c r="OHB31" s="806"/>
      <c r="OHC31" s="806"/>
      <c r="OHD31" s="806"/>
      <c r="OHE31" s="806"/>
      <c r="OHF31" s="806"/>
      <c r="OHG31" s="806"/>
      <c r="OHH31" s="806"/>
      <c r="OHI31" s="806"/>
      <c r="OHJ31" s="806"/>
      <c r="OHK31" s="806"/>
      <c r="OHL31" s="806"/>
      <c r="OHM31" s="806"/>
      <c r="OHN31" s="806"/>
      <c r="OHO31" s="806"/>
      <c r="OHP31" s="806"/>
      <c r="OHQ31" s="806"/>
      <c r="OHR31" s="806"/>
      <c r="OHS31" s="806"/>
      <c r="OHT31" s="806"/>
      <c r="OHU31" s="806"/>
      <c r="OHV31" s="806"/>
      <c r="OHW31" s="806"/>
      <c r="OHX31" s="806"/>
      <c r="OHY31" s="806"/>
      <c r="OHZ31" s="806"/>
      <c r="OIA31" s="806"/>
      <c r="OIB31" s="806"/>
      <c r="OIC31" s="806"/>
      <c r="OID31" s="806"/>
      <c r="OIE31" s="806"/>
      <c r="OIF31" s="806"/>
      <c r="OIG31" s="806"/>
      <c r="OIH31" s="806"/>
      <c r="OII31" s="806"/>
      <c r="OIJ31" s="806"/>
      <c r="OIK31" s="806"/>
      <c r="OIL31" s="806"/>
      <c r="OIM31" s="806"/>
      <c r="OIN31" s="806"/>
      <c r="OIO31" s="806"/>
      <c r="OIP31" s="806"/>
      <c r="OIQ31" s="806"/>
      <c r="OIR31" s="806"/>
      <c r="OIS31" s="806"/>
      <c r="OIT31" s="806"/>
      <c r="OIU31" s="806"/>
      <c r="OIV31" s="806"/>
      <c r="OIW31" s="806"/>
      <c r="OIX31" s="806"/>
      <c r="OIY31" s="806"/>
      <c r="OIZ31" s="806"/>
      <c r="OJA31" s="806"/>
      <c r="OJB31" s="806"/>
      <c r="OJC31" s="806"/>
      <c r="OJD31" s="806"/>
      <c r="OJE31" s="806"/>
      <c r="OJF31" s="806"/>
      <c r="OJG31" s="806"/>
      <c r="OJH31" s="806"/>
      <c r="OJI31" s="806"/>
      <c r="OJJ31" s="806"/>
      <c r="OJK31" s="806"/>
      <c r="OJL31" s="806"/>
      <c r="OJM31" s="806"/>
      <c r="OJN31" s="806"/>
      <c r="OJO31" s="806"/>
      <c r="OJP31" s="806"/>
      <c r="OJQ31" s="806"/>
      <c r="OJR31" s="806"/>
      <c r="OJS31" s="806"/>
      <c r="OJT31" s="806"/>
      <c r="OJU31" s="806"/>
      <c r="OJV31" s="806"/>
      <c r="OJW31" s="806"/>
      <c r="OJX31" s="806"/>
      <c r="OJY31" s="806"/>
      <c r="OJZ31" s="806"/>
      <c r="OKA31" s="806"/>
      <c r="OKB31" s="806"/>
      <c r="OKC31" s="806"/>
      <c r="OKD31" s="806"/>
      <c r="OKE31" s="806"/>
      <c r="OKF31" s="806"/>
      <c r="OKG31" s="806"/>
      <c r="OKH31" s="806"/>
      <c r="OKI31" s="806"/>
      <c r="OKJ31" s="806"/>
      <c r="OKK31" s="806"/>
      <c r="OKL31" s="806"/>
      <c r="OKM31" s="806"/>
      <c r="OKN31" s="806"/>
      <c r="OKO31" s="806"/>
      <c r="OKP31" s="806"/>
      <c r="OKQ31" s="806"/>
      <c r="OKR31" s="806"/>
      <c r="OKS31" s="806"/>
      <c r="OKT31" s="806"/>
      <c r="OKU31" s="806"/>
      <c r="OKV31" s="806"/>
      <c r="OKW31" s="806"/>
      <c r="OKX31" s="806"/>
      <c r="OKY31" s="806"/>
      <c r="OKZ31" s="806"/>
      <c r="OLA31" s="806"/>
      <c r="OLB31" s="806"/>
      <c r="OLC31" s="806"/>
      <c r="OLD31" s="806"/>
      <c r="OLE31" s="806"/>
      <c r="OLF31" s="806"/>
      <c r="OLG31" s="806"/>
      <c r="OLH31" s="806"/>
      <c r="OLI31" s="806"/>
      <c r="OLJ31" s="806"/>
      <c r="OLK31" s="806"/>
      <c r="OLL31" s="806"/>
      <c r="OLM31" s="806"/>
      <c r="OLN31" s="806"/>
      <c r="OLO31" s="806"/>
      <c r="OLP31" s="806"/>
      <c r="OLQ31" s="806"/>
      <c r="OLR31" s="806"/>
      <c r="OLS31" s="806"/>
      <c r="OLT31" s="806"/>
      <c r="OLU31" s="806"/>
      <c r="OLV31" s="806"/>
      <c r="OLW31" s="806"/>
      <c r="OLX31" s="806"/>
      <c r="OLY31" s="806"/>
      <c r="OLZ31" s="806"/>
      <c r="OMA31" s="806"/>
      <c r="OMB31" s="806"/>
      <c r="OMC31" s="806"/>
      <c r="OMD31" s="806"/>
      <c r="OME31" s="806"/>
      <c r="OMF31" s="806"/>
      <c r="OMG31" s="806"/>
      <c r="OMH31" s="806"/>
      <c r="OMI31" s="806"/>
      <c r="OMJ31" s="806"/>
      <c r="OMK31" s="806"/>
      <c r="OML31" s="806"/>
      <c r="OMM31" s="806"/>
      <c r="OMN31" s="806"/>
      <c r="OMO31" s="806"/>
      <c r="OMP31" s="806"/>
      <c r="OMQ31" s="806"/>
      <c r="OMR31" s="806"/>
      <c r="OMS31" s="806"/>
      <c r="OMT31" s="806"/>
      <c r="OMU31" s="806"/>
      <c r="OMV31" s="806"/>
      <c r="OMW31" s="806"/>
      <c r="OMX31" s="806"/>
      <c r="OMY31" s="806"/>
      <c r="OMZ31" s="806"/>
      <c r="ONA31" s="806"/>
      <c r="ONB31" s="806"/>
      <c r="ONC31" s="806"/>
      <c r="OND31" s="806"/>
      <c r="ONE31" s="806"/>
      <c r="ONF31" s="806"/>
      <c r="ONG31" s="806"/>
      <c r="ONH31" s="806"/>
      <c r="ONI31" s="806"/>
      <c r="ONJ31" s="806"/>
      <c r="ONK31" s="806"/>
      <c r="ONL31" s="806"/>
      <c r="ONM31" s="806"/>
      <c r="ONN31" s="806"/>
      <c r="ONO31" s="806"/>
      <c r="ONP31" s="806"/>
      <c r="ONQ31" s="806"/>
      <c r="ONR31" s="806"/>
      <c r="ONS31" s="806"/>
      <c r="ONT31" s="806"/>
      <c r="ONU31" s="806"/>
      <c r="ONV31" s="806"/>
      <c r="ONW31" s="806"/>
      <c r="ONX31" s="806"/>
      <c r="ONY31" s="806"/>
      <c r="ONZ31" s="806"/>
      <c r="OOA31" s="806"/>
      <c r="OOB31" s="806"/>
      <c r="OOC31" s="806"/>
      <c r="OOD31" s="806"/>
      <c r="OOE31" s="806"/>
      <c r="OOF31" s="806"/>
      <c r="OOG31" s="806"/>
      <c r="OOH31" s="806"/>
      <c r="OOI31" s="806"/>
      <c r="OOJ31" s="806"/>
      <c r="OOK31" s="806"/>
      <c r="OOL31" s="806"/>
      <c r="OOM31" s="806"/>
      <c r="OON31" s="806"/>
      <c r="OOO31" s="806"/>
      <c r="OOP31" s="806"/>
      <c r="OOQ31" s="806"/>
      <c r="OOR31" s="806"/>
      <c r="OOS31" s="806"/>
      <c r="OOT31" s="806"/>
      <c r="OOU31" s="806"/>
      <c r="OOV31" s="806"/>
      <c r="OOW31" s="806"/>
      <c r="OOX31" s="806"/>
      <c r="OOY31" s="806"/>
      <c r="OOZ31" s="806"/>
      <c r="OPA31" s="806"/>
      <c r="OPB31" s="806"/>
      <c r="OPC31" s="806"/>
      <c r="OPD31" s="806"/>
      <c r="OPE31" s="806"/>
      <c r="OPF31" s="806"/>
      <c r="OPG31" s="806"/>
      <c r="OPH31" s="806"/>
      <c r="OPI31" s="806"/>
      <c r="OPJ31" s="806"/>
      <c r="OPK31" s="806"/>
      <c r="OPL31" s="806"/>
      <c r="OPM31" s="806"/>
      <c r="OPN31" s="806"/>
      <c r="OPO31" s="806"/>
      <c r="OPP31" s="806"/>
      <c r="OPQ31" s="806"/>
      <c r="OPR31" s="806"/>
      <c r="OPS31" s="806"/>
      <c r="OPT31" s="806"/>
      <c r="OPU31" s="806"/>
      <c r="OPV31" s="806"/>
      <c r="OPW31" s="806"/>
      <c r="OPX31" s="806"/>
      <c r="OPY31" s="806"/>
      <c r="OPZ31" s="806"/>
      <c r="OQA31" s="806"/>
      <c r="OQB31" s="806"/>
      <c r="OQC31" s="806"/>
      <c r="OQD31" s="806"/>
      <c r="OQE31" s="806"/>
      <c r="OQF31" s="806"/>
      <c r="OQG31" s="806"/>
      <c r="OQH31" s="806"/>
      <c r="OQI31" s="806"/>
      <c r="OQJ31" s="806"/>
      <c r="OQK31" s="806"/>
      <c r="OQL31" s="806"/>
      <c r="OQM31" s="806"/>
      <c r="OQN31" s="806"/>
      <c r="OQO31" s="806"/>
      <c r="OQP31" s="806"/>
      <c r="OQQ31" s="806"/>
      <c r="OQR31" s="806"/>
      <c r="OQS31" s="806"/>
      <c r="OQT31" s="806"/>
      <c r="OQU31" s="806"/>
      <c r="OQV31" s="806"/>
      <c r="OQW31" s="806"/>
      <c r="OQX31" s="806"/>
      <c r="OQY31" s="806"/>
      <c r="OQZ31" s="806"/>
      <c r="ORA31" s="806"/>
      <c r="ORB31" s="806"/>
      <c r="ORC31" s="806"/>
      <c r="ORD31" s="806"/>
      <c r="ORE31" s="806"/>
      <c r="ORF31" s="806"/>
      <c r="ORG31" s="806"/>
      <c r="ORH31" s="806"/>
      <c r="ORI31" s="806"/>
      <c r="ORJ31" s="806"/>
      <c r="ORK31" s="806"/>
      <c r="ORL31" s="806"/>
      <c r="ORM31" s="806"/>
      <c r="ORN31" s="806"/>
      <c r="ORO31" s="806"/>
      <c r="ORP31" s="806"/>
      <c r="ORQ31" s="806"/>
      <c r="ORR31" s="806"/>
      <c r="ORS31" s="806"/>
      <c r="ORT31" s="806"/>
      <c r="ORU31" s="806"/>
      <c r="ORV31" s="806"/>
      <c r="ORW31" s="806"/>
      <c r="ORX31" s="806"/>
      <c r="ORY31" s="806"/>
      <c r="ORZ31" s="806"/>
      <c r="OSA31" s="806"/>
      <c r="OSB31" s="806"/>
      <c r="OSC31" s="806"/>
      <c r="OSD31" s="806"/>
      <c r="OSE31" s="806"/>
      <c r="OSF31" s="806"/>
      <c r="OSG31" s="806"/>
      <c r="OSH31" s="806"/>
      <c r="OSI31" s="806"/>
      <c r="OSJ31" s="806"/>
      <c r="OSK31" s="806"/>
      <c r="OSL31" s="806"/>
      <c r="OSM31" s="806"/>
      <c r="OSN31" s="806"/>
      <c r="OSO31" s="806"/>
      <c r="OSP31" s="806"/>
      <c r="OSQ31" s="806"/>
      <c r="OSR31" s="806"/>
      <c r="OSS31" s="806"/>
      <c r="OST31" s="806"/>
      <c r="OSU31" s="806"/>
      <c r="OSV31" s="806"/>
      <c r="OSW31" s="806"/>
      <c r="OSX31" s="806"/>
      <c r="OSY31" s="806"/>
      <c r="OSZ31" s="806"/>
      <c r="OTA31" s="806"/>
      <c r="OTB31" s="806"/>
      <c r="OTC31" s="806"/>
      <c r="OTD31" s="806"/>
      <c r="OTE31" s="806"/>
      <c r="OTF31" s="806"/>
      <c r="OTG31" s="806"/>
      <c r="OTH31" s="806"/>
      <c r="OTI31" s="806"/>
      <c r="OTJ31" s="806"/>
      <c r="OTK31" s="806"/>
      <c r="OTL31" s="806"/>
      <c r="OTM31" s="806"/>
      <c r="OTN31" s="806"/>
      <c r="OTO31" s="806"/>
      <c r="OTP31" s="806"/>
      <c r="OTQ31" s="806"/>
      <c r="OTR31" s="806"/>
      <c r="OTS31" s="806"/>
      <c r="OTT31" s="806"/>
      <c r="OTU31" s="806"/>
      <c r="OTV31" s="806"/>
      <c r="OTW31" s="806"/>
      <c r="OTX31" s="806"/>
      <c r="OTY31" s="806"/>
      <c r="OTZ31" s="806"/>
      <c r="OUA31" s="806"/>
      <c r="OUB31" s="806"/>
      <c r="OUC31" s="806"/>
      <c r="OUD31" s="806"/>
      <c r="OUE31" s="806"/>
      <c r="OUF31" s="806"/>
      <c r="OUG31" s="806"/>
      <c r="OUH31" s="806"/>
      <c r="OUI31" s="806"/>
      <c r="OUJ31" s="806"/>
      <c r="OUK31" s="806"/>
      <c r="OUL31" s="806"/>
      <c r="OUM31" s="806"/>
      <c r="OUN31" s="806"/>
      <c r="OUO31" s="806"/>
      <c r="OUP31" s="806"/>
      <c r="OUQ31" s="806"/>
      <c r="OUR31" s="806"/>
      <c r="OUS31" s="806"/>
      <c r="OUT31" s="806"/>
      <c r="OUU31" s="806"/>
      <c r="OUV31" s="806"/>
      <c r="OUW31" s="806"/>
      <c r="OUX31" s="806"/>
      <c r="OUY31" s="806"/>
      <c r="OUZ31" s="806"/>
      <c r="OVA31" s="806"/>
      <c r="OVB31" s="806"/>
      <c r="OVC31" s="806"/>
      <c r="OVD31" s="806"/>
      <c r="OVE31" s="806"/>
      <c r="OVF31" s="806"/>
      <c r="OVG31" s="806"/>
      <c r="OVH31" s="806"/>
      <c r="OVI31" s="806"/>
      <c r="OVJ31" s="806"/>
      <c r="OVK31" s="806"/>
      <c r="OVL31" s="806"/>
      <c r="OVM31" s="806"/>
      <c r="OVN31" s="806"/>
      <c r="OVO31" s="806"/>
      <c r="OVP31" s="806"/>
      <c r="OVQ31" s="806"/>
      <c r="OVR31" s="806"/>
      <c r="OVS31" s="806"/>
      <c r="OVT31" s="806"/>
      <c r="OVU31" s="806"/>
      <c r="OVV31" s="806"/>
      <c r="OVW31" s="806"/>
      <c r="OVX31" s="806"/>
      <c r="OVY31" s="806"/>
      <c r="OVZ31" s="806"/>
      <c r="OWA31" s="806"/>
      <c r="OWB31" s="806"/>
      <c r="OWC31" s="806"/>
      <c r="OWD31" s="806"/>
      <c r="OWE31" s="806"/>
      <c r="OWF31" s="806"/>
      <c r="OWG31" s="806"/>
      <c r="OWH31" s="806"/>
      <c r="OWI31" s="806"/>
      <c r="OWJ31" s="806"/>
      <c r="OWK31" s="806"/>
      <c r="OWL31" s="806"/>
      <c r="OWM31" s="806"/>
      <c r="OWN31" s="806"/>
      <c r="OWO31" s="806"/>
      <c r="OWP31" s="806"/>
      <c r="OWQ31" s="806"/>
      <c r="OWR31" s="806"/>
      <c r="OWS31" s="806"/>
      <c r="OWT31" s="806"/>
      <c r="OWU31" s="806"/>
      <c r="OWV31" s="806"/>
      <c r="OWW31" s="806"/>
      <c r="OWX31" s="806"/>
      <c r="OWY31" s="806"/>
      <c r="OWZ31" s="806"/>
      <c r="OXA31" s="806"/>
      <c r="OXB31" s="806"/>
      <c r="OXC31" s="806"/>
      <c r="OXD31" s="806"/>
      <c r="OXE31" s="806"/>
      <c r="OXF31" s="806"/>
      <c r="OXG31" s="806"/>
      <c r="OXH31" s="806"/>
      <c r="OXI31" s="806"/>
      <c r="OXJ31" s="806"/>
      <c r="OXK31" s="806"/>
      <c r="OXL31" s="806"/>
      <c r="OXM31" s="806"/>
      <c r="OXN31" s="806"/>
      <c r="OXO31" s="806"/>
      <c r="OXP31" s="806"/>
      <c r="OXQ31" s="806"/>
      <c r="OXR31" s="806"/>
      <c r="OXS31" s="806"/>
      <c r="OXT31" s="806"/>
      <c r="OXU31" s="806"/>
      <c r="OXV31" s="806"/>
      <c r="OXW31" s="806"/>
      <c r="OXX31" s="806"/>
      <c r="OXY31" s="806"/>
      <c r="OXZ31" s="806"/>
      <c r="OYA31" s="806"/>
      <c r="OYB31" s="806"/>
      <c r="OYC31" s="806"/>
      <c r="OYD31" s="806"/>
      <c r="OYE31" s="806"/>
      <c r="OYF31" s="806"/>
      <c r="OYG31" s="806"/>
      <c r="OYH31" s="806"/>
      <c r="OYI31" s="806"/>
      <c r="OYJ31" s="806"/>
      <c r="OYK31" s="806"/>
      <c r="OYL31" s="806"/>
      <c r="OYM31" s="806"/>
      <c r="OYN31" s="806"/>
      <c r="OYO31" s="806"/>
      <c r="OYP31" s="806"/>
      <c r="OYQ31" s="806"/>
      <c r="OYR31" s="806"/>
      <c r="OYS31" s="806"/>
      <c r="OYT31" s="806"/>
      <c r="OYU31" s="806"/>
      <c r="OYV31" s="806"/>
      <c r="OYW31" s="806"/>
      <c r="OYX31" s="806"/>
      <c r="OYY31" s="806"/>
      <c r="OYZ31" s="806"/>
      <c r="OZA31" s="806"/>
      <c r="OZB31" s="806"/>
      <c r="OZC31" s="806"/>
      <c r="OZD31" s="806"/>
      <c r="OZE31" s="806"/>
      <c r="OZF31" s="806"/>
      <c r="OZG31" s="806"/>
      <c r="OZH31" s="806"/>
      <c r="OZI31" s="806"/>
      <c r="OZJ31" s="806"/>
      <c r="OZK31" s="806"/>
      <c r="OZL31" s="806"/>
      <c r="OZM31" s="806"/>
      <c r="OZN31" s="806"/>
      <c r="OZO31" s="806"/>
      <c r="OZP31" s="806"/>
      <c r="OZQ31" s="806"/>
      <c r="OZR31" s="806"/>
      <c r="OZS31" s="806"/>
      <c r="OZT31" s="806"/>
      <c r="OZU31" s="806"/>
      <c r="OZV31" s="806"/>
      <c r="OZW31" s="806"/>
      <c r="OZX31" s="806"/>
      <c r="OZY31" s="806"/>
      <c r="OZZ31" s="806"/>
      <c r="PAA31" s="806"/>
      <c r="PAB31" s="806"/>
      <c r="PAC31" s="806"/>
      <c r="PAD31" s="806"/>
      <c r="PAE31" s="806"/>
      <c r="PAF31" s="806"/>
      <c r="PAG31" s="806"/>
      <c r="PAH31" s="806"/>
      <c r="PAI31" s="806"/>
      <c r="PAJ31" s="806"/>
      <c r="PAK31" s="806"/>
      <c r="PAL31" s="806"/>
      <c r="PAM31" s="806"/>
      <c r="PAN31" s="806"/>
      <c r="PAO31" s="806"/>
      <c r="PAP31" s="806"/>
      <c r="PAQ31" s="806"/>
      <c r="PAR31" s="806"/>
      <c r="PAS31" s="806"/>
      <c r="PAT31" s="806"/>
      <c r="PAU31" s="806"/>
      <c r="PAV31" s="806"/>
      <c r="PAW31" s="806"/>
      <c r="PAX31" s="806"/>
      <c r="PAY31" s="806"/>
      <c r="PAZ31" s="806"/>
      <c r="PBA31" s="806"/>
      <c r="PBB31" s="806"/>
      <c r="PBC31" s="806"/>
      <c r="PBD31" s="806"/>
      <c r="PBE31" s="806"/>
      <c r="PBF31" s="806"/>
      <c r="PBG31" s="806"/>
      <c r="PBH31" s="806"/>
      <c r="PBI31" s="806"/>
      <c r="PBJ31" s="806"/>
      <c r="PBK31" s="806"/>
      <c r="PBL31" s="806"/>
      <c r="PBM31" s="806"/>
      <c r="PBN31" s="806"/>
      <c r="PBO31" s="806"/>
      <c r="PBP31" s="806"/>
      <c r="PBQ31" s="806"/>
      <c r="PBR31" s="806"/>
      <c r="PBS31" s="806"/>
      <c r="PBT31" s="806"/>
      <c r="PBU31" s="806"/>
      <c r="PBV31" s="806"/>
      <c r="PBW31" s="806"/>
      <c r="PBX31" s="806"/>
      <c r="PBY31" s="806"/>
      <c r="PBZ31" s="806"/>
      <c r="PCA31" s="806"/>
      <c r="PCB31" s="806"/>
      <c r="PCC31" s="806"/>
      <c r="PCD31" s="806"/>
      <c r="PCE31" s="806"/>
      <c r="PCF31" s="806"/>
      <c r="PCG31" s="806"/>
      <c r="PCH31" s="806"/>
      <c r="PCI31" s="806"/>
      <c r="PCJ31" s="806"/>
      <c r="PCK31" s="806"/>
      <c r="PCL31" s="806"/>
      <c r="PCM31" s="806"/>
      <c r="PCN31" s="806"/>
      <c r="PCO31" s="806"/>
      <c r="PCP31" s="806"/>
      <c r="PCQ31" s="806"/>
      <c r="PCR31" s="806"/>
      <c r="PCS31" s="806"/>
      <c r="PCT31" s="806"/>
      <c r="PCU31" s="806"/>
      <c r="PCV31" s="806"/>
      <c r="PCW31" s="806"/>
      <c r="PCX31" s="806"/>
      <c r="PCY31" s="806"/>
      <c r="PCZ31" s="806"/>
      <c r="PDA31" s="806"/>
      <c r="PDB31" s="806"/>
      <c r="PDC31" s="806"/>
      <c r="PDD31" s="806"/>
      <c r="PDE31" s="806"/>
      <c r="PDF31" s="806"/>
      <c r="PDG31" s="806"/>
      <c r="PDH31" s="806"/>
      <c r="PDI31" s="806"/>
      <c r="PDJ31" s="806"/>
      <c r="PDK31" s="806"/>
      <c r="PDL31" s="806"/>
      <c r="PDM31" s="806"/>
      <c r="PDN31" s="806"/>
      <c r="PDO31" s="806"/>
      <c r="PDP31" s="806"/>
      <c r="PDQ31" s="806"/>
      <c r="PDR31" s="806"/>
      <c r="PDS31" s="806"/>
      <c r="PDT31" s="806"/>
      <c r="PDU31" s="806"/>
      <c r="PDV31" s="806"/>
      <c r="PDW31" s="806"/>
      <c r="PDX31" s="806"/>
      <c r="PDY31" s="806"/>
      <c r="PDZ31" s="806"/>
      <c r="PEA31" s="806"/>
      <c r="PEB31" s="806"/>
      <c r="PEC31" s="806"/>
      <c r="PED31" s="806"/>
      <c r="PEE31" s="806"/>
      <c r="PEF31" s="806"/>
      <c r="PEG31" s="806"/>
      <c r="PEH31" s="806"/>
      <c r="PEI31" s="806"/>
      <c r="PEJ31" s="806"/>
      <c r="PEK31" s="806"/>
      <c r="PEL31" s="806"/>
      <c r="PEM31" s="806"/>
      <c r="PEN31" s="806"/>
      <c r="PEO31" s="806"/>
      <c r="PEP31" s="806"/>
      <c r="PEQ31" s="806"/>
      <c r="PER31" s="806"/>
      <c r="PES31" s="806"/>
      <c r="PET31" s="806"/>
      <c r="PEU31" s="806"/>
      <c r="PEV31" s="806"/>
      <c r="PEW31" s="806"/>
      <c r="PEX31" s="806"/>
      <c r="PEY31" s="806"/>
      <c r="PEZ31" s="806"/>
      <c r="PFA31" s="806"/>
      <c r="PFB31" s="806"/>
      <c r="PFC31" s="806"/>
      <c r="PFD31" s="806"/>
      <c r="PFE31" s="806"/>
      <c r="PFF31" s="806"/>
      <c r="PFG31" s="806"/>
      <c r="PFH31" s="806"/>
      <c r="PFI31" s="806"/>
      <c r="PFJ31" s="806"/>
      <c r="PFK31" s="806"/>
      <c r="PFL31" s="806"/>
      <c r="PFM31" s="806"/>
      <c r="PFN31" s="806"/>
      <c r="PFO31" s="806"/>
      <c r="PFP31" s="806"/>
      <c r="PFQ31" s="806"/>
      <c r="PFR31" s="806"/>
      <c r="PFS31" s="806"/>
      <c r="PFT31" s="806"/>
      <c r="PFU31" s="806"/>
      <c r="PFV31" s="806"/>
      <c r="PFW31" s="806"/>
      <c r="PFX31" s="806"/>
      <c r="PFY31" s="806"/>
      <c r="PFZ31" s="806"/>
      <c r="PGA31" s="806"/>
      <c r="PGB31" s="806"/>
      <c r="PGC31" s="806"/>
      <c r="PGD31" s="806"/>
      <c r="PGE31" s="806"/>
      <c r="PGF31" s="806"/>
      <c r="PGG31" s="806"/>
      <c r="PGH31" s="806"/>
      <c r="PGI31" s="806"/>
      <c r="PGJ31" s="806"/>
      <c r="PGK31" s="806"/>
      <c r="PGL31" s="806"/>
      <c r="PGM31" s="806"/>
      <c r="PGN31" s="806"/>
      <c r="PGO31" s="806"/>
      <c r="PGP31" s="806"/>
      <c r="PGQ31" s="806"/>
      <c r="PGR31" s="806"/>
      <c r="PGS31" s="806"/>
      <c r="PGT31" s="806"/>
      <c r="PGU31" s="806"/>
      <c r="PGV31" s="806"/>
      <c r="PGW31" s="806"/>
      <c r="PGX31" s="806"/>
      <c r="PGY31" s="806"/>
      <c r="PGZ31" s="806"/>
      <c r="PHA31" s="806"/>
      <c r="PHB31" s="806"/>
      <c r="PHC31" s="806"/>
      <c r="PHD31" s="806"/>
      <c r="PHE31" s="806"/>
      <c r="PHF31" s="806"/>
      <c r="PHG31" s="806"/>
      <c r="PHH31" s="806"/>
      <c r="PHI31" s="806"/>
      <c r="PHJ31" s="806"/>
      <c r="PHK31" s="806"/>
      <c r="PHL31" s="806"/>
      <c r="PHM31" s="806"/>
      <c r="PHN31" s="806"/>
      <c r="PHO31" s="806"/>
      <c r="PHP31" s="806"/>
      <c r="PHQ31" s="806"/>
      <c r="PHR31" s="806"/>
      <c r="PHS31" s="806"/>
      <c r="PHT31" s="806"/>
      <c r="PHU31" s="806"/>
      <c r="PHV31" s="806"/>
      <c r="PHW31" s="806"/>
      <c r="PHX31" s="806"/>
      <c r="PHY31" s="806"/>
      <c r="PHZ31" s="806"/>
      <c r="PIA31" s="806"/>
      <c r="PIB31" s="806"/>
      <c r="PIC31" s="806"/>
      <c r="PID31" s="806"/>
      <c r="PIE31" s="806"/>
      <c r="PIF31" s="806"/>
      <c r="PIG31" s="806"/>
      <c r="PIH31" s="806"/>
      <c r="PII31" s="806"/>
      <c r="PIJ31" s="806"/>
      <c r="PIK31" s="806"/>
      <c r="PIL31" s="806"/>
      <c r="PIM31" s="806"/>
      <c r="PIN31" s="806"/>
      <c r="PIO31" s="806"/>
      <c r="PIP31" s="806"/>
      <c r="PIQ31" s="806"/>
      <c r="PIR31" s="806"/>
      <c r="PIS31" s="806"/>
      <c r="PIT31" s="806"/>
      <c r="PIU31" s="806"/>
      <c r="PIV31" s="806"/>
      <c r="PIW31" s="806"/>
      <c r="PIX31" s="806"/>
      <c r="PIY31" s="806"/>
      <c r="PIZ31" s="806"/>
      <c r="PJA31" s="806"/>
      <c r="PJB31" s="806"/>
      <c r="PJC31" s="806"/>
      <c r="PJD31" s="806"/>
      <c r="PJE31" s="806"/>
      <c r="PJF31" s="806"/>
      <c r="PJG31" s="806"/>
      <c r="PJH31" s="806"/>
      <c r="PJI31" s="806"/>
      <c r="PJJ31" s="806"/>
      <c r="PJK31" s="806"/>
      <c r="PJL31" s="806"/>
      <c r="PJM31" s="806"/>
      <c r="PJN31" s="806"/>
      <c r="PJO31" s="806"/>
      <c r="PJP31" s="806"/>
      <c r="PJQ31" s="806"/>
      <c r="PJR31" s="806"/>
      <c r="PJS31" s="806"/>
      <c r="PJT31" s="806"/>
      <c r="PJU31" s="806"/>
      <c r="PJV31" s="806"/>
      <c r="PJW31" s="806"/>
      <c r="PJX31" s="806"/>
      <c r="PJY31" s="806"/>
      <c r="PJZ31" s="806"/>
      <c r="PKA31" s="806"/>
      <c r="PKB31" s="806"/>
      <c r="PKC31" s="806"/>
      <c r="PKD31" s="806"/>
      <c r="PKE31" s="806"/>
      <c r="PKF31" s="806"/>
      <c r="PKG31" s="806"/>
      <c r="PKH31" s="806"/>
      <c r="PKI31" s="806"/>
      <c r="PKJ31" s="806"/>
      <c r="PKK31" s="806"/>
      <c r="PKL31" s="806"/>
      <c r="PKM31" s="806"/>
      <c r="PKN31" s="806"/>
      <c r="PKO31" s="806"/>
      <c r="PKP31" s="806"/>
      <c r="PKQ31" s="806"/>
      <c r="PKR31" s="806"/>
      <c r="PKS31" s="806"/>
      <c r="PKT31" s="806"/>
      <c r="PKU31" s="806"/>
      <c r="PKV31" s="806"/>
      <c r="PKW31" s="806"/>
      <c r="PKX31" s="806"/>
      <c r="PKY31" s="806"/>
      <c r="PKZ31" s="806"/>
      <c r="PLA31" s="806"/>
      <c r="PLB31" s="806"/>
      <c r="PLC31" s="806"/>
      <c r="PLD31" s="806"/>
      <c r="PLE31" s="806"/>
      <c r="PLF31" s="806"/>
      <c r="PLG31" s="806"/>
      <c r="PLH31" s="806"/>
      <c r="PLI31" s="806"/>
      <c r="PLJ31" s="806"/>
      <c r="PLK31" s="806"/>
      <c r="PLL31" s="806"/>
      <c r="PLM31" s="806"/>
      <c r="PLN31" s="806"/>
      <c r="PLO31" s="806"/>
      <c r="PLP31" s="806"/>
      <c r="PLQ31" s="806"/>
      <c r="PLR31" s="806"/>
      <c r="PLS31" s="806"/>
      <c r="PLT31" s="806"/>
      <c r="PLU31" s="806"/>
      <c r="PLV31" s="806"/>
      <c r="PLW31" s="806"/>
      <c r="PLX31" s="806"/>
      <c r="PLY31" s="806"/>
      <c r="PLZ31" s="806"/>
      <c r="PMA31" s="806"/>
      <c r="PMB31" s="806"/>
      <c r="PMC31" s="806"/>
      <c r="PMD31" s="806"/>
      <c r="PME31" s="806"/>
      <c r="PMF31" s="806"/>
      <c r="PMG31" s="806"/>
      <c r="PMH31" s="806"/>
      <c r="PMI31" s="806"/>
      <c r="PMJ31" s="806"/>
      <c r="PMK31" s="806"/>
      <c r="PML31" s="806"/>
      <c r="PMM31" s="806"/>
      <c r="PMN31" s="806"/>
      <c r="PMO31" s="806"/>
      <c r="PMP31" s="806"/>
      <c r="PMQ31" s="806"/>
      <c r="PMR31" s="806"/>
      <c r="PMS31" s="806"/>
      <c r="PMT31" s="806"/>
      <c r="PMU31" s="806"/>
      <c r="PMV31" s="806"/>
      <c r="PMW31" s="806"/>
      <c r="PMX31" s="806"/>
      <c r="PMY31" s="806"/>
      <c r="PMZ31" s="806"/>
      <c r="PNA31" s="806"/>
      <c r="PNB31" s="806"/>
      <c r="PNC31" s="806"/>
      <c r="PND31" s="806"/>
      <c r="PNE31" s="806"/>
      <c r="PNF31" s="806"/>
      <c r="PNG31" s="806"/>
      <c r="PNH31" s="806"/>
      <c r="PNI31" s="806"/>
      <c r="PNJ31" s="806"/>
      <c r="PNK31" s="806"/>
      <c r="PNL31" s="806"/>
      <c r="PNM31" s="806"/>
      <c r="PNN31" s="806"/>
      <c r="PNO31" s="806"/>
      <c r="PNP31" s="806"/>
      <c r="PNQ31" s="806"/>
      <c r="PNR31" s="806"/>
      <c r="PNS31" s="806"/>
      <c r="PNT31" s="806"/>
      <c r="PNU31" s="806"/>
      <c r="PNV31" s="806"/>
      <c r="PNW31" s="806"/>
      <c r="PNX31" s="806"/>
      <c r="PNY31" s="806"/>
      <c r="PNZ31" s="806"/>
      <c r="POA31" s="806"/>
      <c r="POB31" s="806"/>
      <c r="POC31" s="806"/>
      <c r="POD31" s="806"/>
      <c r="POE31" s="806"/>
      <c r="POF31" s="806"/>
      <c r="POG31" s="806"/>
      <c r="POH31" s="806"/>
      <c r="POI31" s="806"/>
      <c r="POJ31" s="806"/>
      <c r="POK31" s="806"/>
      <c r="POL31" s="806"/>
      <c r="POM31" s="806"/>
      <c r="PON31" s="806"/>
      <c r="POO31" s="806"/>
      <c r="POP31" s="806"/>
      <c r="POQ31" s="806"/>
      <c r="POR31" s="806"/>
      <c r="POS31" s="806"/>
      <c r="POT31" s="806"/>
      <c r="POU31" s="806"/>
      <c r="POV31" s="806"/>
      <c r="POW31" s="806"/>
      <c r="POX31" s="806"/>
      <c r="POY31" s="806"/>
      <c r="POZ31" s="806"/>
      <c r="PPA31" s="806"/>
      <c r="PPB31" s="806"/>
      <c r="PPC31" s="806"/>
      <c r="PPD31" s="806"/>
      <c r="PPE31" s="806"/>
      <c r="PPF31" s="806"/>
      <c r="PPG31" s="806"/>
      <c r="PPH31" s="806"/>
      <c r="PPI31" s="806"/>
      <c r="PPJ31" s="806"/>
      <c r="PPK31" s="806"/>
      <c r="PPL31" s="806"/>
      <c r="PPM31" s="806"/>
      <c r="PPN31" s="806"/>
      <c r="PPO31" s="806"/>
      <c r="PPP31" s="806"/>
      <c r="PPQ31" s="806"/>
      <c r="PPR31" s="806"/>
      <c r="PPS31" s="806"/>
      <c r="PPT31" s="806"/>
      <c r="PPU31" s="806"/>
      <c r="PPV31" s="806"/>
      <c r="PPW31" s="806"/>
      <c r="PPX31" s="806"/>
      <c r="PPY31" s="806"/>
      <c r="PPZ31" s="806"/>
      <c r="PQA31" s="806"/>
      <c r="PQB31" s="806"/>
      <c r="PQC31" s="806"/>
      <c r="PQD31" s="806"/>
      <c r="PQE31" s="806"/>
      <c r="PQF31" s="806"/>
      <c r="PQG31" s="806"/>
      <c r="PQH31" s="806"/>
      <c r="PQI31" s="806"/>
      <c r="PQJ31" s="806"/>
      <c r="PQK31" s="806"/>
      <c r="PQL31" s="806"/>
      <c r="PQM31" s="806"/>
      <c r="PQN31" s="806"/>
      <c r="PQO31" s="806"/>
      <c r="PQP31" s="806"/>
      <c r="PQQ31" s="806"/>
      <c r="PQR31" s="806"/>
      <c r="PQS31" s="806"/>
      <c r="PQT31" s="806"/>
      <c r="PQU31" s="806"/>
      <c r="PQV31" s="806"/>
      <c r="PQW31" s="806"/>
      <c r="PQX31" s="806"/>
      <c r="PQY31" s="806"/>
      <c r="PQZ31" s="806"/>
      <c r="PRA31" s="806"/>
      <c r="PRB31" s="806"/>
      <c r="PRC31" s="806"/>
      <c r="PRD31" s="806"/>
      <c r="PRE31" s="806"/>
      <c r="PRF31" s="806"/>
      <c r="PRG31" s="806"/>
      <c r="PRH31" s="806"/>
      <c r="PRI31" s="806"/>
      <c r="PRJ31" s="806"/>
      <c r="PRK31" s="806"/>
      <c r="PRL31" s="806"/>
      <c r="PRM31" s="806"/>
      <c r="PRN31" s="806"/>
      <c r="PRO31" s="806"/>
      <c r="PRP31" s="806"/>
      <c r="PRQ31" s="806"/>
      <c r="PRR31" s="806"/>
      <c r="PRS31" s="806"/>
      <c r="PRT31" s="806"/>
      <c r="PRU31" s="806"/>
      <c r="PRV31" s="806"/>
      <c r="PRW31" s="806"/>
      <c r="PRX31" s="806"/>
      <c r="PRY31" s="806"/>
      <c r="PRZ31" s="806"/>
      <c r="PSA31" s="806"/>
      <c r="PSB31" s="806"/>
      <c r="PSC31" s="806"/>
      <c r="PSD31" s="806"/>
      <c r="PSE31" s="806"/>
      <c r="PSF31" s="806"/>
      <c r="PSG31" s="806"/>
      <c r="PSH31" s="806"/>
      <c r="PSI31" s="806"/>
      <c r="PSJ31" s="806"/>
      <c r="PSK31" s="806"/>
      <c r="PSL31" s="806"/>
      <c r="PSM31" s="806"/>
      <c r="PSN31" s="806"/>
      <c r="PSO31" s="806"/>
      <c r="PSP31" s="806"/>
      <c r="PSQ31" s="806"/>
      <c r="PSR31" s="806"/>
      <c r="PSS31" s="806"/>
      <c r="PST31" s="806"/>
      <c r="PSU31" s="806"/>
      <c r="PSV31" s="806"/>
      <c r="PSW31" s="806"/>
      <c r="PSX31" s="806"/>
      <c r="PSY31" s="806"/>
      <c r="PSZ31" s="806"/>
      <c r="PTA31" s="806"/>
      <c r="PTB31" s="806"/>
      <c r="PTC31" s="806"/>
      <c r="PTD31" s="806"/>
      <c r="PTE31" s="806"/>
      <c r="PTF31" s="806"/>
      <c r="PTG31" s="806"/>
      <c r="PTH31" s="806"/>
      <c r="PTI31" s="806"/>
      <c r="PTJ31" s="806"/>
      <c r="PTK31" s="806"/>
      <c r="PTL31" s="806"/>
      <c r="PTM31" s="806"/>
      <c r="PTN31" s="806"/>
      <c r="PTO31" s="806"/>
      <c r="PTP31" s="806"/>
      <c r="PTQ31" s="806"/>
      <c r="PTR31" s="806"/>
      <c r="PTS31" s="806"/>
      <c r="PTT31" s="806"/>
      <c r="PTU31" s="806"/>
      <c r="PTV31" s="806"/>
      <c r="PTW31" s="806"/>
      <c r="PTX31" s="806"/>
      <c r="PTY31" s="806"/>
      <c r="PTZ31" s="806"/>
      <c r="PUA31" s="806"/>
      <c r="PUB31" s="806"/>
      <c r="PUC31" s="806"/>
      <c r="PUD31" s="806"/>
      <c r="PUE31" s="806"/>
      <c r="PUF31" s="806"/>
      <c r="PUG31" s="806"/>
      <c r="PUH31" s="806"/>
      <c r="PUI31" s="806"/>
      <c r="PUJ31" s="806"/>
      <c r="PUK31" s="806"/>
      <c r="PUL31" s="806"/>
      <c r="PUM31" s="806"/>
      <c r="PUN31" s="806"/>
      <c r="PUO31" s="806"/>
      <c r="PUP31" s="806"/>
      <c r="PUQ31" s="806"/>
      <c r="PUR31" s="806"/>
      <c r="PUS31" s="806"/>
      <c r="PUT31" s="806"/>
      <c r="PUU31" s="806"/>
      <c r="PUV31" s="806"/>
      <c r="PUW31" s="806"/>
      <c r="PUX31" s="806"/>
      <c r="PUY31" s="806"/>
      <c r="PUZ31" s="806"/>
      <c r="PVA31" s="806"/>
      <c r="PVB31" s="806"/>
      <c r="PVC31" s="806"/>
      <c r="PVD31" s="806"/>
      <c r="PVE31" s="806"/>
      <c r="PVF31" s="806"/>
      <c r="PVG31" s="806"/>
      <c r="PVH31" s="806"/>
      <c r="PVI31" s="806"/>
      <c r="PVJ31" s="806"/>
      <c r="PVK31" s="806"/>
      <c r="PVL31" s="806"/>
      <c r="PVM31" s="806"/>
      <c r="PVN31" s="806"/>
      <c r="PVO31" s="806"/>
      <c r="PVP31" s="806"/>
      <c r="PVQ31" s="806"/>
      <c r="PVR31" s="806"/>
      <c r="PVS31" s="806"/>
      <c r="PVT31" s="806"/>
      <c r="PVU31" s="806"/>
      <c r="PVV31" s="806"/>
      <c r="PVW31" s="806"/>
      <c r="PVX31" s="806"/>
      <c r="PVY31" s="806"/>
      <c r="PVZ31" s="806"/>
      <c r="PWA31" s="806"/>
      <c r="PWB31" s="806"/>
      <c r="PWC31" s="806"/>
      <c r="PWD31" s="806"/>
      <c r="PWE31" s="806"/>
      <c r="PWF31" s="806"/>
      <c r="PWG31" s="806"/>
      <c r="PWH31" s="806"/>
      <c r="PWI31" s="806"/>
      <c r="PWJ31" s="806"/>
      <c r="PWK31" s="806"/>
      <c r="PWL31" s="806"/>
      <c r="PWM31" s="806"/>
      <c r="PWN31" s="806"/>
      <c r="PWO31" s="806"/>
      <c r="PWP31" s="806"/>
      <c r="PWQ31" s="806"/>
      <c r="PWR31" s="806"/>
      <c r="PWS31" s="806"/>
      <c r="PWT31" s="806"/>
      <c r="PWU31" s="806"/>
      <c r="PWV31" s="806"/>
      <c r="PWW31" s="806"/>
      <c r="PWX31" s="806"/>
      <c r="PWY31" s="806"/>
      <c r="PWZ31" s="806"/>
      <c r="PXA31" s="806"/>
      <c r="PXB31" s="806"/>
      <c r="PXC31" s="806"/>
      <c r="PXD31" s="806"/>
      <c r="PXE31" s="806"/>
      <c r="PXF31" s="806"/>
      <c r="PXG31" s="806"/>
      <c r="PXH31" s="806"/>
      <c r="PXI31" s="806"/>
      <c r="PXJ31" s="806"/>
      <c r="PXK31" s="806"/>
      <c r="PXL31" s="806"/>
      <c r="PXM31" s="806"/>
      <c r="PXN31" s="806"/>
      <c r="PXO31" s="806"/>
      <c r="PXP31" s="806"/>
      <c r="PXQ31" s="806"/>
      <c r="PXR31" s="806"/>
      <c r="PXS31" s="806"/>
      <c r="PXT31" s="806"/>
      <c r="PXU31" s="806"/>
      <c r="PXV31" s="806"/>
      <c r="PXW31" s="806"/>
      <c r="PXX31" s="806"/>
      <c r="PXY31" s="806"/>
      <c r="PXZ31" s="806"/>
      <c r="PYA31" s="806"/>
      <c r="PYB31" s="806"/>
      <c r="PYC31" s="806"/>
      <c r="PYD31" s="806"/>
      <c r="PYE31" s="806"/>
      <c r="PYF31" s="806"/>
      <c r="PYG31" s="806"/>
      <c r="PYH31" s="806"/>
      <c r="PYI31" s="806"/>
      <c r="PYJ31" s="806"/>
      <c r="PYK31" s="806"/>
      <c r="PYL31" s="806"/>
      <c r="PYM31" s="806"/>
      <c r="PYN31" s="806"/>
      <c r="PYO31" s="806"/>
      <c r="PYP31" s="806"/>
      <c r="PYQ31" s="806"/>
      <c r="PYR31" s="806"/>
      <c r="PYS31" s="806"/>
      <c r="PYT31" s="806"/>
      <c r="PYU31" s="806"/>
      <c r="PYV31" s="806"/>
      <c r="PYW31" s="806"/>
      <c r="PYX31" s="806"/>
      <c r="PYY31" s="806"/>
      <c r="PYZ31" s="806"/>
      <c r="PZA31" s="806"/>
      <c r="PZB31" s="806"/>
      <c r="PZC31" s="806"/>
      <c r="PZD31" s="806"/>
      <c r="PZE31" s="806"/>
      <c r="PZF31" s="806"/>
      <c r="PZG31" s="806"/>
      <c r="PZH31" s="806"/>
      <c r="PZI31" s="806"/>
      <c r="PZJ31" s="806"/>
      <c r="PZK31" s="806"/>
      <c r="PZL31" s="806"/>
      <c r="PZM31" s="806"/>
      <c r="PZN31" s="806"/>
      <c r="PZO31" s="806"/>
      <c r="PZP31" s="806"/>
      <c r="PZQ31" s="806"/>
      <c r="PZR31" s="806"/>
      <c r="PZS31" s="806"/>
      <c r="PZT31" s="806"/>
      <c r="PZU31" s="806"/>
      <c r="PZV31" s="806"/>
      <c r="PZW31" s="806"/>
      <c r="PZX31" s="806"/>
      <c r="PZY31" s="806"/>
      <c r="PZZ31" s="806"/>
      <c r="QAA31" s="806"/>
      <c r="QAB31" s="806"/>
      <c r="QAC31" s="806"/>
      <c r="QAD31" s="806"/>
      <c r="QAE31" s="806"/>
      <c r="QAF31" s="806"/>
      <c r="QAG31" s="806"/>
      <c r="QAH31" s="806"/>
      <c r="QAI31" s="806"/>
      <c r="QAJ31" s="806"/>
      <c r="QAK31" s="806"/>
      <c r="QAL31" s="806"/>
      <c r="QAM31" s="806"/>
      <c r="QAN31" s="806"/>
      <c r="QAO31" s="806"/>
      <c r="QAP31" s="806"/>
      <c r="QAQ31" s="806"/>
      <c r="QAR31" s="806"/>
      <c r="QAS31" s="806"/>
      <c r="QAT31" s="806"/>
      <c r="QAU31" s="806"/>
      <c r="QAV31" s="806"/>
      <c r="QAW31" s="806"/>
      <c r="QAX31" s="806"/>
      <c r="QAY31" s="806"/>
      <c r="QAZ31" s="806"/>
      <c r="QBA31" s="806"/>
      <c r="QBB31" s="806"/>
      <c r="QBC31" s="806"/>
      <c r="QBD31" s="806"/>
      <c r="QBE31" s="806"/>
      <c r="QBF31" s="806"/>
      <c r="QBG31" s="806"/>
      <c r="QBH31" s="806"/>
      <c r="QBI31" s="806"/>
      <c r="QBJ31" s="806"/>
      <c r="QBK31" s="806"/>
      <c r="QBL31" s="806"/>
      <c r="QBM31" s="806"/>
      <c r="QBN31" s="806"/>
      <c r="QBO31" s="806"/>
      <c r="QBP31" s="806"/>
      <c r="QBQ31" s="806"/>
      <c r="QBR31" s="806"/>
      <c r="QBS31" s="806"/>
      <c r="QBT31" s="806"/>
      <c r="QBU31" s="806"/>
      <c r="QBV31" s="806"/>
      <c r="QBW31" s="806"/>
      <c r="QBX31" s="806"/>
      <c r="QBY31" s="806"/>
      <c r="QBZ31" s="806"/>
      <c r="QCA31" s="806"/>
      <c r="QCB31" s="806"/>
      <c r="QCC31" s="806"/>
      <c r="QCD31" s="806"/>
      <c r="QCE31" s="806"/>
      <c r="QCF31" s="806"/>
      <c r="QCG31" s="806"/>
      <c r="QCH31" s="806"/>
      <c r="QCI31" s="806"/>
      <c r="QCJ31" s="806"/>
      <c r="QCK31" s="806"/>
      <c r="QCL31" s="806"/>
      <c r="QCM31" s="806"/>
      <c r="QCN31" s="806"/>
      <c r="QCO31" s="806"/>
      <c r="QCP31" s="806"/>
      <c r="QCQ31" s="806"/>
      <c r="QCR31" s="806"/>
      <c r="QCS31" s="806"/>
      <c r="QCT31" s="806"/>
      <c r="QCU31" s="806"/>
      <c r="QCV31" s="806"/>
      <c r="QCW31" s="806"/>
      <c r="QCX31" s="806"/>
      <c r="QCY31" s="806"/>
      <c r="QCZ31" s="806"/>
      <c r="QDA31" s="806"/>
      <c r="QDB31" s="806"/>
      <c r="QDC31" s="806"/>
      <c r="QDD31" s="806"/>
      <c r="QDE31" s="806"/>
      <c r="QDF31" s="806"/>
      <c r="QDG31" s="806"/>
      <c r="QDH31" s="806"/>
      <c r="QDI31" s="806"/>
      <c r="QDJ31" s="806"/>
      <c r="QDK31" s="806"/>
      <c r="QDL31" s="806"/>
      <c r="QDM31" s="806"/>
      <c r="QDN31" s="806"/>
      <c r="QDO31" s="806"/>
      <c r="QDP31" s="806"/>
      <c r="QDQ31" s="806"/>
      <c r="QDR31" s="806"/>
      <c r="QDS31" s="806"/>
      <c r="QDT31" s="806"/>
      <c r="QDU31" s="806"/>
      <c r="QDV31" s="806"/>
      <c r="QDW31" s="806"/>
      <c r="QDX31" s="806"/>
      <c r="QDY31" s="806"/>
      <c r="QDZ31" s="806"/>
      <c r="QEA31" s="806"/>
      <c r="QEB31" s="806"/>
      <c r="QEC31" s="806"/>
      <c r="QED31" s="806"/>
      <c r="QEE31" s="806"/>
      <c r="QEF31" s="806"/>
      <c r="QEG31" s="806"/>
      <c r="QEH31" s="806"/>
      <c r="QEI31" s="806"/>
      <c r="QEJ31" s="806"/>
      <c r="QEK31" s="806"/>
      <c r="QEL31" s="806"/>
      <c r="QEM31" s="806"/>
      <c r="QEN31" s="806"/>
      <c r="QEO31" s="806"/>
      <c r="QEP31" s="806"/>
      <c r="QEQ31" s="806"/>
      <c r="QER31" s="806"/>
      <c r="QES31" s="806"/>
      <c r="QET31" s="806"/>
      <c r="QEU31" s="806"/>
      <c r="QEV31" s="806"/>
      <c r="QEW31" s="806"/>
      <c r="QEX31" s="806"/>
      <c r="QEY31" s="806"/>
      <c r="QEZ31" s="806"/>
      <c r="QFA31" s="806"/>
      <c r="QFB31" s="806"/>
      <c r="QFC31" s="806"/>
      <c r="QFD31" s="806"/>
      <c r="QFE31" s="806"/>
      <c r="QFF31" s="806"/>
      <c r="QFG31" s="806"/>
      <c r="QFH31" s="806"/>
      <c r="QFI31" s="806"/>
      <c r="QFJ31" s="806"/>
      <c r="QFK31" s="806"/>
      <c r="QFL31" s="806"/>
      <c r="QFM31" s="806"/>
      <c r="QFN31" s="806"/>
      <c r="QFO31" s="806"/>
      <c r="QFP31" s="806"/>
      <c r="QFQ31" s="806"/>
      <c r="QFR31" s="806"/>
      <c r="QFS31" s="806"/>
      <c r="QFT31" s="806"/>
      <c r="QFU31" s="806"/>
      <c r="QFV31" s="806"/>
      <c r="QFW31" s="806"/>
      <c r="QFX31" s="806"/>
      <c r="QFY31" s="806"/>
      <c r="QFZ31" s="806"/>
      <c r="QGA31" s="806"/>
      <c r="QGB31" s="806"/>
      <c r="QGC31" s="806"/>
      <c r="QGD31" s="806"/>
      <c r="QGE31" s="806"/>
      <c r="QGF31" s="806"/>
      <c r="QGG31" s="806"/>
      <c r="QGH31" s="806"/>
      <c r="QGI31" s="806"/>
      <c r="QGJ31" s="806"/>
      <c r="QGK31" s="806"/>
      <c r="QGL31" s="806"/>
      <c r="QGM31" s="806"/>
      <c r="QGN31" s="806"/>
      <c r="QGO31" s="806"/>
      <c r="QGP31" s="806"/>
      <c r="QGQ31" s="806"/>
      <c r="QGR31" s="806"/>
      <c r="QGS31" s="806"/>
      <c r="QGT31" s="806"/>
      <c r="QGU31" s="806"/>
      <c r="QGV31" s="806"/>
      <c r="QGW31" s="806"/>
      <c r="QGX31" s="806"/>
      <c r="QGY31" s="806"/>
      <c r="QGZ31" s="806"/>
      <c r="QHA31" s="806"/>
      <c r="QHB31" s="806"/>
      <c r="QHC31" s="806"/>
      <c r="QHD31" s="806"/>
      <c r="QHE31" s="806"/>
      <c r="QHF31" s="806"/>
      <c r="QHG31" s="806"/>
      <c r="QHH31" s="806"/>
      <c r="QHI31" s="806"/>
      <c r="QHJ31" s="806"/>
      <c r="QHK31" s="806"/>
      <c r="QHL31" s="806"/>
      <c r="QHM31" s="806"/>
      <c r="QHN31" s="806"/>
      <c r="QHO31" s="806"/>
      <c r="QHP31" s="806"/>
      <c r="QHQ31" s="806"/>
      <c r="QHR31" s="806"/>
      <c r="QHS31" s="806"/>
      <c r="QHT31" s="806"/>
      <c r="QHU31" s="806"/>
      <c r="QHV31" s="806"/>
      <c r="QHW31" s="806"/>
      <c r="QHX31" s="806"/>
      <c r="QHY31" s="806"/>
      <c r="QHZ31" s="806"/>
      <c r="QIA31" s="806"/>
      <c r="QIB31" s="806"/>
      <c r="QIC31" s="806"/>
      <c r="QID31" s="806"/>
      <c r="QIE31" s="806"/>
      <c r="QIF31" s="806"/>
      <c r="QIG31" s="806"/>
      <c r="QIH31" s="806"/>
      <c r="QII31" s="806"/>
      <c r="QIJ31" s="806"/>
      <c r="QIK31" s="806"/>
      <c r="QIL31" s="806"/>
      <c r="QIM31" s="806"/>
      <c r="QIN31" s="806"/>
      <c r="QIO31" s="806"/>
      <c r="QIP31" s="806"/>
      <c r="QIQ31" s="806"/>
      <c r="QIR31" s="806"/>
      <c r="QIS31" s="806"/>
      <c r="QIT31" s="806"/>
      <c r="QIU31" s="806"/>
      <c r="QIV31" s="806"/>
      <c r="QIW31" s="806"/>
      <c r="QIX31" s="806"/>
      <c r="QIY31" s="806"/>
      <c r="QIZ31" s="806"/>
      <c r="QJA31" s="806"/>
      <c r="QJB31" s="806"/>
      <c r="QJC31" s="806"/>
      <c r="QJD31" s="806"/>
      <c r="QJE31" s="806"/>
      <c r="QJF31" s="806"/>
      <c r="QJG31" s="806"/>
      <c r="QJH31" s="806"/>
      <c r="QJI31" s="806"/>
      <c r="QJJ31" s="806"/>
      <c r="QJK31" s="806"/>
      <c r="QJL31" s="806"/>
      <c r="QJM31" s="806"/>
      <c r="QJN31" s="806"/>
      <c r="QJO31" s="806"/>
      <c r="QJP31" s="806"/>
      <c r="QJQ31" s="806"/>
      <c r="QJR31" s="806"/>
      <c r="QJS31" s="806"/>
      <c r="QJT31" s="806"/>
      <c r="QJU31" s="806"/>
      <c r="QJV31" s="806"/>
      <c r="QJW31" s="806"/>
      <c r="QJX31" s="806"/>
      <c r="QJY31" s="806"/>
      <c r="QJZ31" s="806"/>
      <c r="QKA31" s="806"/>
      <c r="QKB31" s="806"/>
      <c r="QKC31" s="806"/>
      <c r="QKD31" s="806"/>
      <c r="QKE31" s="806"/>
      <c r="QKF31" s="806"/>
      <c r="QKG31" s="806"/>
      <c r="QKH31" s="806"/>
      <c r="QKI31" s="806"/>
      <c r="QKJ31" s="806"/>
      <c r="QKK31" s="806"/>
      <c r="QKL31" s="806"/>
      <c r="QKM31" s="806"/>
      <c r="QKN31" s="806"/>
      <c r="QKO31" s="806"/>
      <c r="QKP31" s="806"/>
      <c r="QKQ31" s="806"/>
      <c r="QKR31" s="806"/>
      <c r="QKS31" s="806"/>
      <c r="QKT31" s="806"/>
      <c r="QKU31" s="806"/>
      <c r="QKV31" s="806"/>
      <c r="QKW31" s="806"/>
      <c r="QKX31" s="806"/>
      <c r="QKY31" s="806"/>
      <c r="QKZ31" s="806"/>
      <c r="QLA31" s="806"/>
      <c r="QLB31" s="806"/>
      <c r="QLC31" s="806"/>
      <c r="QLD31" s="806"/>
      <c r="QLE31" s="806"/>
      <c r="QLF31" s="806"/>
      <c r="QLG31" s="806"/>
      <c r="QLH31" s="806"/>
      <c r="QLI31" s="806"/>
      <c r="QLJ31" s="806"/>
      <c r="QLK31" s="806"/>
      <c r="QLL31" s="806"/>
      <c r="QLM31" s="806"/>
      <c r="QLN31" s="806"/>
      <c r="QLO31" s="806"/>
      <c r="QLP31" s="806"/>
      <c r="QLQ31" s="806"/>
      <c r="QLR31" s="806"/>
      <c r="QLS31" s="806"/>
      <c r="QLT31" s="806"/>
      <c r="QLU31" s="806"/>
      <c r="QLV31" s="806"/>
      <c r="QLW31" s="806"/>
      <c r="QLX31" s="806"/>
      <c r="QLY31" s="806"/>
      <c r="QLZ31" s="806"/>
      <c r="QMA31" s="806"/>
      <c r="QMB31" s="806"/>
      <c r="QMC31" s="806"/>
      <c r="QMD31" s="806"/>
      <c r="QME31" s="806"/>
      <c r="QMF31" s="806"/>
      <c r="QMG31" s="806"/>
      <c r="QMH31" s="806"/>
      <c r="QMI31" s="806"/>
      <c r="QMJ31" s="806"/>
      <c r="QMK31" s="806"/>
      <c r="QML31" s="806"/>
      <c r="QMM31" s="806"/>
      <c r="QMN31" s="806"/>
      <c r="QMO31" s="806"/>
      <c r="QMP31" s="806"/>
      <c r="QMQ31" s="806"/>
      <c r="QMR31" s="806"/>
      <c r="QMS31" s="806"/>
      <c r="QMT31" s="806"/>
      <c r="QMU31" s="806"/>
      <c r="QMV31" s="806"/>
      <c r="QMW31" s="806"/>
      <c r="QMX31" s="806"/>
      <c r="QMY31" s="806"/>
      <c r="QMZ31" s="806"/>
      <c r="QNA31" s="806"/>
      <c r="QNB31" s="806"/>
      <c r="QNC31" s="806"/>
      <c r="QND31" s="806"/>
      <c r="QNE31" s="806"/>
      <c r="QNF31" s="806"/>
      <c r="QNG31" s="806"/>
      <c r="QNH31" s="806"/>
      <c r="QNI31" s="806"/>
      <c r="QNJ31" s="806"/>
      <c r="QNK31" s="806"/>
      <c r="QNL31" s="806"/>
      <c r="QNM31" s="806"/>
      <c r="QNN31" s="806"/>
      <c r="QNO31" s="806"/>
      <c r="QNP31" s="806"/>
      <c r="QNQ31" s="806"/>
      <c r="QNR31" s="806"/>
      <c r="QNS31" s="806"/>
      <c r="QNT31" s="806"/>
      <c r="QNU31" s="806"/>
      <c r="QNV31" s="806"/>
      <c r="QNW31" s="806"/>
      <c r="QNX31" s="806"/>
      <c r="QNY31" s="806"/>
      <c r="QNZ31" s="806"/>
      <c r="QOA31" s="806"/>
      <c r="QOB31" s="806"/>
      <c r="QOC31" s="806"/>
      <c r="QOD31" s="806"/>
      <c r="QOE31" s="806"/>
      <c r="QOF31" s="806"/>
      <c r="QOG31" s="806"/>
      <c r="QOH31" s="806"/>
      <c r="QOI31" s="806"/>
      <c r="QOJ31" s="806"/>
      <c r="QOK31" s="806"/>
      <c r="QOL31" s="806"/>
      <c r="QOM31" s="806"/>
      <c r="QON31" s="806"/>
      <c r="QOO31" s="806"/>
      <c r="QOP31" s="806"/>
      <c r="QOQ31" s="806"/>
      <c r="QOR31" s="806"/>
      <c r="QOS31" s="806"/>
      <c r="QOT31" s="806"/>
      <c r="QOU31" s="806"/>
      <c r="QOV31" s="806"/>
      <c r="QOW31" s="806"/>
      <c r="QOX31" s="806"/>
      <c r="QOY31" s="806"/>
      <c r="QOZ31" s="806"/>
      <c r="QPA31" s="806"/>
      <c r="QPB31" s="806"/>
      <c r="QPC31" s="806"/>
      <c r="QPD31" s="806"/>
      <c r="QPE31" s="806"/>
      <c r="QPF31" s="806"/>
      <c r="QPG31" s="806"/>
      <c r="QPH31" s="806"/>
      <c r="QPI31" s="806"/>
      <c r="QPJ31" s="806"/>
      <c r="QPK31" s="806"/>
      <c r="QPL31" s="806"/>
      <c r="QPM31" s="806"/>
      <c r="QPN31" s="806"/>
      <c r="QPO31" s="806"/>
      <c r="QPP31" s="806"/>
      <c r="QPQ31" s="806"/>
      <c r="QPR31" s="806"/>
      <c r="QPS31" s="806"/>
      <c r="QPT31" s="806"/>
      <c r="QPU31" s="806"/>
      <c r="QPV31" s="806"/>
      <c r="QPW31" s="806"/>
      <c r="QPX31" s="806"/>
      <c r="QPY31" s="806"/>
      <c r="QPZ31" s="806"/>
      <c r="QQA31" s="806"/>
      <c r="QQB31" s="806"/>
      <c r="QQC31" s="806"/>
      <c r="QQD31" s="806"/>
      <c r="QQE31" s="806"/>
      <c r="QQF31" s="806"/>
      <c r="QQG31" s="806"/>
      <c r="QQH31" s="806"/>
      <c r="QQI31" s="806"/>
      <c r="QQJ31" s="806"/>
      <c r="QQK31" s="806"/>
      <c r="QQL31" s="806"/>
      <c r="QQM31" s="806"/>
      <c r="QQN31" s="806"/>
      <c r="QQO31" s="806"/>
      <c r="QQP31" s="806"/>
      <c r="QQQ31" s="806"/>
      <c r="QQR31" s="806"/>
      <c r="QQS31" s="806"/>
      <c r="QQT31" s="806"/>
      <c r="QQU31" s="806"/>
      <c r="QQV31" s="806"/>
      <c r="QQW31" s="806"/>
      <c r="QQX31" s="806"/>
      <c r="QQY31" s="806"/>
      <c r="QQZ31" s="806"/>
      <c r="QRA31" s="806"/>
      <c r="QRB31" s="806"/>
      <c r="QRC31" s="806"/>
      <c r="QRD31" s="806"/>
      <c r="QRE31" s="806"/>
      <c r="QRF31" s="806"/>
      <c r="QRG31" s="806"/>
      <c r="QRH31" s="806"/>
      <c r="QRI31" s="806"/>
      <c r="QRJ31" s="806"/>
      <c r="QRK31" s="806"/>
      <c r="QRL31" s="806"/>
      <c r="QRM31" s="806"/>
      <c r="QRN31" s="806"/>
      <c r="QRO31" s="806"/>
      <c r="QRP31" s="806"/>
      <c r="QRQ31" s="806"/>
      <c r="QRR31" s="806"/>
      <c r="QRS31" s="806"/>
      <c r="QRT31" s="806"/>
      <c r="QRU31" s="806"/>
      <c r="QRV31" s="806"/>
      <c r="QRW31" s="806"/>
      <c r="QRX31" s="806"/>
      <c r="QRY31" s="806"/>
      <c r="QRZ31" s="806"/>
      <c r="QSA31" s="806"/>
      <c r="QSB31" s="806"/>
      <c r="QSC31" s="806"/>
      <c r="QSD31" s="806"/>
      <c r="QSE31" s="806"/>
      <c r="QSF31" s="806"/>
      <c r="QSG31" s="806"/>
      <c r="QSH31" s="806"/>
      <c r="QSI31" s="806"/>
      <c r="QSJ31" s="806"/>
      <c r="QSK31" s="806"/>
      <c r="QSL31" s="806"/>
      <c r="QSM31" s="806"/>
      <c r="QSN31" s="806"/>
      <c r="QSO31" s="806"/>
      <c r="QSP31" s="806"/>
      <c r="QSQ31" s="806"/>
      <c r="QSR31" s="806"/>
      <c r="QSS31" s="806"/>
      <c r="QST31" s="806"/>
      <c r="QSU31" s="806"/>
      <c r="QSV31" s="806"/>
      <c r="QSW31" s="806"/>
      <c r="QSX31" s="806"/>
      <c r="QSY31" s="806"/>
      <c r="QSZ31" s="806"/>
      <c r="QTA31" s="806"/>
      <c r="QTB31" s="806"/>
      <c r="QTC31" s="806"/>
      <c r="QTD31" s="806"/>
      <c r="QTE31" s="806"/>
      <c r="QTF31" s="806"/>
      <c r="QTG31" s="806"/>
      <c r="QTH31" s="806"/>
      <c r="QTI31" s="806"/>
      <c r="QTJ31" s="806"/>
      <c r="QTK31" s="806"/>
      <c r="QTL31" s="806"/>
      <c r="QTM31" s="806"/>
      <c r="QTN31" s="806"/>
      <c r="QTO31" s="806"/>
      <c r="QTP31" s="806"/>
      <c r="QTQ31" s="806"/>
      <c r="QTR31" s="806"/>
      <c r="QTS31" s="806"/>
      <c r="QTT31" s="806"/>
      <c r="QTU31" s="806"/>
      <c r="QTV31" s="806"/>
      <c r="QTW31" s="806"/>
      <c r="QTX31" s="806"/>
      <c r="QTY31" s="806"/>
      <c r="QTZ31" s="806"/>
      <c r="QUA31" s="806"/>
      <c r="QUB31" s="806"/>
      <c r="QUC31" s="806"/>
      <c r="QUD31" s="806"/>
      <c r="QUE31" s="806"/>
      <c r="QUF31" s="806"/>
      <c r="QUG31" s="806"/>
      <c r="QUH31" s="806"/>
      <c r="QUI31" s="806"/>
      <c r="QUJ31" s="806"/>
      <c r="QUK31" s="806"/>
      <c r="QUL31" s="806"/>
      <c r="QUM31" s="806"/>
      <c r="QUN31" s="806"/>
      <c r="QUO31" s="806"/>
      <c r="QUP31" s="806"/>
      <c r="QUQ31" s="806"/>
      <c r="QUR31" s="806"/>
      <c r="QUS31" s="806"/>
      <c r="QUT31" s="806"/>
      <c r="QUU31" s="806"/>
      <c r="QUV31" s="806"/>
      <c r="QUW31" s="806"/>
      <c r="QUX31" s="806"/>
      <c r="QUY31" s="806"/>
      <c r="QUZ31" s="806"/>
      <c r="QVA31" s="806"/>
      <c r="QVB31" s="806"/>
      <c r="QVC31" s="806"/>
      <c r="QVD31" s="806"/>
      <c r="QVE31" s="806"/>
      <c r="QVF31" s="806"/>
      <c r="QVG31" s="806"/>
      <c r="QVH31" s="806"/>
      <c r="QVI31" s="806"/>
      <c r="QVJ31" s="806"/>
      <c r="QVK31" s="806"/>
      <c r="QVL31" s="806"/>
      <c r="QVM31" s="806"/>
      <c r="QVN31" s="806"/>
      <c r="QVO31" s="806"/>
      <c r="QVP31" s="806"/>
      <c r="QVQ31" s="806"/>
      <c r="QVR31" s="806"/>
      <c r="QVS31" s="806"/>
      <c r="QVT31" s="806"/>
      <c r="QVU31" s="806"/>
      <c r="QVV31" s="806"/>
      <c r="QVW31" s="806"/>
      <c r="QVX31" s="806"/>
      <c r="QVY31" s="806"/>
      <c r="QVZ31" s="806"/>
      <c r="QWA31" s="806"/>
      <c r="QWB31" s="806"/>
      <c r="QWC31" s="806"/>
      <c r="QWD31" s="806"/>
      <c r="QWE31" s="806"/>
      <c r="QWF31" s="806"/>
      <c r="QWG31" s="806"/>
      <c r="QWH31" s="806"/>
      <c r="QWI31" s="806"/>
      <c r="QWJ31" s="806"/>
      <c r="QWK31" s="806"/>
      <c r="QWL31" s="806"/>
      <c r="QWM31" s="806"/>
      <c r="QWN31" s="806"/>
      <c r="QWO31" s="806"/>
      <c r="QWP31" s="806"/>
      <c r="QWQ31" s="806"/>
      <c r="QWR31" s="806"/>
      <c r="QWS31" s="806"/>
      <c r="QWT31" s="806"/>
      <c r="QWU31" s="806"/>
      <c r="QWV31" s="806"/>
      <c r="QWW31" s="806"/>
      <c r="QWX31" s="806"/>
      <c r="QWY31" s="806"/>
      <c r="QWZ31" s="806"/>
      <c r="QXA31" s="806"/>
      <c r="QXB31" s="806"/>
      <c r="QXC31" s="806"/>
      <c r="QXD31" s="806"/>
      <c r="QXE31" s="806"/>
      <c r="QXF31" s="806"/>
      <c r="QXG31" s="806"/>
      <c r="QXH31" s="806"/>
      <c r="QXI31" s="806"/>
      <c r="QXJ31" s="806"/>
      <c r="QXK31" s="806"/>
      <c r="QXL31" s="806"/>
      <c r="QXM31" s="806"/>
      <c r="QXN31" s="806"/>
      <c r="QXO31" s="806"/>
      <c r="QXP31" s="806"/>
      <c r="QXQ31" s="806"/>
      <c r="QXR31" s="806"/>
      <c r="QXS31" s="806"/>
      <c r="QXT31" s="806"/>
      <c r="QXU31" s="806"/>
      <c r="QXV31" s="806"/>
      <c r="QXW31" s="806"/>
      <c r="QXX31" s="806"/>
      <c r="QXY31" s="806"/>
      <c r="QXZ31" s="806"/>
      <c r="QYA31" s="806"/>
      <c r="QYB31" s="806"/>
      <c r="QYC31" s="806"/>
      <c r="QYD31" s="806"/>
      <c r="QYE31" s="806"/>
      <c r="QYF31" s="806"/>
      <c r="QYG31" s="806"/>
      <c r="QYH31" s="806"/>
      <c r="QYI31" s="806"/>
      <c r="QYJ31" s="806"/>
      <c r="QYK31" s="806"/>
      <c r="QYL31" s="806"/>
      <c r="QYM31" s="806"/>
      <c r="QYN31" s="806"/>
      <c r="QYO31" s="806"/>
      <c r="QYP31" s="806"/>
      <c r="QYQ31" s="806"/>
      <c r="QYR31" s="806"/>
      <c r="QYS31" s="806"/>
      <c r="QYT31" s="806"/>
      <c r="QYU31" s="806"/>
      <c r="QYV31" s="806"/>
      <c r="QYW31" s="806"/>
      <c r="QYX31" s="806"/>
      <c r="QYY31" s="806"/>
      <c r="QYZ31" s="806"/>
      <c r="QZA31" s="806"/>
      <c r="QZB31" s="806"/>
      <c r="QZC31" s="806"/>
      <c r="QZD31" s="806"/>
      <c r="QZE31" s="806"/>
      <c r="QZF31" s="806"/>
      <c r="QZG31" s="806"/>
      <c r="QZH31" s="806"/>
      <c r="QZI31" s="806"/>
      <c r="QZJ31" s="806"/>
      <c r="QZK31" s="806"/>
      <c r="QZL31" s="806"/>
      <c r="QZM31" s="806"/>
      <c r="QZN31" s="806"/>
      <c r="QZO31" s="806"/>
      <c r="QZP31" s="806"/>
      <c r="QZQ31" s="806"/>
      <c r="QZR31" s="806"/>
      <c r="QZS31" s="806"/>
      <c r="QZT31" s="806"/>
      <c r="QZU31" s="806"/>
      <c r="QZV31" s="806"/>
      <c r="QZW31" s="806"/>
      <c r="QZX31" s="806"/>
      <c r="QZY31" s="806"/>
      <c r="QZZ31" s="806"/>
      <c r="RAA31" s="806"/>
      <c r="RAB31" s="806"/>
      <c r="RAC31" s="806"/>
      <c r="RAD31" s="806"/>
      <c r="RAE31" s="806"/>
      <c r="RAF31" s="806"/>
      <c r="RAG31" s="806"/>
      <c r="RAH31" s="806"/>
      <c r="RAI31" s="806"/>
      <c r="RAJ31" s="806"/>
      <c r="RAK31" s="806"/>
      <c r="RAL31" s="806"/>
      <c r="RAM31" s="806"/>
      <c r="RAN31" s="806"/>
      <c r="RAO31" s="806"/>
      <c r="RAP31" s="806"/>
      <c r="RAQ31" s="806"/>
      <c r="RAR31" s="806"/>
      <c r="RAS31" s="806"/>
      <c r="RAT31" s="806"/>
      <c r="RAU31" s="806"/>
      <c r="RAV31" s="806"/>
      <c r="RAW31" s="806"/>
      <c r="RAX31" s="806"/>
      <c r="RAY31" s="806"/>
      <c r="RAZ31" s="806"/>
      <c r="RBA31" s="806"/>
      <c r="RBB31" s="806"/>
      <c r="RBC31" s="806"/>
      <c r="RBD31" s="806"/>
      <c r="RBE31" s="806"/>
      <c r="RBF31" s="806"/>
      <c r="RBG31" s="806"/>
      <c r="RBH31" s="806"/>
      <c r="RBI31" s="806"/>
      <c r="RBJ31" s="806"/>
      <c r="RBK31" s="806"/>
      <c r="RBL31" s="806"/>
      <c r="RBM31" s="806"/>
      <c r="RBN31" s="806"/>
      <c r="RBO31" s="806"/>
      <c r="RBP31" s="806"/>
      <c r="RBQ31" s="806"/>
      <c r="RBR31" s="806"/>
      <c r="RBS31" s="806"/>
      <c r="RBT31" s="806"/>
      <c r="RBU31" s="806"/>
      <c r="RBV31" s="806"/>
      <c r="RBW31" s="806"/>
      <c r="RBX31" s="806"/>
      <c r="RBY31" s="806"/>
      <c r="RBZ31" s="806"/>
      <c r="RCA31" s="806"/>
      <c r="RCB31" s="806"/>
      <c r="RCC31" s="806"/>
      <c r="RCD31" s="806"/>
      <c r="RCE31" s="806"/>
      <c r="RCF31" s="806"/>
      <c r="RCG31" s="806"/>
      <c r="RCH31" s="806"/>
      <c r="RCI31" s="806"/>
      <c r="RCJ31" s="806"/>
      <c r="RCK31" s="806"/>
      <c r="RCL31" s="806"/>
      <c r="RCM31" s="806"/>
      <c r="RCN31" s="806"/>
      <c r="RCO31" s="806"/>
      <c r="RCP31" s="806"/>
      <c r="RCQ31" s="806"/>
      <c r="RCR31" s="806"/>
      <c r="RCS31" s="806"/>
      <c r="RCT31" s="806"/>
      <c r="RCU31" s="806"/>
      <c r="RCV31" s="806"/>
      <c r="RCW31" s="806"/>
      <c r="RCX31" s="806"/>
      <c r="RCY31" s="806"/>
      <c r="RCZ31" s="806"/>
      <c r="RDA31" s="806"/>
      <c r="RDB31" s="806"/>
      <c r="RDC31" s="806"/>
      <c r="RDD31" s="806"/>
      <c r="RDE31" s="806"/>
      <c r="RDF31" s="806"/>
      <c r="RDG31" s="806"/>
      <c r="RDH31" s="806"/>
      <c r="RDI31" s="806"/>
      <c r="RDJ31" s="806"/>
      <c r="RDK31" s="806"/>
      <c r="RDL31" s="806"/>
      <c r="RDM31" s="806"/>
      <c r="RDN31" s="806"/>
      <c r="RDO31" s="806"/>
      <c r="RDP31" s="806"/>
      <c r="RDQ31" s="806"/>
      <c r="RDR31" s="806"/>
      <c r="RDS31" s="806"/>
      <c r="RDT31" s="806"/>
      <c r="RDU31" s="806"/>
      <c r="RDV31" s="806"/>
      <c r="RDW31" s="806"/>
      <c r="RDX31" s="806"/>
      <c r="RDY31" s="806"/>
      <c r="RDZ31" s="806"/>
      <c r="REA31" s="806"/>
      <c r="REB31" s="806"/>
      <c r="REC31" s="806"/>
      <c r="RED31" s="806"/>
      <c r="REE31" s="806"/>
      <c r="REF31" s="806"/>
      <c r="REG31" s="806"/>
      <c r="REH31" s="806"/>
      <c r="REI31" s="806"/>
      <c r="REJ31" s="806"/>
      <c r="REK31" s="806"/>
      <c r="REL31" s="806"/>
      <c r="REM31" s="806"/>
      <c r="REN31" s="806"/>
      <c r="REO31" s="806"/>
      <c r="REP31" s="806"/>
      <c r="REQ31" s="806"/>
      <c r="RER31" s="806"/>
      <c r="RES31" s="806"/>
      <c r="RET31" s="806"/>
      <c r="REU31" s="806"/>
      <c r="REV31" s="806"/>
      <c r="REW31" s="806"/>
      <c r="REX31" s="806"/>
      <c r="REY31" s="806"/>
      <c r="REZ31" s="806"/>
      <c r="RFA31" s="806"/>
      <c r="RFB31" s="806"/>
      <c r="RFC31" s="806"/>
      <c r="RFD31" s="806"/>
      <c r="RFE31" s="806"/>
      <c r="RFF31" s="806"/>
      <c r="RFG31" s="806"/>
      <c r="RFH31" s="806"/>
      <c r="RFI31" s="806"/>
      <c r="RFJ31" s="806"/>
      <c r="RFK31" s="806"/>
      <c r="RFL31" s="806"/>
      <c r="RFM31" s="806"/>
      <c r="RFN31" s="806"/>
      <c r="RFO31" s="806"/>
      <c r="RFP31" s="806"/>
      <c r="RFQ31" s="806"/>
      <c r="RFR31" s="806"/>
      <c r="RFS31" s="806"/>
      <c r="RFT31" s="806"/>
      <c r="RFU31" s="806"/>
      <c r="RFV31" s="806"/>
      <c r="RFW31" s="806"/>
      <c r="RFX31" s="806"/>
      <c r="RFY31" s="806"/>
      <c r="RFZ31" s="806"/>
      <c r="RGA31" s="806"/>
      <c r="RGB31" s="806"/>
      <c r="RGC31" s="806"/>
      <c r="RGD31" s="806"/>
      <c r="RGE31" s="806"/>
      <c r="RGF31" s="806"/>
      <c r="RGG31" s="806"/>
      <c r="RGH31" s="806"/>
      <c r="RGI31" s="806"/>
      <c r="RGJ31" s="806"/>
      <c r="RGK31" s="806"/>
      <c r="RGL31" s="806"/>
      <c r="RGM31" s="806"/>
      <c r="RGN31" s="806"/>
      <c r="RGO31" s="806"/>
      <c r="RGP31" s="806"/>
      <c r="RGQ31" s="806"/>
      <c r="RGR31" s="806"/>
      <c r="RGS31" s="806"/>
      <c r="RGT31" s="806"/>
      <c r="RGU31" s="806"/>
      <c r="RGV31" s="806"/>
      <c r="RGW31" s="806"/>
      <c r="RGX31" s="806"/>
      <c r="RGY31" s="806"/>
      <c r="RGZ31" s="806"/>
      <c r="RHA31" s="806"/>
      <c r="RHB31" s="806"/>
      <c r="RHC31" s="806"/>
      <c r="RHD31" s="806"/>
      <c r="RHE31" s="806"/>
      <c r="RHF31" s="806"/>
      <c r="RHG31" s="806"/>
      <c r="RHH31" s="806"/>
      <c r="RHI31" s="806"/>
      <c r="RHJ31" s="806"/>
      <c r="RHK31" s="806"/>
      <c r="RHL31" s="806"/>
      <c r="RHM31" s="806"/>
      <c r="RHN31" s="806"/>
      <c r="RHO31" s="806"/>
      <c r="RHP31" s="806"/>
      <c r="RHQ31" s="806"/>
      <c r="RHR31" s="806"/>
      <c r="RHS31" s="806"/>
      <c r="RHT31" s="806"/>
      <c r="RHU31" s="806"/>
      <c r="RHV31" s="806"/>
      <c r="RHW31" s="806"/>
      <c r="RHX31" s="806"/>
      <c r="RHY31" s="806"/>
      <c r="RHZ31" s="806"/>
      <c r="RIA31" s="806"/>
      <c r="RIB31" s="806"/>
      <c r="RIC31" s="806"/>
      <c r="RID31" s="806"/>
      <c r="RIE31" s="806"/>
      <c r="RIF31" s="806"/>
      <c r="RIG31" s="806"/>
      <c r="RIH31" s="806"/>
      <c r="RII31" s="806"/>
      <c r="RIJ31" s="806"/>
      <c r="RIK31" s="806"/>
      <c r="RIL31" s="806"/>
      <c r="RIM31" s="806"/>
      <c r="RIN31" s="806"/>
      <c r="RIO31" s="806"/>
      <c r="RIP31" s="806"/>
      <c r="RIQ31" s="806"/>
      <c r="RIR31" s="806"/>
      <c r="RIS31" s="806"/>
      <c r="RIT31" s="806"/>
      <c r="RIU31" s="806"/>
      <c r="RIV31" s="806"/>
      <c r="RIW31" s="806"/>
      <c r="RIX31" s="806"/>
      <c r="RIY31" s="806"/>
      <c r="RIZ31" s="806"/>
      <c r="RJA31" s="806"/>
      <c r="RJB31" s="806"/>
      <c r="RJC31" s="806"/>
      <c r="RJD31" s="806"/>
      <c r="RJE31" s="806"/>
      <c r="RJF31" s="806"/>
      <c r="RJG31" s="806"/>
      <c r="RJH31" s="806"/>
      <c r="RJI31" s="806"/>
      <c r="RJJ31" s="806"/>
      <c r="RJK31" s="806"/>
      <c r="RJL31" s="806"/>
      <c r="RJM31" s="806"/>
      <c r="RJN31" s="806"/>
      <c r="RJO31" s="806"/>
      <c r="RJP31" s="806"/>
      <c r="RJQ31" s="806"/>
      <c r="RJR31" s="806"/>
      <c r="RJS31" s="806"/>
      <c r="RJT31" s="806"/>
      <c r="RJU31" s="806"/>
      <c r="RJV31" s="806"/>
      <c r="RJW31" s="806"/>
      <c r="RJX31" s="806"/>
      <c r="RJY31" s="806"/>
      <c r="RJZ31" s="806"/>
      <c r="RKA31" s="806"/>
      <c r="RKB31" s="806"/>
      <c r="RKC31" s="806"/>
      <c r="RKD31" s="806"/>
      <c r="RKE31" s="806"/>
      <c r="RKF31" s="806"/>
      <c r="RKG31" s="806"/>
      <c r="RKH31" s="806"/>
      <c r="RKI31" s="806"/>
      <c r="RKJ31" s="806"/>
      <c r="RKK31" s="806"/>
      <c r="RKL31" s="806"/>
      <c r="RKM31" s="806"/>
      <c r="RKN31" s="806"/>
      <c r="RKO31" s="806"/>
      <c r="RKP31" s="806"/>
      <c r="RKQ31" s="806"/>
      <c r="RKR31" s="806"/>
      <c r="RKS31" s="806"/>
      <c r="RKT31" s="806"/>
      <c r="RKU31" s="806"/>
      <c r="RKV31" s="806"/>
      <c r="RKW31" s="806"/>
      <c r="RKX31" s="806"/>
      <c r="RKY31" s="806"/>
      <c r="RKZ31" s="806"/>
      <c r="RLA31" s="806"/>
      <c r="RLB31" s="806"/>
      <c r="RLC31" s="806"/>
      <c r="RLD31" s="806"/>
      <c r="RLE31" s="806"/>
      <c r="RLF31" s="806"/>
      <c r="RLG31" s="806"/>
      <c r="RLH31" s="806"/>
      <c r="RLI31" s="806"/>
      <c r="RLJ31" s="806"/>
      <c r="RLK31" s="806"/>
      <c r="RLL31" s="806"/>
      <c r="RLM31" s="806"/>
      <c r="RLN31" s="806"/>
      <c r="RLO31" s="806"/>
      <c r="RLP31" s="806"/>
      <c r="RLQ31" s="806"/>
      <c r="RLR31" s="806"/>
      <c r="RLS31" s="806"/>
      <c r="RLT31" s="806"/>
      <c r="RLU31" s="806"/>
      <c r="RLV31" s="806"/>
      <c r="RLW31" s="806"/>
      <c r="RLX31" s="806"/>
      <c r="RLY31" s="806"/>
      <c r="RLZ31" s="806"/>
      <c r="RMA31" s="806"/>
      <c r="RMB31" s="806"/>
      <c r="RMC31" s="806"/>
      <c r="RMD31" s="806"/>
      <c r="RME31" s="806"/>
      <c r="RMF31" s="806"/>
      <c r="RMG31" s="806"/>
      <c r="RMH31" s="806"/>
      <c r="RMI31" s="806"/>
      <c r="RMJ31" s="806"/>
      <c r="RMK31" s="806"/>
      <c r="RML31" s="806"/>
      <c r="RMM31" s="806"/>
      <c r="RMN31" s="806"/>
      <c r="RMO31" s="806"/>
      <c r="RMP31" s="806"/>
      <c r="RMQ31" s="806"/>
      <c r="RMR31" s="806"/>
      <c r="RMS31" s="806"/>
      <c r="RMT31" s="806"/>
      <c r="RMU31" s="806"/>
      <c r="RMV31" s="806"/>
      <c r="RMW31" s="806"/>
      <c r="RMX31" s="806"/>
      <c r="RMY31" s="806"/>
      <c r="RMZ31" s="806"/>
      <c r="RNA31" s="806"/>
      <c r="RNB31" s="806"/>
      <c r="RNC31" s="806"/>
      <c r="RND31" s="806"/>
      <c r="RNE31" s="806"/>
      <c r="RNF31" s="806"/>
      <c r="RNG31" s="806"/>
      <c r="RNH31" s="806"/>
      <c r="RNI31" s="806"/>
      <c r="RNJ31" s="806"/>
      <c r="RNK31" s="806"/>
      <c r="RNL31" s="806"/>
      <c r="RNM31" s="806"/>
      <c r="RNN31" s="806"/>
      <c r="RNO31" s="806"/>
      <c r="RNP31" s="806"/>
      <c r="RNQ31" s="806"/>
      <c r="RNR31" s="806"/>
      <c r="RNS31" s="806"/>
      <c r="RNT31" s="806"/>
      <c r="RNU31" s="806"/>
      <c r="RNV31" s="806"/>
      <c r="RNW31" s="806"/>
      <c r="RNX31" s="806"/>
      <c r="RNY31" s="806"/>
      <c r="RNZ31" s="806"/>
      <c r="ROA31" s="806"/>
      <c r="ROB31" s="806"/>
      <c r="ROC31" s="806"/>
      <c r="ROD31" s="806"/>
      <c r="ROE31" s="806"/>
      <c r="ROF31" s="806"/>
      <c r="ROG31" s="806"/>
      <c r="ROH31" s="806"/>
      <c r="ROI31" s="806"/>
      <c r="ROJ31" s="806"/>
      <c r="ROK31" s="806"/>
      <c r="ROL31" s="806"/>
      <c r="ROM31" s="806"/>
      <c r="RON31" s="806"/>
      <c r="ROO31" s="806"/>
      <c r="ROP31" s="806"/>
      <c r="ROQ31" s="806"/>
      <c r="ROR31" s="806"/>
      <c r="ROS31" s="806"/>
      <c r="ROT31" s="806"/>
      <c r="ROU31" s="806"/>
      <c r="ROV31" s="806"/>
      <c r="ROW31" s="806"/>
      <c r="ROX31" s="806"/>
      <c r="ROY31" s="806"/>
      <c r="ROZ31" s="806"/>
      <c r="RPA31" s="806"/>
      <c r="RPB31" s="806"/>
      <c r="RPC31" s="806"/>
      <c r="RPD31" s="806"/>
      <c r="RPE31" s="806"/>
      <c r="RPF31" s="806"/>
      <c r="RPG31" s="806"/>
      <c r="RPH31" s="806"/>
      <c r="RPI31" s="806"/>
      <c r="RPJ31" s="806"/>
      <c r="RPK31" s="806"/>
      <c r="RPL31" s="806"/>
      <c r="RPM31" s="806"/>
      <c r="RPN31" s="806"/>
      <c r="RPO31" s="806"/>
      <c r="RPP31" s="806"/>
      <c r="RPQ31" s="806"/>
      <c r="RPR31" s="806"/>
      <c r="RPS31" s="806"/>
      <c r="RPT31" s="806"/>
      <c r="RPU31" s="806"/>
      <c r="RPV31" s="806"/>
      <c r="RPW31" s="806"/>
      <c r="RPX31" s="806"/>
      <c r="RPY31" s="806"/>
      <c r="RPZ31" s="806"/>
      <c r="RQA31" s="806"/>
      <c r="RQB31" s="806"/>
      <c r="RQC31" s="806"/>
      <c r="RQD31" s="806"/>
      <c r="RQE31" s="806"/>
      <c r="RQF31" s="806"/>
      <c r="RQG31" s="806"/>
      <c r="RQH31" s="806"/>
      <c r="RQI31" s="806"/>
      <c r="RQJ31" s="806"/>
      <c r="RQK31" s="806"/>
      <c r="RQL31" s="806"/>
      <c r="RQM31" s="806"/>
      <c r="RQN31" s="806"/>
      <c r="RQO31" s="806"/>
      <c r="RQP31" s="806"/>
      <c r="RQQ31" s="806"/>
      <c r="RQR31" s="806"/>
      <c r="RQS31" s="806"/>
      <c r="RQT31" s="806"/>
      <c r="RQU31" s="806"/>
      <c r="RQV31" s="806"/>
      <c r="RQW31" s="806"/>
      <c r="RQX31" s="806"/>
      <c r="RQY31" s="806"/>
      <c r="RQZ31" s="806"/>
      <c r="RRA31" s="806"/>
      <c r="RRB31" s="806"/>
      <c r="RRC31" s="806"/>
      <c r="RRD31" s="806"/>
      <c r="RRE31" s="806"/>
      <c r="RRF31" s="806"/>
      <c r="RRG31" s="806"/>
      <c r="RRH31" s="806"/>
      <c r="RRI31" s="806"/>
      <c r="RRJ31" s="806"/>
      <c r="RRK31" s="806"/>
      <c r="RRL31" s="806"/>
      <c r="RRM31" s="806"/>
      <c r="RRN31" s="806"/>
      <c r="RRO31" s="806"/>
      <c r="RRP31" s="806"/>
      <c r="RRQ31" s="806"/>
      <c r="RRR31" s="806"/>
      <c r="RRS31" s="806"/>
      <c r="RRT31" s="806"/>
      <c r="RRU31" s="806"/>
      <c r="RRV31" s="806"/>
      <c r="RRW31" s="806"/>
      <c r="RRX31" s="806"/>
      <c r="RRY31" s="806"/>
      <c r="RRZ31" s="806"/>
      <c r="RSA31" s="806"/>
      <c r="RSB31" s="806"/>
      <c r="RSC31" s="806"/>
      <c r="RSD31" s="806"/>
      <c r="RSE31" s="806"/>
      <c r="RSF31" s="806"/>
      <c r="RSG31" s="806"/>
      <c r="RSH31" s="806"/>
      <c r="RSI31" s="806"/>
      <c r="RSJ31" s="806"/>
      <c r="RSK31" s="806"/>
      <c r="RSL31" s="806"/>
      <c r="RSM31" s="806"/>
      <c r="RSN31" s="806"/>
      <c r="RSO31" s="806"/>
      <c r="RSP31" s="806"/>
      <c r="RSQ31" s="806"/>
      <c r="RSR31" s="806"/>
      <c r="RSS31" s="806"/>
      <c r="RST31" s="806"/>
      <c r="RSU31" s="806"/>
      <c r="RSV31" s="806"/>
      <c r="RSW31" s="806"/>
      <c r="RSX31" s="806"/>
      <c r="RSY31" s="806"/>
      <c r="RSZ31" s="806"/>
      <c r="RTA31" s="806"/>
      <c r="RTB31" s="806"/>
      <c r="RTC31" s="806"/>
      <c r="RTD31" s="806"/>
      <c r="RTE31" s="806"/>
      <c r="RTF31" s="806"/>
      <c r="RTG31" s="806"/>
      <c r="RTH31" s="806"/>
      <c r="RTI31" s="806"/>
      <c r="RTJ31" s="806"/>
      <c r="RTK31" s="806"/>
      <c r="RTL31" s="806"/>
      <c r="RTM31" s="806"/>
      <c r="RTN31" s="806"/>
      <c r="RTO31" s="806"/>
      <c r="RTP31" s="806"/>
      <c r="RTQ31" s="806"/>
      <c r="RTR31" s="806"/>
      <c r="RTS31" s="806"/>
      <c r="RTT31" s="806"/>
      <c r="RTU31" s="806"/>
      <c r="RTV31" s="806"/>
      <c r="RTW31" s="806"/>
      <c r="RTX31" s="806"/>
      <c r="RTY31" s="806"/>
      <c r="RTZ31" s="806"/>
      <c r="RUA31" s="806"/>
      <c r="RUB31" s="806"/>
      <c r="RUC31" s="806"/>
      <c r="RUD31" s="806"/>
      <c r="RUE31" s="806"/>
      <c r="RUF31" s="806"/>
      <c r="RUG31" s="806"/>
      <c r="RUH31" s="806"/>
      <c r="RUI31" s="806"/>
      <c r="RUJ31" s="806"/>
      <c r="RUK31" s="806"/>
      <c r="RUL31" s="806"/>
      <c r="RUM31" s="806"/>
      <c r="RUN31" s="806"/>
      <c r="RUO31" s="806"/>
      <c r="RUP31" s="806"/>
      <c r="RUQ31" s="806"/>
      <c r="RUR31" s="806"/>
      <c r="RUS31" s="806"/>
      <c r="RUT31" s="806"/>
      <c r="RUU31" s="806"/>
      <c r="RUV31" s="806"/>
      <c r="RUW31" s="806"/>
      <c r="RUX31" s="806"/>
      <c r="RUY31" s="806"/>
      <c r="RUZ31" s="806"/>
      <c r="RVA31" s="806"/>
      <c r="RVB31" s="806"/>
      <c r="RVC31" s="806"/>
      <c r="RVD31" s="806"/>
      <c r="RVE31" s="806"/>
      <c r="RVF31" s="806"/>
      <c r="RVG31" s="806"/>
      <c r="RVH31" s="806"/>
      <c r="RVI31" s="806"/>
      <c r="RVJ31" s="806"/>
      <c r="RVK31" s="806"/>
      <c r="RVL31" s="806"/>
      <c r="RVM31" s="806"/>
      <c r="RVN31" s="806"/>
      <c r="RVO31" s="806"/>
      <c r="RVP31" s="806"/>
      <c r="RVQ31" s="806"/>
      <c r="RVR31" s="806"/>
      <c r="RVS31" s="806"/>
      <c r="RVT31" s="806"/>
      <c r="RVU31" s="806"/>
      <c r="RVV31" s="806"/>
      <c r="RVW31" s="806"/>
      <c r="RVX31" s="806"/>
      <c r="RVY31" s="806"/>
      <c r="RVZ31" s="806"/>
      <c r="RWA31" s="806"/>
      <c r="RWB31" s="806"/>
      <c r="RWC31" s="806"/>
      <c r="RWD31" s="806"/>
      <c r="RWE31" s="806"/>
      <c r="RWF31" s="806"/>
      <c r="RWG31" s="806"/>
      <c r="RWH31" s="806"/>
      <c r="RWI31" s="806"/>
      <c r="RWJ31" s="806"/>
      <c r="RWK31" s="806"/>
      <c r="RWL31" s="806"/>
      <c r="RWM31" s="806"/>
      <c r="RWN31" s="806"/>
      <c r="RWO31" s="806"/>
      <c r="RWP31" s="806"/>
      <c r="RWQ31" s="806"/>
      <c r="RWR31" s="806"/>
      <c r="RWS31" s="806"/>
      <c r="RWT31" s="806"/>
      <c r="RWU31" s="806"/>
      <c r="RWV31" s="806"/>
      <c r="RWW31" s="806"/>
      <c r="RWX31" s="806"/>
      <c r="RWY31" s="806"/>
      <c r="RWZ31" s="806"/>
      <c r="RXA31" s="806"/>
      <c r="RXB31" s="806"/>
      <c r="RXC31" s="806"/>
      <c r="RXD31" s="806"/>
      <c r="RXE31" s="806"/>
      <c r="RXF31" s="806"/>
      <c r="RXG31" s="806"/>
      <c r="RXH31" s="806"/>
      <c r="RXI31" s="806"/>
      <c r="RXJ31" s="806"/>
      <c r="RXK31" s="806"/>
      <c r="RXL31" s="806"/>
      <c r="RXM31" s="806"/>
      <c r="RXN31" s="806"/>
      <c r="RXO31" s="806"/>
      <c r="RXP31" s="806"/>
      <c r="RXQ31" s="806"/>
      <c r="RXR31" s="806"/>
      <c r="RXS31" s="806"/>
      <c r="RXT31" s="806"/>
      <c r="RXU31" s="806"/>
      <c r="RXV31" s="806"/>
      <c r="RXW31" s="806"/>
      <c r="RXX31" s="806"/>
      <c r="RXY31" s="806"/>
      <c r="RXZ31" s="806"/>
      <c r="RYA31" s="806"/>
      <c r="RYB31" s="806"/>
      <c r="RYC31" s="806"/>
      <c r="RYD31" s="806"/>
      <c r="RYE31" s="806"/>
      <c r="RYF31" s="806"/>
      <c r="RYG31" s="806"/>
      <c r="RYH31" s="806"/>
      <c r="RYI31" s="806"/>
      <c r="RYJ31" s="806"/>
      <c r="RYK31" s="806"/>
      <c r="RYL31" s="806"/>
      <c r="RYM31" s="806"/>
      <c r="RYN31" s="806"/>
      <c r="RYO31" s="806"/>
      <c r="RYP31" s="806"/>
      <c r="RYQ31" s="806"/>
      <c r="RYR31" s="806"/>
      <c r="RYS31" s="806"/>
      <c r="RYT31" s="806"/>
      <c r="RYU31" s="806"/>
      <c r="RYV31" s="806"/>
      <c r="RYW31" s="806"/>
      <c r="RYX31" s="806"/>
      <c r="RYY31" s="806"/>
      <c r="RYZ31" s="806"/>
      <c r="RZA31" s="806"/>
      <c r="RZB31" s="806"/>
      <c r="RZC31" s="806"/>
      <c r="RZD31" s="806"/>
      <c r="RZE31" s="806"/>
      <c r="RZF31" s="806"/>
      <c r="RZG31" s="806"/>
      <c r="RZH31" s="806"/>
      <c r="RZI31" s="806"/>
      <c r="RZJ31" s="806"/>
      <c r="RZK31" s="806"/>
      <c r="RZL31" s="806"/>
      <c r="RZM31" s="806"/>
      <c r="RZN31" s="806"/>
      <c r="RZO31" s="806"/>
      <c r="RZP31" s="806"/>
      <c r="RZQ31" s="806"/>
      <c r="RZR31" s="806"/>
      <c r="RZS31" s="806"/>
      <c r="RZT31" s="806"/>
      <c r="RZU31" s="806"/>
      <c r="RZV31" s="806"/>
      <c r="RZW31" s="806"/>
      <c r="RZX31" s="806"/>
      <c r="RZY31" s="806"/>
      <c r="RZZ31" s="806"/>
      <c r="SAA31" s="806"/>
      <c r="SAB31" s="806"/>
      <c r="SAC31" s="806"/>
      <c r="SAD31" s="806"/>
      <c r="SAE31" s="806"/>
      <c r="SAF31" s="806"/>
      <c r="SAG31" s="806"/>
      <c r="SAH31" s="806"/>
      <c r="SAI31" s="806"/>
      <c r="SAJ31" s="806"/>
      <c r="SAK31" s="806"/>
      <c r="SAL31" s="806"/>
      <c r="SAM31" s="806"/>
      <c r="SAN31" s="806"/>
      <c r="SAO31" s="806"/>
      <c r="SAP31" s="806"/>
      <c r="SAQ31" s="806"/>
      <c r="SAR31" s="806"/>
      <c r="SAS31" s="806"/>
      <c r="SAT31" s="806"/>
      <c r="SAU31" s="806"/>
      <c r="SAV31" s="806"/>
      <c r="SAW31" s="806"/>
      <c r="SAX31" s="806"/>
      <c r="SAY31" s="806"/>
      <c r="SAZ31" s="806"/>
      <c r="SBA31" s="806"/>
      <c r="SBB31" s="806"/>
      <c r="SBC31" s="806"/>
      <c r="SBD31" s="806"/>
      <c r="SBE31" s="806"/>
      <c r="SBF31" s="806"/>
      <c r="SBG31" s="806"/>
      <c r="SBH31" s="806"/>
      <c r="SBI31" s="806"/>
      <c r="SBJ31" s="806"/>
      <c r="SBK31" s="806"/>
      <c r="SBL31" s="806"/>
      <c r="SBM31" s="806"/>
      <c r="SBN31" s="806"/>
      <c r="SBO31" s="806"/>
      <c r="SBP31" s="806"/>
      <c r="SBQ31" s="806"/>
      <c r="SBR31" s="806"/>
      <c r="SBS31" s="806"/>
      <c r="SBT31" s="806"/>
      <c r="SBU31" s="806"/>
      <c r="SBV31" s="806"/>
      <c r="SBW31" s="806"/>
      <c r="SBX31" s="806"/>
      <c r="SBY31" s="806"/>
      <c r="SBZ31" s="806"/>
      <c r="SCA31" s="806"/>
      <c r="SCB31" s="806"/>
      <c r="SCC31" s="806"/>
      <c r="SCD31" s="806"/>
      <c r="SCE31" s="806"/>
      <c r="SCF31" s="806"/>
      <c r="SCG31" s="806"/>
      <c r="SCH31" s="806"/>
      <c r="SCI31" s="806"/>
      <c r="SCJ31" s="806"/>
      <c r="SCK31" s="806"/>
      <c r="SCL31" s="806"/>
      <c r="SCM31" s="806"/>
      <c r="SCN31" s="806"/>
      <c r="SCO31" s="806"/>
      <c r="SCP31" s="806"/>
      <c r="SCQ31" s="806"/>
      <c r="SCR31" s="806"/>
      <c r="SCS31" s="806"/>
      <c r="SCT31" s="806"/>
      <c r="SCU31" s="806"/>
      <c r="SCV31" s="806"/>
      <c r="SCW31" s="806"/>
      <c r="SCX31" s="806"/>
      <c r="SCY31" s="806"/>
      <c r="SCZ31" s="806"/>
      <c r="SDA31" s="806"/>
      <c r="SDB31" s="806"/>
      <c r="SDC31" s="806"/>
      <c r="SDD31" s="806"/>
      <c r="SDE31" s="806"/>
      <c r="SDF31" s="806"/>
      <c r="SDG31" s="806"/>
      <c r="SDH31" s="806"/>
      <c r="SDI31" s="806"/>
      <c r="SDJ31" s="806"/>
      <c r="SDK31" s="806"/>
      <c r="SDL31" s="806"/>
      <c r="SDM31" s="806"/>
      <c r="SDN31" s="806"/>
      <c r="SDO31" s="806"/>
      <c r="SDP31" s="806"/>
      <c r="SDQ31" s="806"/>
      <c r="SDR31" s="806"/>
      <c r="SDS31" s="806"/>
      <c r="SDT31" s="806"/>
      <c r="SDU31" s="806"/>
      <c r="SDV31" s="806"/>
      <c r="SDW31" s="806"/>
      <c r="SDX31" s="806"/>
      <c r="SDY31" s="806"/>
      <c r="SDZ31" s="806"/>
      <c r="SEA31" s="806"/>
      <c r="SEB31" s="806"/>
      <c r="SEC31" s="806"/>
      <c r="SED31" s="806"/>
      <c r="SEE31" s="806"/>
      <c r="SEF31" s="806"/>
      <c r="SEG31" s="806"/>
      <c r="SEH31" s="806"/>
      <c r="SEI31" s="806"/>
      <c r="SEJ31" s="806"/>
      <c r="SEK31" s="806"/>
      <c r="SEL31" s="806"/>
      <c r="SEM31" s="806"/>
      <c r="SEN31" s="806"/>
      <c r="SEO31" s="806"/>
      <c r="SEP31" s="806"/>
      <c r="SEQ31" s="806"/>
      <c r="SER31" s="806"/>
      <c r="SES31" s="806"/>
      <c r="SET31" s="806"/>
      <c r="SEU31" s="806"/>
      <c r="SEV31" s="806"/>
      <c r="SEW31" s="806"/>
      <c r="SEX31" s="806"/>
      <c r="SEY31" s="806"/>
      <c r="SEZ31" s="806"/>
      <c r="SFA31" s="806"/>
      <c r="SFB31" s="806"/>
      <c r="SFC31" s="806"/>
      <c r="SFD31" s="806"/>
      <c r="SFE31" s="806"/>
      <c r="SFF31" s="806"/>
      <c r="SFG31" s="806"/>
      <c r="SFH31" s="806"/>
      <c r="SFI31" s="806"/>
      <c r="SFJ31" s="806"/>
      <c r="SFK31" s="806"/>
      <c r="SFL31" s="806"/>
      <c r="SFM31" s="806"/>
      <c r="SFN31" s="806"/>
      <c r="SFO31" s="806"/>
      <c r="SFP31" s="806"/>
      <c r="SFQ31" s="806"/>
      <c r="SFR31" s="806"/>
      <c r="SFS31" s="806"/>
      <c r="SFT31" s="806"/>
      <c r="SFU31" s="806"/>
      <c r="SFV31" s="806"/>
      <c r="SFW31" s="806"/>
      <c r="SFX31" s="806"/>
      <c r="SFY31" s="806"/>
      <c r="SFZ31" s="806"/>
      <c r="SGA31" s="806"/>
      <c r="SGB31" s="806"/>
      <c r="SGC31" s="806"/>
      <c r="SGD31" s="806"/>
      <c r="SGE31" s="806"/>
      <c r="SGF31" s="806"/>
      <c r="SGG31" s="806"/>
      <c r="SGH31" s="806"/>
      <c r="SGI31" s="806"/>
      <c r="SGJ31" s="806"/>
      <c r="SGK31" s="806"/>
      <c r="SGL31" s="806"/>
      <c r="SGM31" s="806"/>
      <c r="SGN31" s="806"/>
      <c r="SGO31" s="806"/>
      <c r="SGP31" s="806"/>
      <c r="SGQ31" s="806"/>
      <c r="SGR31" s="806"/>
      <c r="SGS31" s="806"/>
      <c r="SGT31" s="806"/>
      <c r="SGU31" s="806"/>
      <c r="SGV31" s="806"/>
      <c r="SGW31" s="806"/>
      <c r="SGX31" s="806"/>
      <c r="SGY31" s="806"/>
      <c r="SGZ31" s="806"/>
      <c r="SHA31" s="806"/>
      <c r="SHB31" s="806"/>
      <c r="SHC31" s="806"/>
      <c r="SHD31" s="806"/>
      <c r="SHE31" s="806"/>
      <c r="SHF31" s="806"/>
      <c r="SHG31" s="806"/>
      <c r="SHH31" s="806"/>
      <c r="SHI31" s="806"/>
      <c r="SHJ31" s="806"/>
      <c r="SHK31" s="806"/>
      <c r="SHL31" s="806"/>
      <c r="SHM31" s="806"/>
      <c r="SHN31" s="806"/>
      <c r="SHO31" s="806"/>
      <c r="SHP31" s="806"/>
      <c r="SHQ31" s="806"/>
      <c r="SHR31" s="806"/>
      <c r="SHS31" s="806"/>
      <c r="SHT31" s="806"/>
      <c r="SHU31" s="806"/>
      <c r="SHV31" s="806"/>
      <c r="SHW31" s="806"/>
      <c r="SHX31" s="806"/>
      <c r="SHY31" s="806"/>
      <c r="SHZ31" s="806"/>
      <c r="SIA31" s="806"/>
      <c r="SIB31" s="806"/>
      <c r="SIC31" s="806"/>
      <c r="SID31" s="806"/>
      <c r="SIE31" s="806"/>
      <c r="SIF31" s="806"/>
      <c r="SIG31" s="806"/>
      <c r="SIH31" s="806"/>
      <c r="SII31" s="806"/>
      <c r="SIJ31" s="806"/>
      <c r="SIK31" s="806"/>
      <c r="SIL31" s="806"/>
      <c r="SIM31" s="806"/>
      <c r="SIN31" s="806"/>
      <c r="SIO31" s="806"/>
      <c r="SIP31" s="806"/>
      <c r="SIQ31" s="806"/>
      <c r="SIR31" s="806"/>
      <c r="SIS31" s="806"/>
      <c r="SIT31" s="806"/>
      <c r="SIU31" s="806"/>
      <c r="SIV31" s="806"/>
      <c r="SIW31" s="806"/>
      <c r="SIX31" s="806"/>
      <c r="SIY31" s="806"/>
      <c r="SIZ31" s="806"/>
      <c r="SJA31" s="806"/>
      <c r="SJB31" s="806"/>
      <c r="SJC31" s="806"/>
      <c r="SJD31" s="806"/>
      <c r="SJE31" s="806"/>
      <c r="SJF31" s="806"/>
      <c r="SJG31" s="806"/>
      <c r="SJH31" s="806"/>
      <c r="SJI31" s="806"/>
      <c r="SJJ31" s="806"/>
      <c r="SJK31" s="806"/>
      <c r="SJL31" s="806"/>
      <c r="SJM31" s="806"/>
      <c r="SJN31" s="806"/>
      <c r="SJO31" s="806"/>
      <c r="SJP31" s="806"/>
      <c r="SJQ31" s="806"/>
      <c r="SJR31" s="806"/>
      <c r="SJS31" s="806"/>
      <c r="SJT31" s="806"/>
      <c r="SJU31" s="806"/>
      <c r="SJV31" s="806"/>
      <c r="SJW31" s="806"/>
      <c r="SJX31" s="806"/>
      <c r="SJY31" s="806"/>
      <c r="SJZ31" s="806"/>
      <c r="SKA31" s="806"/>
      <c r="SKB31" s="806"/>
      <c r="SKC31" s="806"/>
      <c r="SKD31" s="806"/>
      <c r="SKE31" s="806"/>
      <c r="SKF31" s="806"/>
      <c r="SKG31" s="806"/>
      <c r="SKH31" s="806"/>
      <c r="SKI31" s="806"/>
      <c r="SKJ31" s="806"/>
      <c r="SKK31" s="806"/>
      <c r="SKL31" s="806"/>
      <c r="SKM31" s="806"/>
      <c r="SKN31" s="806"/>
      <c r="SKO31" s="806"/>
      <c r="SKP31" s="806"/>
      <c r="SKQ31" s="806"/>
      <c r="SKR31" s="806"/>
      <c r="SKS31" s="806"/>
      <c r="SKT31" s="806"/>
      <c r="SKU31" s="806"/>
      <c r="SKV31" s="806"/>
      <c r="SKW31" s="806"/>
      <c r="SKX31" s="806"/>
      <c r="SKY31" s="806"/>
      <c r="SKZ31" s="806"/>
      <c r="SLA31" s="806"/>
      <c r="SLB31" s="806"/>
      <c r="SLC31" s="806"/>
      <c r="SLD31" s="806"/>
      <c r="SLE31" s="806"/>
      <c r="SLF31" s="806"/>
      <c r="SLG31" s="806"/>
      <c r="SLH31" s="806"/>
      <c r="SLI31" s="806"/>
      <c r="SLJ31" s="806"/>
      <c r="SLK31" s="806"/>
      <c r="SLL31" s="806"/>
      <c r="SLM31" s="806"/>
      <c r="SLN31" s="806"/>
      <c r="SLO31" s="806"/>
      <c r="SLP31" s="806"/>
      <c r="SLQ31" s="806"/>
      <c r="SLR31" s="806"/>
      <c r="SLS31" s="806"/>
      <c r="SLT31" s="806"/>
      <c r="SLU31" s="806"/>
      <c r="SLV31" s="806"/>
      <c r="SLW31" s="806"/>
      <c r="SLX31" s="806"/>
      <c r="SLY31" s="806"/>
      <c r="SLZ31" s="806"/>
      <c r="SMA31" s="806"/>
      <c r="SMB31" s="806"/>
      <c r="SMC31" s="806"/>
      <c r="SMD31" s="806"/>
      <c r="SME31" s="806"/>
      <c r="SMF31" s="806"/>
      <c r="SMG31" s="806"/>
      <c r="SMH31" s="806"/>
      <c r="SMI31" s="806"/>
      <c r="SMJ31" s="806"/>
      <c r="SMK31" s="806"/>
      <c r="SML31" s="806"/>
      <c r="SMM31" s="806"/>
      <c r="SMN31" s="806"/>
      <c r="SMO31" s="806"/>
      <c r="SMP31" s="806"/>
      <c r="SMQ31" s="806"/>
      <c r="SMR31" s="806"/>
      <c r="SMS31" s="806"/>
      <c r="SMT31" s="806"/>
      <c r="SMU31" s="806"/>
      <c r="SMV31" s="806"/>
      <c r="SMW31" s="806"/>
      <c r="SMX31" s="806"/>
      <c r="SMY31" s="806"/>
      <c r="SMZ31" s="806"/>
      <c r="SNA31" s="806"/>
      <c r="SNB31" s="806"/>
      <c r="SNC31" s="806"/>
      <c r="SND31" s="806"/>
      <c r="SNE31" s="806"/>
      <c r="SNF31" s="806"/>
      <c r="SNG31" s="806"/>
      <c r="SNH31" s="806"/>
      <c r="SNI31" s="806"/>
      <c r="SNJ31" s="806"/>
      <c r="SNK31" s="806"/>
      <c r="SNL31" s="806"/>
      <c r="SNM31" s="806"/>
      <c r="SNN31" s="806"/>
      <c r="SNO31" s="806"/>
      <c r="SNP31" s="806"/>
      <c r="SNQ31" s="806"/>
      <c r="SNR31" s="806"/>
      <c r="SNS31" s="806"/>
      <c r="SNT31" s="806"/>
      <c r="SNU31" s="806"/>
      <c r="SNV31" s="806"/>
      <c r="SNW31" s="806"/>
      <c r="SNX31" s="806"/>
      <c r="SNY31" s="806"/>
      <c r="SNZ31" s="806"/>
      <c r="SOA31" s="806"/>
      <c r="SOB31" s="806"/>
      <c r="SOC31" s="806"/>
      <c r="SOD31" s="806"/>
      <c r="SOE31" s="806"/>
      <c r="SOF31" s="806"/>
      <c r="SOG31" s="806"/>
      <c r="SOH31" s="806"/>
      <c r="SOI31" s="806"/>
      <c r="SOJ31" s="806"/>
      <c r="SOK31" s="806"/>
      <c r="SOL31" s="806"/>
      <c r="SOM31" s="806"/>
      <c r="SON31" s="806"/>
      <c r="SOO31" s="806"/>
      <c r="SOP31" s="806"/>
      <c r="SOQ31" s="806"/>
      <c r="SOR31" s="806"/>
      <c r="SOS31" s="806"/>
      <c r="SOT31" s="806"/>
      <c r="SOU31" s="806"/>
      <c r="SOV31" s="806"/>
      <c r="SOW31" s="806"/>
      <c r="SOX31" s="806"/>
      <c r="SOY31" s="806"/>
      <c r="SOZ31" s="806"/>
      <c r="SPA31" s="806"/>
      <c r="SPB31" s="806"/>
      <c r="SPC31" s="806"/>
      <c r="SPD31" s="806"/>
      <c r="SPE31" s="806"/>
      <c r="SPF31" s="806"/>
      <c r="SPG31" s="806"/>
      <c r="SPH31" s="806"/>
      <c r="SPI31" s="806"/>
      <c r="SPJ31" s="806"/>
      <c r="SPK31" s="806"/>
      <c r="SPL31" s="806"/>
      <c r="SPM31" s="806"/>
      <c r="SPN31" s="806"/>
      <c r="SPO31" s="806"/>
      <c r="SPP31" s="806"/>
      <c r="SPQ31" s="806"/>
      <c r="SPR31" s="806"/>
      <c r="SPS31" s="806"/>
      <c r="SPT31" s="806"/>
      <c r="SPU31" s="806"/>
      <c r="SPV31" s="806"/>
      <c r="SPW31" s="806"/>
      <c r="SPX31" s="806"/>
      <c r="SPY31" s="806"/>
      <c r="SPZ31" s="806"/>
      <c r="SQA31" s="806"/>
      <c r="SQB31" s="806"/>
      <c r="SQC31" s="806"/>
      <c r="SQD31" s="806"/>
      <c r="SQE31" s="806"/>
      <c r="SQF31" s="806"/>
      <c r="SQG31" s="806"/>
      <c r="SQH31" s="806"/>
      <c r="SQI31" s="806"/>
      <c r="SQJ31" s="806"/>
      <c r="SQK31" s="806"/>
      <c r="SQL31" s="806"/>
      <c r="SQM31" s="806"/>
      <c r="SQN31" s="806"/>
      <c r="SQO31" s="806"/>
      <c r="SQP31" s="806"/>
      <c r="SQQ31" s="806"/>
      <c r="SQR31" s="806"/>
      <c r="SQS31" s="806"/>
      <c r="SQT31" s="806"/>
      <c r="SQU31" s="806"/>
      <c r="SQV31" s="806"/>
      <c r="SQW31" s="806"/>
      <c r="SQX31" s="806"/>
      <c r="SQY31" s="806"/>
      <c r="SQZ31" s="806"/>
      <c r="SRA31" s="806"/>
      <c r="SRB31" s="806"/>
      <c r="SRC31" s="806"/>
      <c r="SRD31" s="806"/>
      <c r="SRE31" s="806"/>
      <c r="SRF31" s="806"/>
      <c r="SRG31" s="806"/>
      <c r="SRH31" s="806"/>
      <c r="SRI31" s="806"/>
      <c r="SRJ31" s="806"/>
      <c r="SRK31" s="806"/>
      <c r="SRL31" s="806"/>
      <c r="SRM31" s="806"/>
      <c r="SRN31" s="806"/>
      <c r="SRO31" s="806"/>
      <c r="SRP31" s="806"/>
      <c r="SRQ31" s="806"/>
      <c r="SRR31" s="806"/>
      <c r="SRS31" s="806"/>
      <c r="SRT31" s="806"/>
      <c r="SRU31" s="806"/>
      <c r="SRV31" s="806"/>
      <c r="SRW31" s="806"/>
      <c r="SRX31" s="806"/>
      <c r="SRY31" s="806"/>
      <c r="SRZ31" s="806"/>
      <c r="SSA31" s="806"/>
      <c r="SSB31" s="806"/>
      <c r="SSC31" s="806"/>
      <c r="SSD31" s="806"/>
      <c r="SSE31" s="806"/>
      <c r="SSF31" s="806"/>
      <c r="SSG31" s="806"/>
      <c r="SSH31" s="806"/>
      <c r="SSI31" s="806"/>
      <c r="SSJ31" s="806"/>
      <c r="SSK31" s="806"/>
      <c r="SSL31" s="806"/>
      <c r="SSM31" s="806"/>
      <c r="SSN31" s="806"/>
      <c r="SSO31" s="806"/>
      <c r="SSP31" s="806"/>
      <c r="SSQ31" s="806"/>
      <c r="SSR31" s="806"/>
      <c r="SSS31" s="806"/>
      <c r="SST31" s="806"/>
      <c r="SSU31" s="806"/>
      <c r="SSV31" s="806"/>
      <c r="SSW31" s="806"/>
      <c r="SSX31" s="806"/>
      <c r="SSY31" s="806"/>
      <c r="SSZ31" s="806"/>
      <c r="STA31" s="806"/>
      <c r="STB31" s="806"/>
      <c r="STC31" s="806"/>
      <c r="STD31" s="806"/>
      <c r="STE31" s="806"/>
      <c r="STF31" s="806"/>
      <c r="STG31" s="806"/>
      <c r="STH31" s="806"/>
      <c r="STI31" s="806"/>
      <c r="STJ31" s="806"/>
      <c r="STK31" s="806"/>
      <c r="STL31" s="806"/>
      <c r="STM31" s="806"/>
      <c r="STN31" s="806"/>
      <c r="STO31" s="806"/>
      <c r="STP31" s="806"/>
      <c r="STQ31" s="806"/>
      <c r="STR31" s="806"/>
      <c r="STS31" s="806"/>
      <c r="STT31" s="806"/>
      <c r="STU31" s="806"/>
      <c r="STV31" s="806"/>
      <c r="STW31" s="806"/>
      <c r="STX31" s="806"/>
      <c r="STY31" s="806"/>
      <c r="STZ31" s="806"/>
      <c r="SUA31" s="806"/>
      <c r="SUB31" s="806"/>
      <c r="SUC31" s="806"/>
      <c r="SUD31" s="806"/>
      <c r="SUE31" s="806"/>
      <c r="SUF31" s="806"/>
      <c r="SUG31" s="806"/>
      <c r="SUH31" s="806"/>
      <c r="SUI31" s="806"/>
      <c r="SUJ31" s="806"/>
      <c r="SUK31" s="806"/>
      <c r="SUL31" s="806"/>
      <c r="SUM31" s="806"/>
      <c r="SUN31" s="806"/>
      <c r="SUO31" s="806"/>
      <c r="SUP31" s="806"/>
      <c r="SUQ31" s="806"/>
      <c r="SUR31" s="806"/>
      <c r="SUS31" s="806"/>
      <c r="SUT31" s="806"/>
      <c r="SUU31" s="806"/>
      <c r="SUV31" s="806"/>
      <c r="SUW31" s="806"/>
      <c r="SUX31" s="806"/>
      <c r="SUY31" s="806"/>
      <c r="SUZ31" s="806"/>
      <c r="SVA31" s="806"/>
      <c r="SVB31" s="806"/>
      <c r="SVC31" s="806"/>
      <c r="SVD31" s="806"/>
      <c r="SVE31" s="806"/>
      <c r="SVF31" s="806"/>
      <c r="SVG31" s="806"/>
      <c r="SVH31" s="806"/>
      <c r="SVI31" s="806"/>
      <c r="SVJ31" s="806"/>
      <c r="SVK31" s="806"/>
      <c r="SVL31" s="806"/>
      <c r="SVM31" s="806"/>
      <c r="SVN31" s="806"/>
      <c r="SVO31" s="806"/>
      <c r="SVP31" s="806"/>
      <c r="SVQ31" s="806"/>
      <c r="SVR31" s="806"/>
      <c r="SVS31" s="806"/>
      <c r="SVT31" s="806"/>
      <c r="SVU31" s="806"/>
      <c r="SVV31" s="806"/>
      <c r="SVW31" s="806"/>
      <c r="SVX31" s="806"/>
      <c r="SVY31" s="806"/>
      <c r="SVZ31" s="806"/>
      <c r="SWA31" s="806"/>
      <c r="SWB31" s="806"/>
      <c r="SWC31" s="806"/>
      <c r="SWD31" s="806"/>
      <c r="SWE31" s="806"/>
      <c r="SWF31" s="806"/>
      <c r="SWG31" s="806"/>
      <c r="SWH31" s="806"/>
      <c r="SWI31" s="806"/>
      <c r="SWJ31" s="806"/>
      <c r="SWK31" s="806"/>
      <c r="SWL31" s="806"/>
      <c r="SWM31" s="806"/>
      <c r="SWN31" s="806"/>
      <c r="SWO31" s="806"/>
      <c r="SWP31" s="806"/>
      <c r="SWQ31" s="806"/>
      <c r="SWR31" s="806"/>
      <c r="SWS31" s="806"/>
      <c r="SWT31" s="806"/>
      <c r="SWU31" s="806"/>
      <c r="SWV31" s="806"/>
      <c r="SWW31" s="806"/>
      <c r="SWX31" s="806"/>
      <c r="SWY31" s="806"/>
      <c r="SWZ31" s="806"/>
      <c r="SXA31" s="806"/>
      <c r="SXB31" s="806"/>
      <c r="SXC31" s="806"/>
      <c r="SXD31" s="806"/>
      <c r="SXE31" s="806"/>
      <c r="SXF31" s="806"/>
      <c r="SXG31" s="806"/>
      <c r="SXH31" s="806"/>
      <c r="SXI31" s="806"/>
      <c r="SXJ31" s="806"/>
      <c r="SXK31" s="806"/>
      <c r="SXL31" s="806"/>
      <c r="SXM31" s="806"/>
      <c r="SXN31" s="806"/>
      <c r="SXO31" s="806"/>
      <c r="SXP31" s="806"/>
      <c r="SXQ31" s="806"/>
      <c r="SXR31" s="806"/>
      <c r="SXS31" s="806"/>
      <c r="SXT31" s="806"/>
      <c r="SXU31" s="806"/>
      <c r="SXV31" s="806"/>
      <c r="SXW31" s="806"/>
      <c r="SXX31" s="806"/>
      <c r="SXY31" s="806"/>
      <c r="SXZ31" s="806"/>
      <c r="SYA31" s="806"/>
      <c r="SYB31" s="806"/>
      <c r="SYC31" s="806"/>
      <c r="SYD31" s="806"/>
      <c r="SYE31" s="806"/>
      <c r="SYF31" s="806"/>
      <c r="SYG31" s="806"/>
      <c r="SYH31" s="806"/>
      <c r="SYI31" s="806"/>
      <c r="SYJ31" s="806"/>
      <c r="SYK31" s="806"/>
      <c r="SYL31" s="806"/>
      <c r="SYM31" s="806"/>
      <c r="SYN31" s="806"/>
      <c r="SYO31" s="806"/>
      <c r="SYP31" s="806"/>
      <c r="SYQ31" s="806"/>
      <c r="SYR31" s="806"/>
      <c r="SYS31" s="806"/>
      <c r="SYT31" s="806"/>
      <c r="SYU31" s="806"/>
      <c r="SYV31" s="806"/>
      <c r="SYW31" s="806"/>
      <c r="SYX31" s="806"/>
      <c r="SYY31" s="806"/>
      <c r="SYZ31" s="806"/>
      <c r="SZA31" s="806"/>
      <c r="SZB31" s="806"/>
      <c r="SZC31" s="806"/>
      <c r="SZD31" s="806"/>
      <c r="SZE31" s="806"/>
      <c r="SZF31" s="806"/>
      <c r="SZG31" s="806"/>
      <c r="SZH31" s="806"/>
      <c r="SZI31" s="806"/>
      <c r="SZJ31" s="806"/>
      <c r="SZK31" s="806"/>
      <c r="SZL31" s="806"/>
      <c r="SZM31" s="806"/>
      <c r="SZN31" s="806"/>
      <c r="SZO31" s="806"/>
      <c r="SZP31" s="806"/>
      <c r="SZQ31" s="806"/>
      <c r="SZR31" s="806"/>
      <c r="SZS31" s="806"/>
      <c r="SZT31" s="806"/>
      <c r="SZU31" s="806"/>
      <c r="SZV31" s="806"/>
      <c r="SZW31" s="806"/>
      <c r="SZX31" s="806"/>
      <c r="SZY31" s="806"/>
      <c r="SZZ31" s="806"/>
      <c r="TAA31" s="806"/>
      <c r="TAB31" s="806"/>
      <c r="TAC31" s="806"/>
      <c r="TAD31" s="806"/>
      <c r="TAE31" s="806"/>
      <c r="TAF31" s="806"/>
      <c r="TAG31" s="806"/>
      <c r="TAH31" s="806"/>
      <c r="TAI31" s="806"/>
      <c r="TAJ31" s="806"/>
      <c r="TAK31" s="806"/>
      <c r="TAL31" s="806"/>
      <c r="TAM31" s="806"/>
      <c r="TAN31" s="806"/>
      <c r="TAO31" s="806"/>
      <c r="TAP31" s="806"/>
      <c r="TAQ31" s="806"/>
      <c r="TAR31" s="806"/>
      <c r="TAS31" s="806"/>
      <c r="TAT31" s="806"/>
      <c r="TAU31" s="806"/>
      <c r="TAV31" s="806"/>
      <c r="TAW31" s="806"/>
      <c r="TAX31" s="806"/>
      <c r="TAY31" s="806"/>
      <c r="TAZ31" s="806"/>
      <c r="TBA31" s="806"/>
      <c r="TBB31" s="806"/>
      <c r="TBC31" s="806"/>
      <c r="TBD31" s="806"/>
      <c r="TBE31" s="806"/>
      <c r="TBF31" s="806"/>
      <c r="TBG31" s="806"/>
      <c r="TBH31" s="806"/>
      <c r="TBI31" s="806"/>
      <c r="TBJ31" s="806"/>
      <c r="TBK31" s="806"/>
      <c r="TBL31" s="806"/>
      <c r="TBM31" s="806"/>
      <c r="TBN31" s="806"/>
      <c r="TBO31" s="806"/>
      <c r="TBP31" s="806"/>
      <c r="TBQ31" s="806"/>
      <c r="TBR31" s="806"/>
      <c r="TBS31" s="806"/>
      <c r="TBT31" s="806"/>
      <c r="TBU31" s="806"/>
      <c r="TBV31" s="806"/>
      <c r="TBW31" s="806"/>
      <c r="TBX31" s="806"/>
      <c r="TBY31" s="806"/>
      <c r="TBZ31" s="806"/>
      <c r="TCA31" s="806"/>
      <c r="TCB31" s="806"/>
      <c r="TCC31" s="806"/>
      <c r="TCD31" s="806"/>
      <c r="TCE31" s="806"/>
      <c r="TCF31" s="806"/>
      <c r="TCG31" s="806"/>
      <c r="TCH31" s="806"/>
      <c r="TCI31" s="806"/>
      <c r="TCJ31" s="806"/>
      <c r="TCK31" s="806"/>
      <c r="TCL31" s="806"/>
      <c r="TCM31" s="806"/>
      <c r="TCN31" s="806"/>
      <c r="TCO31" s="806"/>
      <c r="TCP31" s="806"/>
      <c r="TCQ31" s="806"/>
      <c r="TCR31" s="806"/>
      <c r="TCS31" s="806"/>
      <c r="TCT31" s="806"/>
      <c r="TCU31" s="806"/>
      <c r="TCV31" s="806"/>
      <c r="TCW31" s="806"/>
      <c r="TCX31" s="806"/>
      <c r="TCY31" s="806"/>
      <c r="TCZ31" s="806"/>
      <c r="TDA31" s="806"/>
      <c r="TDB31" s="806"/>
      <c r="TDC31" s="806"/>
      <c r="TDD31" s="806"/>
      <c r="TDE31" s="806"/>
      <c r="TDF31" s="806"/>
      <c r="TDG31" s="806"/>
      <c r="TDH31" s="806"/>
      <c r="TDI31" s="806"/>
      <c r="TDJ31" s="806"/>
      <c r="TDK31" s="806"/>
      <c r="TDL31" s="806"/>
      <c r="TDM31" s="806"/>
      <c r="TDN31" s="806"/>
      <c r="TDO31" s="806"/>
      <c r="TDP31" s="806"/>
      <c r="TDQ31" s="806"/>
      <c r="TDR31" s="806"/>
      <c r="TDS31" s="806"/>
      <c r="TDT31" s="806"/>
      <c r="TDU31" s="806"/>
      <c r="TDV31" s="806"/>
      <c r="TDW31" s="806"/>
      <c r="TDX31" s="806"/>
      <c r="TDY31" s="806"/>
      <c r="TDZ31" s="806"/>
      <c r="TEA31" s="806"/>
      <c r="TEB31" s="806"/>
      <c r="TEC31" s="806"/>
      <c r="TED31" s="806"/>
      <c r="TEE31" s="806"/>
      <c r="TEF31" s="806"/>
      <c r="TEG31" s="806"/>
      <c r="TEH31" s="806"/>
      <c r="TEI31" s="806"/>
      <c r="TEJ31" s="806"/>
      <c r="TEK31" s="806"/>
      <c r="TEL31" s="806"/>
      <c r="TEM31" s="806"/>
      <c r="TEN31" s="806"/>
      <c r="TEO31" s="806"/>
      <c r="TEP31" s="806"/>
      <c r="TEQ31" s="806"/>
      <c r="TER31" s="806"/>
      <c r="TES31" s="806"/>
      <c r="TET31" s="806"/>
      <c r="TEU31" s="806"/>
      <c r="TEV31" s="806"/>
      <c r="TEW31" s="806"/>
      <c r="TEX31" s="806"/>
      <c r="TEY31" s="806"/>
      <c r="TEZ31" s="806"/>
      <c r="TFA31" s="806"/>
      <c r="TFB31" s="806"/>
      <c r="TFC31" s="806"/>
      <c r="TFD31" s="806"/>
      <c r="TFE31" s="806"/>
      <c r="TFF31" s="806"/>
      <c r="TFG31" s="806"/>
      <c r="TFH31" s="806"/>
      <c r="TFI31" s="806"/>
      <c r="TFJ31" s="806"/>
      <c r="TFK31" s="806"/>
      <c r="TFL31" s="806"/>
      <c r="TFM31" s="806"/>
      <c r="TFN31" s="806"/>
      <c r="TFO31" s="806"/>
      <c r="TFP31" s="806"/>
      <c r="TFQ31" s="806"/>
      <c r="TFR31" s="806"/>
      <c r="TFS31" s="806"/>
      <c r="TFT31" s="806"/>
      <c r="TFU31" s="806"/>
      <c r="TFV31" s="806"/>
      <c r="TFW31" s="806"/>
      <c r="TFX31" s="806"/>
      <c r="TFY31" s="806"/>
      <c r="TFZ31" s="806"/>
      <c r="TGA31" s="806"/>
      <c r="TGB31" s="806"/>
      <c r="TGC31" s="806"/>
      <c r="TGD31" s="806"/>
      <c r="TGE31" s="806"/>
      <c r="TGF31" s="806"/>
      <c r="TGG31" s="806"/>
      <c r="TGH31" s="806"/>
      <c r="TGI31" s="806"/>
      <c r="TGJ31" s="806"/>
      <c r="TGK31" s="806"/>
      <c r="TGL31" s="806"/>
      <c r="TGM31" s="806"/>
      <c r="TGN31" s="806"/>
      <c r="TGO31" s="806"/>
      <c r="TGP31" s="806"/>
      <c r="TGQ31" s="806"/>
      <c r="TGR31" s="806"/>
      <c r="TGS31" s="806"/>
      <c r="TGT31" s="806"/>
      <c r="TGU31" s="806"/>
      <c r="TGV31" s="806"/>
      <c r="TGW31" s="806"/>
      <c r="TGX31" s="806"/>
      <c r="TGY31" s="806"/>
      <c r="TGZ31" s="806"/>
      <c r="THA31" s="806"/>
      <c r="THB31" s="806"/>
      <c r="THC31" s="806"/>
      <c r="THD31" s="806"/>
      <c r="THE31" s="806"/>
      <c r="THF31" s="806"/>
      <c r="THG31" s="806"/>
      <c r="THH31" s="806"/>
      <c r="THI31" s="806"/>
      <c r="THJ31" s="806"/>
      <c r="THK31" s="806"/>
      <c r="THL31" s="806"/>
      <c r="THM31" s="806"/>
      <c r="THN31" s="806"/>
      <c r="THO31" s="806"/>
      <c r="THP31" s="806"/>
      <c r="THQ31" s="806"/>
      <c r="THR31" s="806"/>
      <c r="THS31" s="806"/>
      <c r="THT31" s="806"/>
      <c r="THU31" s="806"/>
      <c r="THV31" s="806"/>
      <c r="THW31" s="806"/>
      <c r="THX31" s="806"/>
      <c r="THY31" s="806"/>
      <c r="THZ31" s="806"/>
      <c r="TIA31" s="806"/>
      <c r="TIB31" s="806"/>
      <c r="TIC31" s="806"/>
      <c r="TID31" s="806"/>
      <c r="TIE31" s="806"/>
      <c r="TIF31" s="806"/>
      <c r="TIG31" s="806"/>
      <c r="TIH31" s="806"/>
      <c r="TII31" s="806"/>
      <c r="TIJ31" s="806"/>
      <c r="TIK31" s="806"/>
      <c r="TIL31" s="806"/>
      <c r="TIM31" s="806"/>
      <c r="TIN31" s="806"/>
      <c r="TIO31" s="806"/>
      <c r="TIP31" s="806"/>
      <c r="TIQ31" s="806"/>
      <c r="TIR31" s="806"/>
      <c r="TIS31" s="806"/>
      <c r="TIT31" s="806"/>
      <c r="TIU31" s="806"/>
      <c r="TIV31" s="806"/>
      <c r="TIW31" s="806"/>
      <c r="TIX31" s="806"/>
      <c r="TIY31" s="806"/>
      <c r="TIZ31" s="806"/>
      <c r="TJA31" s="806"/>
      <c r="TJB31" s="806"/>
      <c r="TJC31" s="806"/>
      <c r="TJD31" s="806"/>
      <c r="TJE31" s="806"/>
      <c r="TJF31" s="806"/>
      <c r="TJG31" s="806"/>
      <c r="TJH31" s="806"/>
      <c r="TJI31" s="806"/>
      <c r="TJJ31" s="806"/>
      <c r="TJK31" s="806"/>
      <c r="TJL31" s="806"/>
      <c r="TJM31" s="806"/>
      <c r="TJN31" s="806"/>
      <c r="TJO31" s="806"/>
      <c r="TJP31" s="806"/>
      <c r="TJQ31" s="806"/>
      <c r="TJR31" s="806"/>
      <c r="TJS31" s="806"/>
      <c r="TJT31" s="806"/>
      <c r="TJU31" s="806"/>
      <c r="TJV31" s="806"/>
      <c r="TJW31" s="806"/>
      <c r="TJX31" s="806"/>
      <c r="TJY31" s="806"/>
      <c r="TJZ31" s="806"/>
      <c r="TKA31" s="806"/>
      <c r="TKB31" s="806"/>
      <c r="TKC31" s="806"/>
      <c r="TKD31" s="806"/>
      <c r="TKE31" s="806"/>
      <c r="TKF31" s="806"/>
      <c r="TKG31" s="806"/>
      <c r="TKH31" s="806"/>
      <c r="TKI31" s="806"/>
      <c r="TKJ31" s="806"/>
      <c r="TKK31" s="806"/>
      <c r="TKL31" s="806"/>
      <c r="TKM31" s="806"/>
      <c r="TKN31" s="806"/>
      <c r="TKO31" s="806"/>
      <c r="TKP31" s="806"/>
      <c r="TKQ31" s="806"/>
      <c r="TKR31" s="806"/>
      <c r="TKS31" s="806"/>
      <c r="TKT31" s="806"/>
      <c r="TKU31" s="806"/>
      <c r="TKV31" s="806"/>
      <c r="TKW31" s="806"/>
      <c r="TKX31" s="806"/>
      <c r="TKY31" s="806"/>
      <c r="TKZ31" s="806"/>
      <c r="TLA31" s="806"/>
      <c r="TLB31" s="806"/>
      <c r="TLC31" s="806"/>
      <c r="TLD31" s="806"/>
      <c r="TLE31" s="806"/>
      <c r="TLF31" s="806"/>
      <c r="TLG31" s="806"/>
      <c r="TLH31" s="806"/>
      <c r="TLI31" s="806"/>
      <c r="TLJ31" s="806"/>
      <c r="TLK31" s="806"/>
      <c r="TLL31" s="806"/>
      <c r="TLM31" s="806"/>
      <c r="TLN31" s="806"/>
      <c r="TLO31" s="806"/>
      <c r="TLP31" s="806"/>
      <c r="TLQ31" s="806"/>
      <c r="TLR31" s="806"/>
      <c r="TLS31" s="806"/>
      <c r="TLT31" s="806"/>
      <c r="TLU31" s="806"/>
      <c r="TLV31" s="806"/>
      <c r="TLW31" s="806"/>
      <c r="TLX31" s="806"/>
      <c r="TLY31" s="806"/>
      <c r="TLZ31" s="806"/>
      <c r="TMA31" s="806"/>
      <c r="TMB31" s="806"/>
      <c r="TMC31" s="806"/>
      <c r="TMD31" s="806"/>
      <c r="TME31" s="806"/>
      <c r="TMF31" s="806"/>
      <c r="TMG31" s="806"/>
      <c r="TMH31" s="806"/>
      <c r="TMI31" s="806"/>
      <c r="TMJ31" s="806"/>
      <c r="TMK31" s="806"/>
      <c r="TML31" s="806"/>
      <c r="TMM31" s="806"/>
      <c r="TMN31" s="806"/>
      <c r="TMO31" s="806"/>
      <c r="TMP31" s="806"/>
      <c r="TMQ31" s="806"/>
      <c r="TMR31" s="806"/>
      <c r="TMS31" s="806"/>
      <c r="TMT31" s="806"/>
      <c r="TMU31" s="806"/>
      <c r="TMV31" s="806"/>
      <c r="TMW31" s="806"/>
      <c r="TMX31" s="806"/>
      <c r="TMY31" s="806"/>
      <c r="TMZ31" s="806"/>
      <c r="TNA31" s="806"/>
      <c r="TNB31" s="806"/>
      <c r="TNC31" s="806"/>
      <c r="TND31" s="806"/>
      <c r="TNE31" s="806"/>
      <c r="TNF31" s="806"/>
      <c r="TNG31" s="806"/>
      <c r="TNH31" s="806"/>
      <c r="TNI31" s="806"/>
      <c r="TNJ31" s="806"/>
      <c r="TNK31" s="806"/>
      <c r="TNL31" s="806"/>
      <c r="TNM31" s="806"/>
      <c r="TNN31" s="806"/>
      <c r="TNO31" s="806"/>
      <c r="TNP31" s="806"/>
      <c r="TNQ31" s="806"/>
      <c r="TNR31" s="806"/>
      <c r="TNS31" s="806"/>
      <c r="TNT31" s="806"/>
      <c r="TNU31" s="806"/>
      <c r="TNV31" s="806"/>
      <c r="TNW31" s="806"/>
      <c r="TNX31" s="806"/>
      <c r="TNY31" s="806"/>
      <c r="TNZ31" s="806"/>
      <c r="TOA31" s="806"/>
      <c r="TOB31" s="806"/>
      <c r="TOC31" s="806"/>
      <c r="TOD31" s="806"/>
      <c r="TOE31" s="806"/>
      <c r="TOF31" s="806"/>
      <c r="TOG31" s="806"/>
      <c r="TOH31" s="806"/>
      <c r="TOI31" s="806"/>
      <c r="TOJ31" s="806"/>
      <c r="TOK31" s="806"/>
      <c r="TOL31" s="806"/>
      <c r="TOM31" s="806"/>
      <c r="TON31" s="806"/>
      <c r="TOO31" s="806"/>
      <c r="TOP31" s="806"/>
      <c r="TOQ31" s="806"/>
      <c r="TOR31" s="806"/>
      <c r="TOS31" s="806"/>
      <c r="TOT31" s="806"/>
      <c r="TOU31" s="806"/>
      <c r="TOV31" s="806"/>
      <c r="TOW31" s="806"/>
      <c r="TOX31" s="806"/>
      <c r="TOY31" s="806"/>
      <c r="TOZ31" s="806"/>
      <c r="TPA31" s="806"/>
      <c r="TPB31" s="806"/>
      <c r="TPC31" s="806"/>
      <c r="TPD31" s="806"/>
      <c r="TPE31" s="806"/>
      <c r="TPF31" s="806"/>
      <c r="TPG31" s="806"/>
      <c r="TPH31" s="806"/>
      <c r="TPI31" s="806"/>
      <c r="TPJ31" s="806"/>
      <c r="TPK31" s="806"/>
      <c r="TPL31" s="806"/>
      <c r="TPM31" s="806"/>
      <c r="TPN31" s="806"/>
      <c r="TPO31" s="806"/>
      <c r="TPP31" s="806"/>
      <c r="TPQ31" s="806"/>
      <c r="TPR31" s="806"/>
      <c r="TPS31" s="806"/>
      <c r="TPT31" s="806"/>
      <c r="TPU31" s="806"/>
      <c r="TPV31" s="806"/>
      <c r="TPW31" s="806"/>
      <c r="TPX31" s="806"/>
      <c r="TPY31" s="806"/>
      <c r="TPZ31" s="806"/>
      <c r="TQA31" s="806"/>
      <c r="TQB31" s="806"/>
      <c r="TQC31" s="806"/>
      <c r="TQD31" s="806"/>
      <c r="TQE31" s="806"/>
      <c r="TQF31" s="806"/>
      <c r="TQG31" s="806"/>
      <c r="TQH31" s="806"/>
      <c r="TQI31" s="806"/>
      <c r="TQJ31" s="806"/>
      <c r="TQK31" s="806"/>
      <c r="TQL31" s="806"/>
      <c r="TQM31" s="806"/>
      <c r="TQN31" s="806"/>
      <c r="TQO31" s="806"/>
      <c r="TQP31" s="806"/>
      <c r="TQQ31" s="806"/>
      <c r="TQR31" s="806"/>
      <c r="TQS31" s="806"/>
      <c r="TQT31" s="806"/>
      <c r="TQU31" s="806"/>
      <c r="TQV31" s="806"/>
      <c r="TQW31" s="806"/>
      <c r="TQX31" s="806"/>
      <c r="TQY31" s="806"/>
      <c r="TQZ31" s="806"/>
      <c r="TRA31" s="806"/>
      <c r="TRB31" s="806"/>
      <c r="TRC31" s="806"/>
      <c r="TRD31" s="806"/>
      <c r="TRE31" s="806"/>
      <c r="TRF31" s="806"/>
      <c r="TRG31" s="806"/>
      <c r="TRH31" s="806"/>
      <c r="TRI31" s="806"/>
      <c r="TRJ31" s="806"/>
      <c r="TRK31" s="806"/>
      <c r="TRL31" s="806"/>
      <c r="TRM31" s="806"/>
      <c r="TRN31" s="806"/>
      <c r="TRO31" s="806"/>
      <c r="TRP31" s="806"/>
      <c r="TRQ31" s="806"/>
      <c r="TRR31" s="806"/>
      <c r="TRS31" s="806"/>
      <c r="TRT31" s="806"/>
      <c r="TRU31" s="806"/>
      <c r="TRV31" s="806"/>
      <c r="TRW31" s="806"/>
      <c r="TRX31" s="806"/>
      <c r="TRY31" s="806"/>
      <c r="TRZ31" s="806"/>
      <c r="TSA31" s="806"/>
      <c r="TSB31" s="806"/>
      <c r="TSC31" s="806"/>
      <c r="TSD31" s="806"/>
      <c r="TSE31" s="806"/>
      <c r="TSF31" s="806"/>
      <c r="TSG31" s="806"/>
      <c r="TSH31" s="806"/>
      <c r="TSI31" s="806"/>
      <c r="TSJ31" s="806"/>
      <c r="TSK31" s="806"/>
      <c r="TSL31" s="806"/>
      <c r="TSM31" s="806"/>
      <c r="TSN31" s="806"/>
      <c r="TSO31" s="806"/>
      <c r="TSP31" s="806"/>
      <c r="TSQ31" s="806"/>
      <c r="TSR31" s="806"/>
      <c r="TSS31" s="806"/>
      <c r="TST31" s="806"/>
      <c r="TSU31" s="806"/>
      <c r="TSV31" s="806"/>
      <c r="TSW31" s="806"/>
      <c r="TSX31" s="806"/>
      <c r="TSY31" s="806"/>
      <c r="TSZ31" s="806"/>
      <c r="TTA31" s="806"/>
      <c r="TTB31" s="806"/>
      <c r="TTC31" s="806"/>
      <c r="TTD31" s="806"/>
      <c r="TTE31" s="806"/>
      <c r="TTF31" s="806"/>
      <c r="TTG31" s="806"/>
      <c r="TTH31" s="806"/>
      <c r="TTI31" s="806"/>
      <c r="TTJ31" s="806"/>
      <c r="TTK31" s="806"/>
      <c r="TTL31" s="806"/>
      <c r="TTM31" s="806"/>
      <c r="TTN31" s="806"/>
      <c r="TTO31" s="806"/>
      <c r="TTP31" s="806"/>
      <c r="TTQ31" s="806"/>
      <c r="TTR31" s="806"/>
      <c r="TTS31" s="806"/>
      <c r="TTT31" s="806"/>
      <c r="TTU31" s="806"/>
      <c r="TTV31" s="806"/>
      <c r="TTW31" s="806"/>
      <c r="TTX31" s="806"/>
      <c r="TTY31" s="806"/>
      <c r="TTZ31" s="806"/>
      <c r="TUA31" s="806"/>
      <c r="TUB31" s="806"/>
      <c r="TUC31" s="806"/>
      <c r="TUD31" s="806"/>
      <c r="TUE31" s="806"/>
      <c r="TUF31" s="806"/>
      <c r="TUG31" s="806"/>
      <c r="TUH31" s="806"/>
      <c r="TUI31" s="806"/>
      <c r="TUJ31" s="806"/>
      <c r="TUK31" s="806"/>
      <c r="TUL31" s="806"/>
      <c r="TUM31" s="806"/>
      <c r="TUN31" s="806"/>
      <c r="TUO31" s="806"/>
      <c r="TUP31" s="806"/>
      <c r="TUQ31" s="806"/>
      <c r="TUR31" s="806"/>
      <c r="TUS31" s="806"/>
      <c r="TUT31" s="806"/>
      <c r="TUU31" s="806"/>
      <c r="TUV31" s="806"/>
      <c r="TUW31" s="806"/>
      <c r="TUX31" s="806"/>
      <c r="TUY31" s="806"/>
      <c r="TUZ31" s="806"/>
      <c r="TVA31" s="806"/>
      <c r="TVB31" s="806"/>
      <c r="TVC31" s="806"/>
      <c r="TVD31" s="806"/>
      <c r="TVE31" s="806"/>
      <c r="TVF31" s="806"/>
      <c r="TVG31" s="806"/>
      <c r="TVH31" s="806"/>
      <c r="TVI31" s="806"/>
      <c r="TVJ31" s="806"/>
      <c r="TVK31" s="806"/>
      <c r="TVL31" s="806"/>
      <c r="TVM31" s="806"/>
      <c r="TVN31" s="806"/>
      <c r="TVO31" s="806"/>
      <c r="TVP31" s="806"/>
      <c r="TVQ31" s="806"/>
      <c r="TVR31" s="806"/>
      <c r="TVS31" s="806"/>
      <c r="TVT31" s="806"/>
      <c r="TVU31" s="806"/>
      <c r="TVV31" s="806"/>
      <c r="TVW31" s="806"/>
      <c r="TVX31" s="806"/>
      <c r="TVY31" s="806"/>
      <c r="TVZ31" s="806"/>
      <c r="TWA31" s="806"/>
      <c r="TWB31" s="806"/>
      <c r="TWC31" s="806"/>
      <c r="TWD31" s="806"/>
      <c r="TWE31" s="806"/>
      <c r="TWF31" s="806"/>
      <c r="TWG31" s="806"/>
      <c r="TWH31" s="806"/>
      <c r="TWI31" s="806"/>
      <c r="TWJ31" s="806"/>
      <c r="TWK31" s="806"/>
      <c r="TWL31" s="806"/>
      <c r="TWM31" s="806"/>
      <c r="TWN31" s="806"/>
      <c r="TWO31" s="806"/>
      <c r="TWP31" s="806"/>
      <c r="TWQ31" s="806"/>
      <c r="TWR31" s="806"/>
      <c r="TWS31" s="806"/>
      <c r="TWT31" s="806"/>
      <c r="TWU31" s="806"/>
      <c r="TWV31" s="806"/>
      <c r="TWW31" s="806"/>
      <c r="TWX31" s="806"/>
      <c r="TWY31" s="806"/>
      <c r="TWZ31" s="806"/>
      <c r="TXA31" s="806"/>
      <c r="TXB31" s="806"/>
      <c r="TXC31" s="806"/>
      <c r="TXD31" s="806"/>
      <c r="TXE31" s="806"/>
      <c r="TXF31" s="806"/>
      <c r="TXG31" s="806"/>
      <c r="TXH31" s="806"/>
      <c r="TXI31" s="806"/>
      <c r="TXJ31" s="806"/>
      <c r="TXK31" s="806"/>
      <c r="TXL31" s="806"/>
      <c r="TXM31" s="806"/>
      <c r="TXN31" s="806"/>
      <c r="TXO31" s="806"/>
      <c r="TXP31" s="806"/>
      <c r="TXQ31" s="806"/>
      <c r="TXR31" s="806"/>
      <c r="TXS31" s="806"/>
      <c r="TXT31" s="806"/>
      <c r="TXU31" s="806"/>
      <c r="TXV31" s="806"/>
      <c r="TXW31" s="806"/>
      <c r="TXX31" s="806"/>
      <c r="TXY31" s="806"/>
      <c r="TXZ31" s="806"/>
      <c r="TYA31" s="806"/>
      <c r="TYB31" s="806"/>
      <c r="TYC31" s="806"/>
      <c r="TYD31" s="806"/>
      <c r="TYE31" s="806"/>
      <c r="TYF31" s="806"/>
      <c r="TYG31" s="806"/>
      <c r="TYH31" s="806"/>
      <c r="TYI31" s="806"/>
      <c r="TYJ31" s="806"/>
      <c r="TYK31" s="806"/>
      <c r="TYL31" s="806"/>
      <c r="TYM31" s="806"/>
      <c r="TYN31" s="806"/>
      <c r="TYO31" s="806"/>
      <c r="TYP31" s="806"/>
      <c r="TYQ31" s="806"/>
      <c r="TYR31" s="806"/>
      <c r="TYS31" s="806"/>
      <c r="TYT31" s="806"/>
      <c r="TYU31" s="806"/>
      <c r="TYV31" s="806"/>
      <c r="TYW31" s="806"/>
      <c r="TYX31" s="806"/>
      <c r="TYY31" s="806"/>
      <c r="TYZ31" s="806"/>
      <c r="TZA31" s="806"/>
      <c r="TZB31" s="806"/>
      <c r="TZC31" s="806"/>
      <c r="TZD31" s="806"/>
      <c r="TZE31" s="806"/>
      <c r="TZF31" s="806"/>
      <c r="TZG31" s="806"/>
      <c r="TZH31" s="806"/>
      <c r="TZI31" s="806"/>
      <c r="TZJ31" s="806"/>
      <c r="TZK31" s="806"/>
      <c r="TZL31" s="806"/>
      <c r="TZM31" s="806"/>
      <c r="TZN31" s="806"/>
      <c r="TZO31" s="806"/>
      <c r="TZP31" s="806"/>
      <c r="TZQ31" s="806"/>
      <c r="TZR31" s="806"/>
      <c r="TZS31" s="806"/>
      <c r="TZT31" s="806"/>
      <c r="TZU31" s="806"/>
      <c r="TZV31" s="806"/>
      <c r="TZW31" s="806"/>
      <c r="TZX31" s="806"/>
      <c r="TZY31" s="806"/>
      <c r="TZZ31" s="806"/>
      <c r="UAA31" s="806"/>
      <c r="UAB31" s="806"/>
      <c r="UAC31" s="806"/>
      <c r="UAD31" s="806"/>
      <c r="UAE31" s="806"/>
      <c r="UAF31" s="806"/>
      <c r="UAG31" s="806"/>
      <c r="UAH31" s="806"/>
      <c r="UAI31" s="806"/>
      <c r="UAJ31" s="806"/>
      <c r="UAK31" s="806"/>
      <c r="UAL31" s="806"/>
      <c r="UAM31" s="806"/>
      <c r="UAN31" s="806"/>
      <c r="UAO31" s="806"/>
      <c r="UAP31" s="806"/>
      <c r="UAQ31" s="806"/>
      <c r="UAR31" s="806"/>
      <c r="UAS31" s="806"/>
      <c r="UAT31" s="806"/>
      <c r="UAU31" s="806"/>
      <c r="UAV31" s="806"/>
      <c r="UAW31" s="806"/>
      <c r="UAX31" s="806"/>
      <c r="UAY31" s="806"/>
      <c r="UAZ31" s="806"/>
      <c r="UBA31" s="806"/>
      <c r="UBB31" s="806"/>
      <c r="UBC31" s="806"/>
      <c r="UBD31" s="806"/>
      <c r="UBE31" s="806"/>
      <c r="UBF31" s="806"/>
      <c r="UBG31" s="806"/>
      <c r="UBH31" s="806"/>
      <c r="UBI31" s="806"/>
      <c r="UBJ31" s="806"/>
      <c r="UBK31" s="806"/>
      <c r="UBL31" s="806"/>
      <c r="UBM31" s="806"/>
      <c r="UBN31" s="806"/>
      <c r="UBO31" s="806"/>
      <c r="UBP31" s="806"/>
      <c r="UBQ31" s="806"/>
      <c r="UBR31" s="806"/>
      <c r="UBS31" s="806"/>
      <c r="UBT31" s="806"/>
      <c r="UBU31" s="806"/>
      <c r="UBV31" s="806"/>
      <c r="UBW31" s="806"/>
      <c r="UBX31" s="806"/>
      <c r="UBY31" s="806"/>
      <c r="UBZ31" s="806"/>
      <c r="UCA31" s="806"/>
      <c r="UCB31" s="806"/>
      <c r="UCC31" s="806"/>
      <c r="UCD31" s="806"/>
      <c r="UCE31" s="806"/>
      <c r="UCF31" s="806"/>
      <c r="UCG31" s="806"/>
      <c r="UCH31" s="806"/>
      <c r="UCI31" s="806"/>
      <c r="UCJ31" s="806"/>
      <c r="UCK31" s="806"/>
      <c r="UCL31" s="806"/>
      <c r="UCM31" s="806"/>
      <c r="UCN31" s="806"/>
      <c r="UCO31" s="806"/>
      <c r="UCP31" s="806"/>
      <c r="UCQ31" s="806"/>
      <c r="UCR31" s="806"/>
      <c r="UCS31" s="806"/>
      <c r="UCT31" s="806"/>
      <c r="UCU31" s="806"/>
      <c r="UCV31" s="806"/>
      <c r="UCW31" s="806"/>
      <c r="UCX31" s="806"/>
      <c r="UCY31" s="806"/>
      <c r="UCZ31" s="806"/>
      <c r="UDA31" s="806"/>
      <c r="UDB31" s="806"/>
      <c r="UDC31" s="806"/>
      <c r="UDD31" s="806"/>
      <c r="UDE31" s="806"/>
      <c r="UDF31" s="806"/>
      <c r="UDG31" s="806"/>
      <c r="UDH31" s="806"/>
      <c r="UDI31" s="806"/>
      <c r="UDJ31" s="806"/>
      <c r="UDK31" s="806"/>
      <c r="UDL31" s="806"/>
      <c r="UDM31" s="806"/>
      <c r="UDN31" s="806"/>
      <c r="UDO31" s="806"/>
      <c r="UDP31" s="806"/>
      <c r="UDQ31" s="806"/>
      <c r="UDR31" s="806"/>
      <c r="UDS31" s="806"/>
      <c r="UDT31" s="806"/>
      <c r="UDU31" s="806"/>
      <c r="UDV31" s="806"/>
      <c r="UDW31" s="806"/>
      <c r="UDX31" s="806"/>
      <c r="UDY31" s="806"/>
      <c r="UDZ31" s="806"/>
      <c r="UEA31" s="806"/>
      <c r="UEB31" s="806"/>
      <c r="UEC31" s="806"/>
      <c r="UED31" s="806"/>
      <c r="UEE31" s="806"/>
      <c r="UEF31" s="806"/>
      <c r="UEG31" s="806"/>
      <c r="UEH31" s="806"/>
      <c r="UEI31" s="806"/>
      <c r="UEJ31" s="806"/>
      <c r="UEK31" s="806"/>
      <c r="UEL31" s="806"/>
      <c r="UEM31" s="806"/>
      <c r="UEN31" s="806"/>
      <c r="UEO31" s="806"/>
      <c r="UEP31" s="806"/>
      <c r="UEQ31" s="806"/>
      <c r="UER31" s="806"/>
      <c r="UES31" s="806"/>
      <c r="UET31" s="806"/>
      <c r="UEU31" s="806"/>
      <c r="UEV31" s="806"/>
      <c r="UEW31" s="806"/>
      <c r="UEX31" s="806"/>
      <c r="UEY31" s="806"/>
      <c r="UEZ31" s="806"/>
      <c r="UFA31" s="806"/>
      <c r="UFB31" s="806"/>
      <c r="UFC31" s="806"/>
      <c r="UFD31" s="806"/>
      <c r="UFE31" s="806"/>
      <c r="UFF31" s="806"/>
      <c r="UFG31" s="806"/>
      <c r="UFH31" s="806"/>
      <c r="UFI31" s="806"/>
      <c r="UFJ31" s="806"/>
      <c r="UFK31" s="806"/>
      <c r="UFL31" s="806"/>
      <c r="UFM31" s="806"/>
      <c r="UFN31" s="806"/>
      <c r="UFO31" s="806"/>
      <c r="UFP31" s="806"/>
      <c r="UFQ31" s="806"/>
      <c r="UFR31" s="806"/>
      <c r="UFS31" s="806"/>
      <c r="UFT31" s="806"/>
      <c r="UFU31" s="806"/>
      <c r="UFV31" s="806"/>
      <c r="UFW31" s="806"/>
      <c r="UFX31" s="806"/>
      <c r="UFY31" s="806"/>
      <c r="UFZ31" s="806"/>
      <c r="UGA31" s="806"/>
      <c r="UGB31" s="806"/>
      <c r="UGC31" s="806"/>
      <c r="UGD31" s="806"/>
      <c r="UGE31" s="806"/>
      <c r="UGF31" s="806"/>
      <c r="UGG31" s="806"/>
      <c r="UGH31" s="806"/>
      <c r="UGI31" s="806"/>
      <c r="UGJ31" s="806"/>
      <c r="UGK31" s="806"/>
      <c r="UGL31" s="806"/>
      <c r="UGM31" s="806"/>
      <c r="UGN31" s="806"/>
      <c r="UGO31" s="806"/>
      <c r="UGP31" s="806"/>
      <c r="UGQ31" s="806"/>
      <c r="UGR31" s="806"/>
      <c r="UGS31" s="806"/>
      <c r="UGT31" s="806"/>
      <c r="UGU31" s="806"/>
      <c r="UGV31" s="806"/>
      <c r="UGW31" s="806"/>
      <c r="UGX31" s="806"/>
      <c r="UGY31" s="806"/>
      <c r="UGZ31" s="806"/>
      <c r="UHA31" s="806"/>
      <c r="UHB31" s="806"/>
      <c r="UHC31" s="806"/>
      <c r="UHD31" s="806"/>
      <c r="UHE31" s="806"/>
      <c r="UHF31" s="806"/>
      <c r="UHG31" s="806"/>
      <c r="UHH31" s="806"/>
      <c r="UHI31" s="806"/>
      <c r="UHJ31" s="806"/>
      <c r="UHK31" s="806"/>
      <c r="UHL31" s="806"/>
      <c r="UHM31" s="806"/>
      <c r="UHN31" s="806"/>
      <c r="UHO31" s="806"/>
      <c r="UHP31" s="806"/>
      <c r="UHQ31" s="806"/>
      <c r="UHR31" s="806"/>
      <c r="UHS31" s="806"/>
      <c r="UHT31" s="806"/>
      <c r="UHU31" s="806"/>
      <c r="UHV31" s="806"/>
      <c r="UHW31" s="806"/>
      <c r="UHX31" s="806"/>
      <c r="UHY31" s="806"/>
      <c r="UHZ31" s="806"/>
      <c r="UIA31" s="806"/>
      <c r="UIB31" s="806"/>
      <c r="UIC31" s="806"/>
      <c r="UID31" s="806"/>
      <c r="UIE31" s="806"/>
      <c r="UIF31" s="806"/>
      <c r="UIG31" s="806"/>
      <c r="UIH31" s="806"/>
      <c r="UII31" s="806"/>
      <c r="UIJ31" s="806"/>
      <c r="UIK31" s="806"/>
      <c r="UIL31" s="806"/>
      <c r="UIM31" s="806"/>
      <c r="UIN31" s="806"/>
      <c r="UIO31" s="806"/>
      <c r="UIP31" s="806"/>
      <c r="UIQ31" s="806"/>
      <c r="UIR31" s="806"/>
      <c r="UIS31" s="806"/>
      <c r="UIT31" s="806"/>
      <c r="UIU31" s="806"/>
      <c r="UIV31" s="806"/>
      <c r="UIW31" s="806"/>
      <c r="UIX31" s="806"/>
      <c r="UIY31" s="806"/>
      <c r="UIZ31" s="806"/>
      <c r="UJA31" s="806"/>
      <c r="UJB31" s="806"/>
      <c r="UJC31" s="806"/>
      <c r="UJD31" s="806"/>
      <c r="UJE31" s="806"/>
      <c r="UJF31" s="806"/>
      <c r="UJG31" s="806"/>
      <c r="UJH31" s="806"/>
      <c r="UJI31" s="806"/>
      <c r="UJJ31" s="806"/>
      <c r="UJK31" s="806"/>
      <c r="UJL31" s="806"/>
      <c r="UJM31" s="806"/>
      <c r="UJN31" s="806"/>
      <c r="UJO31" s="806"/>
      <c r="UJP31" s="806"/>
      <c r="UJQ31" s="806"/>
      <c r="UJR31" s="806"/>
      <c r="UJS31" s="806"/>
      <c r="UJT31" s="806"/>
      <c r="UJU31" s="806"/>
      <c r="UJV31" s="806"/>
      <c r="UJW31" s="806"/>
      <c r="UJX31" s="806"/>
      <c r="UJY31" s="806"/>
      <c r="UJZ31" s="806"/>
      <c r="UKA31" s="806"/>
      <c r="UKB31" s="806"/>
      <c r="UKC31" s="806"/>
      <c r="UKD31" s="806"/>
      <c r="UKE31" s="806"/>
      <c r="UKF31" s="806"/>
      <c r="UKG31" s="806"/>
      <c r="UKH31" s="806"/>
      <c r="UKI31" s="806"/>
      <c r="UKJ31" s="806"/>
      <c r="UKK31" s="806"/>
      <c r="UKL31" s="806"/>
      <c r="UKM31" s="806"/>
      <c r="UKN31" s="806"/>
      <c r="UKO31" s="806"/>
      <c r="UKP31" s="806"/>
      <c r="UKQ31" s="806"/>
      <c r="UKR31" s="806"/>
      <c r="UKS31" s="806"/>
      <c r="UKT31" s="806"/>
      <c r="UKU31" s="806"/>
      <c r="UKV31" s="806"/>
      <c r="UKW31" s="806"/>
      <c r="UKX31" s="806"/>
      <c r="UKY31" s="806"/>
      <c r="UKZ31" s="806"/>
      <c r="ULA31" s="806"/>
      <c r="ULB31" s="806"/>
      <c r="ULC31" s="806"/>
      <c r="ULD31" s="806"/>
      <c r="ULE31" s="806"/>
      <c r="ULF31" s="806"/>
      <c r="ULG31" s="806"/>
      <c r="ULH31" s="806"/>
      <c r="ULI31" s="806"/>
      <c r="ULJ31" s="806"/>
      <c r="ULK31" s="806"/>
      <c r="ULL31" s="806"/>
      <c r="ULM31" s="806"/>
      <c r="ULN31" s="806"/>
      <c r="ULO31" s="806"/>
      <c r="ULP31" s="806"/>
      <c r="ULQ31" s="806"/>
      <c r="ULR31" s="806"/>
      <c r="ULS31" s="806"/>
      <c r="ULT31" s="806"/>
      <c r="ULU31" s="806"/>
      <c r="ULV31" s="806"/>
      <c r="ULW31" s="806"/>
      <c r="ULX31" s="806"/>
      <c r="ULY31" s="806"/>
      <c r="ULZ31" s="806"/>
      <c r="UMA31" s="806"/>
      <c r="UMB31" s="806"/>
      <c r="UMC31" s="806"/>
      <c r="UMD31" s="806"/>
      <c r="UME31" s="806"/>
      <c r="UMF31" s="806"/>
      <c r="UMG31" s="806"/>
      <c r="UMH31" s="806"/>
      <c r="UMI31" s="806"/>
      <c r="UMJ31" s="806"/>
      <c r="UMK31" s="806"/>
      <c r="UML31" s="806"/>
      <c r="UMM31" s="806"/>
      <c r="UMN31" s="806"/>
      <c r="UMO31" s="806"/>
      <c r="UMP31" s="806"/>
      <c r="UMQ31" s="806"/>
      <c r="UMR31" s="806"/>
      <c r="UMS31" s="806"/>
      <c r="UMT31" s="806"/>
      <c r="UMU31" s="806"/>
      <c r="UMV31" s="806"/>
      <c r="UMW31" s="806"/>
      <c r="UMX31" s="806"/>
      <c r="UMY31" s="806"/>
      <c r="UMZ31" s="806"/>
      <c r="UNA31" s="806"/>
      <c r="UNB31" s="806"/>
      <c r="UNC31" s="806"/>
      <c r="UND31" s="806"/>
      <c r="UNE31" s="806"/>
      <c r="UNF31" s="806"/>
      <c r="UNG31" s="806"/>
      <c r="UNH31" s="806"/>
      <c r="UNI31" s="806"/>
      <c r="UNJ31" s="806"/>
      <c r="UNK31" s="806"/>
      <c r="UNL31" s="806"/>
      <c r="UNM31" s="806"/>
      <c r="UNN31" s="806"/>
      <c r="UNO31" s="806"/>
      <c r="UNP31" s="806"/>
      <c r="UNQ31" s="806"/>
      <c r="UNR31" s="806"/>
      <c r="UNS31" s="806"/>
      <c r="UNT31" s="806"/>
      <c r="UNU31" s="806"/>
      <c r="UNV31" s="806"/>
      <c r="UNW31" s="806"/>
      <c r="UNX31" s="806"/>
      <c r="UNY31" s="806"/>
      <c r="UNZ31" s="806"/>
      <c r="UOA31" s="806"/>
      <c r="UOB31" s="806"/>
      <c r="UOC31" s="806"/>
      <c r="UOD31" s="806"/>
      <c r="UOE31" s="806"/>
      <c r="UOF31" s="806"/>
      <c r="UOG31" s="806"/>
      <c r="UOH31" s="806"/>
      <c r="UOI31" s="806"/>
      <c r="UOJ31" s="806"/>
      <c r="UOK31" s="806"/>
      <c r="UOL31" s="806"/>
      <c r="UOM31" s="806"/>
      <c r="UON31" s="806"/>
      <c r="UOO31" s="806"/>
      <c r="UOP31" s="806"/>
      <c r="UOQ31" s="806"/>
      <c r="UOR31" s="806"/>
      <c r="UOS31" s="806"/>
      <c r="UOT31" s="806"/>
      <c r="UOU31" s="806"/>
      <c r="UOV31" s="806"/>
      <c r="UOW31" s="806"/>
      <c r="UOX31" s="806"/>
      <c r="UOY31" s="806"/>
      <c r="UOZ31" s="806"/>
      <c r="UPA31" s="806"/>
      <c r="UPB31" s="806"/>
      <c r="UPC31" s="806"/>
      <c r="UPD31" s="806"/>
      <c r="UPE31" s="806"/>
      <c r="UPF31" s="806"/>
      <c r="UPG31" s="806"/>
      <c r="UPH31" s="806"/>
      <c r="UPI31" s="806"/>
      <c r="UPJ31" s="806"/>
      <c r="UPK31" s="806"/>
      <c r="UPL31" s="806"/>
      <c r="UPM31" s="806"/>
      <c r="UPN31" s="806"/>
      <c r="UPO31" s="806"/>
      <c r="UPP31" s="806"/>
      <c r="UPQ31" s="806"/>
      <c r="UPR31" s="806"/>
      <c r="UPS31" s="806"/>
      <c r="UPT31" s="806"/>
      <c r="UPU31" s="806"/>
      <c r="UPV31" s="806"/>
      <c r="UPW31" s="806"/>
      <c r="UPX31" s="806"/>
      <c r="UPY31" s="806"/>
      <c r="UPZ31" s="806"/>
      <c r="UQA31" s="806"/>
      <c r="UQB31" s="806"/>
      <c r="UQC31" s="806"/>
      <c r="UQD31" s="806"/>
      <c r="UQE31" s="806"/>
      <c r="UQF31" s="806"/>
      <c r="UQG31" s="806"/>
      <c r="UQH31" s="806"/>
      <c r="UQI31" s="806"/>
      <c r="UQJ31" s="806"/>
      <c r="UQK31" s="806"/>
      <c r="UQL31" s="806"/>
      <c r="UQM31" s="806"/>
      <c r="UQN31" s="806"/>
      <c r="UQO31" s="806"/>
      <c r="UQP31" s="806"/>
      <c r="UQQ31" s="806"/>
      <c r="UQR31" s="806"/>
      <c r="UQS31" s="806"/>
      <c r="UQT31" s="806"/>
      <c r="UQU31" s="806"/>
      <c r="UQV31" s="806"/>
      <c r="UQW31" s="806"/>
      <c r="UQX31" s="806"/>
      <c r="UQY31" s="806"/>
      <c r="UQZ31" s="806"/>
      <c r="URA31" s="806"/>
      <c r="URB31" s="806"/>
      <c r="URC31" s="806"/>
      <c r="URD31" s="806"/>
      <c r="URE31" s="806"/>
      <c r="URF31" s="806"/>
      <c r="URG31" s="806"/>
      <c r="URH31" s="806"/>
      <c r="URI31" s="806"/>
      <c r="URJ31" s="806"/>
      <c r="URK31" s="806"/>
      <c r="URL31" s="806"/>
      <c r="URM31" s="806"/>
      <c r="URN31" s="806"/>
      <c r="URO31" s="806"/>
      <c r="URP31" s="806"/>
      <c r="URQ31" s="806"/>
      <c r="URR31" s="806"/>
      <c r="URS31" s="806"/>
      <c r="URT31" s="806"/>
      <c r="URU31" s="806"/>
      <c r="URV31" s="806"/>
      <c r="URW31" s="806"/>
      <c r="URX31" s="806"/>
      <c r="URY31" s="806"/>
      <c r="URZ31" s="806"/>
      <c r="USA31" s="806"/>
      <c r="USB31" s="806"/>
      <c r="USC31" s="806"/>
      <c r="USD31" s="806"/>
      <c r="USE31" s="806"/>
      <c r="USF31" s="806"/>
      <c r="USG31" s="806"/>
      <c r="USH31" s="806"/>
      <c r="USI31" s="806"/>
      <c r="USJ31" s="806"/>
      <c r="USK31" s="806"/>
      <c r="USL31" s="806"/>
      <c r="USM31" s="806"/>
      <c r="USN31" s="806"/>
      <c r="USO31" s="806"/>
      <c r="USP31" s="806"/>
      <c r="USQ31" s="806"/>
      <c r="USR31" s="806"/>
      <c r="USS31" s="806"/>
      <c r="UST31" s="806"/>
      <c r="USU31" s="806"/>
      <c r="USV31" s="806"/>
      <c r="USW31" s="806"/>
      <c r="USX31" s="806"/>
      <c r="USY31" s="806"/>
      <c r="USZ31" s="806"/>
      <c r="UTA31" s="806"/>
      <c r="UTB31" s="806"/>
      <c r="UTC31" s="806"/>
      <c r="UTD31" s="806"/>
      <c r="UTE31" s="806"/>
      <c r="UTF31" s="806"/>
      <c r="UTG31" s="806"/>
      <c r="UTH31" s="806"/>
      <c r="UTI31" s="806"/>
      <c r="UTJ31" s="806"/>
      <c r="UTK31" s="806"/>
      <c r="UTL31" s="806"/>
      <c r="UTM31" s="806"/>
      <c r="UTN31" s="806"/>
      <c r="UTO31" s="806"/>
      <c r="UTP31" s="806"/>
      <c r="UTQ31" s="806"/>
      <c r="UTR31" s="806"/>
      <c r="UTS31" s="806"/>
      <c r="UTT31" s="806"/>
      <c r="UTU31" s="806"/>
      <c r="UTV31" s="806"/>
      <c r="UTW31" s="806"/>
      <c r="UTX31" s="806"/>
      <c r="UTY31" s="806"/>
      <c r="UTZ31" s="806"/>
      <c r="UUA31" s="806"/>
      <c r="UUB31" s="806"/>
      <c r="UUC31" s="806"/>
      <c r="UUD31" s="806"/>
      <c r="UUE31" s="806"/>
      <c r="UUF31" s="806"/>
      <c r="UUG31" s="806"/>
      <c r="UUH31" s="806"/>
      <c r="UUI31" s="806"/>
      <c r="UUJ31" s="806"/>
      <c r="UUK31" s="806"/>
      <c r="UUL31" s="806"/>
      <c r="UUM31" s="806"/>
      <c r="UUN31" s="806"/>
      <c r="UUO31" s="806"/>
      <c r="UUP31" s="806"/>
      <c r="UUQ31" s="806"/>
      <c r="UUR31" s="806"/>
      <c r="UUS31" s="806"/>
      <c r="UUT31" s="806"/>
      <c r="UUU31" s="806"/>
      <c r="UUV31" s="806"/>
      <c r="UUW31" s="806"/>
      <c r="UUX31" s="806"/>
      <c r="UUY31" s="806"/>
      <c r="UUZ31" s="806"/>
      <c r="UVA31" s="806"/>
      <c r="UVB31" s="806"/>
      <c r="UVC31" s="806"/>
      <c r="UVD31" s="806"/>
      <c r="UVE31" s="806"/>
      <c r="UVF31" s="806"/>
      <c r="UVG31" s="806"/>
      <c r="UVH31" s="806"/>
      <c r="UVI31" s="806"/>
      <c r="UVJ31" s="806"/>
      <c r="UVK31" s="806"/>
      <c r="UVL31" s="806"/>
      <c r="UVM31" s="806"/>
      <c r="UVN31" s="806"/>
      <c r="UVO31" s="806"/>
      <c r="UVP31" s="806"/>
      <c r="UVQ31" s="806"/>
      <c r="UVR31" s="806"/>
      <c r="UVS31" s="806"/>
      <c r="UVT31" s="806"/>
      <c r="UVU31" s="806"/>
      <c r="UVV31" s="806"/>
      <c r="UVW31" s="806"/>
      <c r="UVX31" s="806"/>
      <c r="UVY31" s="806"/>
      <c r="UVZ31" s="806"/>
      <c r="UWA31" s="806"/>
      <c r="UWB31" s="806"/>
      <c r="UWC31" s="806"/>
      <c r="UWD31" s="806"/>
      <c r="UWE31" s="806"/>
      <c r="UWF31" s="806"/>
      <c r="UWG31" s="806"/>
      <c r="UWH31" s="806"/>
      <c r="UWI31" s="806"/>
      <c r="UWJ31" s="806"/>
      <c r="UWK31" s="806"/>
      <c r="UWL31" s="806"/>
      <c r="UWM31" s="806"/>
      <c r="UWN31" s="806"/>
      <c r="UWO31" s="806"/>
      <c r="UWP31" s="806"/>
      <c r="UWQ31" s="806"/>
      <c r="UWR31" s="806"/>
      <c r="UWS31" s="806"/>
      <c r="UWT31" s="806"/>
      <c r="UWU31" s="806"/>
      <c r="UWV31" s="806"/>
      <c r="UWW31" s="806"/>
      <c r="UWX31" s="806"/>
      <c r="UWY31" s="806"/>
      <c r="UWZ31" s="806"/>
      <c r="UXA31" s="806"/>
      <c r="UXB31" s="806"/>
      <c r="UXC31" s="806"/>
      <c r="UXD31" s="806"/>
      <c r="UXE31" s="806"/>
      <c r="UXF31" s="806"/>
      <c r="UXG31" s="806"/>
      <c r="UXH31" s="806"/>
      <c r="UXI31" s="806"/>
      <c r="UXJ31" s="806"/>
      <c r="UXK31" s="806"/>
      <c r="UXL31" s="806"/>
      <c r="UXM31" s="806"/>
      <c r="UXN31" s="806"/>
      <c r="UXO31" s="806"/>
      <c r="UXP31" s="806"/>
      <c r="UXQ31" s="806"/>
      <c r="UXR31" s="806"/>
      <c r="UXS31" s="806"/>
      <c r="UXT31" s="806"/>
      <c r="UXU31" s="806"/>
      <c r="UXV31" s="806"/>
      <c r="UXW31" s="806"/>
      <c r="UXX31" s="806"/>
      <c r="UXY31" s="806"/>
      <c r="UXZ31" s="806"/>
      <c r="UYA31" s="806"/>
      <c r="UYB31" s="806"/>
      <c r="UYC31" s="806"/>
      <c r="UYD31" s="806"/>
      <c r="UYE31" s="806"/>
      <c r="UYF31" s="806"/>
      <c r="UYG31" s="806"/>
      <c r="UYH31" s="806"/>
      <c r="UYI31" s="806"/>
      <c r="UYJ31" s="806"/>
      <c r="UYK31" s="806"/>
      <c r="UYL31" s="806"/>
      <c r="UYM31" s="806"/>
      <c r="UYN31" s="806"/>
      <c r="UYO31" s="806"/>
      <c r="UYP31" s="806"/>
      <c r="UYQ31" s="806"/>
      <c r="UYR31" s="806"/>
      <c r="UYS31" s="806"/>
      <c r="UYT31" s="806"/>
      <c r="UYU31" s="806"/>
      <c r="UYV31" s="806"/>
      <c r="UYW31" s="806"/>
      <c r="UYX31" s="806"/>
      <c r="UYY31" s="806"/>
      <c r="UYZ31" s="806"/>
      <c r="UZA31" s="806"/>
      <c r="UZB31" s="806"/>
      <c r="UZC31" s="806"/>
      <c r="UZD31" s="806"/>
      <c r="UZE31" s="806"/>
      <c r="UZF31" s="806"/>
      <c r="UZG31" s="806"/>
      <c r="UZH31" s="806"/>
      <c r="UZI31" s="806"/>
      <c r="UZJ31" s="806"/>
      <c r="UZK31" s="806"/>
      <c r="UZL31" s="806"/>
      <c r="UZM31" s="806"/>
      <c r="UZN31" s="806"/>
      <c r="UZO31" s="806"/>
      <c r="UZP31" s="806"/>
      <c r="UZQ31" s="806"/>
      <c r="UZR31" s="806"/>
      <c r="UZS31" s="806"/>
      <c r="UZT31" s="806"/>
      <c r="UZU31" s="806"/>
      <c r="UZV31" s="806"/>
      <c r="UZW31" s="806"/>
      <c r="UZX31" s="806"/>
      <c r="UZY31" s="806"/>
      <c r="UZZ31" s="806"/>
      <c r="VAA31" s="806"/>
      <c r="VAB31" s="806"/>
      <c r="VAC31" s="806"/>
      <c r="VAD31" s="806"/>
      <c r="VAE31" s="806"/>
      <c r="VAF31" s="806"/>
      <c r="VAG31" s="806"/>
      <c r="VAH31" s="806"/>
      <c r="VAI31" s="806"/>
      <c r="VAJ31" s="806"/>
      <c r="VAK31" s="806"/>
      <c r="VAL31" s="806"/>
      <c r="VAM31" s="806"/>
      <c r="VAN31" s="806"/>
      <c r="VAO31" s="806"/>
      <c r="VAP31" s="806"/>
      <c r="VAQ31" s="806"/>
      <c r="VAR31" s="806"/>
      <c r="VAS31" s="806"/>
      <c r="VAT31" s="806"/>
      <c r="VAU31" s="806"/>
      <c r="VAV31" s="806"/>
      <c r="VAW31" s="806"/>
      <c r="VAX31" s="806"/>
      <c r="VAY31" s="806"/>
      <c r="VAZ31" s="806"/>
      <c r="VBA31" s="806"/>
      <c r="VBB31" s="806"/>
      <c r="VBC31" s="806"/>
      <c r="VBD31" s="806"/>
      <c r="VBE31" s="806"/>
      <c r="VBF31" s="806"/>
      <c r="VBG31" s="806"/>
      <c r="VBH31" s="806"/>
      <c r="VBI31" s="806"/>
      <c r="VBJ31" s="806"/>
      <c r="VBK31" s="806"/>
      <c r="VBL31" s="806"/>
      <c r="VBM31" s="806"/>
      <c r="VBN31" s="806"/>
      <c r="VBO31" s="806"/>
      <c r="VBP31" s="806"/>
      <c r="VBQ31" s="806"/>
      <c r="VBR31" s="806"/>
      <c r="VBS31" s="806"/>
      <c r="VBT31" s="806"/>
      <c r="VBU31" s="806"/>
      <c r="VBV31" s="806"/>
      <c r="VBW31" s="806"/>
      <c r="VBX31" s="806"/>
      <c r="VBY31" s="806"/>
      <c r="VBZ31" s="806"/>
      <c r="VCA31" s="806"/>
      <c r="VCB31" s="806"/>
      <c r="VCC31" s="806"/>
      <c r="VCD31" s="806"/>
      <c r="VCE31" s="806"/>
      <c r="VCF31" s="806"/>
      <c r="VCG31" s="806"/>
      <c r="VCH31" s="806"/>
      <c r="VCI31" s="806"/>
      <c r="VCJ31" s="806"/>
      <c r="VCK31" s="806"/>
      <c r="VCL31" s="806"/>
      <c r="VCM31" s="806"/>
      <c r="VCN31" s="806"/>
      <c r="VCO31" s="806"/>
      <c r="VCP31" s="806"/>
      <c r="VCQ31" s="806"/>
      <c r="VCR31" s="806"/>
      <c r="VCS31" s="806"/>
      <c r="VCT31" s="806"/>
      <c r="VCU31" s="806"/>
      <c r="VCV31" s="806"/>
      <c r="VCW31" s="806"/>
      <c r="VCX31" s="806"/>
      <c r="VCY31" s="806"/>
      <c r="VCZ31" s="806"/>
      <c r="VDA31" s="806"/>
      <c r="VDB31" s="806"/>
      <c r="VDC31" s="806"/>
      <c r="VDD31" s="806"/>
      <c r="VDE31" s="806"/>
      <c r="VDF31" s="806"/>
      <c r="VDG31" s="806"/>
      <c r="VDH31" s="806"/>
      <c r="VDI31" s="806"/>
      <c r="VDJ31" s="806"/>
      <c r="VDK31" s="806"/>
      <c r="VDL31" s="806"/>
      <c r="VDM31" s="806"/>
      <c r="VDN31" s="806"/>
      <c r="VDO31" s="806"/>
      <c r="VDP31" s="806"/>
      <c r="VDQ31" s="806"/>
      <c r="VDR31" s="806"/>
      <c r="VDS31" s="806"/>
      <c r="VDT31" s="806"/>
      <c r="VDU31" s="806"/>
      <c r="VDV31" s="806"/>
      <c r="VDW31" s="806"/>
      <c r="VDX31" s="806"/>
      <c r="VDY31" s="806"/>
      <c r="VDZ31" s="806"/>
      <c r="VEA31" s="806"/>
      <c r="VEB31" s="806"/>
      <c r="VEC31" s="806"/>
      <c r="VED31" s="806"/>
      <c r="VEE31" s="806"/>
      <c r="VEF31" s="806"/>
      <c r="VEG31" s="806"/>
      <c r="VEH31" s="806"/>
      <c r="VEI31" s="806"/>
      <c r="VEJ31" s="806"/>
      <c r="VEK31" s="806"/>
      <c r="VEL31" s="806"/>
      <c r="VEM31" s="806"/>
      <c r="VEN31" s="806"/>
      <c r="VEO31" s="806"/>
      <c r="VEP31" s="806"/>
      <c r="VEQ31" s="806"/>
      <c r="VER31" s="806"/>
      <c r="VES31" s="806"/>
      <c r="VET31" s="806"/>
      <c r="VEU31" s="806"/>
      <c r="VEV31" s="806"/>
      <c r="VEW31" s="806"/>
      <c r="VEX31" s="806"/>
      <c r="VEY31" s="806"/>
      <c r="VEZ31" s="806"/>
      <c r="VFA31" s="806"/>
      <c r="VFB31" s="806"/>
      <c r="VFC31" s="806"/>
      <c r="VFD31" s="806"/>
      <c r="VFE31" s="806"/>
      <c r="VFF31" s="806"/>
      <c r="VFG31" s="806"/>
      <c r="VFH31" s="806"/>
      <c r="VFI31" s="806"/>
      <c r="VFJ31" s="806"/>
      <c r="VFK31" s="806"/>
      <c r="VFL31" s="806"/>
      <c r="VFM31" s="806"/>
      <c r="VFN31" s="806"/>
      <c r="VFO31" s="806"/>
      <c r="VFP31" s="806"/>
      <c r="VFQ31" s="806"/>
      <c r="VFR31" s="806"/>
      <c r="VFS31" s="806"/>
      <c r="VFT31" s="806"/>
      <c r="VFU31" s="806"/>
      <c r="VFV31" s="806"/>
      <c r="VFW31" s="806"/>
      <c r="VFX31" s="806"/>
      <c r="VFY31" s="806"/>
      <c r="VFZ31" s="806"/>
      <c r="VGA31" s="806"/>
      <c r="VGB31" s="806"/>
      <c r="VGC31" s="806"/>
      <c r="VGD31" s="806"/>
      <c r="VGE31" s="806"/>
      <c r="VGF31" s="806"/>
      <c r="VGG31" s="806"/>
      <c r="VGH31" s="806"/>
      <c r="VGI31" s="806"/>
      <c r="VGJ31" s="806"/>
      <c r="VGK31" s="806"/>
      <c r="VGL31" s="806"/>
      <c r="VGM31" s="806"/>
      <c r="VGN31" s="806"/>
      <c r="VGO31" s="806"/>
      <c r="VGP31" s="806"/>
      <c r="VGQ31" s="806"/>
      <c r="VGR31" s="806"/>
      <c r="VGS31" s="806"/>
      <c r="VGT31" s="806"/>
      <c r="VGU31" s="806"/>
      <c r="VGV31" s="806"/>
      <c r="VGW31" s="806"/>
      <c r="VGX31" s="806"/>
      <c r="VGY31" s="806"/>
      <c r="VGZ31" s="806"/>
      <c r="VHA31" s="806"/>
      <c r="VHB31" s="806"/>
      <c r="VHC31" s="806"/>
      <c r="VHD31" s="806"/>
      <c r="VHE31" s="806"/>
      <c r="VHF31" s="806"/>
      <c r="VHG31" s="806"/>
      <c r="VHH31" s="806"/>
      <c r="VHI31" s="806"/>
      <c r="VHJ31" s="806"/>
      <c r="VHK31" s="806"/>
      <c r="VHL31" s="806"/>
      <c r="VHM31" s="806"/>
      <c r="VHN31" s="806"/>
      <c r="VHO31" s="806"/>
      <c r="VHP31" s="806"/>
      <c r="VHQ31" s="806"/>
      <c r="VHR31" s="806"/>
      <c r="VHS31" s="806"/>
      <c r="VHT31" s="806"/>
      <c r="VHU31" s="806"/>
      <c r="VHV31" s="806"/>
      <c r="VHW31" s="806"/>
      <c r="VHX31" s="806"/>
      <c r="VHY31" s="806"/>
      <c r="VHZ31" s="806"/>
      <c r="VIA31" s="806"/>
      <c r="VIB31" s="806"/>
      <c r="VIC31" s="806"/>
      <c r="VID31" s="806"/>
      <c r="VIE31" s="806"/>
      <c r="VIF31" s="806"/>
      <c r="VIG31" s="806"/>
      <c r="VIH31" s="806"/>
      <c r="VII31" s="806"/>
      <c r="VIJ31" s="806"/>
      <c r="VIK31" s="806"/>
      <c r="VIL31" s="806"/>
      <c r="VIM31" s="806"/>
      <c r="VIN31" s="806"/>
      <c r="VIO31" s="806"/>
      <c r="VIP31" s="806"/>
      <c r="VIQ31" s="806"/>
      <c r="VIR31" s="806"/>
      <c r="VIS31" s="806"/>
      <c r="VIT31" s="806"/>
      <c r="VIU31" s="806"/>
      <c r="VIV31" s="806"/>
      <c r="VIW31" s="806"/>
      <c r="VIX31" s="806"/>
      <c r="VIY31" s="806"/>
      <c r="VIZ31" s="806"/>
      <c r="VJA31" s="806"/>
      <c r="VJB31" s="806"/>
      <c r="VJC31" s="806"/>
      <c r="VJD31" s="806"/>
      <c r="VJE31" s="806"/>
      <c r="VJF31" s="806"/>
      <c r="VJG31" s="806"/>
      <c r="VJH31" s="806"/>
      <c r="VJI31" s="806"/>
      <c r="VJJ31" s="806"/>
      <c r="VJK31" s="806"/>
      <c r="VJL31" s="806"/>
      <c r="VJM31" s="806"/>
      <c r="VJN31" s="806"/>
      <c r="VJO31" s="806"/>
      <c r="VJP31" s="806"/>
      <c r="VJQ31" s="806"/>
      <c r="VJR31" s="806"/>
      <c r="VJS31" s="806"/>
      <c r="VJT31" s="806"/>
      <c r="VJU31" s="806"/>
      <c r="VJV31" s="806"/>
      <c r="VJW31" s="806"/>
      <c r="VJX31" s="806"/>
      <c r="VJY31" s="806"/>
      <c r="VJZ31" s="806"/>
      <c r="VKA31" s="806"/>
      <c r="VKB31" s="806"/>
      <c r="VKC31" s="806"/>
      <c r="VKD31" s="806"/>
      <c r="VKE31" s="806"/>
      <c r="VKF31" s="806"/>
      <c r="VKG31" s="806"/>
      <c r="VKH31" s="806"/>
      <c r="VKI31" s="806"/>
      <c r="VKJ31" s="806"/>
      <c r="VKK31" s="806"/>
      <c r="VKL31" s="806"/>
      <c r="VKM31" s="806"/>
      <c r="VKN31" s="806"/>
      <c r="VKO31" s="806"/>
      <c r="VKP31" s="806"/>
      <c r="VKQ31" s="806"/>
      <c r="VKR31" s="806"/>
      <c r="VKS31" s="806"/>
      <c r="VKT31" s="806"/>
      <c r="VKU31" s="806"/>
      <c r="VKV31" s="806"/>
      <c r="VKW31" s="806"/>
      <c r="VKX31" s="806"/>
      <c r="VKY31" s="806"/>
      <c r="VKZ31" s="806"/>
      <c r="VLA31" s="806"/>
      <c r="VLB31" s="806"/>
      <c r="VLC31" s="806"/>
      <c r="VLD31" s="806"/>
      <c r="VLE31" s="806"/>
      <c r="VLF31" s="806"/>
      <c r="VLG31" s="806"/>
      <c r="VLH31" s="806"/>
      <c r="VLI31" s="806"/>
      <c r="VLJ31" s="806"/>
      <c r="VLK31" s="806"/>
      <c r="VLL31" s="806"/>
      <c r="VLM31" s="806"/>
      <c r="VLN31" s="806"/>
      <c r="VLO31" s="806"/>
      <c r="VLP31" s="806"/>
      <c r="VLQ31" s="806"/>
      <c r="VLR31" s="806"/>
      <c r="VLS31" s="806"/>
      <c r="VLT31" s="806"/>
      <c r="VLU31" s="806"/>
      <c r="VLV31" s="806"/>
      <c r="VLW31" s="806"/>
      <c r="VLX31" s="806"/>
      <c r="VLY31" s="806"/>
      <c r="VLZ31" s="806"/>
      <c r="VMA31" s="806"/>
      <c r="VMB31" s="806"/>
      <c r="VMC31" s="806"/>
      <c r="VMD31" s="806"/>
      <c r="VME31" s="806"/>
      <c r="VMF31" s="806"/>
      <c r="VMG31" s="806"/>
      <c r="VMH31" s="806"/>
      <c r="VMI31" s="806"/>
      <c r="VMJ31" s="806"/>
      <c r="VMK31" s="806"/>
      <c r="VML31" s="806"/>
      <c r="VMM31" s="806"/>
      <c r="VMN31" s="806"/>
      <c r="VMO31" s="806"/>
      <c r="VMP31" s="806"/>
      <c r="VMQ31" s="806"/>
      <c r="VMR31" s="806"/>
      <c r="VMS31" s="806"/>
      <c r="VMT31" s="806"/>
      <c r="VMU31" s="806"/>
      <c r="VMV31" s="806"/>
      <c r="VMW31" s="806"/>
      <c r="VMX31" s="806"/>
      <c r="VMY31" s="806"/>
      <c r="VMZ31" s="806"/>
      <c r="VNA31" s="806"/>
      <c r="VNB31" s="806"/>
      <c r="VNC31" s="806"/>
      <c r="VND31" s="806"/>
      <c r="VNE31" s="806"/>
      <c r="VNF31" s="806"/>
      <c r="VNG31" s="806"/>
      <c r="VNH31" s="806"/>
      <c r="VNI31" s="806"/>
      <c r="VNJ31" s="806"/>
      <c r="VNK31" s="806"/>
      <c r="VNL31" s="806"/>
      <c r="VNM31" s="806"/>
      <c r="VNN31" s="806"/>
      <c r="VNO31" s="806"/>
      <c r="VNP31" s="806"/>
      <c r="VNQ31" s="806"/>
      <c r="VNR31" s="806"/>
      <c r="VNS31" s="806"/>
      <c r="VNT31" s="806"/>
      <c r="VNU31" s="806"/>
      <c r="VNV31" s="806"/>
      <c r="VNW31" s="806"/>
      <c r="VNX31" s="806"/>
      <c r="VNY31" s="806"/>
      <c r="VNZ31" s="806"/>
      <c r="VOA31" s="806"/>
      <c r="VOB31" s="806"/>
      <c r="VOC31" s="806"/>
      <c r="VOD31" s="806"/>
      <c r="VOE31" s="806"/>
      <c r="VOF31" s="806"/>
      <c r="VOG31" s="806"/>
      <c r="VOH31" s="806"/>
      <c r="VOI31" s="806"/>
      <c r="VOJ31" s="806"/>
      <c r="VOK31" s="806"/>
      <c r="VOL31" s="806"/>
      <c r="VOM31" s="806"/>
      <c r="VON31" s="806"/>
      <c r="VOO31" s="806"/>
      <c r="VOP31" s="806"/>
      <c r="VOQ31" s="806"/>
      <c r="VOR31" s="806"/>
      <c r="VOS31" s="806"/>
      <c r="VOT31" s="806"/>
      <c r="VOU31" s="806"/>
      <c r="VOV31" s="806"/>
      <c r="VOW31" s="806"/>
      <c r="VOX31" s="806"/>
      <c r="VOY31" s="806"/>
      <c r="VOZ31" s="806"/>
      <c r="VPA31" s="806"/>
      <c r="VPB31" s="806"/>
      <c r="VPC31" s="806"/>
      <c r="VPD31" s="806"/>
      <c r="VPE31" s="806"/>
      <c r="VPF31" s="806"/>
      <c r="VPG31" s="806"/>
      <c r="VPH31" s="806"/>
      <c r="VPI31" s="806"/>
      <c r="VPJ31" s="806"/>
      <c r="VPK31" s="806"/>
      <c r="VPL31" s="806"/>
      <c r="VPM31" s="806"/>
      <c r="VPN31" s="806"/>
      <c r="VPO31" s="806"/>
      <c r="VPP31" s="806"/>
      <c r="VPQ31" s="806"/>
      <c r="VPR31" s="806"/>
      <c r="VPS31" s="806"/>
      <c r="VPT31" s="806"/>
      <c r="VPU31" s="806"/>
      <c r="VPV31" s="806"/>
      <c r="VPW31" s="806"/>
      <c r="VPX31" s="806"/>
      <c r="VPY31" s="806"/>
      <c r="VPZ31" s="806"/>
      <c r="VQA31" s="806"/>
      <c r="VQB31" s="806"/>
      <c r="VQC31" s="806"/>
      <c r="VQD31" s="806"/>
      <c r="VQE31" s="806"/>
      <c r="VQF31" s="806"/>
      <c r="VQG31" s="806"/>
      <c r="VQH31" s="806"/>
      <c r="VQI31" s="806"/>
      <c r="VQJ31" s="806"/>
      <c r="VQK31" s="806"/>
      <c r="VQL31" s="806"/>
      <c r="VQM31" s="806"/>
      <c r="VQN31" s="806"/>
      <c r="VQO31" s="806"/>
      <c r="VQP31" s="806"/>
      <c r="VQQ31" s="806"/>
      <c r="VQR31" s="806"/>
      <c r="VQS31" s="806"/>
      <c r="VQT31" s="806"/>
      <c r="VQU31" s="806"/>
      <c r="VQV31" s="806"/>
      <c r="VQW31" s="806"/>
      <c r="VQX31" s="806"/>
      <c r="VQY31" s="806"/>
      <c r="VQZ31" s="806"/>
      <c r="VRA31" s="806"/>
      <c r="VRB31" s="806"/>
      <c r="VRC31" s="806"/>
      <c r="VRD31" s="806"/>
      <c r="VRE31" s="806"/>
      <c r="VRF31" s="806"/>
      <c r="VRG31" s="806"/>
      <c r="VRH31" s="806"/>
      <c r="VRI31" s="806"/>
      <c r="VRJ31" s="806"/>
      <c r="VRK31" s="806"/>
      <c r="VRL31" s="806"/>
      <c r="VRM31" s="806"/>
      <c r="VRN31" s="806"/>
      <c r="VRO31" s="806"/>
      <c r="VRP31" s="806"/>
      <c r="VRQ31" s="806"/>
      <c r="VRR31" s="806"/>
      <c r="VRS31" s="806"/>
      <c r="VRT31" s="806"/>
      <c r="VRU31" s="806"/>
      <c r="VRV31" s="806"/>
      <c r="VRW31" s="806"/>
      <c r="VRX31" s="806"/>
      <c r="VRY31" s="806"/>
      <c r="VRZ31" s="806"/>
      <c r="VSA31" s="806"/>
      <c r="VSB31" s="806"/>
      <c r="VSC31" s="806"/>
      <c r="VSD31" s="806"/>
      <c r="VSE31" s="806"/>
      <c r="VSF31" s="806"/>
      <c r="VSG31" s="806"/>
      <c r="VSH31" s="806"/>
      <c r="VSI31" s="806"/>
      <c r="VSJ31" s="806"/>
      <c r="VSK31" s="806"/>
      <c r="VSL31" s="806"/>
      <c r="VSM31" s="806"/>
      <c r="VSN31" s="806"/>
      <c r="VSO31" s="806"/>
      <c r="VSP31" s="806"/>
      <c r="VSQ31" s="806"/>
      <c r="VSR31" s="806"/>
      <c r="VSS31" s="806"/>
      <c r="VST31" s="806"/>
      <c r="VSU31" s="806"/>
      <c r="VSV31" s="806"/>
      <c r="VSW31" s="806"/>
      <c r="VSX31" s="806"/>
      <c r="VSY31" s="806"/>
      <c r="VSZ31" s="806"/>
      <c r="VTA31" s="806"/>
      <c r="VTB31" s="806"/>
      <c r="VTC31" s="806"/>
      <c r="VTD31" s="806"/>
      <c r="VTE31" s="806"/>
      <c r="VTF31" s="806"/>
      <c r="VTG31" s="806"/>
      <c r="VTH31" s="806"/>
      <c r="VTI31" s="806"/>
      <c r="VTJ31" s="806"/>
      <c r="VTK31" s="806"/>
      <c r="VTL31" s="806"/>
      <c r="VTM31" s="806"/>
      <c r="VTN31" s="806"/>
      <c r="VTO31" s="806"/>
      <c r="VTP31" s="806"/>
      <c r="VTQ31" s="806"/>
      <c r="VTR31" s="806"/>
      <c r="VTS31" s="806"/>
      <c r="VTT31" s="806"/>
      <c r="VTU31" s="806"/>
      <c r="VTV31" s="806"/>
      <c r="VTW31" s="806"/>
      <c r="VTX31" s="806"/>
      <c r="VTY31" s="806"/>
      <c r="VTZ31" s="806"/>
      <c r="VUA31" s="806"/>
      <c r="VUB31" s="806"/>
      <c r="VUC31" s="806"/>
      <c r="VUD31" s="806"/>
      <c r="VUE31" s="806"/>
      <c r="VUF31" s="806"/>
      <c r="VUG31" s="806"/>
      <c r="VUH31" s="806"/>
      <c r="VUI31" s="806"/>
      <c r="VUJ31" s="806"/>
      <c r="VUK31" s="806"/>
      <c r="VUL31" s="806"/>
      <c r="VUM31" s="806"/>
      <c r="VUN31" s="806"/>
      <c r="VUO31" s="806"/>
      <c r="VUP31" s="806"/>
      <c r="VUQ31" s="806"/>
      <c r="VUR31" s="806"/>
      <c r="VUS31" s="806"/>
      <c r="VUT31" s="806"/>
      <c r="VUU31" s="806"/>
      <c r="VUV31" s="806"/>
      <c r="VUW31" s="806"/>
      <c r="VUX31" s="806"/>
      <c r="VUY31" s="806"/>
      <c r="VUZ31" s="806"/>
      <c r="VVA31" s="806"/>
      <c r="VVB31" s="806"/>
      <c r="VVC31" s="806"/>
      <c r="VVD31" s="806"/>
      <c r="VVE31" s="806"/>
      <c r="VVF31" s="806"/>
      <c r="VVG31" s="806"/>
      <c r="VVH31" s="806"/>
      <c r="VVI31" s="806"/>
      <c r="VVJ31" s="806"/>
      <c r="VVK31" s="806"/>
      <c r="VVL31" s="806"/>
      <c r="VVM31" s="806"/>
      <c r="VVN31" s="806"/>
      <c r="VVO31" s="806"/>
      <c r="VVP31" s="806"/>
      <c r="VVQ31" s="806"/>
      <c r="VVR31" s="806"/>
      <c r="VVS31" s="806"/>
      <c r="VVT31" s="806"/>
      <c r="VVU31" s="806"/>
      <c r="VVV31" s="806"/>
      <c r="VVW31" s="806"/>
      <c r="VVX31" s="806"/>
      <c r="VVY31" s="806"/>
      <c r="VVZ31" s="806"/>
      <c r="VWA31" s="806"/>
      <c r="VWB31" s="806"/>
      <c r="VWC31" s="806"/>
      <c r="VWD31" s="806"/>
      <c r="VWE31" s="806"/>
      <c r="VWF31" s="806"/>
      <c r="VWG31" s="806"/>
      <c r="VWH31" s="806"/>
      <c r="VWI31" s="806"/>
      <c r="VWJ31" s="806"/>
      <c r="VWK31" s="806"/>
      <c r="VWL31" s="806"/>
      <c r="VWM31" s="806"/>
      <c r="VWN31" s="806"/>
      <c r="VWO31" s="806"/>
      <c r="VWP31" s="806"/>
      <c r="VWQ31" s="806"/>
      <c r="VWR31" s="806"/>
      <c r="VWS31" s="806"/>
      <c r="VWT31" s="806"/>
      <c r="VWU31" s="806"/>
      <c r="VWV31" s="806"/>
      <c r="VWW31" s="806"/>
      <c r="VWX31" s="806"/>
      <c r="VWY31" s="806"/>
      <c r="VWZ31" s="806"/>
      <c r="VXA31" s="806"/>
      <c r="VXB31" s="806"/>
      <c r="VXC31" s="806"/>
      <c r="VXD31" s="806"/>
      <c r="VXE31" s="806"/>
      <c r="VXF31" s="806"/>
      <c r="VXG31" s="806"/>
      <c r="VXH31" s="806"/>
      <c r="VXI31" s="806"/>
      <c r="VXJ31" s="806"/>
      <c r="VXK31" s="806"/>
      <c r="VXL31" s="806"/>
      <c r="VXM31" s="806"/>
      <c r="VXN31" s="806"/>
      <c r="VXO31" s="806"/>
      <c r="VXP31" s="806"/>
      <c r="VXQ31" s="806"/>
      <c r="VXR31" s="806"/>
      <c r="VXS31" s="806"/>
      <c r="VXT31" s="806"/>
      <c r="VXU31" s="806"/>
      <c r="VXV31" s="806"/>
      <c r="VXW31" s="806"/>
      <c r="VXX31" s="806"/>
      <c r="VXY31" s="806"/>
      <c r="VXZ31" s="806"/>
      <c r="VYA31" s="806"/>
      <c r="VYB31" s="806"/>
      <c r="VYC31" s="806"/>
      <c r="VYD31" s="806"/>
      <c r="VYE31" s="806"/>
      <c r="VYF31" s="806"/>
      <c r="VYG31" s="806"/>
      <c r="VYH31" s="806"/>
      <c r="VYI31" s="806"/>
      <c r="VYJ31" s="806"/>
      <c r="VYK31" s="806"/>
      <c r="VYL31" s="806"/>
      <c r="VYM31" s="806"/>
      <c r="VYN31" s="806"/>
      <c r="VYO31" s="806"/>
      <c r="VYP31" s="806"/>
      <c r="VYQ31" s="806"/>
      <c r="VYR31" s="806"/>
      <c r="VYS31" s="806"/>
      <c r="VYT31" s="806"/>
      <c r="VYU31" s="806"/>
      <c r="VYV31" s="806"/>
      <c r="VYW31" s="806"/>
      <c r="VYX31" s="806"/>
      <c r="VYY31" s="806"/>
      <c r="VYZ31" s="806"/>
      <c r="VZA31" s="806"/>
      <c r="VZB31" s="806"/>
      <c r="VZC31" s="806"/>
      <c r="VZD31" s="806"/>
      <c r="VZE31" s="806"/>
      <c r="VZF31" s="806"/>
      <c r="VZG31" s="806"/>
      <c r="VZH31" s="806"/>
      <c r="VZI31" s="806"/>
      <c r="VZJ31" s="806"/>
      <c r="VZK31" s="806"/>
      <c r="VZL31" s="806"/>
      <c r="VZM31" s="806"/>
      <c r="VZN31" s="806"/>
      <c r="VZO31" s="806"/>
      <c r="VZP31" s="806"/>
      <c r="VZQ31" s="806"/>
      <c r="VZR31" s="806"/>
      <c r="VZS31" s="806"/>
      <c r="VZT31" s="806"/>
      <c r="VZU31" s="806"/>
      <c r="VZV31" s="806"/>
      <c r="VZW31" s="806"/>
      <c r="VZX31" s="806"/>
      <c r="VZY31" s="806"/>
      <c r="VZZ31" s="806"/>
      <c r="WAA31" s="806"/>
      <c r="WAB31" s="806"/>
      <c r="WAC31" s="806"/>
      <c r="WAD31" s="806"/>
      <c r="WAE31" s="806"/>
      <c r="WAF31" s="806"/>
      <c r="WAG31" s="806"/>
      <c r="WAH31" s="806"/>
      <c r="WAI31" s="806"/>
      <c r="WAJ31" s="806"/>
      <c r="WAK31" s="806"/>
      <c r="WAL31" s="806"/>
      <c r="WAM31" s="806"/>
      <c r="WAN31" s="806"/>
      <c r="WAO31" s="806"/>
      <c r="WAP31" s="806"/>
      <c r="WAQ31" s="806"/>
      <c r="WAR31" s="806"/>
      <c r="WAS31" s="806"/>
      <c r="WAT31" s="806"/>
      <c r="WAU31" s="806"/>
      <c r="WAV31" s="806"/>
      <c r="WAW31" s="806"/>
      <c r="WAX31" s="806"/>
      <c r="WAY31" s="806"/>
      <c r="WAZ31" s="806"/>
      <c r="WBA31" s="806"/>
      <c r="WBB31" s="806"/>
      <c r="WBC31" s="806"/>
      <c r="WBD31" s="806"/>
      <c r="WBE31" s="806"/>
      <c r="WBF31" s="806"/>
      <c r="WBG31" s="806"/>
      <c r="WBH31" s="806"/>
      <c r="WBI31" s="806"/>
      <c r="WBJ31" s="806"/>
      <c r="WBK31" s="806"/>
      <c r="WBL31" s="806"/>
      <c r="WBM31" s="806"/>
      <c r="WBN31" s="806"/>
      <c r="WBO31" s="806"/>
      <c r="WBP31" s="806"/>
      <c r="WBQ31" s="806"/>
      <c r="WBR31" s="806"/>
      <c r="WBS31" s="806"/>
      <c r="WBT31" s="806"/>
      <c r="WBU31" s="806"/>
      <c r="WBV31" s="806"/>
      <c r="WBW31" s="806"/>
      <c r="WBX31" s="806"/>
      <c r="WBY31" s="806"/>
      <c r="WBZ31" s="806"/>
      <c r="WCA31" s="806"/>
      <c r="WCB31" s="806"/>
      <c r="WCC31" s="806"/>
      <c r="WCD31" s="806"/>
      <c r="WCE31" s="806"/>
      <c r="WCF31" s="806"/>
      <c r="WCG31" s="806"/>
      <c r="WCH31" s="806"/>
      <c r="WCI31" s="806"/>
      <c r="WCJ31" s="806"/>
      <c r="WCK31" s="806"/>
      <c r="WCL31" s="806"/>
      <c r="WCM31" s="806"/>
      <c r="WCN31" s="806"/>
      <c r="WCO31" s="806"/>
      <c r="WCP31" s="806"/>
      <c r="WCQ31" s="806"/>
      <c r="WCR31" s="806"/>
      <c r="WCS31" s="806"/>
      <c r="WCT31" s="806"/>
      <c r="WCU31" s="806"/>
      <c r="WCV31" s="806"/>
      <c r="WCW31" s="806"/>
      <c r="WCX31" s="806"/>
      <c r="WCY31" s="806"/>
      <c r="WCZ31" s="806"/>
      <c r="WDA31" s="806"/>
      <c r="WDB31" s="806"/>
      <c r="WDC31" s="806"/>
      <c r="WDD31" s="806"/>
      <c r="WDE31" s="806"/>
      <c r="WDF31" s="806"/>
      <c r="WDG31" s="806"/>
      <c r="WDH31" s="806"/>
      <c r="WDI31" s="806"/>
      <c r="WDJ31" s="806"/>
      <c r="WDK31" s="806"/>
      <c r="WDL31" s="806"/>
      <c r="WDM31" s="806"/>
      <c r="WDN31" s="806"/>
      <c r="WDO31" s="806"/>
      <c r="WDP31" s="806"/>
      <c r="WDQ31" s="806"/>
      <c r="WDR31" s="806"/>
      <c r="WDS31" s="806"/>
      <c r="WDT31" s="806"/>
      <c r="WDU31" s="806"/>
      <c r="WDV31" s="806"/>
      <c r="WDW31" s="806"/>
      <c r="WDX31" s="806"/>
      <c r="WDY31" s="806"/>
      <c r="WDZ31" s="806"/>
      <c r="WEA31" s="806"/>
      <c r="WEB31" s="806"/>
      <c r="WEC31" s="806"/>
      <c r="WED31" s="806"/>
      <c r="WEE31" s="806"/>
      <c r="WEF31" s="806"/>
      <c r="WEG31" s="806"/>
      <c r="WEH31" s="806"/>
      <c r="WEI31" s="806"/>
      <c r="WEJ31" s="806"/>
      <c r="WEK31" s="806"/>
      <c r="WEL31" s="806"/>
      <c r="WEM31" s="806"/>
      <c r="WEN31" s="806"/>
      <c r="WEO31" s="806"/>
      <c r="WEP31" s="806"/>
      <c r="WEQ31" s="806"/>
      <c r="WER31" s="806"/>
      <c r="WES31" s="806"/>
      <c r="WET31" s="806"/>
      <c r="WEU31" s="806"/>
      <c r="WEV31" s="806"/>
      <c r="WEW31" s="806"/>
      <c r="WEX31" s="806"/>
      <c r="WEY31" s="806"/>
      <c r="WEZ31" s="806"/>
      <c r="WFA31" s="806"/>
      <c r="WFB31" s="806"/>
      <c r="WFC31" s="806"/>
      <c r="WFD31" s="806"/>
      <c r="WFE31" s="806"/>
      <c r="WFF31" s="806"/>
      <c r="WFG31" s="806"/>
      <c r="WFH31" s="806"/>
      <c r="WFI31" s="806"/>
      <c r="WFJ31" s="806"/>
      <c r="WFK31" s="806"/>
      <c r="WFL31" s="806"/>
      <c r="WFM31" s="806"/>
      <c r="WFN31" s="806"/>
      <c r="WFO31" s="806"/>
      <c r="WFP31" s="806"/>
      <c r="WFQ31" s="806"/>
      <c r="WFR31" s="806"/>
      <c r="WFS31" s="806"/>
      <c r="WFT31" s="806"/>
      <c r="WFU31" s="806"/>
      <c r="WFV31" s="806"/>
      <c r="WFW31" s="806"/>
      <c r="WFX31" s="806"/>
      <c r="WFY31" s="806"/>
      <c r="WFZ31" s="806"/>
      <c r="WGA31" s="806"/>
      <c r="WGB31" s="806"/>
      <c r="WGC31" s="806"/>
      <c r="WGD31" s="806"/>
      <c r="WGE31" s="806"/>
      <c r="WGF31" s="806"/>
      <c r="WGG31" s="806"/>
      <c r="WGH31" s="806"/>
      <c r="WGI31" s="806"/>
      <c r="WGJ31" s="806"/>
      <c r="WGK31" s="806"/>
      <c r="WGL31" s="806"/>
      <c r="WGM31" s="806"/>
      <c r="WGN31" s="806"/>
      <c r="WGO31" s="806"/>
      <c r="WGP31" s="806"/>
      <c r="WGQ31" s="806"/>
      <c r="WGR31" s="806"/>
      <c r="WGS31" s="806"/>
      <c r="WGT31" s="806"/>
      <c r="WGU31" s="806"/>
      <c r="WGV31" s="806"/>
      <c r="WGW31" s="806"/>
      <c r="WGX31" s="806"/>
      <c r="WGY31" s="806"/>
      <c r="WGZ31" s="806"/>
      <c r="WHA31" s="806"/>
      <c r="WHB31" s="806"/>
      <c r="WHC31" s="806"/>
      <c r="WHD31" s="806"/>
      <c r="WHE31" s="806"/>
      <c r="WHF31" s="806"/>
      <c r="WHG31" s="806"/>
      <c r="WHH31" s="806"/>
      <c r="WHI31" s="806"/>
      <c r="WHJ31" s="806"/>
      <c r="WHK31" s="806"/>
      <c r="WHL31" s="806"/>
      <c r="WHM31" s="806"/>
      <c r="WHN31" s="806"/>
      <c r="WHO31" s="806"/>
      <c r="WHP31" s="806"/>
      <c r="WHQ31" s="806"/>
      <c r="WHR31" s="806"/>
      <c r="WHS31" s="806"/>
      <c r="WHT31" s="806"/>
      <c r="WHU31" s="806"/>
      <c r="WHV31" s="806"/>
      <c r="WHW31" s="806"/>
      <c r="WHX31" s="806"/>
      <c r="WHY31" s="806"/>
      <c r="WHZ31" s="806"/>
      <c r="WIA31" s="806"/>
      <c r="WIB31" s="806"/>
      <c r="WIC31" s="806"/>
      <c r="WID31" s="806"/>
      <c r="WIE31" s="806"/>
      <c r="WIF31" s="806"/>
      <c r="WIG31" s="806"/>
      <c r="WIH31" s="806"/>
      <c r="WII31" s="806"/>
      <c r="WIJ31" s="806"/>
      <c r="WIK31" s="806"/>
      <c r="WIL31" s="806"/>
      <c r="WIM31" s="806"/>
      <c r="WIN31" s="806"/>
      <c r="WIO31" s="806"/>
      <c r="WIP31" s="806"/>
      <c r="WIQ31" s="806"/>
      <c r="WIR31" s="806"/>
      <c r="WIS31" s="806"/>
      <c r="WIT31" s="806"/>
      <c r="WIU31" s="806"/>
      <c r="WIV31" s="806"/>
      <c r="WIW31" s="806"/>
      <c r="WIX31" s="806"/>
      <c r="WIY31" s="806"/>
      <c r="WIZ31" s="806"/>
      <c r="WJA31" s="806"/>
      <c r="WJB31" s="806"/>
      <c r="WJC31" s="806"/>
      <c r="WJD31" s="806"/>
      <c r="WJE31" s="806"/>
      <c r="WJF31" s="806"/>
      <c r="WJG31" s="806"/>
      <c r="WJH31" s="806"/>
      <c r="WJI31" s="806"/>
      <c r="WJJ31" s="806"/>
      <c r="WJK31" s="806"/>
      <c r="WJL31" s="806"/>
      <c r="WJM31" s="806"/>
      <c r="WJN31" s="806"/>
      <c r="WJO31" s="806"/>
      <c r="WJP31" s="806"/>
      <c r="WJQ31" s="806"/>
      <c r="WJR31" s="806"/>
      <c r="WJS31" s="806"/>
      <c r="WJT31" s="806"/>
      <c r="WJU31" s="806"/>
      <c r="WJV31" s="806"/>
      <c r="WJW31" s="806"/>
      <c r="WJX31" s="806"/>
      <c r="WJY31" s="806"/>
      <c r="WJZ31" s="806"/>
      <c r="WKA31" s="806"/>
      <c r="WKB31" s="806"/>
      <c r="WKC31" s="806"/>
      <c r="WKD31" s="806"/>
      <c r="WKE31" s="806"/>
      <c r="WKF31" s="806"/>
      <c r="WKG31" s="806"/>
      <c r="WKH31" s="806"/>
      <c r="WKI31" s="806"/>
      <c r="WKJ31" s="806"/>
      <c r="WKK31" s="806"/>
      <c r="WKL31" s="806"/>
      <c r="WKM31" s="806"/>
      <c r="WKN31" s="806"/>
      <c r="WKO31" s="806"/>
      <c r="WKP31" s="806"/>
      <c r="WKQ31" s="806"/>
      <c r="WKR31" s="806"/>
      <c r="WKS31" s="806"/>
      <c r="WKT31" s="806"/>
      <c r="WKU31" s="806"/>
      <c r="WKV31" s="806"/>
      <c r="WKW31" s="806"/>
      <c r="WKX31" s="806"/>
      <c r="WKY31" s="806"/>
      <c r="WKZ31" s="806"/>
      <c r="WLA31" s="806"/>
      <c r="WLB31" s="806"/>
      <c r="WLC31" s="806"/>
      <c r="WLD31" s="806"/>
      <c r="WLE31" s="806"/>
      <c r="WLF31" s="806"/>
      <c r="WLG31" s="806"/>
      <c r="WLH31" s="806"/>
      <c r="WLI31" s="806"/>
      <c r="WLJ31" s="806"/>
      <c r="WLK31" s="806"/>
      <c r="WLL31" s="806"/>
      <c r="WLM31" s="806"/>
      <c r="WLN31" s="806"/>
      <c r="WLO31" s="806"/>
      <c r="WLP31" s="806"/>
      <c r="WLQ31" s="806"/>
      <c r="WLR31" s="806"/>
      <c r="WLS31" s="806"/>
      <c r="WLT31" s="806"/>
      <c r="WLU31" s="806"/>
      <c r="WLV31" s="806"/>
      <c r="WLW31" s="806"/>
      <c r="WLX31" s="806"/>
      <c r="WLY31" s="806"/>
      <c r="WLZ31" s="806"/>
      <c r="WMA31" s="806"/>
      <c r="WMB31" s="806"/>
      <c r="WMC31" s="806"/>
      <c r="WMD31" s="806"/>
      <c r="WME31" s="806"/>
      <c r="WMF31" s="806"/>
      <c r="WMG31" s="806"/>
      <c r="WMH31" s="806"/>
      <c r="WMI31" s="806"/>
      <c r="WMJ31" s="806"/>
      <c r="WMK31" s="806"/>
      <c r="WML31" s="806"/>
      <c r="WMM31" s="806"/>
      <c r="WMN31" s="806"/>
      <c r="WMO31" s="806"/>
      <c r="WMP31" s="806"/>
      <c r="WMQ31" s="806"/>
      <c r="WMR31" s="806"/>
      <c r="WMS31" s="806"/>
      <c r="WMT31" s="806"/>
      <c r="WMU31" s="806"/>
      <c r="WMV31" s="806"/>
      <c r="WMW31" s="806"/>
      <c r="WMX31" s="806"/>
      <c r="WMY31" s="806"/>
      <c r="WMZ31" s="806"/>
      <c r="WNA31" s="806"/>
      <c r="WNB31" s="806"/>
      <c r="WNC31" s="806"/>
      <c r="WND31" s="806"/>
      <c r="WNE31" s="806"/>
      <c r="WNF31" s="806"/>
      <c r="WNG31" s="806"/>
      <c r="WNH31" s="806"/>
      <c r="WNI31" s="806"/>
      <c r="WNJ31" s="806"/>
      <c r="WNK31" s="806"/>
      <c r="WNL31" s="806"/>
      <c r="WNM31" s="806"/>
      <c r="WNN31" s="806"/>
      <c r="WNO31" s="806"/>
      <c r="WNP31" s="806"/>
      <c r="WNQ31" s="806"/>
      <c r="WNR31" s="806"/>
      <c r="WNS31" s="806"/>
      <c r="WNT31" s="806"/>
      <c r="WNU31" s="806"/>
      <c r="WNV31" s="806"/>
      <c r="WNW31" s="806"/>
      <c r="WNX31" s="806"/>
      <c r="WNY31" s="806"/>
      <c r="WNZ31" s="806"/>
      <c r="WOA31" s="806"/>
      <c r="WOB31" s="806"/>
      <c r="WOC31" s="806"/>
      <c r="WOD31" s="806"/>
      <c r="WOE31" s="806"/>
      <c r="WOF31" s="806"/>
      <c r="WOG31" s="806"/>
      <c r="WOH31" s="806"/>
      <c r="WOI31" s="806"/>
      <c r="WOJ31" s="806"/>
      <c r="WOK31" s="806"/>
      <c r="WOL31" s="806"/>
      <c r="WOM31" s="806"/>
      <c r="WON31" s="806"/>
      <c r="WOO31" s="806"/>
      <c r="WOP31" s="806"/>
      <c r="WOQ31" s="806"/>
      <c r="WOR31" s="806"/>
      <c r="WOS31" s="806"/>
      <c r="WOT31" s="806"/>
      <c r="WOU31" s="806"/>
      <c r="WOV31" s="806"/>
      <c r="WOW31" s="806"/>
      <c r="WOX31" s="806"/>
      <c r="WOY31" s="806"/>
      <c r="WOZ31" s="806"/>
      <c r="WPA31" s="806"/>
      <c r="WPB31" s="806"/>
      <c r="WPC31" s="806"/>
      <c r="WPD31" s="806"/>
      <c r="WPE31" s="806"/>
      <c r="WPF31" s="806"/>
      <c r="WPG31" s="806"/>
      <c r="WPH31" s="806"/>
      <c r="WPI31" s="806"/>
      <c r="WPJ31" s="806"/>
      <c r="WPK31" s="806"/>
      <c r="WPL31" s="806"/>
      <c r="WPM31" s="806"/>
      <c r="WPN31" s="806"/>
      <c r="WPO31" s="806"/>
      <c r="WPP31" s="806"/>
      <c r="WPQ31" s="806"/>
      <c r="WPR31" s="806"/>
      <c r="WPS31" s="806"/>
      <c r="WPT31" s="806"/>
      <c r="WPU31" s="806"/>
      <c r="WPV31" s="806"/>
      <c r="WPW31" s="806"/>
      <c r="WPX31" s="806"/>
      <c r="WPY31" s="806"/>
      <c r="WPZ31" s="806"/>
      <c r="WQA31" s="806"/>
      <c r="WQB31" s="806"/>
      <c r="WQC31" s="806"/>
      <c r="WQD31" s="806"/>
      <c r="WQE31" s="806"/>
      <c r="WQF31" s="806"/>
      <c r="WQG31" s="806"/>
      <c r="WQH31" s="806"/>
      <c r="WQI31" s="806"/>
      <c r="WQJ31" s="806"/>
      <c r="WQK31" s="806"/>
      <c r="WQL31" s="806"/>
      <c r="WQM31" s="806"/>
      <c r="WQN31" s="806"/>
      <c r="WQO31" s="806"/>
      <c r="WQP31" s="806"/>
      <c r="WQQ31" s="806"/>
      <c r="WQR31" s="806"/>
      <c r="WQS31" s="806"/>
      <c r="WQT31" s="806"/>
      <c r="WQU31" s="806"/>
      <c r="WQV31" s="806"/>
      <c r="WQW31" s="806"/>
      <c r="WQX31" s="806"/>
      <c r="WQY31" s="806"/>
      <c r="WQZ31" s="806"/>
      <c r="WRA31" s="806"/>
      <c r="WRB31" s="806"/>
      <c r="WRC31" s="806"/>
      <c r="WRD31" s="806"/>
      <c r="WRE31" s="806"/>
      <c r="WRF31" s="806"/>
      <c r="WRG31" s="806"/>
      <c r="WRH31" s="806"/>
      <c r="WRI31" s="806"/>
      <c r="WRJ31" s="806"/>
      <c r="WRK31" s="806"/>
      <c r="WRL31" s="806"/>
      <c r="WRM31" s="806"/>
      <c r="WRN31" s="806"/>
      <c r="WRO31" s="806"/>
      <c r="WRP31" s="806"/>
      <c r="WRQ31" s="806"/>
      <c r="WRR31" s="806"/>
      <c r="WRS31" s="806"/>
      <c r="WRT31" s="806"/>
      <c r="WRU31" s="806"/>
      <c r="WRV31" s="806"/>
      <c r="WRW31" s="806"/>
      <c r="WRX31" s="806"/>
      <c r="WRY31" s="806"/>
      <c r="WRZ31" s="806"/>
      <c r="WSA31" s="806"/>
      <c r="WSB31" s="806"/>
      <c r="WSC31" s="806"/>
      <c r="WSD31" s="806"/>
      <c r="WSE31" s="806"/>
      <c r="WSF31" s="806"/>
      <c r="WSG31" s="806"/>
      <c r="WSH31" s="806"/>
      <c r="WSI31" s="806"/>
      <c r="WSJ31" s="806"/>
      <c r="WSK31" s="806"/>
      <c r="WSL31" s="806"/>
      <c r="WSM31" s="806"/>
      <c r="WSN31" s="806"/>
      <c r="WSO31" s="806"/>
      <c r="WSP31" s="806"/>
      <c r="WSQ31" s="806"/>
      <c r="WSR31" s="806"/>
      <c r="WSS31" s="806"/>
      <c r="WST31" s="806"/>
      <c r="WSU31" s="806"/>
      <c r="WSV31" s="806"/>
      <c r="WSW31" s="806"/>
      <c r="WSX31" s="806"/>
      <c r="WSY31" s="806"/>
      <c r="WSZ31" s="806"/>
      <c r="WTA31" s="806"/>
      <c r="WTB31" s="806"/>
      <c r="WTC31" s="806"/>
      <c r="WTD31" s="806"/>
      <c r="WTE31" s="806"/>
      <c r="WTF31" s="806"/>
      <c r="WTG31" s="806"/>
      <c r="WTH31" s="806"/>
      <c r="WTI31" s="806"/>
      <c r="WTJ31" s="806"/>
      <c r="WTK31" s="806"/>
      <c r="WTL31" s="806"/>
      <c r="WTM31" s="806"/>
      <c r="WTN31" s="806"/>
      <c r="WTO31" s="806"/>
      <c r="WTP31" s="806"/>
      <c r="WTQ31" s="806"/>
      <c r="WTR31" s="806"/>
      <c r="WTS31" s="806"/>
      <c r="WTT31" s="806"/>
      <c r="WTU31" s="806"/>
      <c r="WTV31" s="806"/>
      <c r="WTW31" s="806"/>
      <c r="WTX31" s="806"/>
      <c r="WTY31" s="806"/>
      <c r="WTZ31" s="806"/>
      <c r="WUA31" s="806"/>
      <c r="WUB31" s="806"/>
      <c r="WUC31" s="806"/>
      <c r="WUD31" s="806"/>
      <c r="WUE31" s="806"/>
      <c r="WUF31" s="806"/>
      <c r="WUG31" s="806"/>
      <c r="WUH31" s="806"/>
      <c r="WUI31" s="806"/>
      <c r="WUJ31" s="806"/>
      <c r="WUK31" s="806"/>
      <c r="WUL31" s="806"/>
      <c r="WUM31" s="806"/>
      <c r="WUN31" s="806"/>
      <c r="WUO31" s="806"/>
      <c r="WUP31" s="806"/>
      <c r="WUQ31" s="806"/>
      <c r="WUR31" s="806"/>
      <c r="WUS31" s="806"/>
      <c r="WUT31" s="806"/>
      <c r="WUU31" s="806"/>
      <c r="WUV31" s="806"/>
      <c r="WUW31" s="806"/>
      <c r="WUX31" s="806"/>
      <c r="WUY31" s="806"/>
      <c r="WUZ31" s="806"/>
      <c r="WVA31" s="806"/>
      <c r="WVB31" s="806"/>
      <c r="WVC31" s="806"/>
      <c r="WVD31" s="806"/>
      <c r="WVE31" s="806"/>
      <c r="WVF31" s="806"/>
      <c r="WVG31" s="806"/>
      <c r="WVH31" s="806"/>
      <c r="WVI31" s="806"/>
      <c r="WVJ31" s="806"/>
      <c r="WVK31" s="806"/>
      <c r="WVL31" s="806"/>
      <c r="WVM31" s="806"/>
      <c r="WVN31" s="806"/>
      <c r="WVO31" s="806"/>
      <c r="WVP31" s="806"/>
      <c r="WVQ31" s="806"/>
      <c r="WVR31" s="806"/>
      <c r="WVS31" s="806"/>
      <c r="WVT31" s="806"/>
      <c r="WVU31" s="806"/>
      <c r="WVV31" s="806"/>
      <c r="WVW31" s="806"/>
      <c r="WVX31" s="806"/>
      <c r="WVY31" s="806"/>
      <c r="WVZ31" s="806"/>
      <c r="WWA31" s="806"/>
      <c r="WWB31" s="806"/>
      <c r="WWC31" s="806"/>
      <c r="WWD31" s="806"/>
      <c r="WWE31" s="806"/>
      <c r="WWF31" s="806"/>
      <c r="WWG31" s="806"/>
      <c r="WWH31" s="806"/>
      <c r="WWI31" s="806"/>
      <c r="WWJ31" s="806"/>
      <c r="WWK31" s="806"/>
      <c r="WWL31" s="806"/>
      <c r="WWM31" s="806"/>
      <c r="WWN31" s="806"/>
      <c r="WWO31" s="806"/>
      <c r="WWP31" s="806"/>
      <c r="WWQ31" s="806"/>
      <c r="WWR31" s="806"/>
      <c r="WWS31" s="806"/>
      <c r="WWT31" s="806"/>
      <c r="WWU31" s="806"/>
      <c r="WWV31" s="806"/>
      <c r="WWW31" s="806"/>
      <c r="WWX31" s="806"/>
      <c r="WWY31" s="806"/>
      <c r="WWZ31" s="806"/>
      <c r="WXA31" s="806"/>
      <c r="WXB31" s="806"/>
      <c r="WXC31" s="806"/>
      <c r="WXD31" s="806"/>
      <c r="WXE31" s="806"/>
      <c r="WXF31" s="806"/>
      <c r="WXG31" s="806"/>
      <c r="WXH31" s="806"/>
      <c r="WXI31" s="806"/>
      <c r="WXJ31" s="806"/>
      <c r="WXK31" s="806"/>
      <c r="WXL31" s="806"/>
      <c r="WXM31" s="806"/>
      <c r="WXN31" s="806"/>
      <c r="WXO31" s="806"/>
      <c r="WXP31" s="806"/>
      <c r="WXQ31" s="806"/>
      <c r="WXR31" s="806"/>
      <c r="WXS31" s="806"/>
      <c r="WXT31" s="806"/>
      <c r="WXU31" s="806"/>
      <c r="WXV31" s="806"/>
      <c r="WXW31" s="806"/>
      <c r="WXX31" s="806"/>
      <c r="WXY31" s="806"/>
      <c r="WXZ31" s="806"/>
      <c r="WYA31" s="806"/>
      <c r="WYB31" s="806"/>
      <c r="WYC31" s="806"/>
      <c r="WYD31" s="806"/>
      <c r="WYE31" s="806"/>
      <c r="WYF31" s="806"/>
      <c r="WYG31" s="806"/>
      <c r="WYH31" s="806"/>
      <c r="WYI31" s="806"/>
      <c r="WYJ31" s="806"/>
      <c r="WYK31" s="806"/>
      <c r="WYL31" s="806"/>
      <c r="WYM31" s="806"/>
      <c r="WYN31" s="806"/>
      <c r="WYO31" s="806"/>
      <c r="WYP31" s="806"/>
      <c r="WYQ31" s="806"/>
      <c r="WYR31" s="806"/>
      <c r="WYS31" s="806"/>
      <c r="WYT31" s="806"/>
      <c r="WYU31" s="806"/>
      <c r="WYV31" s="806"/>
      <c r="WYW31" s="806"/>
      <c r="WYX31" s="806"/>
      <c r="WYY31" s="806"/>
      <c r="WYZ31" s="806"/>
      <c r="WZA31" s="806"/>
      <c r="WZB31" s="806"/>
      <c r="WZC31" s="806"/>
      <c r="WZD31" s="806"/>
      <c r="WZE31" s="806"/>
      <c r="WZF31" s="806"/>
      <c r="WZG31" s="806"/>
      <c r="WZH31" s="806"/>
      <c r="WZI31" s="806"/>
      <c r="WZJ31" s="806"/>
      <c r="WZK31" s="806"/>
      <c r="WZL31" s="806"/>
      <c r="WZM31" s="806"/>
      <c r="WZN31" s="806"/>
      <c r="WZO31" s="806"/>
      <c r="WZP31" s="806"/>
      <c r="WZQ31" s="806"/>
      <c r="WZR31" s="806"/>
      <c r="WZS31" s="806"/>
      <c r="WZT31" s="806"/>
      <c r="WZU31" s="806"/>
      <c r="WZV31" s="806"/>
      <c r="WZW31" s="806"/>
      <c r="WZX31" s="806"/>
      <c r="WZY31" s="806"/>
      <c r="WZZ31" s="806"/>
      <c r="XAA31" s="806"/>
      <c r="XAB31" s="806"/>
      <c r="XAC31" s="806"/>
      <c r="XAD31" s="806"/>
      <c r="XAE31" s="806"/>
      <c r="XAF31" s="806"/>
      <c r="XAG31" s="806"/>
      <c r="XAH31" s="806"/>
      <c r="XAI31" s="806"/>
      <c r="XAJ31" s="806"/>
      <c r="XAK31" s="806"/>
      <c r="XAL31" s="806"/>
      <c r="XAM31" s="806"/>
      <c r="XAN31" s="806"/>
      <c r="XAO31" s="806"/>
      <c r="XAP31" s="806"/>
      <c r="XAQ31" s="806"/>
      <c r="XAR31" s="806"/>
      <c r="XAS31" s="806"/>
      <c r="XAT31" s="806"/>
      <c r="XAU31" s="806"/>
      <c r="XAV31" s="806"/>
      <c r="XAW31" s="806"/>
      <c r="XAX31" s="806"/>
      <c r="XAY31" s="806"/>
      <c r="XAZ31" s="806"/>
      <c r="XBA31" s="806"/>
      <c r="XBB31" s="806"/>
      <c r="XBC31" s="806"/>
      <c r="XBD31" s="806"/>
      <c r="XBE31" s="806"/>
      <c r="XBF31" s="806"/>
      <c r="XBG31" s="806"/>
      <c r="XBH31" s="806"/>
      <c r="XBI31" s="806"/>
      <c r="XBJ31" s="806"/>
      <c r="XBK31" s="806"/>
      <c r="XBL31" s="806"/>
      <c r="XBM31" s="806"/>
      <c r="XBN31" s="806"/>
      <c r="XBO31" s="806"/>
      <c r="XBP31" s="806"/>
      <c r="XBQ31" s="806"/>
      <c r="XBR31" s="806"/>
      <c r="XBS31" s="806"/>
      <c r="XBT31" s="806"/>
      <c r="XBU31" s="806"/>
      <c r="XBV31" s="806"/>
      <c r="XBW31" s="806"/>
      <c r="XBX31" s="806"/>
      <c r="XBY31" s="806"/>
      <c r="XBZ31" s="806"/>
      <c r="XCA31" s="806"/>
      <c r="XCB31" s="806"/>
      <c r="XCC31" s="806"/>
      <c r="XCD31" s="806"/>
      <c r="XCE31" s="806"/>
      <c r="XCF31" s="806"/>
      <c r="XCG31" s="806"/>
      <c r="XCH31" s="806"/>
      <c r="XCI31" s="806"/>
      <c r="XCJ31" s="806"/>
      <c r="XCK31" s="806"/>
      <c r="XCL31" s="806"/>
      <c r="XCM31" s="806"/>
      <c r="XCN31" s="806"/>
      <c r="XCO31" s="806"/>
      <c r="XCP31" s="806"/>
      <c r="XCQ31" s="806"/>
      <c r="XCR31" s="806"/>
      <c r="XCS31" s="806"/>
      <c r="XCT31" s="806"/>
      <c r="XCU31" s="806"/>
      <c r="XCV31" s="806"/>
      <c r="XCW31" s="806"/>
      <c r="XCX31" s="806"/>
      <c r="XCY31" s="806"/>
      <c r="XCZ31" s="806"/>
      <c r="XDA31" s="806"/>
      <c r="XDB31" s="806"/>
      <c r="XDC31" s="806"/>
      <c r="XDD31" s="806"/>
      <c r="XDE31" s="806"/>
      <c r="XDF31" s="806"/>
      <c r="XDG31" s="806"/>
      <c r="XDH31" s="806"/>
      <c r="XDI31" s="806"/>
      <c r="XDJ31" s="806"/>
      <c r="XDK31" s="806"/>
      <c r="XDL31" s="806"/>
      <c r="XDM31" s="806"/>
      <c r="XDN31" s="806"/>
      <c r="XDO31" s="806"/>
      <c r="XDP31" s="806"/>
      <c r="XDQ31" s="806"/>
      <c r="XDR31" s="806"/>
      <c r="XDS31" s="806"/>
      <c r="XDT31" s="806"/>
      <c r="XDU31" s="806"/>
      <c r="XDV31" s="806"/>
      <c r="XDW31" s="806"/>
      <c r="XDX31" s="806"/>
      <c r="XDY31" s="806"/>
      <c r="XDZ31" s="806"/>
    </row>
    <row r="32" spans="1:16354">
      <c r="G32" s="817"/>
      <c r="N32" s="845"/>
      <c r="O32" s="962"/>
      <c r="P32" s="962"/>
      <c r="Q32" s="962"/>
      <c r="R32" s="962"/>
      <c r="S32" s="962"/>
      <c r="T32" s="962"/>
      <c r="U32" s="1039"/>
    </row>
    <row r="33" spans="1:16354">
      <c r="C33" s="841" t="s">
        <v>281</v>
      </c>
      <c r="D33" s="842"/>
      <c r="E33" s="842"/>
      <c r="F33" s="943">
        <f>+F25/F34</f>
        <v>164.88982037748815</v>
      </c>
      <c r="G33" s="943">
        <f>+G25/G34</f>
        <v>238.06073448256075</v>
      </c>
      <c r="H33" s="944">
        <f>+H25/H34</f>
        <v>312.41469366978868</v>
      </c>
      <c r="I33" s="846"/>
      <c r="J33" s="846"/>
      <c r="L33" s="825" t="s">
        <v>284</v>
      </c>
      <c r="M33" s="825"/>
      <c r="N33" s="837">
        <f t="shared" ref="N33:T33" si="5">+N16-N31</f>
        <v>3010</v>
      </c>
      <c r="O33" s="837">
        <f t="shared" si="5"/>
        <v>3240</v>
      </c>
      <c r="P33" s="837">
        <f t="shared" si="5"/>
        <v>4231</v>
      </c>
      <c r="Q33" s="837">
        <f t="shared" si="5"/>
        <v>4557.3461400000015</v>
      </c>
      <c r="R33" s="837">
        <f t="shared" si="5"/>
        <v>4841.0720393514857</v>
      </c>
      <c r="S33" s="837">
        <f t="shared" si="5"/>
        <v>5093.2918836156095</v>
      </c>
      <c r="T33" s="837">
        <f t="shared" si="5"/>
        <v>5347.162288429332</v>
      </c>
      <c r="U33" s="1042"/>
    </row>
    <row r="34" spans="1:16354">
      <c r="C34" s="838" t="s">
        <v>286</v>
      </c>
      <c r="D34" s="838"/>
      <c r="E34" s="838"/>
      <c r="F34" s="850">
        <f>+G34</f>
        <v>280.14777629888539</v>
      </c>
      <c r="G34" s="851">
        <f>+$R$42</f>
        <v>280.14777629888539</v>
      </c>
      <c r="H34" s="850">
        <f>+G34</f>
        <v>280.14777629888539</v>
      </c>
      <c r="I34" s="852"/>
      <c r="J34" s="852"/>
      <c r="L34" s="839" t="s">
        <v>128</v>
      </c>
      <c r="M34" s="839"/>
      <c r="N34" s="826">
        <f>+Model!BE219</f>
        <v>3499</v>
      </c>
      <c r="O34" s="826">
        <f>+Model!BJ219</f>
        <v>3755</v>
      </c>
      <c r="P34" s="826">
        <f>+Model!BP219</f>
        <v>3868</v>
      </c>
      <c r="Q34" s="826">
        <f>+Model!BU219</f>
        <v>4182.3461400000006</v>
      </c>
      <c r="R34" s="826">
        <f>+Model!BZ219</f>
        <v>4688.0520393514853</v>
      </c>
      <c r="S34" s="826">
        <f>+Model!CE219</f>
        <v>5208.3506836156075</v>
      </c>
      <c r="T34" s="826">
        <f>+Model!CJ219</f>
        <v>5501.524616429333</v>
      </c>
      <c r="U34" s="1043"/>
    </row>
    <row r="35" spans="1:16354">
      <c r="A35" s="825"/>
      <c r="B35" s="819"/>
      <c r="H35" s="846"/>
      <c r="I35" s="846"/>
      <c r="J35" s="846"/>
      <c r="N35" s="805"/>
      <c r="O35" s="962"/>
      <c r="P35" s="962"/>
      <c r="Q35" s="962"/>
      <c r="R35" s="962"/>
      <c r="S35" s="962"/>
      <c r="T35" s="962"/>
      <c r="U35" s="1040"/>
    </row>
    <row r="36" spans="1:16354">
      <c r="B36" s="807" t="s">
        <v>287</v>
      </c>
      <c r="C36" s="808"/>
      <c r="D36" s="808"/>
      <c r="E36" s="810">
        <v>2016</v>
      </c>
      <c r="F36" s="811">
        <v>2017</v>
      </c>
      <c r="G36" s="811">
        <v>2018</v>
      </c>
      <c r="H36" s="811">
        <v>2019</v>
      </c>
      <c r="I36" s="811">
        <v>2020</v>
      </c>
      <c r="J36" s="811">
        <v>2021</v>
      </c>
      <c r="L36" s="806" t="s">
        <v>221</v>
      </c>
      <c r="N36" s="849">
        <f>+Model!BE234</f>
        <v>-222</v>
      </c>
      <c r="O36" s="849">
        <f>+Model!BJ234</f>
        <v>-216</v>
      </c>
      <c r="P36" s="849">
        <f>+Model!BP234</f>
        <v>-184</v>
      </c>
      <c r="Q36" s="849">
        <f>+Model!BU234</f>
        <v>-175.10857709469508</v>
      </c>
      <c r="R36" s="849">
        <f>+Model!BZ234</f>
        <v>-174</v>
      </c>
      <c r="S36" s="849">
        <f>+Model!CE234</f>
        <v>-171</v>
      </c>
      <c r="T36" s="849">
        <f>+Model!CJ234</f>
        <v>-169</v>
      </c>
      <c r="U36" s="1044"/>
    </row>
    <row r="37" spans="1:16354">
      <c r="A37" s="825"/>
      <c r="B37" s="819"/>
      <c r="C37" s="806" t="s">
        <v>304</v>
      </c>
      <c r="D37"/>
      <c r="E37" s="848">
        <f t="shared" ref="E37:H41" si="6">+O9/N9-1</f>
        <v>-6.3451342568838776E-2</v>
      </c>
      <c r="F37" s="848">
        <f t="shared" si="6"/>
        <v>5.9897735573411159E-2</v>
      </c>
      <c r="G37" s="848">
        <f t="shared" si="6"/>
        <v>5.0267057201929921E-2</v>
      </c>
      <c r="H37" s="848">
        <f t="shared" si="6"/>
        <v>6.0000000000000053E-2</v>
      </c>
      <c r="I37" s="848">
        <f t="shared" ref="I37:J39" si="7">+S9/R9-1</f>
        <v>6.0000000000000053E-2</v>
      </c>
      <c r="J37" s="848">
        <f t="shared" si="7"/>
        <v>6.0000000000000053E-2</v>
      </c>
      <c r="L37" s="806" t="s">
        <v>220</v>
      </c>
      <c r="N37" s="849">
        <f>+Model!BE235</f>
        <v>-4</v>
      </c>
      <c r="O37" s="849">
        <f>+Model!BJ235</f>
        <v>6</v>
      </c>
      <c r="P37" s="849">
        <f>+Model!BP235</f>
        <v>-934</v>
      </c>
      <c r="Q37" s="849">
        <f>+Model!BU235</f>
        <v>-958</v>
      </c>
      <c r="R37" s="849">
        <f>+Model!BZ235</f>
        <v>-771</v>
      </c>
      <c r="S37" s="849">
        <f>+Model!CE235</f>
        <v>-540</v>
      </c>
      <c r="T37" s="849">
        <f>+Model!CJ235</f>
        <v>-540</v>
      </c>
      <c r="U37" s="1037"/>
    </row>
    <row r="38" spans="1:16354">
      <c r="B38" s="959"/>
      <c r="C38" s="806" t="s">
        <v>305</v>
      </c>
      <c r="D38"/>
      <c r="E38" s="848">
        <f t="shared" si="6"/>
        <v>1.3582065128456833E-2</v>
      </c>
      <c r="F38" s="848">
        <f t="shared" si="6"/>
        <v>-2.7445915402002363E-3</v>
      </c>
      <c r="G38" s="848">
        <f t="shared" si="6"/>
        <v>2.0105229075603193E-2</v>
      </c>
      <c r="H38" s="848">
        <f t="shared" si="6"/>
        <v>3.0000000000000027E-2</v>
      </c>
      <c r="I38" s="848">
        <f t="shared" si="7"/>
        <v>4.0000000000000036E-2</v>
      </c>
      <c r="J38" s="848">
        <f t="shared" si="7"/>
        <v>4.0000000000000036E-2</v>
      </c>
      <c r="L38" s="806" t="s">
        <v>285</v>
      </c>
      <c r="N38" s="849">
        <f>+Model!BE237</f>
        <v>733</v>
      </c>
      <c r="O38" s="849">
        <f>+Model!BJ237</f>
        <v>858</v>
      </c>
      <c r="P38" s="849">
        <f>+Model!BP237</f>
        <v>918</v>
      </c>
      <c r="Q38" s="849">
        <f>+Model!BU237</f>
        <v>633.48394913748143</v>
      </c>
      <c r="R38" s="849">
        <f>+Model!BZ237</f>
        <v>740.25368747678226</v>
      </c>
      <c r="S38" s="849">
        <f>+Model!CE237</f>
        <v>832.63545788696547</v>
      </c>
      <c r="T38" s="849">
        <f>+Model!CJ237</f>
        <v>881.25083480157321</v>
      </c>
      <c r="U38" s="1069"/>
    </row>
    <row r="39" spans="1:16354">
      <c r="B39" s="819"/>
      <c r="C39" s="806" t="s">
        <v>306</v>
      </c>
      <c r="D39"/>
      <c r="E39" s="848">
        <f t="shared" si="6"/>
        <v>7.8553996339231213E-2</v>
      </c>
      <c r="F39" s="848">
        <f t="shared" si="6"/>
        <v>0.10125866214113977</v>
      </c>
      <c r="G39" s="848">
        <f t="shared" si="6"/>
        <v>0.10055091819699524</v>
      </c>
      <c r="H39" s="848">
        <f t="shared" si="6"/>
        <v>7.0000000000000062E-2</v>
      </c>
      <c r="I39" s="848">
        <f t="shared" si="7"/>
        <v>7.0000000000000062E-2</v>
      </c>
      <c r="J39" s="848">
        <f t="shared" si="7"/>
        <v>7.0000000000000062E-2</v>
      </c>
      <c r="L39" s="806" t="s">
        <v>326</v>
      </c>
      <c r="N39" s="849">
        <f>+Model!BE240</f>
        <v>7</v>
      </c>
      <c r="O39" s="849">
        <f>+Model!BJ240</f>
        <v>36</v>
      </c>
      <c r="P39" s="849">
        <f>+Model!BP240</f>
        <v>23</v>
      </c>
      <c r="Q39" s="849">
        <f>+Model!BU240</f>
        <v>20</v>
      </c>
      <c r="R39" s="849">
        <f>+Model!BZ240</f>
        <v>20</v>
      </c>
      <c r="S39" s="849">
        <f>+Model!CE240</f>
        <v>20</v>
      </c>
      <c r="T39" s="849">
        <f>+Model!CJ240</f>
        <v>20</v>
      </c>
      <c r="U39" s="1044"/>
    </row>
    <row r="40" spans="1:16354">
      <c r="B40" s="819"/>
      <c r="C40" s="806" t="s">
        <v>307</v>
      </c>
      <c r="D40"/>
      <c r="E40" s="848">
        <f t="shared" si="6"/>
        <v>6.9530710835058684E-2</v>
      </c>
      <c r="F40" s="848">
        <f t="shared" si="6"/>
        <v>3.7264074850782425E-2</v>
      </c>
      <c r="G40" s="848">
        <f t="shared" si="6"/>
        <v>4.0178849144634654E-2</v>
      </c>
      <c r="H40" s="848">
        <f t="shared" si="6"/>
        <v>5.0000000000000044E-2</v>
      </c>
      <c r="I40" s="848">
        <f t="shared" ref="I40:J41" si="8">+S12/R12-1</f>
        <v>5.0000000000000044E-2</v>
      </c>
      <c r="J40" s="848">
        <f t="shared" si="8"/>
        <v>5.0000000000000044E-2</v>
      </c>
      <c r="O40" s="962"/>
      <c r="P40" s="962"/>
      <c r="Q40" s="962"/>
      <c r="R40" s="962"/>
      <c r="S40" s="962"/>
      <c r="T40" s="962"/>
      <c r="U40" s="1039"/>
    </row>
    <row r="41" spans="1:16354">
      <c r="B41" s="819"/>
      <c r="C41" s="806" t="s">
        <v>253</v>
      </c>
      <c r="D41"/>
      <c r="E41" s="848">
        <f t="shared" si="6"/>
        <v>0.73475609756097571</v>
      </c>
      <c r="F41" s="848">
        <f t="shared" si="6"/>
        <v>6.8541300527240834E-2</v>
      </c>
      <c r="G41" s="848">
        <f t="shared" si="6"/>
        <v>6.999999999999984E-2</v>
      </c>
      <c r="H41" s="848">
        <f t="shared" si="6"/>
        <v>7.0000000000000062E-2</v>
      </c>
      <c r="I41" s="848">
        <f t="shared" si="8"/>
        <v>8.0000000000000071E-2</v>
      </c>
      <c r="J41" s="848">
        <f t="shared" si="8"/>
        <v>9.000000000000008E-2</v>
      </c>
      <c r="L41" s="825" t="s">
        <v>224</v>
      </c>
      <c r="N41" s="854">
        <f>+N33+N36+N37-N38+N39</f>
        <v>2058</v>
      </c>
      <c r="O41" s="854">
        <f t="shared" ref="O41:T41" si="9">+O33+O36+O37-O38+O39</f>
        <v>2208</v>
      </c>
      <c r="P41" s="854">
        <f t="shared" si="9"/>
        <v>2218</v>
      </c>
      <c r="Q41" s="854">
        <f t="shared" si="9"/>
        <v>2810.7536137678253</v>
      </c>
      <c r="R41" s="854">
        <f t="shared" si="9"/>
        <v>3175.8183518747037</v>
      </c>
      <c r="S41" s="854">
        <f t="shared" si="9"/>
        <v>3569.6564257286441</v>
      </c>
      <c r="T41" s="854">
        <f t="shared" si="9"/>
        <v>3776.9114536277589</v>
      </c>
      <c r="U41" s="1045"/>
    </row>
    <row r="42" spans="1:16354">
      <c r="B42" s="819"/>
      <c r="C42" s="825" t="s">
        <v>290</v>
      </c>
      <c r="D42"/>
      <c r="E42" s="857">
        <f>+O16/N16-1</f>
        <v>3.5488450122596493E-2</v>
      </c>
      <c r="F42" s="857">
        <f>+P16/O16-1</f>
        <v>5.3007643735460297E-2</v>
      </c>
      <c r="G42" s="857">
        <f>+Q16/P16-1</f>
        <v>5.7668589237809931E-2</v>
      </c>
      <c r="H42" s="857">
        <f>+R16/Q16-1</f>
        <v>5.4534878235905415E-2</v>
      </c>
      <c r="I42" s="857">
        <f t="shared" ref="I42:J42" si="10">+S16/R16-1</f>
        <v>5.6910895008598361E-2</v>
      </c>
      <c r="J42" s="857">
        <f t="shared" si="10"/>
        <v>5.7207542355598662E-2</v>
      </c>
      <c r="L42" s="806" t="s">
        <v>288</v>
      </c>
      <c r="N42" s="849">
        <f>+Model!BE267</f>
        <v>305.2</v>
      </c>
      <c r="O42" s="849">
        <f>+Model!BJ267</f>
        <v>296.8</v>
      </c>
      <c r="P42" s="817">
        <f>+Model!BP267</f>
        <v>291.39999999999998</v>
      </c>
      <c r="Q42" s="817">
        <f>+Model!BU267</f>
        <v>287.33105261424146</v>
      </c>
      <c r="R42" s="817">
        <f>+Model!BZ267</f>
        <v>280.14777629888539</v>
      </c>
      <c r="S42" s="817">
        <f>+Model!CE267</f>
        <v>273.14408189141324</v>
      </c>
      <c r="T42" s="817">
        <f>+Model!CJ267</f>
        <v>266.31547984412788</v>
      </c>
      <c r="U42" s="1038"/>
    </row>
    <row r="43" spans="1:16354">
      <c r="D43"/>
      <c r="E43" s="469"/>
      <c r="F43" s="469"/>
      <c r="G43" s="469"/>
      <c r="H43" s="469"/>
      <c r="I43" s="469"/>
      <c r="J43" s="469"/>
      <c r="L43" s="825" t="s">
        <v>289</v>
      </c>
      <c r="M43" s="825"/>
      <c r="N43" s="855">
        <f t="shared" ref="N43:T43" si="11">+N41/N42</f>
        <v>6.7431192660550465</v>
      </c>
      <c r="O43" s="855">
        <f>+O41/O42</f>
        <v>7.4393530997304582</v>
      </c>
      <c r="P43" s="855">
        <f t="shared" si="11"/>
        <v>7.611530542210021</v>
      </c>
      <c r="Q43" s="855">
        <f t="shared" si="11"/>
        <v>9.782282799560214</v>
      </c>
      <c r="R43" s="855">
        <f t="shared" si="11"/>
        <v>11.336225451550511</v>
      </c>
      <c r="S43" s="855">
        <f t="shared" si="11"/>
        <v>13.068767227209188</v>
      </c>
      <c r="T43" s="855">
        <f t="shared" si="11"/>
        <v>14.182095069495592</v>
      </c>
      <c r="U43" s="1068"/>
      <c r="V43" s="819"/>
      <c r="W43" s="819"/>
      <c r="X43" s="819"/>
      <c r="Y43" s="819"/>
      <c r="Z43" s="819"/>
      <c r="AA43" s="819"/>
      <c r="AB43" s="819"/>
      <c r="AC43" s="819"/>
      <c r="AD43" s="819"/>
      <c r="AE43" s="819"/>
      <c r="AF43" s="819"/>
      <c r="AG43" s="819"/>
      <c r="AH43" s="819"/>
      <c r="AI43" s="819"/>
      <c r="AJ43" s="819"/>
      <c r="AK43" s="819"/>
      <c r="AL43" s="819"/>
      <c r="AM43" s="819"/>
      <c r="AN43" s="819"/>
      <c r="AO43" s="819"/>
      <c r="AP43" s="819"/>
      <c r="AQ43" s="819"/>
      <c r="AR43" s="819"/>
      <c r="AS43" s="819"/>
      <c r="AT43" s="819"/>
      <c r="AU43" s="819"/>
      <c r="AV43" s="819"/>
      <c r="AW43" s="819"/>
      <c r="AX43" s="819"/>
      <c r="AY43" s="819"/>
      <c r="AZ43" s="819"/>
      <c r="BA43" s="819"/>
      <c r="BB43" s="819"/>
      <c r="BC43" s="819"/>
      <c r="BD43" s="819"/>
      <c r="BE43" s="819"/>
      <c r="BF43" s="819"/>
      <c r="BG43" s="819"/>
      <c r="BH43" s="819"/>
      <c r="BI43" s="819"/>
      <c r="BJ43" s="819"/>
      <c r="BK43" s="819"/>
      <c r="BL43" s="819"/>
      <c r="BM43" s="819"/>
      <c r="BN43" s="819"/>
      <c r="BO43" s="819"/>
      <c r="BP43" s="819"/>
      <c r="BQ43" s="819"/>
      <c r="BR43" s="819"/>
      <c r="BS43" s="819"/>
      <c r="BT43" s="819"/>
      <c r="BU43" s="819"/>
      <c r="BV43" s="819"/>
      <c r="BW43" s="819"/>
      <c r="BX43" s="819"/>
      <c r="BY43" s="819"/>
      <c r="BZ43" s="819"/>
      <c r="CA43" s="819"/>
      <c r="CB43" s="819"/>
      <c r="CC43" s="819"/>
      <c r="CD43" s="819"/>
      <c r="CE43" s="819"/>
      <c r="CF43" s="819"/>
      <c r="CG43" s="819"/>
      <c r="CH43" s="819"/>
      <c r="CI43" s="819"/>
      <c r="CJ43" s="819"/>
      <c r="CK43" s="819"/>
      <c r="CL43" s="819"/>
      <c r="CM43" s="819"/>
      <c r="CN43" s="819"/>
      <c r="CO43" s="819"/>
      <c r="CP43" s="819"/>
      <c r="CQ43" s="819"/>
      <c r="CR43" s="819"/>
      <c r="CS43" s="819"/>
      <c r="CT43" s="819"/>
      <c r="CU43" s="819"/>
      <c r="CV43" s="819"/>
      <c r="CW43" s="819"/>
      <c r="CX43" s="819"/>
      <c r="CY43" s="819"/>
      <c r="CZ43" s="819"/>
      <c r="DA43" s="819"/>
      <c r="DB43" s="819"/>
      <c r="DC43" s="819"/>
      <c r="DD43" s="819"/>
      <c r="DE43" s="819"/>
      <c r="DF43" s="819"/>
      <c r="DG43" s="819"/>
      <c r="DH43" s="819"/>
      <c r="DI43" s="819"/>
      <c r="DJ43" s="819"/>
      <c r="DK43" s="819"/>
      <c r="DL43" s="819"/>
      <c r="DM43" s="819"/>
      <c r="DN43" s="819"/>
      <c r="DO43" s="819"/>
      <c r="DP43" s="819"/>
      <c r="DQ43" s="819"/>
      <c r="DR43" s="819"/>
      <c r="DS43" s="819"/>
      <c r="DT43" s="819"/>
      <c r="DU43" s="819"/>
      <c r="DV43" s="819"/>
      <c r="DW43" s="819"/>
      <c r="DX43" s="819"/>
      <c r="DY43" s="819"/>
      <c r="DZ43" s="819"/>
      <c r="EA43" s="819"/>
      <c r="EB43" s="819"/>
      <c r="EC43" s="819"/>
      <c r="ED43" s="819"/>
      <c r="EE43" s="819"/>
      <c r="EF43" s="819"/>
      <c r="EG43" s="819"/>
      <c r="EH43" s="819"/>
      <c r="EI43" s="819"/>
      <c r="EJ43" s="819"/>
      <c r="EK43" s="819"/>
      <c r="EL43" s="819"/>
      <c r="EM43" s="819"/>
      <c r="EN43" s="819"/>
      <c r="EO43" s="819"/>
      <c r="EP43" s="819"/>
      <c r="EQ43" s="819"/>
      <c r="ER43" s="819"/>
      <c r="ES43" s="819"/>
      <c r="ET43" s="819"/>
      <c r="EU43" s="819"/>
      <c r="EV43" s="819"/>
      <c r="EW43" s="819"/>
      <c r="EX43" s="819"/>
      <c r="EY43" s="819"/>
      <c r="EZ43" s="819"/>
      <c r="FA43" s="819"/>
      <c r="FB43" s="819"/>
      <c r="FC43" s="819"/>
      <c r="FD43" s="819"/>
      <c r="FE43" s="819"/>
      <c r="FF43" s="819"/>
      <c r="FG43" s="819"/>
      <c r="FH43" s="819"/>
      <c r="FI43" s="819"/>
      <c r="FJ43" s="819"/>
      <c r="FK43" s="819"/>
      <c r="FL43" s="819"/>
      <c r="FM43" s="819"/>
      <c r="FN43" s="819"/>
      <c r="FO43" s="819"/>
      <c r="FP43" s="819"/>
      <c r="FQ43" s="819"/>
      <c r="FR43" s="819"/>
      <c r="FS43" s="819"/>
      <c r="FT43" s="819"/>
      <c r="FU43" s="819"/>
      <c r="FV43" s="819"/>
      <c r="FW43" s="819"/>
      <c r="FX43" s="819"/>
      <c r="FY43" s="819"/>
      <c r="FZ43" s="819"/>
      <c r="GA43" s="819"/>
      <c r="GB43" s="819"/>
      <c r="GC43" s="819"/>
      <c r="GD43" s="819"/>
      <c r="GE43" s="819"/>
      <c r="GF43" s="819"/>
      <c r="GG43" s="819"/>
      <c r="GH43" s="819"/>
      <c r="GI43" s="819"/>
      <c r="GJ43" s="819"/>
      <c r="GK43" s="819"/>
      <c r="GL43" s="819"/>
      <c r="GM43" s="819"/>
      <c r="GN43" s="819"/>
      <c r="GO43" s="819"/>
      <c r="GP43" s="819"/>
      <c r="GQ43" s="819"/>
      <c r="GR43" s="819"/>
      <c r="GS43" s="819"/>
      <c r="GT43" s="819"/>
      <c r="GU43" s="819"/>
      <c r="GV43" s="819"/>
      <c r="GW43" s="819"/>
      <c r="GX43" s="819"/>
      <c r="GY43" s="819"/>
      <c r="GZ43" s="819"/>
      <c r="HA43" s="819"/>
      <c r="HB43" s="819"/>
      <c r="HC43" s="819"/>
      <c r="HD43" s="819"/>
      <c r="HE43" s="819"/>
      <c r="HF43" s="819"/>
      <c r="HG43" s="819"/>
      <c r="HH43" s="819"/>
      <c r="HI43" s="819"/>
      <c r="HJ43" s="819"/>
      <c r="HK43" s="819"/>
      <c r="HL43" s="819"/>
      <c r="HM43" s="819"/>
      <c r="HN43" s="819"/>
      <c r="HO43" s="819"/>
      <c r="HP43" s="819"/>
      <c r="HQ43" s="819"/>
      <c r="HR43" s="819"/>
      <c r="HS43" s="819"/>
      <c r="HT43" s="819"/>
      <c r="HU43" s="819"/>
      <c r="HV43" s="819"/>
      <c r="HW43" s="819"/>
      <c r="HX43" s="819"/>
      <c r="HY43" s="819"/>
      <c r="HZ43" s="819"/>
      <c r="IA43" s="819"/>
      <c r="IB43" s="819"/>
      <c r="IC43" s="819"/>
      <c r="ID43" s="819"/>
      <c r="IE43" s="819"/>
      <c r="IF43" s="819"/>
      <c r="IG43" s="819"/>
      <c r="IH43" s="819"/>
      <c r="II43" s="819"/>
      <c r="IJ43" s="819"/>
      <c r="IK43" s="819"/>
      <c r="IL43" s="819"/>
      <c r="IM43" s="819"/>
      <c r="IN43" s="819"/>
      <c r="IO43" s="819"/>
      <c r="IP43" s="819"/>
      <c r="IQ43" s="819"/>
      <c r="IR43" s="819"/>
      <c r="IS43" s="819"/>
      <c r="IT43" s="819"/>
      <c r="IU43" s="819"/>
      <c r="IV43" s="819"/>
      <c r="IW43" s="819"/>
      <c r="IX43" s="819"/>
      <c r="IY43" s="819"/>
      <c r="IZ43" s="819"/>
      <c r="JA43" s="819"/>
      <c r="JB43" s="819"/>
      <c r="JC43" s="819"/>
      <c r="JD43" s="819"/>
      <c r="JE43" s="819"/>
      <c r="JF43" s="819"/>
      <c r="JG43" s="819"/>
      <c r="JH43" s="819"/>
      <c r="JI43" s="819"/>
      <c r="JJ43" s="819"/>
      <c r="JK43" s="819"/>
      <c r="JL43" s="819"/>
      <c r="JM43" s="819"/>
      <c r="JN43" s="819"/>
      <c r="JO43" s="819"/>
      <c r="JP43" s="819"/>
      <c r="JQ43" s="819"/>
      <c r="JR43" s="819"/>
      <c r="JS43" s="819"/>
      <c r="JT43" s="819"/>
      <c r="JU43" s="819"/>
      <c r="JV43" s="819"/>
      <c r="JW43" s="819"/>
      <c r="JX43" s="819"/>
      <c r="JY43" s="819"/>
      <c r="JZ43" s="819"/>
      <c r="KA43" s="819"/>
      <c r="KB43" s="819"/>
      <c r="KC43" s="819"/>
      <c r="KD43" s="819"/>
      <c r="KE43" s="819"/>
      <c r="KF43" s="819"/>
      <c r="KG43" s="819"/>
      <c r="KH43" s="819"/>
      <c r="KI43" s="819"/>
      <c r="KJ43" s="819"/>
      <c r="KK43" s="819"/>
      <c r="KL43" s="819"/>
      <c r="KM43" s="819"/>
      <c r="KN43" s="819"/>
      <c r="KO43" s="819"/>
      <c r="KP43" s="819"/>
      <c r="KQ43" s="819"/>
      <c r="KR43" s="819"/>
      <c r="KS43" s="819"/>
      <c r="KT43" s="819"/>
      <c r="KU43" s="819"/>
      <c r="KV43" s="819"/>
      <c r="KW43" s="819"/>
      <c r="KX43" s="819"/>
      <c r="KY43" s="819"/>
      <c r="KZ43" s="819"/>
      <c r="LA43" s="819"/>
      <c r="LB43" s="819"/>
      <c r="LC43" s="819"/>
      <c r="LD43" s="819"/>
      <c r="LE43" s="819"/>
      <c r="LF43" s="819"/>
      <c r="LG43" s="819"/>
      <c r="LH43" s="819"/>
      <c r="LI43" s="819"/>
      <c r="LJ43" s="819"/>
      <c r="LK43" s="819"/>
      <c r="LL43" s="819"/>
      <c r="LM43" s="819"/>
      <c r="LN43" s="819"/>
      <c r="LO43" s="819"/>
      <c r="LP43" s="819"/>
      <c r="LQ43" s="819"/>
      <c r="LR43" s="819"/>
      <c r="LS43" s="819"/>
      <c r="LT43" s="819"/>
      <c r="LU43" s="819"/>
      <c r="LV43" s="819"/>
      <c r="LW43" s="819"/>
      <c r="LX43" s="819"/>
      <c r="LY43" s="819"/>
      <c r="LZ43" s="819"/>
      <c r="MA43" s="819"/>
      <c r="MB43" s="819"/>
      <c r="MC43" s="819"/>
      <c r="MD43" s="819"/>
      <c r="ME43" s="819"/>
      <c r="MF43" s="819"/>
      <c r="MG43" s="819"/>
      <c r="MH43" s="819"/>
      <c r="MI43" s="819"/>
      <c r="MJ43" s="819"/>
      <c r="MK43" s="819"/>
      <c r="ML43" s="819"/>
      <c r="MM43" s="819"/>
      <c r="MN43" s="819"/>
      <c r="MO43" s="819"/>
      <c r="MP43" s="819"/>
      <c r="MQ43" s="819"/>
      <c r="MR43" s="819"/>
      <c r="MS43" s="819"/>
      <c r="MT43" s="819"/>
      <c r="MU43" s="819"/>
      <c r="MV43" s="819"/>
      <c r="MW43" s="819"/>
      <c r="MX43" s="819"/>
      <c r="MY43" s="819"/>
      <c r="MZ43" s="819"/>
      <c r="NA43" s="819"/>
      <c r="NB43" s="819"/>
      <c r="NC43" s="819"/>
      <c r="ND43" s="819"/>
      <c r="NE43" s="819"/>
      <c r="NF43" s="819"/>
      <c r="NG43" s="819"/>
      <c r="NH43" s="819"/>
      <c r="NI43" s="819"/>
      <c r="NJ43" s="819"/>
      <c r="NK43" s="819"/>
      <c r="NL43" s="819"/>
      <c r="NM43" s="819"/>
      <c r="NN43" s="819"/>
      <c r="NO43" s="819"/>
      <c r="NP43" s="819"/>
      <c r="NQ43" s="819"/>
      <c r="NR43" s="819"/>
      <c r="NS43" s="819"/>
      <c r="NT43" s="819"/>
      <c r="NU43" s="819"/>
      <c r="NV43" s="819"/>
      <c r="NW43" s="819"/>
      <c r="NX43" s="819"/>
      <c r="NY43" s="819"/>
      <c r="NZ43" s="819"/>
      <c r="OA43" s="819"/>
      <c r="OB43" s="819"/>
      <c r="OC43" s="819"/>
      <c r="OD43" s="819"/>
      <c r="OE43" s="819"/>
      <c r="OF43" s="819"/>
      <c r="OG43" s="819"/>
      <c r="OH43" s="819"/>
      <c r="OI43" s="819"/>
      <c r="OJ43" s="819"/>
      <c r="OK43" s="819"/>
      <c r="OL43" s="819"/>
      <c r="OM43" s="819"/>
      <c r="ON43" s="819"/>
      <c r="OO43" s="819"/>
      <c r="OP43" s="819"/>
      <c r="OQ43" s="819"/>
      <c r="OR43" s="819"/>
      <c r="OS43" s="819"/>
      <c r="OT43" s="819"/>
      <c r="OU43" s="819"/>
      <c r="OV43" s="819"/>
      <c r="OW43" s="819"/>
      <c r="OX43" s="819"/>
      <c r="OY43" s="819"/>
      <c r="OZ43" s="819"/>
      <c r="PA43" s="819"/>
      <c r="PB43" s="819"/>
      <c r="PC43" s="819"/>
      <c r="PD43" s="819"/>
      <c r="PE43" s="819"/>
      <c r="PF43" s="819"/>
      <c r="PG43" s="819"/>
      <c r="PH43" s="819"/>
      <c r="PI43" s="819"/>
      <c r="PJ43" s="819"/>
      <c r="PK43" s="819"/>
      <c r="PL43" s="819"/>
      <c r="PM43" s="819"/>
      <c r="PN43" s="819"/>
      <c r="PO43" s="819"/>
      <c r="PP43" s="819"/>
      <c r="PQ43" s="819"/>
      <c r="PR43" s="819"/>
      <c r="PS43" s="819"/>
      <c r="PT43" s="819"/>
      <c r="PU43" s="819"/>
      <c r="PV43" s="819"/>
      <c r="PW43" s="819"/>
      <c r="PX43" s="819"/>
      <c r="PY43" s="819"/>
      <c r="PZ43" s="819"/>
      <c r="QA43" s="819"/>
      <c r="QB43" s="819"/>
      <c r="QC43" s="819"/>
      <c r="QD43" s="819"/>
      <c r="QE43" s="819"/>
      <c r="QF43" s="819"/>
      <c r="QG43" s="819"/>
      <c r="QH43" s="819"/>
      <c r="QI43" s="819"/>
      <c r="QJ43" s="819"/>
      <c r="QK43" s="819"/>
      <c r="QL43" s="819"/>
      <c r="QM43" s="819"/>
      <c r="QN43" s="819"/>
      <c r="QO43" s="819"/>
      <c r="QP43" s="819"/>
      <c r="QQ43" s="819"/>
      <c r="QR43" s="819"/>
      <c r="QS43" s="819"/>
      <c r="QT43" s="819"/>
      <c r="QU43" s="819"/>
      <c r="QV43" s="819"/>
      <c r="QW43" s="819"/>
      <c r="QX43" s="819"/>
      <c r="QY43" s="819"/>
      <c r="QZ43" s="819"/>
      <c r="RA43" s="819"/>
      <c r="RB43" s="819"/>
      <c r="RC43" s="819"/>
      <c r="RD43" s="819"/>
      <c r="RE43" s="819"/>
      <c r="RF43" s="819"/>
      <c r="RG43" s="819"/>
      <c r="RH43" s="819"/>
      <c r="RI43" s="819"/>
      <c r="RJ43" s="819"/>
      <c r="RK43" s="819"/>
      <c r="RL43" s="819"/>
      <c r="RM43" s="819"/>
      <c r="RN43" s="819"/>
      <c r="RO43" s="819"/>
      <c r="RP43" s="819"/>
      <c r="RQ43" s="819"/>
      <c r="RR43" s="819"/>
      <c r="RS43" s="819"/>
      <c r="RT43" s="819"/>
      <c r="RU43" s="819"/>
      <c r="RV43" s="819"/>
      <c r="RW43" s="819"/>
      <c r="RX43" s="819"/>
      <c r="RY43" s="819"/>
      <c r="RZ43" s="819"/>
      <c r="SA43" s="819"/>
      <c r="SB43" s="819"/>
      <c r="SC43" s="819"/>
      <c r="SD43" s="819"/>
      <c r="SE43" s="819"/>
      <c r="SF43" s="819"/>
      <c r="SG43" s="819"/>
      <c r="SH43" s="819"/>
      <c r="SI43" s="819"/>
      <c r="SJ43" s="819"/>
      <c r="SK43" s="819"/>
      <c r="SL43" s="819"/>
      <c r="SM43" s="819"/>
      <c r="SN43" s="819"/>
      <c r="SO43" s="819"/>
      <c r="SP43" s="819"/>
      <c r="SQ43" s="819"/>
      <c r="SR43" s="819"/>
      <c r="SS43" s="819"/>
      <c r="ST43" s="819"/>
      <c r="SU43" s="819"/>
      <c r="SV43" s="819"/>
      <c r="SW43" s="819"/>
      <c r="SX43" s="819"/>
      <c r="SY43" s="819"/>
      <c r="SZ43" s="819"/>
      <c r="TA43" s="819"/>
      <c r="TB43" s="819"/>
      <c r="TC43" s="819"/>
      <c r="TD43" s="819"/>
      <c r="TE43" s="819"/>
      <c r="TF43" s="819"/>
      <c r="TG43" s="819"/>
      <c r="TH43" s="819"/>
      <c r="TI43" s="819"/>
      <c r="TJ43" s="819"/>
      <c r="TK43" s="819"/>
      <c r="TL43" s="819"/>
      <c r="TM43" s="819"/>
      <c r="TN43" s="819"/>
      <c r="TO43" s="819"/>
      <c r="TP43" s="819"/>
      <c r="TQ43" s="819"/>
      <c r="TR43" s="819"/>
      <c r="TS43" s="819"/>
      <c r="TT43" s="819"/>
      <c r="TU43" s="819"/>
      <c r="TV43" s="819"/>
      <c r="TW43" s="819"/>
      <c r="TX43" s="819"/>
      <c r="TY43" s="819"/>
      <c r="TZ43" s="819"/>
      <c r="UA43" s="819"/>
      <c r="UB43" s="819"/>
      <c r="UC43" s="819"/>
      <c r="UD43" s="819"/>
      <c r="UE43" s="819"/>
      <c r="UF43" s="819"/>
      <c r="UG43" s="819"/>
      <c r="UH43" s="819"/>
      <c r="UI43" s="819"/>
      <c r="UJ43" s="819"/>
      <c r="UK43" s="819"/>
      <c r="UL43" s="819"/>
      <c r="UM43" s="819"/>
      <c r="UN43" s="819"/>
      <c r="UO43" s="819"/>
      <c r="UP43" s="819"/>
      <c r="UQ43" s="819"/>
      <c r="UR43" s="819"/>
      <c r="US43" s="819"/>
      <c r="UT43" s="819"/>
      <c r="UU43" s="819"/>
      <c r="UV43" s="819"/>
      <c r="UW43" s="819"/>
      <c r="UX43" s="819"/>
      <c r="UY43" s="819"/>
      <c r="UZ43" s="819"/>
      <c r="VA43" s="819"/>
      <c r="VB43" s="819"/>
      <c r="VC43" s="819"/>
      <c r="VD43" s="819"/>
      <c r="VE43" s="819"/>
      <c r="VF43" s="819"/>
      <c r="VG43" s="819"/>
      <c r="VH43" s="819"/>
      <c r="VI43" s="819"/>
      <c r="VJ43" s="819"/>
      <c r="VK43" s="819"/>
      <c r="VL43" s="819"/>
      <c r="VM43" s="819"/>
      <c r="VN43" s="819"/>
      <c r="VO43" s="819"/>
      <c r="VP43" s="819"/>
      <c r="VQ43" s="819"/>
      <c r="VR43" s="819"/>
      <c r="VS43" s="819"/>
      <c r="VT43" s="819"/>
      <c r="VU43" s="819"/>
      <c r="VV43" s="819"/>
      <c r="VW43" s="819"/>
      <c r="VX43" s="819"/>
      <c r="VY43" s="819"/>
      <c r="VZ43" s="819"/>
      <c r="WA43" s="819"/>
      <c r="WB43" s="819"/>
      <c r="WC43" s="819"/>
      <c r="WD43" s="819"/>
      <c r="WE43" s="819"/>
      <c r="WF43" s="819"/>
      <c r="WG43" s="819"/>
      <c r="WH43" s="819"/>
      <c r="WI43" s="819"/>
      <c r="WJ43" s="819"/>
      <c r="WK43" s="819"/>
      <c r="WL43" s="819"/>
      <c r="WM43" s="819"/>
      <c r="WN43" s="819"/>
      <c r="WO43" s="819"/>
      <c r="WP43" s="819"/>
      <c r="WQ43" s="819"/>
      <c r="WR43" s="819"/>
      <c r="WS43" s="819"/>
      <c r="WT43" s="819"/>
      <c r="WU43" s="819"/>
      <c r="WV43" s="819"/>
      <c r="WW43" s="819"/>
      <c r="WX43" s="819"/>
      <c r="WY43" s="819"/>
      <c r="WZ43" s="819"/>
      <c r="XA43" s="819"/>
      <c r="XB43" s="819"/>
      <c r="XC43" s="819"/>
      <c r="XD43" s="819"/>
      <c r="XE43" s="819"/>
      <c r="XF43" s="819"/>
      <c r="XG43" s="819"/>
      <c r="XH43" s="819"/>
      <c r="XI43" s="819"/>
      <c r="XJ43" s="819"/>
      <c r="XK43" s="819"/>
      <c r="XL43" s="819"/>
      <c r="XM43" s="819"/>
      <c r="XN43" s="819"/>
      <c r="XO43" s="819"/>
      <c r="XP43" s="819"/>
      <c r="XQ43" s="819"/>
      <c r="XR43" s="819"/>
      <c r="XS43" s="819"/>
      <c r="XT43" s="819"/>
      <c r="XU43" s="819"/>
      <c r="XV43" s="819"/>
      <c r="XW43" s="819"/>
      <c r="XX43" s="819"/>
      <c r="XY43" s="819"/>
      <c r="XZ43" s="819"/>
      <c r="YA43" s="819"/>
      <c r="YB43" s="819"/>
      <c r="YC43" s="819"/>
      <c r="YD43" s="819"/>
      <c r="YE43" s="819"/>
      <c r="YF43" s="819"/>
      <c r="YG43" s="819"/>
      <c r="YH43" s="819"/>
      <c r="YI43" s="819"/>
      <c r="YJ43" s="819"/>
      <c r="YK43" s="819"/>
      <c r="YL43" s="819"/>
      <c r="YM43" s="819"/>
      <c r="YN43" s="819"/>
      <c r="YO43" s="819"/>
      <c r="YP43" s="819"/>
      <c r="YQ43" s="819"/>
      <c r="YR43" s="819"/>
      <c r="YS43" s="819"/>
      <c r="YT43" s="819"/>
      <c r="YU43" s="819"/>
      <c r="YV43" s="819"/>
      <c r="YW43" s="819"/>
      <c r="YX43" s="819"/>
      <c r="YY43" s="819"/>
      <c r="YZ43" s="819"/>
      <c r="ZA43" s="819"/>
      <c r="ZB43" s="819"/>
      <c r="ZC43" s="819"/>
      <c r="ZD43" s="819"/>
      <c r="ZE43" s="819"/>
      <c r="ZF43" s="819"/>
      <c r="ZG43" s="819"/>
      <c r="ZH43" s="819"/>
      <c r="ZI43" s="819"/>
      <c r="ZJ43" s="819"/>
      <c r="ZK43" s="819"/>
      <c r="ZL43" s="819"/>
      <c r="ZM43" s="819"/>
      <c r="ZN43" s="819"/>
      <c r="ZO43" s="819"/>
      <c r="ZP43" s="819"/>
      <c r="ZQ43" s="819"/>
      <c r="ZR43" s="819"/>
      <c r="ZS43" s="819"/>
      <c r="ZT43" s="819"/>
      <c r="ZU43" s="819"/>
      <c r="ZV43" s="819"/>
      <c r="ZW43" s="819"/>
      <c r="ZX43" s="819"/>
      <c r="ZY43" s="819"/>
      <c r="ZZ43" s="819"/>
      <c r="AAA43" s="819"/>
      <c r="AAB43" s="819"/>
      <c r="AAC43" s="819"/>
      <c r="AAD43" s="819"/>
      <c r="AAE43" s="819"/>
      <c r="AAF43" s="819"/>
      <c r="AAG43" s="819"/>
      <c r="AAH43" s="819"/>
      <c r="AAI43" s="819"/>
      <c r="AAJ43" s="819"/>
      <c r="AAK43" s="819"/>
      <c r="AAL43" s="819"/>
      <c r="AAM43" s="819"/>
      <c r="AAN43" s="819"/>
      <c r="AAO43" s="819"/>
      <c r="AAP43" s="819"/>
      <c r="AAQ43" s="819"/>
      <c r="AAR43" s="819"/>
      <c r="AAS43" s="819"/>
      <c r="AAT43" s="819"/>
      <c r="AAU43" s="819"/>
      <c r="AAV43" s="819"/>
      <c r="AAW43" s="819"/>
      <c r="AAX43" s="819"/>
      <c r="AAY43" s="819"/>
      <c r="AAZ43" s="819"/>
      <c r="ABA43" s="819"/>
      <c r="ABB43" s="819"/>
      <c r="ABC43" s="819"/>
      <c r="ABD43" s="819"/>
      <c r="ABE43" s="819"/>
      <c r="ABF43" s="819"/>
      <c r="ABG43" s="819"/>
      <c r="ABH43" s="819"/>
      <c r="ABI43" s="819"/>
      <c r="ABJ43" s="819"/>
      <c r="ABK43" s="819"/>
      <c r="ABL43" s="819"/>
      <c r="ABM43" s="819"/>
      <c r="ABN43" s="819"/>
      <c r="ABO43" s="819"/>
      <c r="ABP43" s="819"/>
      <c r="ABQ43" s="819"/>
      <c r="ABR43" s="819"/>
      <c r="ABS43" s="819"/>
      <c r="ABT43" s="819"/>
      <c r="ABU43" s="819"/>
      <c r="ABV43" s="819"/>
      <c r="ABW43" s="819"/>
      <c r="ABX43" s="819"/>
      <c r="ABY43" s="819"/>
      <c r="ABZ43" s="819"/>
      <c r="ACA43" s="819"/>
      <c r="ACB43" s="819"/>
      <c r="ACC43" s="819"/>
      <c r="ACD43" s="819"/>
      <c r="ACE43" s="819"/>
      <c r="ACF43" s="819"/>
      <c r="ACG43" s="819"/>
      <c r="ACH43" s="819"/>
      <c r="ACI43" s="819"/>
      <c r="ACJ43" s="819"/>
      <c r="ACK43" s="819"/>
      <c r="ACL43" s="819"/>
      <c r="ACM43" s="819"/>
      <c r="ACN43" s="819"/>
      <c r="ACO43" s="819"/>
      <c r="ACP43" s="819"/>
      <c r="ACQ43" s="819"/>
      <c r="ACR43" s="819"/>
      <c r="ACS43" s="819"/>
      <c r="ACT43" s="819"/>
      <c r="ACU43" s="819"/>
      <c r="ACV43" s="819"/>
      <c r="ACW43" s="819"/>
      <c r="ACX43" s="819"/>
      <c r="ACY43" s="819"/>
      <c r="ACZ43" s="819"/>
      <c r="ADA43" s="819"/>
      <c r="ADB43" s="819"/>
      <c r="ADC43" s="819"/>
      <c r="ADD43" s="819"/>
      <c r="ADE43" s="819"/>
      <c r="ADF43" s="819"/>
      <c r="ADG43" s="819"/>
      <c r="ADH43" s="819"/>
      <c r="ADI43" s="819"/>
      <c r="ADJ43" s="819"/>
      <c r="ADK43" s="819"/>
      <c r="ADL43" s="819"/>
      <c r="ADM43" s="819"/>
      <c r="ADN43" s="819"/>
      <c r="ADO43" s="819"/>
      <c r="ADP43" s="819"/>
      <c r="ADQ43" s="819"/>
      <c r="ADR43" s="819"/>
      <c r="ADS43" s="819"/>
      <c r="ADT43" s="819"/>
      <c r="ADU43" s="819"/>
      <c r="ADV43" s="819"/>
      <c r="ADW43" s="819"/>
      <c r="ADX43" s="819"/>
      <c r="ADY43" s="819"/>
      <c r="ADZ43" s="819"/>
      <c r="AEA43" s="819"/>
      <c r="AEB43" s="819"/>
      <c r="AEC43" s="819"/>
      <c r="AED43" s="819"/>
      <c r="AEE43" s="819"/>
      <c r="AEF43" s="819"/>
      <c r="AEG43" s="819"/>
      <c r="AEH43" s="819"/>
      <c r="AEI43" s="819"/>
      <c r="AEJ43" s="819"/>
      <c r="AEK43" s="819"/>
      <c r="AEL43" s="819"/>
      <c r="AEM43" s="819"/>
      <c r="AEN43" s="819"/>
      <c r="AEO43" s="819"/>
      <c r="AEP43" s="819"/>
      <c r="AEQ43" s="819"/>
      <c r="AER43" s="819"/>
      <c r="AES43" s="819"/>
      <c r="AET43" s="819"/>
      <c r="AEU43" s="819"/>
      <c r="AEV43" s="819"/>
      <c r="AEW43" s="819"/>
      <c r="AEX43" s="819"/>
      <c r="AEY43" s="819"/>
      <c r="AEZ43" s="819"/>
      <c r="AFA43" s="819"/>
      <c r="AFB43" s="819"/>
      <c r="AFC43" s="819"/>
      <c r="AFD43" s="819"/>
      <c r="AFE43" s="819"/>
      <c r="AFF43" s="819"/>
      <c r="AFG43" s="819"/>
      <c r="AFH43" s="819"/>
      <c r="AFI43" s="819"/>
      <c r="AFJ43" s="819"/>
      <c r="AFK43" s="819"/>
      <c r="AFL43" s="819"/>
      <c r="AFM43" s="819"/>
      <c r="AFN43" s="819"/>
      <c r="AFO43" s="819"/>
      <c r="AFP43" s="819"/>
      <c r="AFQ43" s="819"/>
      <c r="AFR43" s="819"/>
      <c r="AFS43" s="819"/>
      <c r="AFT43" s="819"/>
      <c r="AFU43" s="819"/>
      <c r="AFV43" s="819"/>
      <c r="AFW43" s="819"/>
      <c r="AFX43" s="819"/>
      <c r="AFY43" s="819"/>
      <c r="AFZ43" s="819"/>
      <c r="AGA43" s="819"/>
      <c r="AGB43" s="819"/>
      <c r="AGC43" s="819"/>
      <c r="AGD43" s="819"/>
      <c r="AGE43" s="819"/>
      <c r="AGF43" s="819"/>
      <c r="AGG43" s="819"/>
      <c r="AGH43" s="819"/>
      <c r="AGI43" s="819"/>
      <c r="AGJ43" s="819"/>
      <c r="AGK43" s="819"/>
      <c r="AGL43" s="819"/>
      <c r="AGM43" s="819"/>
      <c r="AGN43" s="819"/>
      <c r="AGO43" s="819"/>
      <c r="AGP43" s="819"/>
      <c r="AGQ43" s="819"/>
      <c r="AGR43" s="819"/>
      <c r="AGS43" s="819"/>
      <c r="AGT43" s="819"/>
      <c r="AGU43" s="819"/>
      <c r="AGV43" s="819"/>
      <c r="AGW43" s="819"/>
      <c r="AGX43" s="819"/>
      <c r="AGY43" s="819"/>
      <c r="AGZ43" s="819"/>
      <c r="AHA43" s="819"/>
      <c r="AHB43" s="819"/>
      <c r="AHC43" s="819"/>
      <c r="AHD43" s="819"/>
      <c r="AHE43" s="819"/>
      <c r="AHF43" s="819"/>
      <c r="AHG43" s="819"/>
      <c r="AHH43" s="819"/>
      <c r="AHI43" s="819"/>
      <c r="AHJ43" s="819"/>
      <c r="AHK43" s="819"/>
      <c r="AHL43" s="819"/>
      <c r="AHM43" s="819"/>
      <c r="AHN43" s="819"/>
      <c r="AHO43" s="819"/>
      <c r="AHP43" s="819"/>
      <c r="AHQ43" s="819"/>
      <c r="AHR43" s="819"/>
      <c r="AHS43" s="819"/>
      <c r="AHT43" s="819"/>
      <c r="AHU43" s="819"/>
      <c r="AHV43" s="819"/>
      <c r="AHW43" s="819"/>
      <c r="AHX43" s="819"/>
      <c r="AHY43" s="819"/>
      <c r="AHZ43" s="819"/>
      <c r="AIA43" s="819"/>
      <c r="AIB43" s="819"/>
      <c r="AIC43" s="819"/>
      <c r="AID43" s="819"/>
      <c r="AIE43" s="819"/>
      <c r="AIF43" s="819"/>
      <c r="AIG43" s="819"/>
      <c r="AIH43" s="819"/>
      <c r="AII43" s="819"/>
      <c r="AIJ43" s="819"/>
      <c r="AIK43" s="819"/>
      <c r="AIL43" s="819"/>
      <c r="AIM43" s="819"/>
      <c r="AIN43" s="819"/>
      <c r="AIO43" s="819"/>
      <c r="AIP43" s="819"/>
      <c r="AIQ43" s="819"/>
      <c r="AIR43" s="819"/>
      <c r="AIS43" s="819"/>
      <c r="AIT43" s="819"/>
      <c r="AIU43" s="819"/>
      <c r="AIV43" s="819"/>
      <c r="AIW43" s="819"/>
      <c r="AIX43" s="819"/>
      <c r="AIY43" s="819"/>
      <c r="AIZ43" s="819"/>
      <c r="AJA43" s="819"/>
      <c r="AJB43" s="819"/>
      <c r="AJC43" s="819"/>
      <c r="AJD43" s="819"/>
      <c r="AJE43" s="819"/>
      <c r="AJF43" s="819"/>
      <c r="AJG43" s="819"/>
      <c r="AJH43" s="819"/>
      <c r="AJI43" s="819"/>
      <c r="AJJ43" s="819"/>
      <c r="AJK43" s="819"/>
      <c r="AJL43" s="819"/>
      <c r="AJM43" s="819"/>
      <c r="AJN43" s="819"/>
      <c r="AJO43" s="819"/>
      <c r="AJP43" s="819"/>
      <c r="AJQ43" s="819"/>
      <c r="AJR43" s="819"/>
      <c r="AJS43" s="819"/>
      <c r="AJT43" s="819"/>
      <c r="AJU43" s="819"/>
      <c r="AJV43" s="819"/>
      <c r="AJW43" s="819"/>
      <c r="AJX43" s="819"/>
      <c r="AJY43" s="819"/>
      <c r="AJZ43" s="819"/>
      <c r="AKA43" s="819"/>
      <c r="AKB43" s="819"/>
      <c r="AKC43" s="819"/>
      <c r="AKD43" s="819"/>
      <c r="AKE43" s="819"/>
      <c r="AKF43" s="819"/>
      <c r="AKG43" s="819"/>
      <c r="AKH43" s="819"/>
      <c r="AKI43" s="819"/>
      <c r="AKJ43" s="819"/>
      <c r="AKK43" s="819"/>
      <c r="AKL43" s="819"/>
      <c r="AKM43" s="819"/>
      <c r="AKN43" s="819"/>
      <c r="AKO43" s="819"/>
      <c r="AKP43" s="819"/>
      <c r="AKQ43" s="819"/>
      <c r="AKR43" s="819"/>
      <c r="AKS43" s="819"/>
      <c r="AKT43" s="819"/>
      <c r="AKU43" s="819"/>
      <c r="AKV43" s="819"/>
      <c r="AKW43" s="819"/>
      <c r="AKX43" s="819"/>
      <c r="AKY43" s="819"/>
      <c r="AKZ43" s="819"/>
      <c r="ALA43" s="819"/>
      <c r="ALB43" s="819"/>
      <c r="ALC43" s="819"/>
      <c r="ALD43" s="819"/>
      <c r="ALE43" s="819"/>
      <c r="ALF43" s="819"/>
      <c r="ALG43" s="819"/>
      <c r="ALH43" s="819"/>
      <c r="ALI43" s="819"/>
      <c r="ALJ43" s="819"/>
      <c r="ALK43" s="819"/>
      <c r="ALL43" s="819"/>
      <c r="ALM43" s="819"/>
      <c r="ALN43" s="819"/>
      <c r="ALO43" s="819"/>
      <c r="ALP43" s="819"/>
      <c r="ALQ43" s="819"/>
      <c r="ALR43" s="819"/>
      <c r="ALS43" s="819"/>
      <c r="ALT43" s="819"/>
      <c r="ALU43" s="819"/>
      <c r="ALV43" s="819"/>
      <c r="ALW43" s="819"/>
      <c r="ALX43" s="819"/>
      <c r="ALY43" s="819"/>
      <c r="ALZ43" s="819"/>
      <c r="AMA43" s="819"/>
      <c r="AMB43" s="819"/>
      <c r="AMC43" s="819"/>
      <c r="AMD43" s="819"/>
      <c r="AME43" s="819"/>
      <c r="AMF43" s="819"/>
      <c r="AMG43" s="819"/>
      <c r="AMH43" s="819"/>
      <c r="AMI43" s="819"/>
      <c r="AMJ43" s="819"/>
      <c r="AMK43" s="819"/>
      <c r="AML43" s="819"/>
      <c r="AMM43" s="819"/>
      <c r="AMN43" s="819"/>
      <c r="AMO43" s="819"/>
      <c r="AMP43" s="819"/>
      <c r="AMQ43" s="819"/>
      <c r="AMR43" s="819"/>
      <c r="AMS43" s="819"/>
      <c r="AMT43" s="819"/>
      <c r="AMU43" s="819"/>
      <c r="AMV43" s="819"/>
      <c r="AMW43" s="819"/>
      <c r="AMX43" s="819"/>
      <c r="AMY43" s="819"/>
      <c r="AMZ43" s="819"/>
      <c r="ANA43" s="819"/>
      <c r="ANB43" s="819"/>
      <c r="ANC43" s="819"/>
      <c r="AND43" s="819"/>
      <c r="ANE43" s="819"/>
      <c r="ANF43" s="819"/>
      <c r="ANG43" s="819"/>
      <c r="ANH43" s="819"/>
      <c r="ANI43" s="819"/>
      <c r="ANJ43" s="819"/>
      <c r="ANK43" s="819"/>
      <c r="ANL43" s="819"/>
      <c r="ANM43" s="819"/>
      <c r="ANN43" s="819"/>
      <c r="ANO43" s="819"/>
      <c r="ANP43" s="819"/>
      <c r="ANQ43" s="819"/>
      <c r="ANR43" s="819"/>
      <c r="ANS43" s="819"/>
      <c r="ANT43" s="819"/>
      <c r="ANU43" s="819"/>
      <c r="ANV43" s="819"/>
      <c r="ANW43" s="819"/>
      <c r="ANX43" s="819"/>
      <c r="ANY43" s="819"/>
      <c r="ANZ43" s="819"/>
      <c r="AOA43" s="819"/>
      <c r="AOB43" s="819"/>
      <c r="AOC43" s="819"/>
      <c r="AOD43" s="819"/>
      <c r="AOE43" s="819"/>
      <c r="AOF43" s="819"/>
      <c r="AOG43" s="819"/>
      <c r="AOH43" s="819"/>
      <c r="AOI43" s="819"/>
      <c r="AOJ43" s="819"/>
      <c r="AOK43" s="819"/>
      <c r="AOL43" s="819"/>
      <c r="AOM43" s="819"/>
      <c r="AON43" s="819"/>
      <c r="AOO43" s="819"/>
      <c r="AOP43" s="819"/>
      <c r="AOQ43" s="819"/>
      <c r="AOR43" s="819"/>
      <c r="AOS43" s="819"/>
      <c r="AOT43" s="819"/>
      <c r="AOU43" s="819"/>
      <c r="AOV43" s="819"/>
      <c r="AOW43" s="819"/>
      <c r="AOX43" s="819"/>
      <c r="AOY43" s="819"/>
      <c r="AOZ43" s="819"/>
      <c r="APA43" s="819"/>
      <c r="APB43" s="819"/>
      <c r="APC43" s="819"/>
      <c r="APD43" s="819"/>
      <c r="APE43" s="819"/>
      <c r="APF43" s="819"/>
      <c r="APG43" s="819"/>
      <c r="APH43" s="819"/>
      <c r="API43" s="819"/>
      <c r="APJ43" s="819"/>
      <c r="APK43" s="819"/>
      <c r="APL43" s="819"/>
      <c r="APM43" s="819"/>
      <c r="APN43" s="819"/>
      <c r="APO43" s="819"/>
      <c r="APP43" s="819"/>
      <c r="APQ43" s="819"/>
      <c r="APR43" s="819"/>
      <c r="APS43" s="819"/>
      <c r="APT43" s="819"/>
      <c r="APU43" s="819"/>
      <c r="APV43" s="819"/>
      <c r="APW43" s="819"/>
      <c r="APX43" s="819"/>
      <c r="APY43" s="819"/>
      <c r="APZ43" s="819"/>
      <c r="AQA43" s="819"/>
      <c r="AQB43" s="819"/>
      <c r="AQC43" s="819"/>
      <c r="AQD43" s="819"/>
      <c r="AQE43" s="819"/>
      <c r="AQF43" s="819"/>
      <c r="AQG43" s="819"/>
      <c r="AQH43" s="819"/>
      <c r="AQI43" s="819"/>
      <c r="AQJ43" s="819"/>
      <c r="AQK43" s="819"/>
      <c r="AQL43" s="819"/>
      <c r="AQM43" s="819"/>
      <c r="AQN43" s="819"/>
      <c r="AQO43" s="819"/>
      <c r="AQP43" s="819"/>
      <c r="AQQ43" s="819"/>
      <c r="AQR43" s="819"/>
      <c r="AQS43" s="819"/>
      <c r="AQT43" s="819"/>
      <c r="AQU43" s="819"/>
      <c r="AQV43" s="819"/>
      <c r="AQW43" s="819"/>
      <c r="AQX43" s="819"/>
      <c r="AQY43" s="819"/>
      <c r="AQZ43" s="819"/>
      <c r="ARA43" s="819"/>
      <c r="ARB43" s="819"/>
      <c r="ARC43" s="819"/>
      <c r="ARD43" s="819"/>
      <c r="ARE43" s="819"/>
      <c r="ARF43" s="819"/>
      <c r="ARG43" s="819"/>
      <c r="ARH43" s="819"/>
      <c r="ARI43" s="819"/>
      <c r="ARJ43" s="819"/>
      <c r="ARK43" s="819"/>
      <c r="ARL43" s="819"/>
      <c r="ARM43" s="819"/>
      <c r="ARN43" s="819"/>
      <c r="ARO43" s="819"/>
      <c r="ARP43" s="819"/>
      <c r="ARQ43" s="819"/>
      <c r="ARR43" s="819"/>
      <c r="ARS43" s="819"/>
      <c r="ART43" s="819"/>
      <c r="ARU43" s="819"/>
      <c r="ARV43" s="819"/>
      <c r="ARW43" s="819"/>
      <c r="ARX43" s="819"/>
      <c r="ARY43" s="819"/>
      <c r="ARZ43" s="819"/>
      <c r="ASA43" s="819"/>
      <c r="ASB43" s="819"/>
      <c r="ASC43" s="819"/>
      <c r="ASD43" s="819"/>
      <c r="ASE43" s="819"/>
      <c r="ASF43" s="819"/>
      <c r="ASG43" s="819"/>
      <c r="ASH43" s="819"/>
      <c r="ASI43" s="819"/>
      <c r="ASJ43" s="819"/>
      <c r="ASK43" s="819"/>
      <c r="ASL43" s="819"/>
      <c r="ASM43" s="819"/>
      <c r="ASN43" s="819"/>
      <c r="ASO43" s="819"/>
      <c r="ASP43" s="819"/>
      <c r="ASQ43" s="819"/>
      <c r="ASR43" s="819"/>
      <c r="ASS43" s="819"/>
      <c r="AST43" s="819"/>
      <c r="ASU43" s="819"/>
      <c r="ASV43" s="819"/>
      <c r="ASW43" s="819"/>
      <c r="ASX43" s="819"/>
      <c r="ASY43" s="819"/>
      <c r="ASZ43" s="819"/>
      <c r="ATA43" s="819"/>
      <c r="ATB43" s="819"/>
      <c r="ATC43" s="819"/>
      <c r="ATD43" s="819"/>
      <c r="ATE43" s="819"/>
      <c r="ATF43" s="819"/>
      <c r="ATG43" s="819"/>
      <c r="ATH43" s="819"/>
      <c r="ATI43" s="819"/>
      <c r="ATJ43" s="819"/>
      <c r="ATK43" s="819"/>
      <c r="ATL43" s="819"/>
      <c r="ATM43" s="819"/>
      <c r="ATN43" s="819"/>
      <c r="ATO43" s="819"/>
      <c r="ATP43" s="819"/>
      <c r="ATQ43" s="819"/>
      <c r="ATR43" s="819"/>
      <c r="ATS43" s="819"/>
      <c r="ATT43" s="819"/>
      <c r="ATU43" s="819"/>
      <c r="ATV43" s="819"/>
      <c r="ATW43" s="819"/>
      <c r="ATX43" s="819"/>
      <c r="ATY43" s="819"/>
      <c r="ATZ43" s="819"/>
      <c r="AUA43" s="819"/>
      <c r="AUB43" s="819"/>
      <c r="AUC43" s="819"/>
      <c r="AUD43" s="819"/>
      <c r="AUE43" s="819"/>
      <c r="AUF43" s="819"/>
      <c r="AUG43" s="819"/>
      <c r="AUH43" s="819"/>
      <c r="AUI43" s="819"/>
      <c r="AUJ43" s="819"/>
      <c r="AUK43" s="819"/>
      <c r="AUL43" s="819"/>
      <c r="AUM43" s="819"/>
      <c r="AUN43" s="819"/>
      <c r="AUO43" s="819"/>
      <c r="AUP43" s="819"/>
      <c r="AUQ43" s="819"/>
      <c r="AUR43" s="819"/>
      <c r="AUS43" s="819"/>
      <c r="AUT43" s="819"/>
      <c r="AUU43" s="819"/>
      <c r="AUV43" s="819"/>
      <c r="AUW43" s="819"/>
      <c r="AUX43" s="819"/>
      <c r="AUY43" s="819"/>
      <c r="AUZ43" s="819"/>
      <c r="AVA43" s="819"/>
      <c r="AVB43" s="819"/>
      <c r="AVC43" s="819"/>
      <c r="AVD43" s="819"/>
      <c r="AVE43" s="819"/>
      <c r="AVF43" s="819"/>
      <c r="AVG43" s="819"/>
      <c r="AVH43" s="819"/>
      <c r="AVI43" s="819"/>
      <c r="AVJ43" s="819"/>
      <c r="AVK43" s="819"/>
      <c r="AVL43" s="819"/>
      <c r="AVM43" s="819"/>
      <c r="AVN43" s="819"/>
      <c r="AVO43" s="819"/>
      <c r="AVP43" s="819"/>
      <c r="AVQ43" s="819"/>
      <c r="AVR43" s="819"/>
      <c r="AVS43" s="819"/>
      <c r="AVT43" s="819"/>
      <c r="AVU43" s="819"/>
      <c r="AVV43" s="819"/>
      <c r="AVW43" s="819"/>
      <c r="AVX43" s="819"/>
      <c r="AVY43" s="819"/>
      <c r="AVZ43" s="819"/>
      <c r="AWA43" s="819"/>
      <c r="AWB43" s="819"/>
      <c r="AWC43" s="819"/>
      <c r="AWD43" s="819"/>
      <c r="AWE43" s="819"/>
      <c r="AWF43" s="819"/>
      <c r="AWG43" s="819"/>
      <c r="AWH43" s="819"/>
      <c r="AWI43" s="819"/>
      <c r="AWJ43" s="819"/>
      <c r="AWK43" s="819"/>
      <c r="AWL43" s="819"/>
      <c r="AWM43" s="819"/>
      <c r="AWN43" s="819"/>
      <c r="AWO43" s="819"/>
      <c r="AWP43" s="819"/>
      <c r="AWQ43" s="819"/>
      <c r="AWR43" s="819"/>
      <c r="AWS43" s="819"/>
      <c r="AWT43" s="819"/>
      <c r="AWU43" s="819"/>
      <c r="AWV43" s="819"/>
      <c r="AWW43" s="819"/>
      <c r="AWX43" s="819"/>
      <c r="AWY43" s="819"/>
      <c r="AWZ43" s="819"/>
      <c r="AXA43" s="819"/>
      <c r="AXB43" s="819"/>
      <c r="AXC43" s="819"/>
      <c r="AXD43" s="819"/>
      <c r="AXE43" s="819"/>
      <c r="AXF43" s="819"/>
      <c r="AXG43" s="819"/>
      <c r="AXH43" s="819"/>
      <c r="AXI43" s="819"/>
      <c r="AXJ43" s="819"/>
      <c r="AXK43" s="819"/>
      <c r="AXL43" s="819"/>
      <c r="AXM43" s="819"/>
      <c r="AXN43" s="819"/>
      <c r="AXO43" s="819"/>
      <c r="AXP43" s="819"/>
      <c r="AXQ43" s="819"/>
      <c r="AXR43" s="819"/>
      <c r="AXS43" s="819"/>
      <c r="AXT43" s="819"/>
      <c r="AXU43" s="819"/>
      <c r="AXV43" s="819"/>
      <c r="AXW43" s="819"/>
      <c r="AXX43" s="819"/>
      <c r="AXY43" s="819"/>
      <c r="AXZ43" s="819"/>
      <c r="AYA43" s="819"/>
      <c r="AYB43" s="819"/>
      <c r="AYC43" s="819"/>
      <c r="AYD43" s="819"/>
      <c r="AYE43" s="819"/>
      <c r="AYF43" s="819"/>
      <c r="AYG43" s="819"/>
      <c r="AYH43" s="819"/>
      <c r="AYI43" s="819"/>
      <c r="AYJ43" s="819"/>
      <c r="AYK43" s="819"/>
      <c r="AYL43" s="819"/>
      <c r="AYM43" s="819"/>
      <c r="AYN43" s="819"/>
      <c r="AYO43" s="819"/>
      <c r="AYP43" s="819"/>
      <c r="AYQ43" s="819"/>
      <c r="AYR43" s="819"/>
      <c r="AYS43" s="819"/>
      <c r="AYT43" s="819"/>
      <c r="AYU43" s="819"/>
      <c r="AYV43" s="819"/>
      <c r="AYW43" s="819"/>
      <c r="AYX43" s="819"/>
      <c r="AYY43" s="819"/>
      <c r="AYZ43" s="819"/>
      <c r="AZA43" s="819"/>
      <c r="AZB43" s="819"/>
      <c r="AZC43" s="819"/>
      <c r="AZD43" s="819"/>
      <c r="AZE43" s="819"/>
      <c r="AZF43" s="819"/>
      <c r="AZG43" s="819"/>
      <c r="AZH43" s="819"/>
      <c r="AZI43" s="819"/>
      <c r="AZJ43" s="819"/>
      <c r="AZK43" s="819"/>
      <c r="AZL43" s="819"/>
      <c r="AZM43" s="819"/>
      <c r="AZN43" s="819"/>
      <c r="AZO43" s="819"/>
      <c r="AZP43" s="819"/>
      <c r="AZQ43" s="819"/>
      <c r="AZR43" s="819"/>
      <c r="AZS43" s="819"/>
      <c r="AZT43" s="819"/>
      <c r="AZU43" s="819"/>
      <c r="AZV43" s="819"/>
      <c r="AZW43" s="819"/>
      <c r="AZX43" s="819"/>
      <c r="AZY43" s="819"/>
      <c r="AZZ43" s="819"/>
      <c r="BAA43" s="819"/>
      <c r="BAB43" s="819"/>
      <c r="BAC43" s="819"/>
      <c r="BAD43" s="819"/>
      <c r="BAE43" s="819"/>
      <c r="BAF43" s="819"/>
      <c r="BAG43" s="819"/>
      <c r="BAH43" s="819"/>
      <c r="BAI43" s="819"/>
      <c r="BAJ43" s="819"/>
      <c r="BAK43" s="819"/>
      <c r="BAL43" s="819"/>
      <c r="BAM43" s="819"/>
      <c r="BAN43" s="819"/>
      <c r="BAO43" s="819"/>
      <c r="BAP43" s="819"/>
      <c r="BAQ43" s="819"/>
      <c r="BAR43" s="819"/>
      <c r="BAS43" s="819"/>
      <c r="BAT43" s="819"/>
      <c r="BAU43" s="819"/>
      <c r="BAV43" s="819"/>
      <c r="BAW43" s="819"/>
      <c r="BAX43" s="819"/>
      <c r="BAY43" s="819"/>
      <c r="BAZ43" s="819"/>
      <c r="BBA43" s="819"/>
      <c r="BBB43" s="819"/>
      <c r="BBC43" s="819"/>
      <c r="BBD43" s="819"/>
      <c r="BBE43" s="819"/>
      <c r="BBF43" s="819"/>
      <c r="BBG43" s="819"/>
      <c r="BBH43" s="819"/>
      <c r="BBI43" s="819"/>
      <c r="BBJ43" s="819"/>
      <c r="BBK43" s="819"/>
      <c r="BBL43" s="819"/>
      <c r="BBM43" s="819"/>
      <c r="BBN43" s="819"/>
      <c r="BBO43" s="819"/>
      <c r="BBP43" s="819"/>
      <c r="BBQ43" s="819"/>
      <c r="BBR43" s="819"/>
      <c r="BBS43" s="819"/>
      <c r="BBT43" s="819"/>
      <c r="BBU43" s="819"/>
      <c r="BBV43" s="819"/>
      <c r="BBW43" s="819"/>
      <c r="BBX43" s="819"/>
      <c r="BBY43" s="819"/>
      <c r="BBZ43" s="819"/>
      <c r="BCA43" s="819"/>
      <c r="BCB43" s="819"/>
      <c r="BCC43" s="819"/>
      <c r="BCD43" s="819"/>
      <c r="BCE43" s="819"/>
      <c r="BCF43" s="819"/>
      <c r="BCG43" s="819"/>
      <c r="BCH43" s="819"/>
      <c r="BCI43" s="819"/>
      <c r="BCJ43" s="819"/>
      <c r="BCK43" s="819"/>
      <c r="BCL43" s="819"/>
      <c r="BCM43" s="819"/>
      <c r="BCN43" s="819"/>
      <c r="BCO43" s="819"/>
      <c r="BCP43" s="819"/>
      <c r="BCQ43" s="819"/>
      <c r="BCR43" s="819"/>
      <c r="BCS43" s="819"/>
      <c r="BCT43" s="819"/>
      <c r="BCU43" s="819"/>
      <c r="BCV43" s="819"/>
      <c r="BCW43" s="819"/>
      <c r="BCX43" s="819"/>
      <c r="BCY43" s="819"/>
      <c r="BCZ43" s="819"/>
      <c r="BDA43" s="819"/>
      <c r="BDB43" s="819"/>
      <c r="BDC43" s="819"/>
      <c r="BDD43" s="819"/>
      <c r="BDE43" s="819"/>
      <c r="BDF43" s="819"/>
      <c r="BDG43" s="819"/>
      <c r="BDH43" s="819"/>
      <c r="BDI43" s="819"/>
      <c r="BDJ43" s="819"/>
      <c r="BDK43" s="819"/>
      <c r="BDL43" s="819"/>
      <c r="BDM43" s="819"/>
      <c r="BDN43" s="819"/>
      <c r="BDO43" s="819"/>
      <c r="BDP43" s="819"/>
      <c r="BDQ43" s="819"/>
      <c r="BDR43" s="819"/>
      <c r="BDS43" s="819"/>
      <c r="BDT43" s="819"/>
      <c r="BDU43" s="819"/>
      <c r="BDV43" s="819"/>
      <c r="BDW43" s="819"/>
      <c r="BDX43" s="819"/>
      <c r="BDY43" s="819"/>
      <c r="BDZ43" s="819"/>
      <c r="BEA43" s="819"/>
      <c r="BEB43" s="819"/>
      <c r="BEC43" s="819"/>
      <c r="BED43" s="819"/>
      <c r="BEE43" s="819"/>
      <c r="BEF43" s="819"/>
      <c r="BEG43" s="819"/>
      <c r="BEH43" s="819"/>
      <c r="BEI43" s="819"/>
      <c r="BEJ43" s="819"/>
      <c r="BEK43" s="819"/>
      <c r="BEL43" s="819"/>
      <c r="BEM43" s="819"/>
      <c r="BEN43" s="819"/>
      <c r="BEO43" s="819"/>
      <c r="BEP43" s="819"/>
      <c r="BEQ43" s="819"/>
      <c r="BER43" s="819"/>
      <c r="BES43" s="819"/>
      <c r="BET43" s="819"/>
      <c r="BEU43" s="819"/>
      <c r="BEV43" s="819"/>
      <c r="BEW43" s="819"/>
      <c r="BEX43" s="819"/>
      <c r="BEY43" s="819"/>
      <c r="BEZ43" s="819"/>
      <c r="BFA43" s="819"/>
      <c r="BFB43" s="819"/>
      <c r="BFC43" s="819"/>
      <c r="BFD43" s="819"/>
      <c r="BFE43" s="819"/>
      <c r="BFF43" s="819"/>
      <c r="BFG43" s="819"/>
      <c r="BFH43" s="819"/>
      <c r="BFI43" s="819"/>
      <c r="BFJ43" s="819"/>
      <c r="BFK43" s="819"/>
      <c r="BFL43" s="819"/>
      <c r="BFM43" s="819"/>
      <c r="BFN43" s="819"/>
      <c r="BFO43" s="819"/>
      <c r="BFP43" s="819"/>
      <c r="BFQ43" s="819"/>
      <c r="BFR43" s="819"/>
      <c r="BFS43" s="819"/>
      <c r="BFT43" s="819"/>
      <c r="BFU43" s="819"/>
      <c r="BFV43" s="819"/>
      <c r="BFW43" s="819"/>
      <c r="BFX43" s="819"/>
      <c r="BFY43" s="819"/>
      <c r="BFZ43" s="819"/>
      <c r="BGA43" s="819"/>
      <c r="BGB43" s="819"/>
      <c r="BGC43" s="819"/>
      <c r="BGD43" s="819"/>
      <c r="BGE43" s="819"/>
      <c r="BGF43" s="819"/>
      <c r="BGG43" s="819"/>
      <c r="BGH43" s="819"/>
      <c r="BGI43" s="819"/>
      <c r="BGJ43" s="819"/>
      <c r="BGK43" s="819"/>
      <c r="BGL43" s="819"/>
      <c r="BGM43" s="819"/>
      <c r="BGN43" s="819"/>
      <c r="BGO43" s="819"/>
      <c r="BGP43" s="819"/>
      <c r="BGQ43" s="819"/>
      <c r="BGR43" s="819"/>
      <c r="BGS43" s="819"/>
      <c r="BGT43" s="819"/>
      <c r="BGU43" s="819"/>
      <c r="BGV43" s="819"/>
      <c r="BGW43" s="819"/>
      <c r="BGX43" s="819"/>
      <c r="BGY43" s="819"/>
      <c r="BGZ43" s="819"/>
      <c r="BHA43" s="819"/>
      <c r="BHB43" s="819"/>
      <c r="BHC43" s="819"/>
      <c r="BHD43" s="819"/>
      <c r="BHE43" s="819"/>
      <c r="BHF43" s="819"/>
      <c r="BHG43" s="819"/>
      <c r="BHH43" s="819"/>
      <c r="BHI43" s="819"/>
      <c r="BHJ43" s="819"/>
      <c r="BHK43" s="819"/>
      <c r="BHL43" s="819"/>
      <c r="BHM43" s="819"/>
      <c r="BHN43" s="819"/>
      <c r="BHO43" s="819"/>
      <c r="BHP43" s="819"/>
      <c r="BHQ43" s="819"/>
      <c r="BHR43" s="819"/>
      <c r="BHS43" s="819"/>
      <c r="BHT43" s="819"/>
      <c r="BHU43" s="819"/>
      <c r="BHV43" s="819"/>
      <c r="BHW43" s="819"/>
      <c r="BHX43" s="819"/>
      <c r="BHY43" s="819"/>
      <c r="BHZ43" s="819"/>
      <c r="BIA43" s="819"/>
      <c r="BIB43" s="819"/>
      <c r="BIC43" s="819"/>
      <c r="BID43" s="819"/>
      <c r="BIE43" s="819"/>
      <c r="BIF43" s="819"/>
      <c r="BIG43" s="819"/>
      <c r="BIH43" s="819"/>
      <c r="BII43" s="819"/>
      <c r="BIJ43" s="819"/>
      <c r="BIK43" s="819"/>
      <c r="BIL43" s="819"/>
      <c r="BIM43" s="819"/>
      <c r="BIN43" s="819"/>
      <c r="BIO43" s="819"/>
      <c r="BIP43" s="819"/>
      <c r="BIQ43" s="819"/>
      <c r="BIR43" s="819"/>
      <c r="BIS43" s="819"/>
      <c r="BIT43" s="819"/>
      <c r="BIU43" s="819"/>
      <c r="BIV43" s="819"/>
      <c r="BIW43" s="819"/>
      <c r="BIX43" s="819"/>
      <c r="BIY43" s="819"/>
      <c r="BIZ43" s="819"/>
      <c r="BJA43" s="819"/>
      <c r="BJB43" s="819"/>
      <c r="BJC43" s="819"/>
      <c r="BJD43" s="819"/>
      <c r="BJE43" s="819"/>
      <c r="BJF43" s="819"/>
      <c r="BJG43" s="819"/>
      <c r="BJH43" s="819"/>
      <c r="BJI43" s="819"/>
      <c r="BJJ43" s="819"/>
      <c r="BJK43" s="819"/>
      <c r="BJL43" s="819"/>
      <c r="BJM43" s="819"/>
      <c r="BJN43" s="819"/>
      <c r="BJO43" s="819"/>
      <c r="BJP43" s="819"/>
      <c r="BJQ43" s="819"/>
      <c r="BJR43" s="819"/>
      <c r="BJS43" s="819"/>
      <c r="BJT43" s="819"/>
      <c r="BJU43" s="819"/>
      <c r="BJV43" s="819"/>
      <c r="BJW43" s="819"/>
      <c r="BJX43" s="819"/>
      <c r="BJY43" s="819"/>
      <c r="BJZ43" s="819"/>
      <c r="BKA43" s="819"/>
      <c r="BKB43" s="819"/>
      <c r="BKC43" s="819"/>
      <c r="BKD43" s="819"/>
      <c r="BKE43" s="819"/>
      <c r="BKF43" s="819"/>
      <c r="BKG43" s="819"/>
      <c r="BKH43" s="819"/>
      <c r="BKI43" s="819"/>
      <c r="BKJ43" s="819"/>
      <c r="BKK43" s="819"/>
      <c r="BKL43" s="819"/>
      <c r="BKM43" s="819"/>
      <c r="BKN43" s="819"/>
      <c r="BKO43" s="819"/>
      <c r="BKP43" s="819"/>
      <c r="BKQ43" s="819"/>
      <c r="BKR43" s="819"/>
      <c r="BKS43" s="819"/>
      <c r="BKT43" s="819"/>
      <c r="BKU43" s="819"/>
      <c r="BKV43" s="819"/>
      <c r="BKW43" s="819"/>
      <c r="BKX43" s="819"/>
      <c r="BKY43" s="819"/>
      <c r="BKZ43" s="819"/>
      <c r="BLA43" s="819"/>
      <c r="BLB43" s="819"/>
      <c r="BLC43" s="819"/>
      <c r="BLD43" s="819"/>
      <c r="BLE43" s="819"/>
      <c r="BLF43" s="819"/>
      <c r="BLG43" s="819"/>
      <c r="BLH43" s="819"/>
      <c r="BLI43" s="819"/>
      <c r="BLJ43" s="819"/>
      <c r="BLK43" s="819"/>
      <c r="BLL43" s="819"/>
      <c r="BLM43" s="819"/>
      <c r="BLN43" s="819"/>
      <c r="BLO43" s="819"/>
      <c r="BLP43" s="819"/>
      <c r="BLQ43" s="819"/>
      <c r="BLR43" s="819"/>
      <c r="BLS43" s="819"/>
      <c r="BLT43" s="819"/>
      <c r="BLU43" s="819"/>
      <c r="BLV43" s="819"/>
      <c r="BLW43" s="819"/>
      <c r="BLX43" s="819"/>
      <c r="BLY43" s="819"/>
      <c r="BLZ43" s="819"/>
      <c r="BMA43" s="819"/>
      <c r="BMB43" s="819"/>
      <c r="BMC43" s="819"/>
      <c r="BMD43" s="819"/>
      <c r="BME43" s="819"/>
      <c r="BMF43" s="819"/>
      <c r="BMG43" s="819"/>
      <c r="BMH43" s="819"/>
      <c r="BMI43" s="819"/>
      <c r="BMJ43" s="819"/>
      <c r="BMK43" s="819"/>
      <c r="BML43" s="819"/>
      <c r="BMM43" s="819"/>
      <c r="BMN43" s="819"/>
      <c r="BMO43" s="819"/>
      <c r="BMP43" s="819"/>
      <c r="BMQ43" s="819"/>
      <c r="BMR43" s="819"/>
      <c r="BMS43" s="819"/>
      <c r="BMT43" s="819"/>
      <c r="BMU43" s="819"/>
      <c r="BMV43" s="819"/>
      <c r="BMW43" s="819"/>
      <c r="BMX43" s="819"/>
      <c r="BMY43" s="819"/>
      <c r="BMZ43" s="819"/>
      <c r="BNA43" s="819"/>
      <c r="BNB43" s="819"/>
      <c r="BNC43" s="819"/>
      <c r="BND43" s="819"/>
      <c r="BNE43" s="819"/>
      <c r="BNF43" s="819"/>
      <c r="BNG43" s="819"/>
      <c r="BNH43" s="819"/>
      <c r="BNI43" s="819"/>
      <c r="BNJ43" s="819"/>
      <c r="BNK43" s="819"/>
      <c r="BNL43" s="819"/>
      <c r="BNM43" s="819"/>
      <c r="BNN43" s="819"/>
      <c r="BNO43" s="819"/>
      <c r="BNP43" s="819"/>
      <c r="BNQ43" s="819"/>
      <c r="BNR43" s="819"/>
      <c r="BNS43" s="819"/>
      <c r="BNT43" s="819"/>
      <c r="BNU43" s="819"/>
      <c r="BNV43" s="819"/>
      <c r="BNW43" s="819"/>
      <c r="BNX43" s="819"/>
      <c r="BNY43" s="819"/>
      <c r="BNZ43" s="819"/>
      <c r="BOA43" s="819"/>
      <c r="BOB43" s="819"/>
      <c r="BOC43" s="819"/>
      <c r="BOD43" s="819"/>
      <c r="BOE43" s="819"/>
      <c r="BOF43" s="819"/>
      <c r="BOG43" s="819"/>
      <c r="BOH43" s="819"/>
      <c r="BOI43" s="819"/>
      <c r="BOJ43" s="819"/>
      <c r="BOK43" s="819"/>
      <c r="BOL43" s="819"/>
      <c r="BOM43" s="819"/>
      <c r="BON43" s="819"/>
      <c r="BOO43" s="819"/>
      <c r="BOP43" s="819"/>
      <c r="BOQ43" s="819"/>
      <c r="BOR43" s="819"/>
      <c r="BOS43" s="819"/>
      <c r="BOT43" s="819"/>
      <c r="BOU43" s="819"/>
      <c r="BOV43" s="819"/>
      <c r="BOW43" s="819"/>
      <c r="BOX43" s="819"/>
      <c r="BOY43" s="819"/>
      <c r="BOZ43" s="819"/>
      <c r="BPA43" s="819"/>
      <c r="BPB43" s="819"/>
      <c r="BPC43" s="819"/>
      <c r="BPD43" s="819"/>
      <c r="BPE43" s="819"/>
      <c r="BPF43" s="819"/>
      <c r="BPG43" s="819"/>
      <c r="BPH43" s="819"/>
      <c r="BPI43" s="819"/>
      <c r="BPJ43" s="819"/>
      <c r="BPK43" s="819"/>
      <c r="BPL43" s="819"/>
      <c r="BPM43" s="819"/>
      <c r="BPN43" s="819"/>
      <c r="BPO43" s="819"/>
      <c r="BPP43" s="819"/>
      <c r="BPQ43" s="819"/>
      <c r="BPR43" s="819"/>
      <c r="BPS43" s="819"/>
      <c r="BPT43" s="819"/>
      <c r="BPU43" s="819"/>
      <c r="BPV43" s="819"/>
      <c r="BPW43" s="819"/>
      <c r="BPX43" s="819"/>
      <c r="BPY43" s="819"/>
      <c r="BPZ43" s="819"/>
      <c r="BQA43" s="819"/>
      <c r="BQB43" s="819"/>
      <c r="BQC43" s="819"/>
      <c r="BQD43" s="819"/>
      <c r="BQE43" s="819"/>
      <c r="BQF43" s="819"/>
      <c r="BQG43" s="819"/>
      <c r="BQH43" s="819"/>
      <c r="BQI43" s="819"/>
      <c r="BQJ43" s="819"/>
      <c r="BQK43" s="819"/>
      <c r="BQL43" s="819"/>
      <c r="BQM43" s="819"/>
      <c r="BQN43" s="819"/>
      <c r="BQO43" s="819"/>
      <c r="BQP43" s="819"/>
      <c r="BQQ43" s="819"/>
      <c r="BQR43" s="819"/>
      <c r="BQS43" s="819"/>
      <c r="BQT43" s="819"/>
      <c r="BQU43" s="819"/>
      <c r="BQV43" s="819"/>
      <c r="BQW43" s="819"/>
      <c r="BQX43" s="819"/>
      <c r="BQY43" s="819"/>
      <c r="BQZ43" s="819"/>
      <c r="BRA43" s="819"/>
      <c r="BRB43" s="819"/>
      <c r="BRC43" s="819"/>
      <c r="BRD43" s="819"/>
      <c r="BRE43" s="819"/>
      <c r="BRF43" s="819"/>
      <c r="BRG43" s="819"/>
      <c r="BRH43" s="819"/>
      <c r="BRI43" s="819"/>
      <c r="BRJ43" s="819"/>
      <c r="BRK43" s="819"/>
      <c r="BRL43" s="819"/>
      <c r="BRM43" s="819"/>
      <c r="BRN43" s="819"/>
      <c r="BRO43" s="819"/>
      <c r="BRP43" s="819"/>
      <c r="BRQ43" s="819"/>
      <c r="BRR43" s="819"/>
      <c r="BRS43" s="819"/>
      <c r="BRT43" s="819"/>
      <c r="BRU43" s="819"/>
      <c r="BRV43" s="819"/>
      <c r="BRW43" s="819"/>
      <c r="BRX43" s="819"/>
      <c r="BRY43" s="819"/>
      <c r="BRZ43" s="819"/>
      <c r="BSA43" s="819"/>
      <c r="BSB43" s="819"/>
      <c r="BSC43" s="819"/>
      <c r="BSD43" s="819"/>
      <c r="BSE43" s="819"/>
      <c r="BSF43" s="819"/>
      <c r="BSG43" s="819"/>
      <c r="BSH43" s="819"/>
      <c r="BSI43" s="819"/>
      <c r="BSJ43" s="819"/>
      <c r="BSK43" s="819"/>
      <c r="BSL43" s="819"/>
      <c r="BSM43" s="819"/>
      <c r="BSN43" s="819"/>
      <c r="BSO43" s="819"/>
      <c r="BSP43" s="819"/>
      <c r="BSQ43" s="819"/>
      <c r="BSR43" s="819"/>
      <c r="BSS43" s="819"/>
      <c r="BST43" s="819"/>
      <c r="BSU43" s="819"/>
      <c r="BSV43" s="819"/>
      <c r="BSW43" s="819"/>
      <c r="BSX43" s="819"/>
      <c r="BSY43" s="819"/>
      <c r="BSZ43" s="819"/>
      <c r="BTA43" s="819"/>
      <c r="BTB43" s="819"/>
      <c r="BTC43" s="819"/>
      <c r="BTD43" s="819"/>
      <c r="BTE43" s="819"/>
      <c r="BTF43" s="819"/>
      <c r="BTG43" s="819"/>
      <c r="BTH43" s="819"/>
      <c r="BTI43" s="819"/>
      <c r="BTJ43" s="819"/>
      <c r="BTK43" s="819"/>
      <c r="BTL43" s="819"/>
      <c r="BTM43" s="819"/>
      <c r="BTN43" s="819"/>
      <c r="BTO43" s="819"/>
      <c r="BTP43" s="819"/>
      <c r="BTQ43" s="819"/>
      <c r="BTR43" s="819"/>
      <c r="BTS43" s="819"/>
      <c r="BTT43" s="819"/>
      <c r="BTU43" s="819"/>
      <c r="BTV43" s="819"/>
      <c r="BTW43" s="819"/>
      <c r="BTX43" s="819"/>
      <c r="BTY43" s="819"/>
      <c r="BTZ43" s="819"/>
      <c r="BUA43" s="819"/>
      <c r="BUB43" s="819"/>
      <c r="BUC43" s="819"/>
      <c r="BUD43" s="819"/>
      <c r="BUE43" s="819"/>
      <c r="BUF43" s="819"/>
      <c r="BUG43" s="819"/>
      <c r="BUH43" s="819"/>
      <c r="BUI43" s="819"/>
      <c r="BUJ43" s="819"/>
      <c r="BUK43" s="819"/>
      <c r="BUL43" s="819"/>
      <c r="BUM43" s="819"/>
      <c r="BUN43" s="819"/>
      <c r="BUO43" s="819"/>
      <c r="BUP43" s="819"/>
      <c r="BUQ43" s="819"/>
      <c r="BUR43" s="819"/>
      <c r="BUS43" s="819"/>
      <c r="BUT43" s="819"/>
      <c r="BUU43" s="819"/>
      <c r="BUV43" s="819"/>
      <c r="BUW43" s="819"/>
      <c r="BUX43" s="819"/>
      <c r="BUY43" s="819"/>
      <c r="BUZ43" s="819"/>
      <c r="BVA43" s="819"/>
      <c r="BVB43" s="819"/>
      <c r="BVC43" s="819"/>
      <c r="BVD43" s="819"/>
      <c r="BVE43" s="819"/>
      <c r="BVF43" s="819"/>
      <c r="BVG43" s="819"/>
      <c r="BVH43" s="819"/>
      <c r="BVI43" s="819"/>
      <c r="BVJ43" s="819"/>
      <c r="BVK43" s="819"/>
      <c r="BVL43" s="819"/>
      <c r="BVM43" s="819"/>
      <c r="BVN43" s="819"/>
      <c r="BVO43" s="819"/>
      <c r="BVP43" s="819"/>
      <c r="BVQ43" s="819"/>
      <c r="BVR43" s="819"/>
      <c r="BVS43" s="819"/>
      <c r="BVT43" s="819"/>
      <c r="BVU43" s="819"/>
      <c r="BVV43" s="819"/>
      <c r="BVW43" s="819"/>
      <c r="BVX43" s="819"/>
      <c r="BVY43" s="819"/>
      <c r="BVZ43" s="819"/>
      <c r="BWA43" s="819"/>
      <c r="BWB43" s="819"/>
      <c r="BWC43" s="819"/>
      <c r="BWD43" s="819"/>
      <c r="BWE43" s="819"/>
      <c r="BWF43" s="819"/>
      <c r="BWG43" s="819"/>
      <c r="BWH43" s="819"/>
      <c r="BWI43" s="819"/>
      <c r="BWJ43" s="819"/>
      <c r="BWK43" s="819"/>
      <c r="BWL43" s="819"/>
      <c r="BWM43" s="819"/>
      <c r="BWN43" s="819"/>
      <c r="BWO43" s="819"/>
      <c r="BWP43" s="819"/>
      <c r="BWQ43" s="819"/>
      <c r="BWR43" s="819"/>
      <c r="BWS43" s="819"/>
      <c r="BWT43" s="819"/>
      <c r="BWU43" s="819"/>
      <c r="BWV43" s="819"/>
      <c r="BWW43" s="819"/>
      <c r="BWX43" s="819"/>
      <c r="BWY43" s="819"/>
      <c r="BWZ43" s="819"/>
      <c r="BXA43" s="819"/>
      <c r="BXB43" s="819"/>
      <c r="BXC43" s="819"/>
      <c r="BXD43" s="819"/>
      <c r="BXE43" s="819"/>
      <c r="BXF43" s="819"/>
      <c r="BXG43" s="819"/>
      <c r="BXH43" s="819"/>
      <c r="BXI43" s="819"/>
      <c r="BXJ43" s="819"/>
      <c r="BXK43" s="819"/>
      <c r="BXL43" s="819"/>
      <c r="BXM43" s="819"/>
      <c r="BXN43" s="819"/>
      <c r="BXO43" s="819"/>
      <c r="BXP43" s="819"/>
      <c r="BXQ43" s="819"/>
      <c r="BXR43" s="819"/>
      <c r="BXS43" s="819"/>
      <c r="BXT43" s="819"/>
      <c r="BXU43" s="819"/>
      <c r="BXV43" s="819"/>
      <c r="BXW43" s="819"/>
      <c r="BXX43" s="819"/>
      <c r="BXY43" s="819"/>
      <c r="BXZ43" s="819"/>
      <c r="BYA43" s="819"/>
      <c r="BYB43" s="819"/>
      <c r="BYC43" s="819"/>
      <c r="BYD43" s="819"/>
      <c r="BYE43" s="819"/>
      <c r="BYF43" s="819"/>
      <c r="BYG43" s="819"/>
      <c r="BYH43" s="819"/>
      <c r="BYI43" s="819"/>
      <c r="BYJ43" s="819"/>
      <c r="BYK43" s="819"/>
      <c r="BYL43" s="819"/>
      <c r="BYM43" s="819"/>
      <c r="BYN43" s="819"/>
      <c r="BYO43" s="819"/>
      <c r="BYP43" s="819"/>
      <c r="BYQ43" s="819"/>
      <c r="BYR43" s="819"/>
      <c r="BYS43" s="819"/>
      <c r="BYT43" s="819"/>
      <c r="BYU43" s="819"/>
      <c r="BYV43" s="819"/>
      <c r="BYW43" s="819"/>
      <c r="BYX43" s="819"/>
      <c r="BYY43" s="819"/>
      <c r="BYZ43" s="819"/>
      <c r="BZA43" s="819"/>
      <c r="BZB43" s="819"/>
      <c r="BZC43" s="819"/>
      <c r="BZD43" s="819"/>
      <c r="BZE43" s="819"/>
      <c r="BZF43" s="819"/>
      <c r="BZG43" s="819"/>
      <c r="BZH43" s="819"/>
      <c r="BZI43" s="819"/>
      <c r="BZJ43" s="819"/>
      <c r="BZK43" s="819"/>
      <c r="BZL43" s="819"/>
      <c r="BZM43" s="819"/>
      <c r="BZN43" s="819"/>
      <c r="BZO43" s="819"/>
      <c r="BZP43" s="819"/>
      <c r="BZQ43" s="819"/>
      <c r="BZR43" s="819"/>
      <c r="BZS43" s="819"/>
      <c r="BZT43" s="819"/>
      <c r="BZU43" s="819"/>
      <c r="BZV43" s="819"/>
      <c r="BZW43" s="819"/>
      <c r="BZX43" s="819"/>
      <c r="BZY43" s="819"/>
      <c r="BZZ43" s="819"/>
      <c r="CAA43" s="819"/>
      <c r="CAB43" s="819"/>
      <c r="CAC43" s="819"/>
      <c r="CAD43" s="819"/>
      <c r="CAE43" s="819"/>
      <c r="CAF43" s="819"/>
      <c r="CAG43" s="819"/>
      <c r="CAH43" s="819"/>
      <c r="CAI43" s="819"/>
      <c r="CAJ43" s="819"/>
      <c r="CAK43" s="819"/>
      <c r="CAL43" s="819"/>
      <c r="CAM43" s="819"/>
      <c r="CAN43" s="819"/>
      <c r="CAO43" s="819"/>
      <c r="CAP43" s="819"/>
      <c r="CAQ43" s="819"/>
      <c r="CAR43" s="819"/>
      <c r="CAS43" s="819"/>
      <c r="CAT43" s="819"/>
      <c r="CAU43" s="819"/>
      <c r="CAV43" s="819"/>
      <c r="CAW43" s="819"/>
      <c r="CAX43" s="819"/>
      <c r="CAY43" s="819"/>
      <c r="CAZ43" s="819"/>
      <c r="CBA43" s="819"/>
      <c r="CBB43" s="819"/>
      <c r="CBC43" s="819"/>
      <c r="CBD43" s="819"/>
      <c r="CBE43" s="819"/>
      <c r="CBF43" s="819"/>
      <c r="CBG43" s="819"/>
      <c r="CBH43" s="819"/>
      <c r="CBI43" s="819"/>
      <c r="CBJ43" s="819"/>
      <c r="CBK43" s="819"/>
      <c r="CBL43" s="819"/>
      <c r="CBM43" s="819"/>
      <c r="CBN43" s="819"/>
      <c r="CBO43" s="819"/>
      <c r="CBP43" s="819"/>
      <c r="CBQ43" s="819"/>
      <c r="CBR43" s="819"/>
      <c r="CBS43" s="819"/>
      <c r="CBT43" s="819"/>
      <c r="CBU43" s="819"/>
      <c r="CBV43" s="819"/>
      <c r="CBW43" s="819"/>
      <c r="CBX43" s="819"/>
      <c r="CBY43" s="819"/>
      <c r="CBZ43" s="819"/>
      <c r="CCA43" s="819"/>
      <c r="CCB43" s="819"/>
      <c r="CCC43" s="819"/>
      <c r="CCD43" s="819"/>
      <c r="CCE43" s="819"/>
      <c r="CCF43" s="819"/>
      <c r="CCG43" s="819"/>
      <c r="CCH43" s="819"/>
      <c r="CCI43" s="819"/>
      <c r="CCJ43" s="819"/>
      <c r="CCK43" s="819"/>
      <c r="CCL43" s="819"/>
      <c r="CCM43" s="819"/>
      <c r="CCN43" s="819"/>
      <c r="CCO43" s="819"/>
      <c r="CCP43" s="819"/>
      <c r="CCQ43" s="819"/>
      <c r="CCR43" s="819"/>
      <c r="CCS43" s="819"/>
      <c r="CCT43" s="819"/>
      <c r="CCU43" s="819"/>
      <c r="CCV43" s="819"/>
      <c r="CCW43" s="819"/>
      <c r="CCX43" s="819"/>
      <c r="CCY43" s="819"/>
      <c r="CCZ43" s="819"/>
      <c r="CDA43" s="819"/>
      <c r="CDB43" s="819"/>
      <c r="CDC43" s="819"/>
      <c r="CDD43" s="819"/>
      <c r="CDE43" s="819"/>
      <c r="CDF43" s="819"/>
      <c r="CDG43" s="819"/>
      <c r="CDH43" s="819"/>
      <c r="CDI43" s="819"/>
      <c r="CDJ43" s="819"/>
      <c r="CDK43" s="819"/>
      <c r="CDL43" s="819"/>
      <c r="CDM43" s="819"/>
      <c r="CDN43" s="819"/>
      <c r="CDO43" s="819"/>
      <c r="CDP43" s="819"/>
      <c r="CDQ43" s="819"/>
      <c r="CDR43" s="819"/>
      <c r="CDS43" s="819"/>
      <c r="CDT43" s="819"/>
      <c r="CDU43" s="819"/>
      <c r="CDV43" s="819"/>
      <c r="CDW43" s="819"/>
      <c r="CDX43" s="819"/>
      <c r="CDY43" s="819"/>
      <c r="CDZ43" s="819"/>
      <c r="CEA43" s="819"/>
      <c r="CEB43" s="819"/>
      <c r="CEC43" s="819"/>
      <c r="CED43" s="819"/>
      <c r="CEE43" s="819"/>
      <c r="CEF43" s="819"/>
      <c r="CEG43" s="819"/>
      <c r="CEH43" s="819"/>
      <c r="CEI43" s="819"/>
      <c r="CEJ43" s="819"/>
      <c r="CEK43" s="819"/>
      <c r="CEL43" s="819"/>
      <c r="CEM43" s="819"/>
      <c r="CEN43" s="819"/>
      <c r="CEO43" s="819"/>
      <c r="CEP43" s="819"/>
      <c r="CEQ43" s="819"/>
      <c r="CER43" s="819"/>
      <c r="CES43" s="819"/>
      <c r="CET43" s="819"/>
      <c r="CEU43" s="819"/>
      <c r="CEV43" s="819"/>
      <c r="CEW43" s="819"/>
      <c r="CEX43" s="819"/>
      <c r="CEY43" s="819"/>
      <c r="CEZ43" s="819"/>
      <c r="CFA43" s="819"/>
      <c r="CFB43" s="819"/>
      <c r="CFC43" s="819"/>
      <c r="CFD43" s="819"/>
      <c r="CFE43" s="819"/>
      <c r="CFF43" s="819"/>
      <c r="CFG43" s="819"/>
      <c r="CFH43" s="819"/>
      <c r="CFI43" s="819"/>
      <c r="CFJ43" s="819"/>
      <c r="CFK43" s="819"/>
      <c r="CFL43" s="819"/>
      <c r="CFM43" s="819"/>
      <c r="CFN43" s="819"/>
      <c r="CFO43" s="819"/>
      <c r="CFP43" s="819"/>
      <c r="CFQ43" s="819"/>
      <c r="CFR43" s="819"/>
      <c r="CFS43" s="819"/>
      <c r="CFT43" s="819"/>
      <c r="CFU43" s="819"/>
      <c r="CFV43" s="819"/>
      <c r="CFW43" s="819"/>
      <c r="CFX43" s="819"/>
      <c r="CFY43" s="819"/>
      <c r="CFZ43" s="819"/>
      <c r="CGA43" s="819"/>
      <c r="CGB43" s="819"/>
      <c r="CGC43" s="819"/>
      <c r="CGD43" s="819"/>
      <c r="CGE43" s="819"/>
      <c r="CGF43" s="819"/>
      <c r="CGG43" s="819"/>
      <c r="CGH43" s="819"/>
      <c r="CGI43" s="819"/>
      <c r="CGJ43" s="819"/>
      <c r="CGK43" s="819"/>
      <c r="CGL43" s="819"/>
      <c r="CGM43" s="819"/>
      <c r="CGN43" s="819"/>
      <c r="CGO43" s="819"/>
      <c r="CGP43" s="819"/>
      <c r="CGQ43" s="819"/>
      <c r="CGR43" s="819"/>
      <c r="CGS43" s="819"/>
      <c r="CGT43" s="819"/>
      <c r="CGU43" s="819"/>
      <c r="CGV43" s="819"/>
      <c r="CGW43" s="819"/>
      <c r="CGX43" s="819"/>
      <c r="CGY43" s="819"/>
      <c r="CGZ43" s="819"/>
      <c r="CHA43" s="819"/>
      <c r="CHB43" s="819"/>
      <c r="CHC43" s="819"/>
      <c r="CHD43" s="819"/>
      <c r="CHE43" s="819"/>
      <c r="CHF43" s="819"/>
      <c r="CHG43" s="819"/>
      <c r="CHH43" s="819"/>
      <c r="CHI43" s="819"/>
      <c r="CHJ43" s="819"/>
      <c r="CHK43" s="819"/>
      <c r="CHL43" s="819"/>
      <c r="CHM43" s="819"/>
      <c r="CHN43" s="819"/>
      <c r="CHO43" s="819"/>
      <c r="CHP43" s="819"/>
      <c r="CHQ43" s="819"/>
      <c r="CHR43" s="819"/>
      <c r="CHS43" s="819"/>
      <c r="CHT43" s="819"/>
      <c r="CHU43" s="819"/>
      <c r="CHV43" s="819"/>
      <c r="CHW43" s="819"/>
      <c r="CHX43" s="819"/>
      <c r="CHY43" s="819"/>
      <c r="CHZ43" s="819"/>
      <c r="CIA43" s="819"/>
      <c r="CIB43" s="819"/>
      <c r="CIC43" s="819"/>
      <c r="CID43" s="819"/>
      <c r="CIE43" s="819"/>
      <c r="CIF43" s="819"/>
      <c r="CIG43" s="819"/>
      <c r="CIH43" s="819"/>
      <c r="CII43" s="819"/>
      <c r="CIJ43" s="819"/>
      <c r="CIK43" s="819"/>
      <c r="CIL43" s="819"/>
      <c r="CIM43" s="819"/>
      <c r="CIN43" s="819"/>
      <c r="CIO43" s="819"/>
      <c r="CIP43" s="819"/>
      <c r="CIQ43" s="819"/>
      <c r="CIR43" s="819"/>
      <c r="CIS43" s="819"/>
      <c r="CIT43" s="819"/>
      <c r="CIU43" s="819"/>
      <c r="CIV43" s="819"/>
      <c r="CIW43" s="819"/>
      <c r="CIX43" s="819"/>
      <c r="CIY43" s="819"/>
      <c r="CIZ43" s="819"/>
      <c r="CJA43" s="819"/>
      <c r="CJB43" s="819"/>
      <c r="CJC43" s="819"/>
      <c r="CJD43" s="819"/>
      <c r="CJE43" s="819"/>
      <c r="CJF43" s="819"/>
      <c r="CJG43" s="819"/>
      <c r="CJH43" s="819"/>
      <c r="CJI43" s="819"/>
      <c r="CJJ43" s="819"/>
      <c r="CJK43" s="819"/>
      <c r="CJL43" s="819"/>
      <c r="CJM43" s="819"/>
      <c r="CJN43" s="819"/>
      <c r="CJO43" s="819"/>
      <c r="CJP43" s="819"/>
      <c r="CJQ43" s="819"/>
      <c r="CJR43" s="819"/>
      <c r="CJS43" s="819"/>
      <c r="CJT43" s="819"/>
      <c r="CJU43" s="819"/>
      <c r="CJV43" s="819"/>
      <c r="CJW43" s="819"/>
      <c r="CJX43" s="819"/>
      <c r="CJY43" s="819"/>
      <c r="CJZ43" s="819"/>
      <c r="CKA43" s="819"/>
      <c r="CKB43" s="819"/>
      <c r="CKC43" s="819"/>
      <c r="CKD43" s="819"/>
      <c r="CKE43" s="819"/>
      <c r="CKF43" s="819"/>
      <c r="CKG43" s="819"/>
      <c r="CKH43" s="819"/>
      <c r="CKI43" s="819"/>
      <c r="CKJ43" s="819"/>
      <c r="CKK43" s="819"/>
      <c r="CKL43" s="819"/>
      <c r="CKM43" s="819"/>
      <c r="CKN43" s="819"/>
      <c r="CKO43" s="819"/>
      <c r="CKP43" s="819"/>
      <c r="CKQ43" s="819"/>
      <c r="CKR43" s="819"/>
      <c r="CKS43" s="819"/>
      <c r="CKT43" s="819"/>
      <c r="CKU43" s="819"/>
      <c r="CKV43" s="819"/>
      <c r="CKW43" s="819"/>
      <c r="CKX43" s="819"/>
      <c r="CKY43" s="819"/>
      <c r="CKZ43" s="819"/>
      <c r="CLA43" s="819"/>
      <c r="CLB43" s="819"/>
      <c r="CLC43" s="819"/>
      <c r="CLD43" s="819"/>
      <c r="CLE43" s="819"/>
      <c r="CLF43" s="819"/>
      <c r="CLG43" s="819"/>
      <c r="CLH43" s="819"/>
      <c r="CLI43" s="819"/>
      <c r="CLJ43" s="819"/>
      <c r="CLK43" s="819"/>
      <c r="CLL43" s="819"/>
      <c r="CLM43" s="819"/>
      <c r="CLN43" s="819"/>
      <c r="CLO43" s="819"/>
      <c r="CLP43" s="819"/>
      <c r="CLQ43" s="819"/>
      <c r="CLR43" s="819"/>
      <c r="CLS43" s="819"/>
      <c r="CLT43" s="819"/>
      <c r="CLU43" s="819"/>
      <c r="CLV43" s="819"/>
      <c r="CLW43" s="819"/>
      <c r="CLX43" s="819"/>
      <c r="CLY43" s="819"/>
      <c r="CLZ43" s="819"/>
      <c r="CMA43" s="819"/>
      <c r="CMB43" s="819"/>
      <c r="CMC43" s="819"/>
      <c r="CMD43" s="819"/>
      <c r="CME43" s="819"/>
      <c r="CMF43" s="819"/>
      <c r="CMG43" s="819"/>
      <c r="CMH43" s="819"/>
      <c r="CMI43" s="819"/>
      <c r="CMJ43" s="819"/>
      <c r="CMK43" s="819"/>
      <c r="CML43" s="819"/>
      <c r="CMM43" s="819"/>
      <c r="CMN43" s="819"/>
      <c r="CMO43" s="819"/>
      <c r="CMP43" s="819"/>
      <c r="CMQ43" s="819"/>
      <c r="CMR43" s="819"/>
      <c r="CMS43" s="819"/>
      <c r="CMT43" s="819"/>
      <c r="CMU43" s="819"/>
      <c r="CMV43" s="819"/>
      <c r="CMW43" s="819"/>
      <c r="CMX43" s="819"/>
      <c r="CMY43" s="819"/>
      <c r="CMZ43" s="819"/>
      <c r="CNA43" s="819"/>
      <c r="CNB43" s="819"/>
      <c r="CNC43" s="819"/>
      <c r="CND43" s="819"/>
      <c r="CNE43" s="819"/>
      <c r="CNF43" s="819"/>
      <c r="CNG43" s="819"/>
      <c r="CNH43" s="819"/>
      <c r="CNI43" s="819"/>
      <c r="CNJ43" s="819"/>
      <c r="CNK43" s="819"/>
      <c r="CNL43" s="819"/>
      <c r="CNM43" s="819"/>
      <c r="CNN43" s="819"/>
      <c r="CNO43" s="819"/>
      <c r="CNP43" s="819"/>
      <c r="CNQ43" s="819"/>
      <c r="CNR43" s="819"/>
      <c r="CNS43" s="819"/>
      <c r="CNT43" s="819"/>
      <c r="CNU43" s="819"/>
      <c r="CNV43" s="819"/>
      <c r="CNW43" s="819"/>
      <c r="CNX43" s="819"/>
      <c r="CNY43" s="819"/>
      <c r="CNZ43" s="819"/>
      <c r="COA43" s="819"/>
      <c r="COB43" s="819"/>
      <c r="COC43" s="819"/>
      <c r="COD43" s="819"/>
      <c r="COE43" s="819"/>
      <c r="COF43" s="819"/>
      <c r="COG43" s="819"/>
      <c r="COH43" s="819"/>
      <c r="COI43" s="819"/>
      <c r="COJ43" s="819"/>
      <c r="COK43" s="819"/>
      <c r="COL43" s="819"/>
      <c r="COM43" s="819"/>
      <c r="CON43" s="819"/>
      <c r="COO43" s="819"/>
      <c r="COP43" s="819"/>
      <c r="COQ43" s="819"/>
      <c r="COR43" s="819"/>
      <c r="COS43" s="819"/>
      <c r="COT43" s="819"/>
      <c r="COU43" s="819"/>
      <c r="COV43" s="819"/>
      <c r="COW43" s="819"/>
      <c r="COX43" s="819"/>
      <c r="COY43" s="819"/>
      <c r="COZ43" s="819"/>
      <c r="CPA43" s="819"/>
      <c r="CPB43" s="819"/>
      <c r="CPC43" s="819"/>
      <c r="CPD43" s="819"/>
      <c r="CPE43" s="819"/>
      <c r="CPF43" s="819"/>
      <c r="CPG43" s="819"/>
      <c r="CPH43" s="819"/>
      <c r="CPI43" s="819"/>
      <c r="CPJ43" s="819"/>
      <c r="CPK43" s="819"/>
      <c r="CPL43" s="819"/>
      <c r="CPM43" s="819"/>
      <c r="CPN43" s="819"/>
      <c r="CPO43" s="819"/>
      <c r="CPP43" s="819"/>
      <c r="CPQ43" s="819"/>
      <c r="CPR43" s="819"/>
      <c r="CPS43" s="819"/>
      <c r="CPT43" s="819"/>
      <c r="CPU43" s="819"/>
      <c r="CPV43" s="819"/>
      <c r="CPW43" s="819"/>
      <c r="CPX43" s="819"/>
      <c r="CPY43" s="819"/>
      <c r="CPZ43" s="819"/>
      <c r="CQA43" s="819"/>
      <c r="CQB43" s="819"/>
      <c r="CQC43" s="819"/>
      <c r="CQD43" s="819"/>
      <c r="CQE43" s="819"/>
      <c r="CQF43" s="819"/>
      <c r="CQG43" s="819"/>
      <c r="CQH43" s="819"/>
      <c r="CQI43" s="819"/>
      <c r="CQJ43" s="819"/>
      <c r="CQK43" s="819"/>
      <c r="CQL43" s="819"/>
      <c r="CQM43" s="819"/>
      <c r="CQN43" s="819"/>
      <c r="CQO43" s="819"/>
      <c r="CQP43" s="819"/>
      <c r="CQQ43" s="819"/>
      <c r="CQR43" s="819"/>
      <c r="CQS43" s="819"/>
      <c r="CQT43" s="819"/>
      <c r="CQU43" s="819"/>
      <c r="CQV43" s="819"/>
      <c r="CQW43" s="819"/>
      <c r="CQX43" s="819"/>
      <c r="CQY43" s="819"/>
      <c r="CQZ43" s="819"/>
      <c r="CRA43" s="819"/>
      <c r="CRB43" s="819"/>
      <c r="CRC43" s="819"/>
      <c r="CRD43" s="819"/>
      <c r="CRE43" s="819"/>
      <c r="CRF43" s="819"/>
      <c r="CRG43" s="819"/>
      <c r="CRH43" s="819"/>
      <c r="CRI43" s="819"/>
      <c r="CRJ43" s="819"/>
      <c r="CRK43" s="819"/>
      <c r="CRL43" s="819"/>
      <c r="CRM43" s="819"/>
      <c r="CRN43" s="819"/>
      <c r="CRO43" s="819"/>
      <c r="CRP43" s="819"/>
      <c r="CRQ43" s="819"/>
      <c r="CRR43" s="819"/>
      <c r="CRS43" s="819"/>
      <c r="CRT43" s="819"/>
      <c r="CRU43" s="819"/>
      <c r="CRV43" s="819"/>
      <c r="CRW43" s="819"/>
      <c r="CRX43" s="819"/>
      <c r="CRY43" s="819"/>
      <c r="CRZ43" s="819"/>
      <c r="CSA43" s="819"/>
      <c r="CSB43" s="819"/>
      <c r="CSC43" s="819"/>
      <c r="CSD43" s="819"/>
      <c r="CSE43" s="819"/>
      <c r="CSF43" s="819"/>
      <c r="CSG43" s="819"/>
      <c r="CSH43" s="819"/>
      <c r="CSI43" s="819"/>
      <c r="CSJ43" s="819"/>
      <c r="CSK43" s="819"/>
      <c r="CSL43" s="819"/>
      <c r="CSM43" s="819"/>
      <c r="CSN43" s="819"/>
      <c r="CSO43" s="819"/>
      <c r="CSP43" s="819"/>
      <c r="CSQ43" s="819"/>
      <c r="CSR43" s="819"/>
      <c r="CSS43" s="819"/>
      <c r="CST43" s="819"/>
      <c r="CSU43" s="819"/>
      <c r="CSV43" s="819"/>
      <c r="CSW43" s="819"/>
      <c r="CSX43" s="819"/>
      <c r="CSY43" s="819"/>
      <c r="CSZ43" s="819"/>
      <c r="CTA43" s="819"/>
      <c r="CTB43" s="819"/>
      <c r="CTC43" s="819"/>
      <c r="CTD43" s="819"/>
      <c r="CTE43" s="819"/>
      <c r="CTF43" s="819"/>
      <c r="CTG43" s="819"/>
      <c r="CTH43" s="819"/>
      <c r="CTI43" s="819"/>
      <c r="CTJ43" s="819"/>
      <c r="CTK43" s="819"/>
      <c r="CTL43" s="819"/>
      <c r="CTM43" s="819"/>
      <c r="CTN43" s="819"/>
      <c r="CTO43" s="819"/>
      <c r="CTP43" s="819"/>
      <c r="CTQ43" s="819"/>
      <c r="CTR43" s="819"/>
      <c r="CTS43" s="819"/>
      <c r="CTT43" s="819"/>
      <c r="CTU43" s="819"/>
      <c r="CTV43" s="819"/>
      <c r="CTW43" s="819"/>
      <c r="CTX43" s="819"/>
      <c r="CTY43" s="819"/>
      <c r="CTZ43" s="819"/>
      <c r="CUA43" s="819"/>
      <c r="CUB43" s="819"/>
      <c r="CUC43" s="819"/>
      <c r="CUD43" s="819"/>
      <c r="CUE43" s="819"/>
      <c r="CUF43" s="819"/>
      <c r="CUG43" s="819"/>
      <c r="CUH43" s="819"/>
      <c r="CUI43" s="819"/>
      <c r="CUJ43" s="819"/>
      <c r="CUK43" s="819"/>
      <c r="CUL43" s="819"/>
      <c r="CUM43" s="819"/>
      <c r="CUN43" s="819"/>
      <c r="CUO43" s="819"/>
      <c r="CUP43" s="819"/>
      <c r="CUQ43" s="819"/>
      <c r="CUR43" s="819"/>
      <c r="CUS43" s="819"/>
      <c r="CUT43" s="819"/>
      <c r="CUU43" s="819"/>
      <c r="CUV43" s="819"/>
      <c r="CUW43" s="819"/>
      <c r="CUX43" s="819"/>
      <c r="CUY43" s="819"/>
      <c r="CUZ43" s="819"/>
      <c r="CVA43" s="819"/>
      <c r="CVB43" s="819"/>
      <c r="CVC43" s="819"/>
      <c r="CVD43" s="819"/>
      <c r="CVE43" s="819"/>
      <c r="CVF43" s="819"/>
      <c r="CVG43" s="819"/>
      <c r="CVH43" s="819"/>
      <c r="CVI43" s="819"/>
      <c r="CVJ43" s="819"/>
      <c r="CVK43" s="819"/>
      <c r="CVL43" s="819"/>
      <c r="CVM43" s="819"/>
      <c r="CVN43" s="819"/>
      <c r="CVO43" s="819"/>
      <c r="CVP43" s="819"/>
      <c r="CVQ43" s="819"/>
      <c r="CVR43" s="819"/>
      <c r="CVS43" s="819"/>
      <c r="CVT43" s="819"/>
      <c r="CVU43" s="819"/>
      <c r="CVV43" s="819"/>
      <c r="CVW43" s="819"/>
      <c r="CVX43" s="819"/>
      <c r="CVY43" s="819"/>
      <c r="CVZ43" s="819"/>
      <c r="CWA43" s="819"/>
      <c r="CWB43" s="819"/>
      <c r="CWC43" s="819"/>
      <c r="CWD43" s="819"/>
      <c r="CWE43" s="819"/>
      <c r="CWF43" s="819"/>
      <c r="CWG43" s="819"/>
      <c r="CWH43" s="819"/>
      <c r="CWI43" s="819"/>
      <c r="CWJ43" s="819"/>
      <c r="CWK43" s="819"/>
      <c r="CWL43" s="819"/>
      <c r="CWM43" s="819"/>
      <c r="CWN43" s="819"/>
      <c r="CWO43" s="819"/>
      <c r="CWP43" s="819"/>
      <c r="CWQ43" s="819"/>
      <c r="CWR43" s="819"/>
      <c r="CWS43" s="819"/>
      <c r="CWT43" s="819"/>
      <c r="CWU43" s="819"/>
      <c r="CWV43" s="819"/>
      <c r="CWW43" s="819"/>
      <c r="CWX43" s="819"/>
      <c r="CWY43" s="819"/>
      <c r="CWZ43" s="819"/>
      <c r="CXA43" s="819"/>
      <c r="CXB43" s="819"/>
      <c r="CXC43" s="819"/>
      <c r="CXD43" s="819"/>
      <c r="CXE43" s="819"/>
      <c r="CXF43" s="819"/>
      <c r="CXG43" s="819"/>
      <c r="CXH43" s="819"/>
      <c r="CXI43" s="819"/>
      <c r="CXJ43" s="819"/>
      <c r="CXK43" s="819"/>
      <c r="CXL43" s="819"/>
      <c r="CXM43" s="819"/>
      <c r="CXN43" s="819"/>
      <c r="CXO43" s="819"/>
      <c r="CXP43" s="819"/>
      <c r="CXQ43" s="819"/>
      <c r="CXR43" s="819"/>
      <c r="CXS43" s="819"/>
      <c r="CXT43" s="819"/>
      <c r="CXU43" s="819"/>
      <c r="CXV43" s="819"/>
      <c r="CXW43" s="819"/>
      <c r="CXX43" s="819"/>
      <c r="CXY43" s="819"/>
      <c r="CXZ43" s="819"/>
      <c r="CYA43" s="819"/>
      <c r="CYB43" s="819"/>
      <c r="CYC43" s="819"/>
      <c r="CYD43" s="819"/>
      <c r="CYE43" s="819"/>
      <c r="CYF43" s="819"/>
      <c r="CYG43" s="819"/>
      <c r="CYH43" s="819"/>
      <c r="CYI43" s="819"/>
      <c r="CYJ43" s="819"/>
      <c r="CYK43" s="819"/>
      <c r="CYL43" s="819"/>
      <c r="CYM43" s="819"/>
      <c r="CYN43" s="819"/>
      <c r="CYO43" s="819"/>
      <c r="CYP43" s="819"/>
      <c r="CYQ43" s="819"/>
      <c r="CYR43" s="819"/>
      <c r="CYS43" s="819"/>
      <c r="CYT43" s="819"/>
      <c r="CYU43" s="819"/>
      <c r="CYV43" s="819"/>
      <c r="CYW43" s="819"/>
      <c r="CYX43" s="819"/>
      <c r="CYY43" s="819"/>
      <c r="CYZ43" s="819"/>
      <c r="CZA43" s="819"/>
      <c r="CZB43" s="819"/>
      <c r="CZC43" s="819"/>
      <c r="CZD43" s="819"/>
      <c r="CZE43" s="819"/>
      <c r="CZF43" s="819"/>
      <c r="CZG43" s="819"/>
      <c r="CZH43" s="819"/>
      <c r="CZI43" s="819"/>
      <c r="CZJ43" s="819"/>
      <c r="CZK43" s="819"/>
      <c r="CZL43" s="819"/>
      <c r="CZM43" s="819"/>
      <c r="CZN43" s="819"/>
      <c r="CZO43" s="819"/>
      <c r="CZP43" s="819"/>
      <c r="CZQ43" s="819"/>
      <c r="CZR43" s="819"/>
      <c r="CZS43" s="819"/>
      <c r="CZT43" s="819"/>
      <c r="CZU43" s="819"/>
      <c r="CZV43" s="819"/>
      <c r="CZW43" s="819"/>
      <c r="CZX43" s="819"/>
      <c r="CZY43" s="819"/>
      <c r="CZZ43" s="819"/>
      <c r="DAA43" s="819"/>
      <c r="DAB43" s="819"/>
      <c r="DAC43" s="819"/>
      <c r="DAD43" s="819"/>
      <c r="DAE43" s="819"/>
      <c r="DAF43" s="819"/>
      <c r="DAG43" s="819"/>
      <c r="DAH43" s="819"/>
      <c r="DAI43" s="819"/>
      <c r="DAJ43" s="819"/>
      <c r="DAK43" s="819"/>
      <c r="DAL43" s="819"/>
      <c r="DAM43" s="819"/>
      <c r="DAN43" s="819"/>
      <c r="DAO43" s="819"/>
      <c r="DAP43" s="819"/>
      <c r="DAQ43" s="819"/>
      <c r="DAR43" s="819"/>
      <c r="DAS43" s="819"/>
      <c r="DAT43" s="819"/>
      <c r="DAU43" s="819"/>
      <c r="DAV43" s="819"/>
      <c r="DAW43" s="819"/>
      <c r="DAX43" s="819"/>
      <c r="DAY43" s="819"/>
      <c r="DAZ43" s="819"/>
      <c r="DBA43" s="819"/>
      <c r="DBB43" s="819"/>
      <c r="DBC43" s="819"/>
      <c r="DBD43" s="819"/>
      <c r="DBE43" s="819"/>
      <c r="DBF43" s="819"/>
      <c r="DBG43" s="819"/>
      <c r="DBH43" s="819"/>
      <c r="DBI43" s="819"/>
      <c r="DBJ43" s="819"/>
      <c r="DBK43" s="819"/>
      <c r="DBL43" s="819"/>
      <c r="DBM43" s="819"/>
      <c r="DBN43" s="819"/>
      <c r="DBO43" s="819"/>
      <c r="DBP43" s="819"/>
      <c r="DBQ43" s="819"/>
      <c r="DBR43" s="819"/>
      <c r="DBS43" s="819"/>
      <c r="DBT43" s="819"/>
      <c r="DBU43" s="819"/>
      <c r="DBV43" s="819"/>
      <c r="DBW43" s="819"/>
      <c r="DBX43" s="819"/>
      <c r="DBY43" s="819"/>
      <c r="DBZ43" s="819"/>
      <c r="DCA43" s="819"/>
      <c r="DCB43" s="819"/>
      <c r="DCC43" s="819"/>
      <c r="DCD43" s="819"/>
      <c r="DCE43" s="819"/>
      <c r="DCF43" s="819"/>
      <c r="DCG43" s="819"/>
      <c r="DCH43" s="819"/>
      <c r="DCI43" s="819"/>
      <c r="DCJ43" s="819"/>
      <c r="DCK43" s="819"/>
      <c r="DCL43" s="819"/>
      <c r="DCM43" s="819"/>
      <c r="DCN43" s="819"/>
      <c r="DCO43" s="819"/>
      <c r="DCP43" s="819"/>
      <c r="DCQ43" s="819"/>
      <c r="DCR43" s="819"/>
      <c r="DCS43" s="819"/>
      <c r="DCT43" s="819"/>
      <c r="DCU43" s="819"/>
      <c r="DCV43" s="819"/>
      <c r="DCW43" s="819"/>
      <c r="DCX43" s="819"/>
      <c r="DCY43" s="819"/>
      <c r="DCZ43" s="819"/>
      <c r="DDA43" s="819"/>
      <c r="DDB43" s="819"/>
      <c r="DDC43" s="819"/>
      <c r="DDD43" s="819"/>
      <c r="DDE43" s="819"/>
      <c r="DDF43" s="819"/>
      <c r="DDG43" s="819"/>
      <c r="DDH43" s="819"/>
      <c r="DDI43" s="819"/>
      <c r="DDJ43" s="819"/>
      <c r="DDK43" s="819"/>
      <c r="DDL43" s="819"/>
      <c r="DDM43" s="819"/>
      <c r="DDN43" s="819"/>
      <c r="DDO43" s="819"/>
      <c r="DDP43" s="819"/>
      <c r="DDQ43" s="819"/>
      <c r="DDR43" s="819"/>
      <c r="DDS43" s="819"/>
      <c r="DDT43" s="819"/>
      <c r="DDU43" s="819"/>
      <c r="DDV43" s="819"/>
      <c r="DDW43" s="819"/>
      <c r="DDX43" s="819"/>
      <c r="DDY43" s="819"/>
      <c r="DDZ43" s="819"/>
      <c r="DEA43" s="819"/>
      <c r="DEB43" s="819"/>
      <c r="DEC43" s="819"/>
      <c r="DED43" s="819"/>
      <c r="DEE43" s="819"/>
      <c r="DEF43" s="819"/>
      <c r="DEG43" s="819"/>
      <c r="DEH43" s="819"/>
      <c r="DEI43" s="819"/>
      <c r="DEJ43" s="819"/>
      <c r="DEK43" s="819"/>
      <c r="DEL43" s="819"/>
      <c r="DEM43" s="819"/>
      <c r="DEN43" s="819"/>
      <c r="DEO43" s="819"/>
      <c r="DEP43" s="819"/>
      <c r="DEQ43" s="819"/>
      <c r="DER43" s="819"/>
      <c r="DES43" s="819"/>
      <c r="DET43" s="819"/>
      <c r="DEU43" s="819"/>
      <c r="DEV43" s="819"/>
      <c r="DEW43" s="819"/>
      <c r="DEX43" s="819"/>
      <c r="DEY43" s="819"/>
      <c r="DEZ43" s="819"/>
      <c r="DFA43" s="819"/>
      <c r="DFB43" s="819"/>
      <c r="DFC43" s="819"/>
      <c r="DFD43" s="819"/>
      <c r="DFE43" s="819"/>
      <c r="DFF43" s="819"/>
      <c r="DFG43" s="819"/>
      <c r="DFH43" s="819"/>
      <c r="DFI43" s="819"/>
      <c r="DFJ43" s="819"/>
      <c r="DFK43" s="819"/>
      <c r="DFL43" s="819"/>
      <c r="DFM43" s="819"/>
      <c r="DFN43" s="819"/>
      <c r="DFO43" s="819"/>
      <c r="DFP43" s="819"/>
      <c r="DFQ43" s="819"/>
      <c r="DFR43" s="819"/>
      <c r="DFS43" s="819"/>
      <c r="DFT43" s="819"/>
      <c r="DFU43" s="819"/>
      <c r="DFV43" s="819"/>
      <c r="DFW43" s="819"/>
      <c r="DFX43" s="819"/>
      <c r="DFY43" s="819"/>
      <c r="DFZ43" s="819"/>
      <c r="DGA43" s="819"/>
      <c r="DGB43" s="819"/>
      <c r="DGC43" s="819"/>
      <c r="DGD43" s="819"/>
      <c r="DGE43" s="819"/>
      <c r="DGF43" s="819"/>
      <c r="DGG43" s="819"/>
      <c r="DGH43" s="819"/>
      <c r="DGI43" s="819"/>
      <c r="DGJ43" s="819"/>
      <c r="DGK43" s="819"/>
      <c r="DGL43" s="819"/>
      <c r="DGM43" s="819"/>
      <c r="DGN43" s="819"/>
      <c r="DGO43" s="819"/>
      <c r="DGP43" s="819"/>
      <c r="DGQ43" s="819"/>
      <c r="DGR43" s="819"/>
      <c r="DGS43" s="819"/>
      <c r="DGT43" s="819"/>
      <c r="DGU43" s="819"/>
      <c r="DGV43" s="819"/>
      <c r="DGW43" s="819"/>
      <c r="DGX43" s="819"/>
      <c r="DGY43" s="819"/>
      <c r="DGZ43" s="819"/>
      <c r="DHA43" s="819"/>
      <c r="DHB43" s="819"/>
      <c r="DHC43" s="819"/>
      <c r="DHD43" s="819"/>
      <c r="DHE43" s="819"/>
      <c r="DHF43" s="819"/>
      <c r="DHG43" s="819"/>
      <c r="DHH43" s="819"/>
      <c r="DHI43" s="819"/>
      <c r="DHJ43" s="819"/>
      <c r="DHK43" s="819"/>
      <c r="DHL43" s="819"/>
      <c r="DHM43" s="819"/>
      <c r="DHN43" s="819"/>
      <c r="DHO43" s="819"/>
      <c r="DHP43" s="819"/>
      <c r="DHQ43" s="819"/>
      <c r="DHR43" s="819"/>
      <c r="DHS43" s="819"/>
      <c r="DHT43" s="819"/>
      <c r="DHU43" s="819"/>
      <c r="DHV43" s="819"/>
      <c r="DHW43" s="819"/>
      <c r="DHX43" s="819"/>
      <c r="DHY43" s="819"/>
      <c r="DHZ43" s="819"/>
      <c r="DIA43" s="819"/>
      <c r="DIB43" s="819"/>
      <c r="DIC43" s="819"/>
      <c r="DID43" s="819"/>
      <c r="DIE43" s="819"/>
      <c r="DIF43" s="819"/>
      <c r="DIG43" s="819"/>
      <c r="DIH43" s="819"/>
      <c r="DII43" s="819"/>
      <c r="DIJ43" s="819"/>
      <c r="DIK43" s="819"/>
      <c r="DIL43" s="819"/>
      <c r="DIM43" s="819"/>
      <c r="DIN43" s="819"/>
      <c r="DIO43" s="819"/>
      <c r="DIP43" s="819"/>
      <c r="DIQ43" s="819"/>
      <c r="DIR43" s="819"/>
      <c r="DIS43" s="819"/>
      <c r="DIT43" s="819"/>
      <c r="DIU43" s="819"/>
      <c r="DIV43" s="819"/>
      <c r="DIW43" s="819"/>
      <c r="DIX43" s="819"/>
      <c r="DIY43" s="819"/>
      <c r="DIZ43" s="819"/>
      <c r="DJA43" s="819"/>
      <c r="DJB43" s="819"/>
      <c r="DJC43" s="819"/>
      <c r="DJD43" s="819"/>
      <c r="DJE43" s="819"/>
      <c r="DJF43" s="819"/>
      <c r="DJG43" s="819"/>
      <c r="DJH43" s="819"/>
      <c r="DJI43" s="819"/>
      <c r="DJJ43" s="819"/>
      <c r="DJK43" s="819"/>
      <c r="DJL43" s="819"/>
      <c r="DJM43" s="819"/>
      <c r="DJN43" s="819"/>
      <c r="DJO43" s="819"/>
      <c r="DJP43" s="819"/>
      <c r="DJQ43" s="819"/>
      <c r="DJR43" s="819"/>
      <c r="DJS43" s="819"/>
      <c r="DJT43" s="819"/>
      <c r="DJU43" s="819"/>
      <c r="DJV43" s="819"/>
      <c r="DJW43" s="819"/>
      <c r="DJX43" s="819"/>
      <c r="DJY43" s="819"/>
      <c r="DJZ43" s="819"/>
      <c r="DKA43" s="819"/>
      <c r="DKB43" s="819"/>
      <c r="DKC43" s="819"/>
      <c r="DKD43" s="819"/>
      <c r="DKE43" s="819"/>
      <c r="DKF43" s="819"/>
      <c r="DKG43" s="819"/>
      <c r="DKH43" s="819"/>
      <c r="DKI43" s="819"/>
      <c r="DKJ43" s="819"/>
      <c r="DKK43" s="819"/>
      <c r="DKL43" s="819"/>
      <c r="DKM43" s="819"/>
      <c r="DKN43" s="819"/>
      <c r="DKO43" s="819"/>
      <c r="DKP43" s="819"/>
      <c r="DKQ43" s="819"/>
      <c r="DKR43" s="819"/>
      <c r="DKS43" s="819"/>
      <c r="DKT43" s="819"/>
      <c r="DKU43" s="819"/>
      <c r="DKV43" s="819"/>
      <c r="DKW43" s="819"/>
      <c r="DKX43" s="819"/>
      <c r="DKY43" s="819"/>
      <c r="DKZ43" s="819"/>
      <c r="DLA43" s="819"/>
      <c r="DLB43" s="819"/>
      <c r="DLC43" s="819"/>
      <c r="DLD43" s="819"/>
      <c r="DLE43" s="819"/>
      <c r="DLF43" s="819"/>
      <c r="DLG43" s="819"/>
      <c r="DLH43" s="819"/>
      <c r="DLI43" s="819"/>
      <c r="DLJ43" s="819"/>
      <c r="DLK43" s="819"/>
      <c r="DLL43" s="819"/>
      <c r="DLM43" s="819"/>
      <c r="DLN43" s="819"/>
      <c r="DLO43" s="819"/>
      <c r="DLP43" s="819"/>
      <c r="DLQ43" s="819"/>
      <c r="DLR43" s="819"/>
      <c r="DLS43" s="819"/>
      <c r="DLT43" s="819"/>
      <c r="DLU43" s="819"/>
      <c r="DLV43" s="819"/>
      <c r="DLW43" s="819"/>
      <c r="DLX43" s="819"/>
      <c r="DLY43" s="819"/>
      <c r="DLZ43" s="819"/>
      <c r="DMA43" s="819"/>
      <c r="DMB43" s="819"/>
      <c r="DMC43" s="819"/>
      <c r="DMD43" s="819"/>
      <c r="DME43" s="819"/>
      <c r="DMF43" s="819"/>
      <c r="DMG43" s="819"/>
      <c r="DMH43" s="819"/>
      <c r="DMI43" s="819"/>
      <c r="DMJ43" s="819"/>
      <c r="DMK43" s="819"/>
      <c r="DML43" s="819"/>
      <c r="DMM43" s="819"/>
      <c r="DMN43" s="819"/>
      <c r="DMO43" s="819"/>
      <c r="DMP43" s="819"/>
      <c r="DMQ43" s="819"/>
      <c r="DMR43" s="819"/>
      <c r="DMS43" s="819"/>
      <c r="DMT43" s="819"/>
      <c r="DMU43" s="819"/>
      <c r="DMV43" s="819"/>
      <c r="DMW43" s="819"/>
      <c r="DMX43" s="819"/>
      <c r="DMY43" s="819"/>
      <c r="DMZ43" s="819"/>
      <c r="DNA43" s="819"/>
      <c r="DNB43" s="819"/>
      <c r="DNC43" s="819"/>
      <c r="DND43" s="819"/>
      <c r="DNE43" s="819"/>
      <c r="DNF43" s="819"/>
      <c r="DNG43" s="819"/>
      <c r="DNH43" s="819"/>
      <c r="DNI43" s="819"/>
      <c r="DNJ43" s="819"/>
      <c r="DNK43" s="819"/>
      <c r="DNL43" s="819"/>
      <c r="DNM43" s="819"/>
      <c r="DNN43" s="819"/>
      <c r="DNO43" s="819"/>
      <c r="DNP43" s="819"/>
      <c r="DNQ43" s="819"/>
      <c r="DNR43" s="819"/>
      <c r="DNS43" s="819"/>
      <c r="DNT43" s="819"/>
      <c r="DNU43" s="819"/>
      <c r="DNV43" s="819"/>
      <c r="DNW43" s="819"/>
      <c r="DNX43" s="819"/>
      <c r="DNY43" s="819"/>
      <c r="DNZ43" s="819"/>
      <c r="DOA43" s="819"/>
      <c r="DOB43" s="819"/>
      <c r="DOC43" s="819"/>
      <c r="DOD43" s="819"/>
      <c r="DOE43" s="819"/>
      <c r="DOF43" s="819"/>
      <c r="DOG43" s="819"/>
      <c r="DOH43" s="819"/>
      <c r="DOI43" s="819"/>
      <c r="DOJ43" s="819"/>
      <c r="DOK43" s="819"/>
      <c r="DOL43" s="819"/>
      <c r="DOM43" s="819"/>
      <c r="DON43" s="819"/>
      <c r="DOO43" s="819"/>
      <c r="DOP43" s="819"/>
      <c r="DOQ43" s="819"/>
      <c r="DOR43" s="819"/>
      <c r="DOS43" s="819"/>
      <c r="DOT43" s="819"/>
      <c r="DOU43" s="819"/>
      <c r="DOV43" s="819"/>
      <c r="DOW43" s="819"/>
      <c r="DOX43" s="819"/>
      <c r="DOY43" s="819"/>
      <c r="DOZ43" s="819"/>
      <c r="DPA43" s="819"/>
      <c r="DPB43" s="819"/>
      <c r="DPC43" s="819"/>
      <c r="DPD43" s="819"/>
      <c r="DPE43" s="819"/>
      <c r="DPF43" s="819"/>
      <c r="DPG43" s="819"/>
      <c r="DPH43" s="819"/>
      <c r="DPI43" s="819"/>
      <c r="DPJ43" s="819"/>
      <c r="DPK43" s="819"/>
      <c r="DPL43" s="819"/>
      <c r="DPM43" s="819"/>
      <c r="DPN43" s="819"/>
      <c r="DPO43" s="819"/>
      <c r="DPP43" s="819"/>
      <c r="DPQ43" s="819"/>
      <c r="DPR43" s="819"/>
      <c r="DPS43" s="819"/>
      <c r="DPT43" s="819"/>
      <c r="DPU43" s="819"/>
      <c r="DPV43" s="819"/>
      <c r="DPW43" s="819"/>
      <c r="DPX43" s="819"/>
      <c r="DPY43" s="819"/>
      <c r="DPZ43" s="819"/>
      <c r="DQA43" s="819"/>
      <c r="DQB43" s="819"/>
      <c r="DQC43" s="819"/>
      <c r="DQD43" s="819"/>
      <c r="DQE43" s="819"/>
      <c r="DQF43" s="819"/>
      <c r="DQG43" s="819"/>
      <c r="DQH43" s="819"/>
      <c r="DQI43" s="819"/>
      <c r="DQJ43" s="819"/>
      <c r="DQK43" s="819"/>
      <c r="DQL43" s="819"/>
      <c r="DQM43" s="819"/>
      <c r="DQN43" s="819"/>
      <c r="DQO43" s="819"/>
      <c r="DQP43" s="819"/>
      <c r="DQQ43" s="819"/>
      <c r="DQR43" s="819"/>
      <c r="DQS43" s="819"/>
      <c r="DQT43" s="819"/>
      <c r="DQU43" s="819"/>
      <c r="DQV43" s="819"/>
      <c r="DQW43" s="819"/>
      <c r="DQX43" s="819"/>
      <c r="DQY43" s="819"/>
      <c r="DQZ43" s="819"/>
      <c r="DRA43" s="819"/>
      <c r="DRB43" s="819"/>
      <c r="DRC43" s="819"/>
      <c r="DRD43" s="819"/>
      <c r="DRE43" s="819"/>
      <c r="DRF43" s="819"/>
      <c r="DRG43" s="819"/>
      <c r="DRH43" s="819"/>
      <c r="DRI43" s="819"/>
      <c r="DRJ43" s="819"/>
      <c r="DRK43" s="819"/>
      <c r="DRL43" s="819"/>
      <c r="DRM43" s="819"/>
      <c r="DRN43" s="819"/>
      <c r="DRO43" s="819"/>
      <c r="DRP43" s="819"/>
      <c r="DRQ43" s="819"/>
      <c r="DRR43" s="819"/>
      <c r="DRS43" s="819"/>
      <c r="DRT43" s="819"/>
      <c r="DRU43" s="819"/>
      <c r="DRV43" s="819"/>
      <c r="DRW43" s="819"/>
      <c r="DRX43" s="819"/>
      <c r="DRY43" s="819"/>
      <c r="DRZ43" s="819"/>
      <c r="DSA43" s="819"/>
      <c r="DSB43" s="819"/>
      <c r="DSC43" s="819"/>
      <c r="DSD43" s="819"/>
      <c r="DSE43" s="819"/>
      <c r="DSF43" s="819"/>
      <c r="DSG43" s="819"/>
      <c r="DSH43" s="819"/>
      <c r="DSI43" s="819"/>
      <c r="DSJ43" s="819"/>
      <c r="DSK43" s="819"/>
      <c r="DSL43" s="819"/>
      <c r="DSM43" s="819"/>
      <c r="DSN43" s="819"/>
      <c r="DSO43" s="819"/>
      <c r="DSP43" s="819"/>
      <c r="DSQ43" s="819"/>
      <c r="DSR43" s="819"/>
      <c r="DSS43" s="819"/>
      <c r="DST43" s="819"/>
      <c r="DSU43" s="819"/>
      <c r="DSV43" s="819"/>
      <c r="DSW43" s="819"/>
      <c r="DSX43" s="819"/>
      <c r="DSY43" s="819"/>
      <c r="DSZ43" s="819"/>
      <c r="DTA43" s="819"/>
      <c r="DTB43" s="819"/>
      <c r="DTC43" s="819"/>
      <c r="DTD43" s="819"/>
      <c r="DTE43" s="819"/>
      <c r="DTF43" s="819"/>
      <c r="DTG43" s="819"/>
      <c r="DTH43" s="819"/>
      <c r="DTI43" s="819"/>
      <c r="DTJ43" s="819"/>
      <c r="DTK43" s="819"/>
      <c r="DTL43" s="819"/>
      <c r="DTM43" s="819"/>
      <c r="DTN43" s="819"/>
      <c r="DTO43" s="819"/>
      <c r="DTP43" s="819"/>
      <c r="DTQ43" s="819"/>
      <c r="DTR43" s="819"/>
      <c r="DTS43" s="819"/>
      <c r="DTT43" s="819"/>
      <c r="DTU43" s="819"/>
      <c r="DTV43" s="819"/>
      <c r="DTW43" s="819"/>
      <c r="DTX43" s="819"/>
      <c r="DTY43" s="819"/>
      <c r="DTZ43" s="819"/>
      <c r="DUA43" s="819"/>
      <c r="DUB43" s="819"/>
      <c r="DUC43" s="819"/>
      <c r="DUD43" s="819"/>
      <c r="DUE43" s="819"/>
      <c r="DUF43" s="819"/>
      <c r="DUG43" s="819"/>
      <c r="DUH43" s="819"/>
      <c r="DUI43" s="819"/>
      <c r="DUJ43" s="819"/>
      <c r="DUK43" s="819"/>
      <c r="DUL43" s="819"/>
      <c r="DUM43" s="819"/>
      <c r="DUN43" s="819"/>
      <c r="DUO43" s="819"/>
      <c r="DUP43" s="819"/>
      <c r="DUQ43" s="819"/>
      <c r="DUR43" s="819"/>
      <c r="DUS43" s="819"/>
      <c r="DUT43" s="819"/>
      <c r="DUU43" s="819"/>
      <c r="DUV43" s="819"/>
      <c r="DUW43" s="819"/>
      <c r="DUX43" s="819"/>
      <c r="DUY43" s="819"/>
      <c r="DUZ43" s="819"/>
      <c r="DVA43" s="819"/>
      <c r="DVB43" s="819"/>
      <c r="DVC43" s="819"/>
      <c r="DVD43" s="819"/>
      <c r="DVE43" s="819"/>
      <c r="DVF43" s="819"/>
      <c r="DVG43" s="819"/>
      <c r="DVH43" s="819"/>
      <c r="DVI43" s="819"/>
      <c r="DVJ43" s="819"/>
      <c r="DVK43" s="819"/>
      <c r="DVL43" s="819"/>
      <c r="DVM43" s="819"/>
      <c r="DVN43" s="819"/>
      <c r="DVO43" s="819"/>
      <c r="DVP43" s="819"/>
      <c r="DVQ43" s="819"/>
      <c r="DVR43" s="819"/>
      <c r="DVS43" s="819"/>
      <c r="DVT43" s="819"/>
      <c r="DVU43" s="819"/>
      <c r="DVV43" s="819"/>
      <c r="DVW43" s="819"/>
      <c r="DVX43" s="819"/>
      <c r="DVY43" s="819"/>
      <c r="DVZ43" s="819"/>
      <c r="DWA43" s="819"/>
      <c r="DWB43" s="819"/>
      <c r="DWC43" s="819"/>
      <c r="DWD43" s="819"/>
      <c r="DWE43" s="819"/>
      <c r="DWF43" s="819"/>
      <c r="DWG43" s="819"/>
      <c r="DWH43" s="819"/>
      <c r="DWI43" s="819"/>
      <c r="DWJ43" s="819"/>
      <c r="DWK43" s="819"/>
      <c r="DWL43" s="819"/>
      <c r="DWM43" s="819"/>
      <c r="DWN43" s="819"/>
      <c r="DWO43" s="819"/>
      <c r="DWP43" s="819"/>
      <c r="DWQ43" s="819"/>
      <c r="DWR43" s="819"/>
      <c r="DWS43" s="819"/>
      <c r="DWT43" s="819"/>
      <c r="DWU43" s="819"/>
      <c r="DWV43" s="819"/>
      <c r="DWW43" s="819"/>
      <c r="DWX43" s="819"/>
      <c r="DWY43" s="819"/>
      <c r="DWZ43" s="819"/>
      <c r="DXA43" s="819"/>
      <c r="DXB43" s="819"/>
      <c r="DXC43" s="819"/>
      <c r="DXD43" s="819"/>
      <c r="DXE43" s="819"/>
      <c r="DXF43" s="819"/>
      <c r="DXG43" s="819"/>
      <c r="DXH43" s="819"/>
      <c r="DXI43" s="819"/>
      <c r="DXJ43" s="819"/>
      <c r="DXK43" s="819"/>
      <c r="DXL43" s="819"/>
      <c r="DXM43" s="819"/>
      <c r="DXN43" s="819"/>
      <c r="DXO43" s="819"/>
      <c r="DXP43" s="819"/>
      <c r="DXQ43" s="819"/>
      <c r="DXR43" s="819"/>
      <c r="DXS43" s="819"/>
      <c r="DXT43" s="819"/>
      <c r="DXU43" s="819"/>
      <c r="DXV43" s="819"/>
      <c r="DXW43" s="819"/>
      <c r="DXX43" s="819"/>
      <c r="DXY43" s="819"/>
      <c r="DXZ43" s="819"/>
      <c r="DYA43" s="819"/>
      <c r="DYB43" s="819"/>
      <c r="DYC43" s="819"/>
      <c r="DYD43" s="819"/>
      <c r="DYE43" s="819"/>
      <c r="DYF43" s="819"/>
      <c r="DYG43" s="819"/>
      <c r="DYH43" s="819"/>
      <c r="DYI43" s="819"/>
      <c r="DYJ43" s="819"/>
      <c r="DYK43" s="819"/>
      <c r="DYL43" s="819"/>
      <c r="DYM43" s="819"/>
      <c r="DYN43" s="819"/>
      <c r="DYO43" s="819"/>
      <c r="DYP43" s="819"/>
      <c r="DYQ43" s="819"/>
      <c r="DYR43" s="819"/>
      <c r="DYS43" s="819"/>
      <c r="DYT43" s="819"/>
      <c r="DYU43" s="819"/>
      <c r="DYV43" s="819"/>
      <c r="DYW43" s="819"/>
      <c r="DYX43" s="819"/>
      <c r="DYY43" s="819"/>
      <c r="DYZ43" s="819"/>
      <c r="DZA43" s="819"/>
      <c r="DZB43" s="819"/>
      <c r="DZC43" s="819"/>
      <c r="DZD43" s="819"/>
      <c r="DZE43" s="819"/>
      <c r="DZF43" s="819"/>
      <c r="DZG43" s="819"/>
      <c r="DZH43" s="819"/>
      <c r="DZI43" s="819"/>
      <c r="DZJ43" s="819"/>
      <c r="DZK43" s="819"/>
      <c r="DZL43" s="819"/>
      <c r="DZM43" s="819"/>
      <c r="DZN43" s="819"/>
      <c r="DZO43" s="819"/>
      <c r="DZP43" s="819"/>
      <c r="DZQ43" s="819"/>
      <c r="DZR43" s="819"/>
      <c r="DZS43" s="819"/>
      <c r="DZT43" s="819"/>
      <c r="DZU43" s="819"/>
      <c r="DZV43" s="819"/>
      <c r="DZW43" s="819"/>
      <c r="DZX43" s="819"/>
      <c r="DZY43" s="819"/>
      <c r="DZZ43" s="819"/>
      <c r="EAA43" s="819"/>
      <c r="EAB43" s="819"/>
      <c r="EAC43" s="819"/>
      <c r="EAD43" s="819"/>
      <c r="EAE43" s="819"/>
      <c r="EAF43" s="819"/>
      <c r="EAG43" s="819"/>
      <c r="EAH43" s="819"/>
      <c r="EAI43" s="819"/>
      <c r="EAJ43" s="819"/>
      <c r="EAK43" s="819"/>
      <c r="EAL43" s="819"/>
      <c r="EAM43" s="819"/>
      <c r="EAN43" s="819"/>
      <c r="EAO43" s="819"/>
      <c r="EAP43" s="819"/>
      <c r="EAQ43" s="819"/>
      <c r="EAR43" s="819"/>
      <c r="EAS43" s="819"/>
      <c r="EAT43" s="819"/>
      <c r="EAU43" s="819"/>
      <c r="EAV43" s="819"/>
      <c r="EAW43" s="819"/>
      <c r="EAX43" s="819"/>
      <c r="EAY43" s="819"/>
      <c r="EAZ43" s="819"/>
      <c r="EBA43" s="819"/>
      <c r="EBB43" s="819"/>
      <c r="EBC43" s="819"/>
      <c r="EBD43" s="819"/>
      <c r="EBE43" s="819"/>
      <c r="EBF43" s="819"/>
      <c r="EBG43" s="819"/>
      <c r="EBH43" s="819"/>
      <c r="EBI43" s="819"/>
      <c r="EBJ43" s="819"/>
      <c r="EBK43" s="819"/>
      <c r="EBL43" s="819"/>
      <c r="EBM43" s="819"/>
      <c r="EBN43" s="819"/>
      <c r="EBO43" s="819"/>
      <c r="EBP43" s="819"/>
      <c r="EBQ43" s="819"/>
      <c r="EBR43" s="819"/>
      <c r="EBS43" s="819"/>
      <c r="EBT43" s="819"/>
      <c r="EBU43" s="819"/>
      <c r="EBV43" s="819"/>
      <c r="EBW43" s="819"/>
      <c r="EBX43" s="819"/>
      <c r="EBY43" s="819"/>
      <c r="EBZ43" s="819"/>
      <c r="ECA43" s="819"/>
      <c r="ECB43" s="819"/>
      <c r="ECC43" s="819"/>
      <c r="ECD43" s="819"/>
      <c r="ECE43" s="819"/>
      <c r="ECF43" s="819"/>
      <c r="ECG43" s="819"/>
      <c r="ECH43" s="819"/>
      <c r="ECI43" s="819"/>
      <c r="ECJ43" s="819"/>
      <c r="ECK43" s="819"/>
      <c r="ECL43" s="819"/>
      <c r="ECM43" s="819"/>
      <c r="ECN43" s="819"/>
      <c r="ECO43" s="819"/>
      <c r="ECP43" s="819"/>
      <c r="ECQ43" s="819"/>
      <c r="ECR43" s="819"/>
      <c r="ECS43" s="819"/>
      <c r="ECT43" s="819"/>
      <c r="ECU43" s="819"/>
      <c r="ECV43" s="819"/>
      <c r="ECW43" s="819"/>
      <c r="ECX43" s="819"/>
      <c r="ECY43" s="819"/>
      <c r="ECZ43" s="819"/>
      <c r="EDA43" s="819"/>
      <c r="EDB43" s="819"/>
      <c r="EDC43" s="819"/>
      <c r="EDD43" s="819"/>
      <c r="EDE43" s="819"/>
      <c r="EDF43" s="819"/>
      <c r="EDG43" s="819"/>
      <c r="EDH43" s="819"/>
      <c r="EDI43" s="819"/>
      <c r="EDJ43" s="819"/>
      <c r="EDK43" s="819"/>
      <c r="EDL43" s="819"/>
      <c r="EDM43" s="819"/>
      <c r="EDN43" s="819"/>
      <c r="EDO43" s="819"/>
      <c r="EDP43" s="819"/>
      <c r="EDQ43" s="819"/>
      <c r="EDR43" s="819"/>
      <c r="EDS43" s="819"/>
      <c r="EDT43" s="819"/>
      <c r="EDU43" s="819"/>
      <c r="EDV43" s="819"/>
      <c r="EDW43" s="819"/>
      <c r="EDX43" s="819"/>
      <c r="EDY43" s="819"/>
      <c r="EDZ43" s="819"/>
      <c r="EEA43" s="819"/>
      <c r="EEB43" s="819"/>
      <c r="EEC43" s="819"/>
      <c r="EED43" s="819"/>
      <c r="EEE43" s="819"/>
      <c r="EEF43" s="819"/>
      <c r="EEG43" s="819"/>
      <c r="EEH43" s="819"/>
      <c r="EEI43" s="819"/>
      <c r="EEJ43" s="819"/>
      <c r="EEK43" s="819"/>
      <c r="EEL43" s="819"/>
      <c r="EEM43" s="819"/>
      <c r="EEN43" s="819"/>
      <c r="EEO43" s="819"/>
      <c r="EEP43" s="819"/>
      <c r="EEQ43" s="819"/>
      <c r="EER43" s="819"/>
      <c r="EES43" s="819"/>
      <c r="EET43" s="819"/>
      <c r="EEU43" s="819"/>
      <c r="EEV43" s="819"/>
      <c r="EEW43" s="819"/>
      <c r="EEX43" s="819"/>
      <c r="EEY43" s="819"/>
      <c r="EEZ43" s="819"/>
      <c r="EFA43" s="819"/>
      <c r="EFB43" s="819"/>
      <c r="EFC43" s="819"/>
      <c r="EFD43" s="819"/>
      <c r="EFE43" s="819"/>
      <c r="EFF43" s="819"/>
      <c r="EFG43" s="819"/>
      <c r="EFH43" s="819"/>
      <c r="EFI43" s="819"/>
      <c r="EFJ43" s="819"/>
      <c r="EFK43" s="819"/>
      <c r="EFL43" s="819"/>
      <c r="EFM43" s="819"/>
      <c r="EFN43" s="819"/>
      <c r="EFO43" s="819"/>
      <c r="EFP43" s="819"/>
      <c r="EFQ43" s="819"/>
      <c r="EFR43" s="819"/>
      <c r="EFS43" s="819"/>
      <c r="EFT43" s="819"/>
      <c r="EFU43" s="819"/>
      <c r="EFV43" s="819"/>
      <c r="EFW43" s="819"/>
      <c r="EFX43" s="819"/>
      <c r="EFY43" s="819"/>
      <c r="EFZ43" s="819"/>
      <c r="EGA43" s="819"/>
      <c r="EGB43" s="819"/>
      <c r="EGC43" s="819"/>
      <c r="EGD43" s="819"/>
      <c r="EGE43" s="819"/>
      <c r="EGF43" s="819"/>
      <c r="EGG43" s="819"/>
      <c r="EGH43" s="819"/>
      <c r="EGI43" s="819"/>
      <c r="EGJ43" s="819"/>
      <c r="EGK43" s="819"/>
      <c r="EGL43" s="819"/>
      <c r="EGM43" s="819"/>
      <c r="EGN43" s="819"/>
      <c r="EGO43" s="819"/>
      <c r="EGP43" s="819"/>
      <c r="EGQ43" s="819"/>
      <c r="EGR43" s="819"/>
      <c r="EGS43" s="819"/>
      <c r="EGT43" s="819"/>
      <c r="EGU43" s="819"/>
      <c r="EGV43" s="819"/>
      <c r="EGW43" s="819"/>
      <c r="EGX43" s="819"/>
      <c r="EGY43" s="819"/>
      <c r="EGZ43" s="819"/>
      <c r="EHA43" s="819"/>
      <c r="EHB43" s="819"/>
      <c r="EHC43" s="819"/>
      <c r="EHD43" s="819"/>
      <c r="EHE43" s="819"/>
      <c r="EHF43" s="819"/>
      <c r="EHG43" s="819"/>
      <c r="EHH43" s="819"/>
      <c r="EHI43" s="819"/>
      <c r="EHJ43" s="819"/>
      <c r="EHK43" s="819"/>
      <c r="EHL43" s="819"/>
      <c r="EHM43" s="819"/>
      <c r="EHN43" s="819"/>
      <c r="EHO43" s="819"/>
      <c r="EHP43" s="819"/>
      <c r="EHQ43" s="819"/>
      <c r="EHR43" s="819"/>
      <c r="EHS43" s="819"/>
      <c r="EHT43" s="819"/>
      <c r="EHU43" s="819"/>
      <c r="EHV43" s="819"/>
      <c r="EHW43" s="819"/>
      <c r="EHX43" s="819"/>
      <c r="EHY43" s="819"/>
      <c r="EHZ43" s="819"/>
      <c r="EIA43" s="819"/>
      <c r="EIB43" s="819"/>
      <c r="EIC43" s="819"/>
      <c r="EID43" s="819"/>
      <c r="EIE43" s="819"/>
      <c r="EIF43" s="819"/>
      <c r="EIG43" s="819"/>
      <c r="EIH43" s="819"/>
      <c r="EII43" s="819"/>
      <c r="EIJ43" s="819"/>
      <c r="EIK43" s="819"/>
      <c r="EIL43" s="819"/>
      <c r="EIM43" s="819"/>
      <c r="EIN43" s="819"/>
      <c r="EIO43" s="819"/>
      <c r="EIP43" s="819"/>
      <c r="EIQ43" s="819"/>
      <c r="EIR43" s="819"/>
      <c r="EIS43" s="819"/>
      <c r="EIT43" s="819"/>
      <c r="EIU43" s="819"/>
      <c r="EIV43" s="819"/>
      <c r="EIW43" s="819"/>
      <c r="EIX43" s="819"/>
      <c r="EIY43" s="819"/>
      <c r="EIZ43" s="819"/>
      <c r="EJA43" s="819"/>
      <c r="EJB43" s="819"/>
      <c r="EJC43" s="819"/>
      <c r="EJD43" s="819"/>
      <c r="EJE43" s="819"/>
      <c r="EJF43" s="819"/>
      <c r="EJG43" s="819"/>
      <c r="EJH43" s="819"/>
      <c r="EJI43" s="819"/>
      <c r="EJJ43" s="819"/>
      <c r="EJK43" s="819"/>
      <c r="EJL43" s="819"/>
      <c r="EJM43" s="819"/>
      <c r="EJN43" s="819"/>
      <c r="EJO43" s="819"/>
      <c r="EJP43" s="819"/>
      <c r="EJQ43" s="819"/>
      <c r="EJR43" s="819"/>
      <c r="EJS43" s="819"/>
      <c r="EJT43" s="819"/>
      <c r="EJU43" s="819"/>
      <c r="EJV43" s="819"/>
      <c r="EJW43" s="819"/>
      <c r="EJX43" s="819"/>
      <c r="EJY43" s="819"/>
      <c r="EJZ43" s="819"/>
      <c r="EKA43" s="819"/>
      <c r="EKB43" s="819"/>
      <c r="EKC43" s="819"/>
      <c r="EKD43" s="819"/>
      <c r="EKE43" s="819"/>
      <c r="EKF43" s="819"/>
      <c r="EKG43" s="819"/>
      <c r="EKH43" s="819"/>
      <c r="EKI43" s="819"/>
      <c r="EKJ43" s="819"/>
      <c r="EKK43" s="819"/>
      <c r="EKL43" s="819"/>
      <c r="EKM43" s="819"/>
      <c r="EKN43" s="819"/>
      <c r="EKO43" s="819"/>
      <c r="EKP43" s="819"/>
      <c r="EKQ43" s="819"/>
      <c r="EKR43" s="819"/>
      <c r="EKS43" s="819"/>
      <c r="EKT43" s="819"/>
      <c r="EKU43" s="819"/>
      <c r="EKV43" s="819"/>
      <c r="EKW43" s="819"/>
      <c r="EKX43" s="819"/>
      <c r="EKY43" s="819"/>
      <c r="EKZ43" s="819"/>
      <c r="ELA43" s="819"/>
      <c r="ELB43" s="819"/>
      <c r="ELC43" s="819"/>
      <c r="ELD43" s="819"/>
      <c r="ELE43" s="819"/>
      <c r="ELF43" s="819"/>
      <c r="ELG43" s="819"/>
      <c r="ELH43" s="819"/>
      <c r="ELI43" s="819"/>
      <c r="ELJ43" s="819"/>
      <c r="ELK43" s="819"/>
      <c r="ELL43" s="819"/>
      <c r="ELM43" s="819"/>
      <c r="ELN43" s="819"/>
      <c r="ELO43" s="819"/>
      <c r="ELP43" s="819"/>
      <c r="ELQ43" s="819"/>
      <c r="ELR43" s="819"/>
      <c r="ELS43" s="819"/>
      <c r="ELT43" s="819"/>
      <c r="ELU43" s="819"/>
      <c r="ELV43" s="819"/>
      <c r="ELW43" s="819"/>
      <c r="ELX43" s="819"/>
      <c r="ELY43" s="819"/>
      <c r="ELZ43" s="819"/>
      <c r="EMA43" s="819"/>
      <c r="EMB43" s="819"/>
      <c r="EMC43" s="819"/>
      <c r="EMD43" s="819"/>
      <c r="EME43" s="819"/>
      <c r="EMF43" s="819"/>
      <c r="EMG43" s="819"/>
      <c r="EMH43" s="819"/>
      <c r="EMI43" s="819"/>
      <c r="EMJ43" s="819"/>
      <c r="EMK43" s="819"/>
      <c r="EML43" s="819"/>
      <c r="EMM43" s="819"/>
      <c r="EMN43" s="819"/>
      <c r="EMO43" s="819"/>
      <c r="EMP43" s="819"/>
      <c r="EMQ43" s="819"/>
      <c r="EMR43" s="819"/>
      <c r="EMS43" s="819"/>
      <c r="EMT43" s="819"/>
      <c r="EMU43" s="819"/>
      <c r="EMV43" s="819"/>
      <c r="EMW43" s="819"/>
      <c r="EMX43" s="819"/>
      <c r="EMY43" s="819"/>
      <c r="EMZ43" s="819"/>
      <c r="ENA43" s="819"/>
      <c r="ENB43" s="819"/>
      <c r="ENC43" s="819"/>
      <c r="END43" s="819"/>
      <c r="ENE43" s="819"/>
      <c r="ENF43" s="819"/>
      <c r="ENG43" s="819"/>
      <c r="ENH43" s="819"/>
      <c r="ENI43" s="819"/>
      <c r="ENJ43" s="819"/>
      <c r="ENK43" s="819"/>
      <c r="ENL43" s="819"/>
      <c r="ENM43" s="819"/>
      <c r="ENN43" s="819"/>
      <c r="ENO43" s="819"/>
      <c r="ENP43" s="819"/>
      <c r="ENQ43" s="819"/>
      <c r="ENR43" s="819"/>
      <c r="ENS43" s="819"/>
      <c r="ENT43" s="819"/>
      <c r="ENU43" s="819"/>
      <c r="ENV43" s="819"/>
      <c r="ENW43" s="819"/>
      <c r="ENX43" s="819"/>
      <c r="ENY43" s="819"/>
      <c r="ENZ43" s="819"/>
      <c r="EOA43" s="819"/>
      <c r="EOB43" s="819"/>
      <c r="EOC43" s="819"/>
      <c r="EOD43" s="819"/>
      <c r="EOE43" s="819"/>
      <c r="EOF43" s="819"/>
      <c r="EOG43" s="819"/>
      <c r="EOH43" s="819"/>
      <c r="EOI43" s="819"/>
      <c r="EOJ43" s="819"/>
      <c r="EOK43" s="819"/>
      <c r="EOL43" s="819"/>
      <c r="EOM43" s="819"/>
      <c r="EON43" s="819"/>
      <c r="EOO43" s="819"/>
      <c r="EOP43" s="819"/>
      <c r="EOQ43" s="819"/>
      <c r="EOR43" s="819"/>
      <c r="EOS43" s="819"/>
      <c r="EOT43" s="819"/>
      <c r="EOU43" s="819"/>
      <c r="EOV43" s="819"/>
      <c r="EOW43" s="819"/>
      <c r="EOX43" s="819"/>
      <c r="EOY43" s="819"/>
      <c r="EOZ43" s="819"/>
      <c r="EPA43" s="819"/>
      <c r="EPB43" s="819"/>
      <c r="EPC43" s="819"/>
      <c r="EPD43" s="819"/>
      <c r="EPE43" s="819"/>
      <c r="EPF43" s="819"/>
      <c r="EPG43" s="819"/>
      <c r="EPH43" s="819"/>
      <c r="EPI43" s="819"/>
      <c r="EPJ43" s="819"/>
      <c r="EPK43" s="819"/>
      <c r="EPL43" s="819"/>
      <c r="EPM43" s="819"/>
      <c r="EPN43" s="819"/>
      <c r="EPO43" s="819"/>
      <c r="EPP43" s="819"/>
      <c r="EPQ43" s="819"/>
      <c r="EPR43" s="819"/>
      <c r="EPS43" s="819"/>
      <c r="EPT43" s="819"/>
      <c r="EPU43" s="819"/>
      <c r="EPV43" s="819"/>
      <c r="EPW43" s="819"/>
      <c r="EPX43" s="819"/>
      <c r="EPY43" s="819"/>
      <c r="EPZ43" s="819"/>
      <c r="EQA43" s="819"/>
      <c r="EQB43" s="819"/>
      <c r="EQC43" s="819"/>
      <c r="EQD43" s="819"/>
      <c r="EQE43" s="819"/>
      <c r="EQF43" s="819"/>
      <c r="EQG43" s="819"/>
      <c r="EQH43" s="819"/>
      <c r="EQI43" s="819"/>
      <c r="EQJ43" s="819"/>
      <c r="EQK43" s="819"/>
      <c r="EQL43" s="819"/>
      <c r="EQM43" s="819"/>
      <c r="EQN43" s="819"/>
      <c r="EQO43" s="819"/>
      <c r="EQP43" s="819"/>
      <c r="EQQ43" s="819"/>
      <c r="EQR43" s="819"/>
      <c r="EQS43" s="819"/>
      <c r="EQT43" s="819"/>
      <c r="EQU43" s="819"/>
      <c r="EQV43" s="819"/>
      <c r="EQW43" s="819"/>
      <c r="EQX43" s="819"/>
      <c r="EQY43" s="819"/>
      <c r="EQZ43" s="819"/>
      <c r="ERA43" s="819"/>
      <c r="ERB43" s="819"/>
      <c r="ERC43" s="819"/>
      <c r="ERD43" s="819"/>
      <c r="ERE43" s="819"/>
      <c r="ERF43" s="819"/>
      <c r="ERG43" s="819"/>
      <c r="ERH43" s="819"/>
      <c r="ERI43" s="819"/>
      <c r="ERJ43" s="819"/>
      <c r="ERK43" s="819"/>
      <c r="ERL43" s="819"/>
      <c r="ERM43" s="819"/>
      <c r="ERN43" s="819"/>
      <c r="ERO43" s="819"/>
      <c r="ERP43" s="819"/>
      <c r="ERQ43" s="819"/>
      <c r="ERR43" s="819"/>
      <c r="ERS43" s="819"/>
      <c r="ERT43" s="819"/>
      <c r="ERU43" s="819"/>
      <c r="ERV43" s="819"/>
      <c r="ERW43" s="819"/>
      <c r="ERX43" s="819"/>
      <c r="ERY43" s="819"/>
      <c r="ERZ43" s="819"/>
      <c r="ESA43" s="819"/>
      <c r="ESB43" s="819"/>
      <c r="ESC43" s="819"/>
      <c r="ESD43" s="819"/>
      <c r="ESE43" s="819"/>
      <c r="ESF43" s="819"/>
      <c r="ESG43" s="819"/>
      <c r="ESH43" s="819"/>
      <c r="ESI43" s="819"/>
      <c r="ESJ43" s="819"/>
      <c r="ESK43" s="819"/>
      <c r="ESL43" s="819"/>
      <c r="ESM43" s="819"/>
      <c r="ESN43" s="819"/>
      <c r="ESO43" s="819"/>
      <c r="ESP43" s="819"/>
      <c r="ESQ43" s="819"/>
      <c r="ESR43" s="819"/>
      <c r="ESS43" s="819"/>
      <c r="EST43" s="819"/>
      <c r="ESU43" s="819"/>
      <c r="ESV43" s="819"/>
      <c r="ESW43" s="819"/>
      <c r="ESX43" s="819"/>
      <c r="ESY43" s="819"/>
      <c r="ESZ43" s="819"/>
      <c r="ETA43" s="819"/>
      <c r="ETB43" s="819"/>
      <c r="ETC43" s="819"/>
      <c r="ETD43" s="819"/>
      <c r="ETE43" s="819"/>
      <c r="ETF43" s="819"/>
      <c r="ETG43" s="819"/>
      <c r="ETH43" s="819"/>
      <c r="ETI43" s="819"/>
      <c r="ETJ43" s="819"/>
      <c r="ETK43" s="819"/>
      <c r="ETL43" s="819"/>
      <c r="ETM43" s="819"/>
      <c r="ETN43" s="819"/>
      <c r="ETO43" s="819"/>
      <c r="ETP43" s="819"/>
      <c r="ETQ43" s="819"/>
      <c r="ETR43" s="819"/>
      <c r="ETS43" s="819"/>
      <c r="ETT43" s="819"/>
      <c r="ETU43" s="819"/>
      <c r="ETV43" s="819"/>
      <c r="ETW43" s="819"/>
      <c r="ETX43" s="819"/>
      <c r="ETY43" s="819"/>
      <c r="ETZ43" s="819"/>
      <c r="EUA43" s="819"/>
      <c r="EUB43" s="819"/>
      <c r="EUC43" s="819"/>
      <c r="EUD43" s="819"/>
      <c r="EUE43" s="819"/>
      <c r="EUF43" s="819"/>
      <c r="EUG43" s="819"/>
      <c r="EUH43" s="819"/>
      <c r="EUI43" s="819"/>
      <c r="EUJ43" s="819"/>
      <c r="EUK43" s="819"/>
      <c r="EUL43" s="819"/>
      <c r="EUM43" s="819"/>
      <c r="EUN43" s="819"/>
      <c r="EUO43" s="819"/>
      <c r="EUP43" s="819"/>
      <c r="EUQ43" s="819"/>
      <c r="EUR43" s="819"/>
      <c r="EUS43" s="819"/>
      <c r="EUT43" s="819"/>
      <c r="EUU43" s="819"/>
      <c r="EUV43" s="819"/>
      <c r="EUW43" s="819"/>
      <c r="EUX43" s="819"/>
      <c r="EUY43" s="819"/>
      <c r="EUZ43" s="819"/>
      <c r="EVA43" s="819"/>
      <c r="EVB43" s="819"/>
      <c r="EVC43" s="819"/>
      <c r="EVD43" s="819"/>
      <c r="EVE43" s="819"/>
      <c r="EVF43" s="819"/>
      <c r="EVG43" s="819"/>
      <c r="EVH43" s="819"/>
      <c r="EVI43" s="819"/>
      <c r="EVJ43" s="819"/>
      <c r="EVK43" s="819"/>
      <c r="EVL43" s="819"/>
      <c r="EVM43" s="819"/>
      <c r="EVN43" s="819"/>
      <c r="EVO43" s="819"/>
      <c r="EVP43" s="819"/>
      <c r="EVQ43" s="819"/>
      <c r="EVR43" s="819"/>
      <c r="EVS43" s="819"/>
      <c r="EVT43" s="819"/>
      <c r="EVU43" s="819"/>
      <c r="EVV43" s="819"/>
      <c r="EVW43" s="819"/>
      <c r="EVX43" s="819"/>
      <c r="EVY43" s="819"/>
      <c r="EVZ43" s="819"/>
      <c r="EWA43" s="819"/>
      <c r="EWB43" s="819"/>
      <c r="EWC43" s="819"/>
      <c r="EWD43" s="819"/>
      <c r="EWE43" s="819"/>
      <c r="EWF43" s="819"/>
      <c r="EWG43" s="819"/>
      <c r="EWH43" s="819"/>
      <c r="EWI43" s="819"/>
      <c r="EWJ43" s="819"/>
      <c r="EWK43" s="819"/>
      <c r="EWL43" s="819"/>
      <c r="EWM43" s="819"/>
      <c r="EWN43" s="819"/>
      <c r="EWO43" s="819"/>
      <c r="EWP43" s="819"/>
      <c r="EWQ43" s="819"/>
      <c r="EWR43" s="819"/>
      <c r="EWS43" s="819"/>
      <c r="EWT43" s="819"/>
      <c r="EWU43" s="819"/>
      <c r="EWV43" s="819"/>
      <c r="EWW43" s="819"/>
      <c r="EWX43" s="819"/>
      <c r="EWY43" s="819"/>
      <c r="EWZ43" s="819"/>
      <c r="EXA43" s="819"/>
      <c r="EXB43" s="819"/>
      <c r="EXC43" s="819"/>
      <c r="EXD43" s="819"/>
      <c r="EXE43" s="819"/>
      <c r="EXF43" s="819"/>
      <c r="EXG43" s="819"/>
      <c r="EXH43" s="819"/>
      <c r="EXI43" s="819"/>
      <c r="EXJ43" s="819"/>
      <c r="EXK43" s="819"/>
      <c r="EXL43" s="819"/>
      <c r="EXM43" s="819"/>
      <c r="EXN43" s="819"/>
      <c r="EXO43" s="819"/>
      <c r="EXP43" s="819"/>
      <c r="EXQ43" s="819"/>
      <c r="EXR43" s="819"/>
      <c r="EXS43" s="819"/>
      <c r="EXT43" s="819"/>
      <c r="EXU43" s="819"/>
      <c r="EXV43" s="819"/>
      <c r="EXW43" s="819"/>
      <c r="EXX43" s="819"/>
      <c r="EXY43" s="819"/>
      <c r="EXZ43" s="819"/>
      <c r="EYA43" s="819"/>
      <c r="EYB43" s="819"/>
      <c r="EYC43" s="819"/>
      <c r="EYD43" s="819"/>
      <c r="EYE43" s="819"/>
      <c r="EYF43" s="819"/>
      <c r="EYG43" s="819"/>
      <c r="EYH43" s="819"/>
      <c r="EYI43" s="819"/>
      <c r="EYJ43" s="819"/>
      <c r="EYK43" s="819"/>
      <c r="EYL43" s="819"/>
      <c r="EYM43" s="819"/>
      <c r="EYN43" s="819"/>
      <c r="EYO43" s="819"/>
      <c r="EYP43" s="819"/>
      <c r="EYQ43" s="819"/>
      <c r="EYR43" s="819"/>
      <c r="EYS43" s="819"/>
      <c r="EYT43" s="819"/>
      <c r="EYU43" s="819"/>
      <c r="EYV43" s="819"/>
      <c r="EYW43" s="819"/>
      <c r="EYX43" s="819"/>
      <c r="EYY43" s="819"/>
      <c r="EYZ43" s="819"/>
      <c r="EZA43" s="819"/>
      <c r="EZB43" s="819"/>
      <c r="EZC43" s="819"/>
      <c r="EZD43" s="819"/>
      <c r="EZE43" s="819"/>
      <c r="EZF43" s="819"/>
      <c r="EZG43" s="819"/>
      <c r="EZH43" s="819"/>
      <c r="EZI43" s="819"/>
      <c r="EZJ43" s="819"/>
      <c r="EZK43" s="819"/>
      <c r="EZL43" s="819"/>
      <c r="EZM43" s="819"/>
      <c r="EZN43" s="819"/>
      <c r="EZO43" s="819"/>
      <c r="EZP43" s="819"/>
      <c r="EZQ43" s="819"/>
      <c r="EZR43" s="819"/>
      <c r="EZS43" s="819"/>
      <c r="EZT43" s="819"/>
      <c r="EZU43" s="819"/>
      <c r="EZV43" s="819"/>
      <c r="EZW43" s="819"/>
      <c r="EZX43" s="819"/>
      <c r="EZY43" s="819"/>
      <c r="EZZ43" s="819"/>
      <c r="FAA43" s="819"/>
      <c r="FAB43" s="819"/>
      <c r="FAC43" s="819"/>
      <c r="FAD43" s="819"/>
      <c r="FAE43" s="819"/>
      <c r="FAF43" s="819"/>
      <c r="FAG43" s="819"/>
      <c r="FAH43" s="819"/>
      <c r="FAI43" s="819"/>
      <c r="FAJ43" s="819"/>
      <c r="FAK43" s="819"/>
      <c r="FAL43" s="819"/>
      <c r="FAM43" s="819"/>
      <c r="FAN43" s="819"/>
      <c r="FAO43" s="819"/>
      <c r="FAP43" s="819"/>
      <c r="FAQ43" s="819"/>
      <c r="FAR43" s="819"/>
      <c r="FAS43" s="819"/>
      <c r="FAT43" s="819"/>
      <c r="FAU43" s="819"/>
      <c r="FAV43" s="819"/>
      <c r="FAW43" s="819"/>
      <c r="FAX43" s="819"/>
      <c r="FAY43" s="819"/>
      <c r="FAZ43" s="819"/>
      <c r="FBA43" s="819"/>
      <c r="FBB43" s="819"/>
      <c r="FBC43" s="819"/>
      <c r="FBD43" s="819"/>
      <c r="FBE43" s="819"/>
      <c r="FBF43" s="819"/>
      <c r="FBG43" s="819"/>
      <c r="FBH43" s="819"/>
      <c r="FBI43" s="819"/>
      <c r="FBJ43" s="819"/>
      <c r="FBK43" s="819"/>
      <c r="FBL43" s="819"/>
      <c r="FBM43" s="819"/>
      <c r="FBN43" s="819"/>
      <c r="FBO43" s="819"/>
      <c r="FBP43" s="819"/>
      <c r="FBQ43" s="819"/>
      <c r="FBR43" s="819"/>
      <c r="FBS43" s="819"/>
      <c r="FBT43" s="819"/>
      <c r="FBU43" s="819"/>
      <c r="FBV43" s="819"/>
      <c r="FBW43" s="819"/>
      <c r="FBX43" s="819"/>
      <c r="FBY43" s="819"/>
      <c r="FBZ43" s="819"/>
      <c r="FCA43" s="819"/>
      <c r="FCB43" s="819"/>
      <c r="FCC43" s="819"/>
      <c r="FCD43" s="819"/>
      <c r="FCE43" s="819"/>
      <c r="FCF43" s="819"/>
      <c r="FCG43" s="819"/>
      <c r="FCH43" s="819"/>
      <c r="FCI43" s="819"/>
      <c r="FCJ43" s="819"/>
      <c r="FCK43" s="819"/>
      <c r="FCL43" s="819"/>
      <c r="FCM43" s="819"/>
      <c r="FCN43" s="819"/>
      <c r="FCO43" s="819"/>
      <c r="FCP43" s="819"/>
      <c r="FCQ43" s="819"/>
      <c r="FCR43" s="819"/>
      <c r="FCS43" s="819"/>
      <c r="FCT43" s="819"/>
      <c r="FCU43" s="819"/>
      <c r="FCV43" s="819"/>
      <c r="FCW43" s="819"/>
      <c r="FCX43" s="819"/>
      <c r="FCY43" s="819"/>
      <c r="FCZ43" s="819"/>
      <c r="FDA43" s="819"/>
      <c r="FDB43" s="819"/>
      <c r="FDC43" s="819"/>
      <c r="FDD43" s="819"/>
      <c r="FDE43" s="819"/>
      <c r="FDF43" s="819"/>
      <c r="FDG43" s="819"/>
      <c r="FDH43" s="819"/>
      <c r="FDI43" s="819"/>
      <c r="FDJ43" s="819"/>
      <c r="FDK43" s="819"/>
      <c r="FDL43" s="819"/>
      <c r="FDM43" s="819"/>
      <c r="FDN43" s="819"/>
      <c r="FDO43" s="819"/>
      <c r="FDP43" s="819"/>
      <c r="FDQ43" s="819"/>
      <c r="FDR43" s="819"/>
      <c r="FDS43" s="819"/>
      <c r="FDT43" s="819"/>
      <c r="FDU43" s="819"/>
      <c r="FDV43" s="819"/>
      <c r="FDW43" s="819"/>
      <c r="FDX43" s="819"/>
      <c r="FDY43" s="819"/>
      <c r="FDZ43" s="819"/>
      <c r="FEA43" s="819"/>
      <c r="FEB43" s="819"/>
      <c r="FEC43" s="819"/>
      <c r="FED43" s="819"/>
      <c r="FEE43" s="819"/>
      <c r="FEF43" s="819"/>
      <c r="FEG43" s="819"/>
      <c r="FEH43" s="819"/>
      <c r="FEI43" s="819"/>
      <c r="FEJ43" s="819"/>
      <c r="FEK43" s="819"/>
      <c r="FEL43" s="819"/>
      <c r="FEM43" s="819"/>
      <c r="FEN43" s="819"/>
      <c r="FEO43" s="819"/>
      <c r="FEP43" s="819"/>
      <c r="FEQ43" s="819"/>
      <c r="FER43" s="819"/>
      <c r="FES43" s="819"/>
      <c r="FET43" s="819"/>
      <c r="FEU43" s="819"/>
      <c r="FEV43" s="819"/>
      <c r="FEW43" s="819"/>
      <c r="FEX43" s="819"/>
      <c r="FEY43" s="819"/>
      <c r="FEZ43" s="819"/>
      <c r="FFA43" s="819"/>
      <c r="FFB43" s="819"/>
      <c r="FFC43" s="819"/>
      <c r="FFD43" s="819"/>
      <c r="FFE43" s="819"/>
      <c r="FFF43" s="819"/>
      <c r="FFG43" s="819"/>
      <c r="FFH43" s="819"/>
      <c r="FFI43" s="819"/>
      <c r="FFJ43" s="819"/>
      <c r="FFK43" s="819"/>
      <c r="FFL43" s="819"/>
      <c r="FFM43" s="819"/>
      <c r="FFN43" s="819"/>
      <c r="FFO43" s="819"/>
      <c r="FFP43" s="819"/>
      <c r="FFQ43" s="819"/>
      <c r="FFR43" s="819"/>
      <c r="FFS43" s="819"/>
      <c r="FFT43" s="819"/>
      <c r="FFU43" s="819"/>
      <c r="FFV43" s="819"/>
      <c r="FFW43" s="819"/>
      <c r="FFX43" s="819"/>
      <c r="FFY43" s="819"/>
      <c r="FFZ43" s="819"/>
      <c r="FGA43" s="819"/>
      <c r="FGB43" s="819"/>
      <c r="FGC43" s="819"/>
      <c r="FGD43" s="819"/>
      <c r="FGE43" s="819"/>
      <c r="FGF43" s="819"/>
      <c r="FGG43" s="819"/>
      <c r="FGH43" s="819"/>
      <c r="FGI43" s="819"/>
      <c r="FGJ43" s="819"/>
      <c r="FGK43" s="819"/>
      <c r="FGL43" s="819"/>
      <c r="FGM43" s="819"/>
      <c r="FGN43" s="819"/>
      <c r="FGO43" s="819"/>
      <c r="FGP43" s="819"/>
      <c r="FGQ43" s="819"/>
      <c r="FGR43" s="819"/>
      <c r="FGS43" s="819"/>
      <c r="FGT43" s="819"/>
      <c r="FGU43" s="819"/>
      <c r="FGV43" s="819"/>
      <c r="FGW43" s="819"/>
      <c r="FGX43" s="819"/>
      <c r="FGY43" s="819"/>
      <c r="FGZ43" s="819"/>
      <c r="FHA43" s="819"/>
      <c r="FHB43" s="819"/>
      <c r="FHC43" s="819"/>
      <c r="FHD43" s="819"/>
      <c r="FHE43" s="819"/>
      <c r="FHF43" s="819"/>
      <c r="FHG43" s="819"/>
      <c r="FHH43" s="819"/>
      <c r="FHI43" s="819"/>
      <c r="FHJ43" s="819"/>
      <c r="FHK43" s="819"/>
      <c r="FHL43" s="819"/>
      <c r="FHM43" s="819"/>
      <c r="FHN43" s="819"/>
      <c r="FHO43" s="819"/>
      <c r="FHP43" s="819"/>
      <c r="FHQ43" s="819"/>
      <c r="FHR43" s="819"/>
      <c r="FHS43" s="819"/>
      <c r="FHT43" s="819"/>
      <c r="FHU43" s="819"/>
      <c r="FHV43" s="819"/>
      <c r="FHW43" s="819"/>
      <c r="FHX43" s="819"/>
      <c r="FHY43" s="819"/>
      <c r="FHZ43" s="819"/>
      <c r="FIA43" s="819"/>
      <c r="FIB43" s="819"/>
      <c r="FIC43" s="819"/>
      <c r="FID43" s="819"/>
      <c r="FIE43" s="819"/>
      <c r="FIF43" s="819"/>
      <c r="FIG43" s="819"/>
      <c r="FIH43" s="819"/>
      <c r="FII43" s="819"/>
      <c r="FIJ43" s="819"/>
      <c r="FIK43" s="819"/>
      <c r="FIL43" s="819"/>
      <c r="FIM43" s="819"/>
      <c r="FIN43" s="819"/>
      <c r="FIO43" s="819"/>
      <c r="FIP43" s="819"/>
      <c r="FIQ43" s="819"/>
      <c r="FIR43" s="819"/>
      <c r="FIS43" s="819"/>
      <c r="FIT43" s="819"/>
      <c r="FIU43" s="819"/>
      <c r="FIV43" s="819"/>
      <c r="FIW43" s="819"/>
      <c r="FIX43" s="819"/>
      <c r="FIY43" s="819"/>
      <c r="FIZ43" s="819"/>
      <c r="FJA43" s="819"/>
      <c r="FJB43" s="819"/>
      <c r="FJC43" s="819"/>
      <c r="FJD43" s="819"/>
      <c r="FJE43" s="819"/>
      <c r="FJF43" s="819"/>
      <c r="FJG43" s="819"/>
      <c r="FJH43" s="819"/>
      <c r="FJI43" s="819"/>
      <c r="FJJ43" s="819"/>
      <c r="FJK43" s="819"/>
      <c r="FJL43" s="819"/>
      <c r="FJM43" s="819"/>
      <c r="FJN43" s="819"/>
      <c r="FJO43" s="819"/>
      <c r="FJP43" s="819"/>
      <c r="FJQ43" s="819"/>
      <c r="FJR43" s="819"/>
      <c r="FJS43" s="819"/>
      <c r="FJT43" s="819"/>
      <c r="FJU43" s="819"/>
      <c r="FJV43" s="819"/>
      <c r="FJW43" s="819"/>
      <c r="FJX43" s="819"/>
      <c r="FJY43" s="819"/>
      <c r="FJZ43" s="819"/>
      <c r="FKA43" s="819"/>
      <c r="FKB43" s="819"/>
      <c r="FKC43" s="819"/>
      <c r="FKD43" s="819"/>
      <c r="FKE43" s="819"/>
      <c r="FKF43" s="819"/>
      <c r="FKG43" s="819"/>
      <c r="FKH43" s="819"/>
      <c r="FKI43" s="819"/>
      <c r="FKJ43" s="819"/>
      <c r="FKK43" s="819"/>
      <c r="FKL43" s="819"/>
      <c r="FKM43" s="819"/>
      <c r="FKN43" s="819"/>
      <c r="FKO43" s="819"/>
      <c r="FKP43" s="819"/>
      <c r="FKQ43" s="819"/>
      <c r="FKR43" s="819"/>
      <c r="FKS43" s="819"/>
      <c r="FKT43" s="819"/>
      <c r="FKU43" s="819"/>
      <c r="FKV43" s="819"/>
      <c r="FKW43" s="819"/>
      <c r="FKX43" s="819"/>
      <c r="FKY43" s="819"/>
      <c r="FKZ43" s="819"/>
      <c r="FLA43" s="819"/>
      <c r="FLB43" s="819"/>
      <c r="FLC43" s="819"/>
      <c r="FLD43" s="819"/>
      <c r="FLE43" s="819"/>
      <c r="FLF43" s="819"/>
      <c r="FLG43" s="819"/>
      <c r="FLH43" s="819"/>
      <c r="FLI43" s="819"/>
      <c r="FLJ43" s="819"/>
      <c r="FLK43" s="819"/>
      <c r="FLL43" s="819"/>
      <c r="FLM43" s="819"/>
      <c r="FLN43" s="819"/>
      <c r="FLO43" s="819"/>
      <c r="FLP43" s="819"/>
      <c r="FLQ43" s="819"/>
      <c r="FLR43" s="819"/>
      <c r="FLS43" s="819"/>
      <c r="FLT43" s="819"/>
      <c r="FLU43" s="819"/>
      <c r="FLV43" s="819"/>
      <c r="FLW43" s="819"/>
      <c r="FLX43" s="819"/>
      <c r="FLY43" s="819"/>
      <c r="FLZ43" s="819"/>
      <c r="FMA43" s="819"/>
      <c r="FMB43" s="819"/>
      <c r="FMC43" s="819"/>
      <c r="FMD43" s="819"/>
      <c r="FME43" s="819"/>
      <c r="FMF43" s="819"/>
      <c r="FMG43" s="819"/>
      <c r="FMH43" s="819"/>
      <c r="FMI43" s="819"/>
      <c r="FMJ43" s="819"/>
      <c r="FMK43" s="819"/>
      <c r="FML43" s="819"/>
      <c r="FMM43" s="819"/>
      <c r="FMN43" s="819"/>
      <c r="FMO43" s="819"/>
      <c r="FMP43" s="819"/>
      <c r="FMQ43" s="819"/>
      <c r="FMR43" s="819"/>
      <c r="FMS43" s="819"/>
      <c r="FMT43" s="819"/>
      <c r="FMU43" s="819"/>
      <c r="FMV43" s="819"/>
      <c r="FMW43" s="819"/>
      <c r="FMX43" s="819"/>
      <c r="FMY43" s="819"/>
      <c r="FMZ43" s="819"/>
      <c r="FNA43" s="819"/>
      <c r="FNB43" s="819"/>
      <c r="FNC43" s="819"/>
      <c r="FND43" s="819"/>
      <c r="FNE43" s="819"/>
      <c r="FNF43" s="819"/>
      <c r="FNG43" s="819"/>
      <c r="FNH43" s="819"/>
      <c r="FNI43" s="819"/>
      <c r="FNJ43" s="819"/>
      <c r="FNK43" s="819"/>
      <c r="FNL43" s="819"/>
      <c r="FNM43" s="819"/>
      <c r="FNN43" s="819"/>
      <c r="FNO43" s="819"/>
      <c r="FNP43" s="819"/>
      <c r="FNQ43" s="819"/>
      <c r="FNR43" s="819"/>
      <c r="FNS43" s="819"/>
      <c r="FNT43" s="819"/>
      <c r="FNU43" s="819"/>
      <c r="FNV43" s="819"/>
      <c r="FNW43" s="819"/>
      <c r="FNX43" s="819"/>
      <c r="FNY43" s="819"/>
      <c r="FNZ43" s="819"/>
      <c r="FOA43" s="819"/>
      <c r="FOB43" s="819"/>
      <c r="FOC43" s="819"/>
      <c r="FOD43" s="819"/>
      <c r="FOE43" s="819"/>
      <c r="FOF43" s="819"/>
      <c r="FOG43" s="819"/>
      <c r="FOH43" s="819"/>
      <c r="FOI43" s="819"/>
      <c r="FOJ43" s="819"/>
      <c r="FOK43" s="819"/>
      <c r="FOL43" s="819"/>
      <c r="FOM43" s="819"/>
      <c r="FON43" s="819"/>
      <c r="FOO43" s="819"/>
      <c r="FOP43" s="819"/>
      <c r="FOQ43" s="819"/>
      <c r="FOR43" s="819"/>
      <c r="FOS43" s="819"/>
      <c r="FOT43" s="819"/>
      <c r="FOU43" s="819"/>
      <c r="FOV43" s="819"/>
      <c r="FOW43" s="819"/>
      <c r="FOX43" s="819"/>
      <c r="FOY43" s="819"/>
      <c r="FOZ43" s="819"/>
      <c r="FPA43" s="819"/>
      <c r="FPB43" s="819"/>
      <c r="FPC43" s="819"/>
      <c r="FPD43" s="819"/>
      <c r="FPE43" s="819"/>
      <c r="FPF43" s="819"/>
      <c r="FPG43" s="819"/>
      <c r="FPH43" s="819"/>
      <c r="FPI43" s="819"/>
      <c r="FPJ43" s="819"/>
      <c r="FPK43" s="819"/>
      <c r="FPL43" s="819"/>
      <c r="FPM43" s="819"/>
      <c r="FPN43" s="819"/>
      <c r="FPO43" s="819"/>
      <c r="FPP43" s="819"/>
      <c r="FPQ43" s="819"/>
      <c r="FPR43" s="819"/>
      <c r="FPS43" s="819"/>
      <c r="FPT43" s="819"/>
      <c r="FPU43" s="819"/>
      <c r="FPV43" s="819"/>
      <c r="FPW43" s="819"/>
      <c r="FPX43" s="819"/>
      <c r="FPY43" s="819"/>
      <c r="FPZ43" s="819"/>
      <c r="FQA43" s="819"/>
      <c r="FQB43" s="819"/>
      <c r="FQC43" s="819"/>
      <c r="FQD43" s="819"/>
      <c r="FQE43" s="819"/>
      <c r="FQF43" s="819"/>
      <c r="FQG43" s="819"/>
      <c r="FQH43" s="819"/>
      <c r="FQI43" s="819"/>
      <c r="FQJ43" s="819"/>
      <c r="FQK43" s="819"/>
      <c r="FQL43" s="819"/>
      <c r="FQM43" s="819"/>
      <c r="FQN43" s="819"/>
      <c r="FQO43" s="819"/>
      <c r="FQP43" s="819"/>
      <c r="FQQ43" s="819"/>
      <c r="FQR43" s="819"/>
      <c r="FQS43" s="819"/>
      <c r="FQT43" s="819"/>
      <c r="FQU43" s="819"/>
      <c r="FQV43" s="819"/>
      <c r="FQW43" s="819"/>
      <c r="FQX43" s="819"/>
      <c r="FQY43" s="819"/>
      <c r="FQZ43" s="819"/>
      <c r="FRA43" s="819"/>
      <c r="FRB43" s="819"/>
      <c r="FRC43" s="819"/>
      <c r="FRD43" s="819"/>
      <c r="FRE43" s="819"/>
      <c r="FRF43" s="819"/>
      <c r="FRG43" s="819"/>
      <c r="FRH43" s="819"/>
      <c r="FRI43" s="819"/>
      <c r="FRJ43" s="819"/>
      <c r="FRK43" s="819"/>
      <c r="FRL43" s="819"/>
      <c r="FRM43" s="819"/>
      <c r="FRN43" s="819"/>
      <c r="FRO43" s="819"/>
      <c r="FRP43" s="819"/>
      <c r="FRQ43" s="819"/>
      <c r="FRR43" s="819"/>
      <c r="FRS43" s="819"/>
      <c r="FRT43" s="819"/>
      <c r="FRU43" s="819"/>
      <c r="FRV43" s="819"/>
      <c r="FRW43" s="819"/>
      <c r="FRX43" s="819"/>
      <c r="FRY43" s="819"/>
      <c r="FRZ43" s="819"/>
      <c r="FSA43" s="819"/>
      <c r="FSB43" s="819"/>
      <c r="FSC43" s="819"/>
      <c r="FSD43" s="819"/>
      <c r="FSE43" s="819"/>
      <c r="FSF43" s="819"/>
      <c r="FSG43" s="819"/>
      <c r="FSH43" s="819"/>
      <c r="FSI43" s="819"/>
      <c r="FSJ43" s="819"/>
      <c r="FSK43" s="819"/>
      <c r="FSL43" s="819"/>
      <c r="FSM43" s="819"/>
      <c r="FSN43" s="819"/>
      <c r="FSO43" s="819"/>
      <c r="FSP43" s="819"/>
      <c r="FSQ43" s="819"/>
      <c r="FSR43" s="819"/>
      <c r="FSS43" s="819"/>
      <c r="FST43" s="819"/>
      <c r="FSU43" s="819"/>
      <c r="FSV43" s="819"/>
      <c r="FSW43" s="819"/>
      <c r="FSX43" s="819"/>
      <c r="FSY43" s="819"/>
      <c r="FSZ43" s="819"/>
      <c r="FTA43" s="819"/>
      <c r="FTB43" s="819"/>
      <c r="FTC43" s="819"/>
      <c r="FTD43" s="819"/>
      <c r="FTE43" s="819"/>
      <c r="FTF43" s="819"/>
      <c r="FTG43" s="819"/>
      <c r="FTH43" s="819"/>
      <c r="FTI43" s="819"/>
      <c r="FTJ43" s="819"/>
      <c r="FTK43" s="819"/>
      <c r="FTL43" s="819"/>
      <c r="FTM43" s="819"/>
      <c r="FTN43" s="819"/>
      <c r="FTO43" s="819"/>
      <c r="FTP43" s="819"/>
      <c r="FTQ43" s="819"/>
      <c r="FTR43" s="819"/>
      <c r="FTS43" s="819"/>
      <c r="FTT43" s="819"/>
      <c r="FTU43" s="819"/>
      <c r="FTV43" s="819"/>
      <c r="FTW43" s="819"/>
      <c r="FTX43" s="819"/>
      <c r="FTY43" s="819"/>
      <c r="FTZ43" s="819"/>
      <c r="FUA43" s="819"/>
      <c r="FUB43" s="819"/>
      <c r="FUC43" s="819"/>
      <c r="FUD43" s="819"/>
      <c r="FUE43" s="819"/>
      <c r="FUF43" s="819"/>
      <c r="FUG43" s="819"/>
      <c r="FUH43" s="819"/>
      <c r="FUI43" s="819"/>
      <c r="FUJ43" s="819"/>
      <c r="FUK43" s="819"/>
      <c r="FUL43" s="819"/>
      <c r="FUM43" s="819"/>
      <c r="FUN43" s="819"/>
      <c r="FUO43" s="819"/>
      <c r="FUP43" s="819"/>
      <c r="FUQ43" s="819"/>
      <c r="FUR43" s="819"/>
      <c r="FUS43" s="819"/>
      <c r="FUT43" s="819"/>
      <c r="FUU43" s="819"/>
      <c r="FUV43" s="819"/>
      <c r="FUW43" s="819"/>
      <c r="FUX43" s="819"/>
      <c r="FUY43" s="819"/>
      <c r="FUZ43" s="819"/>
      <c r="FVA43" s="819"/>
      <c r="FVB43" s="819"/>
      <c r="FVC43" s="819"/>
      <c r="FVD43" s="819"/>
      <c r="FVE43" s="819"/>
      <c r="FVF43" s="819"/>
      <c r="FVG43" s="819"/>
      <c r="FVH43" s="819"/>
      <c r="FVI43" s="819"/>
      <c r="FVJ43" s="819"/>
      <c r="FVK43" s="819"/>
      <c r="FVL43" s="819"/>
      <c r="FVM43" s="819"/>
      <c r="FVN43" s="819"/>
      <c r="FVO43" s="819"/>
      <c r="FVP43" s="819"/>
      <c r="FVQ43" s="819"/>
      <c r="FVR43" s="819"/>
      <c r="FVS43" s="819"/>
      <c r="FVT43" s="819"/>
      <c r="FVU43" s="819"/>
      <c r="FVV43" s="819"/>
      <c r="FVW43" s="819"/>
      <c r="FVX43" s="819"/>
      <c r="FVY43" s="819"/>
      <c r="FVZ43" s="819"/>
      <c r="FWA43" s="819"/>
      <c r="FWB43" s="819"/>
      <c r="FWC43" s="819"/>
      <c r="FWD43" s="819"/>
      <c r="FWE43" s="819"/>
      <c r="FWF43" s="819"/>
      <c r="FWG43" s="819"/>
      <c r="FWH43" s="819"/>
      <c r="FWI43" s="819"/>
      <c r="FWJ43" s="819"/>
      <c r="FWK43" s="819"/>
      <c r="FWL43" s="819"/>
      <c r="FWM43" s="819"/>
      <c r="FWN43" s="819"/>
      <c r="FWO43" s="819"/>
      <c r="FWP43" s="819"/>
      <c r="FWQ43" s="819"/>
      <c r="FWR43" s="819"/>
      <c r="FWS43" s="819"/>
      <c r="FWT43" s="819"/>
      <c r="FWU43" s="819"/>
      <c r="FWV43" s="819"/>
      <c r="FWW43" s="819"/>
      <c r="FWX43" s="819"/>
      <c r="FWY43" s="819"/>
      <c r="FWZ43" s="819"/>
      <c r="FXA43" s="819"/>
      <c r="FXB43" s="819"/>
      <c r="FXC43" s="819"/>
      <c r="FXD43" s="819"/>
      <c r="FXE43" s="819"/>
      <c r="FXF43" s="819"/>
      <c r="FXG43" s="819"/>
      <c r="FXH43" s="819"/>
      <c r="FXI43" s="819"/>
      <c r="FXJ43" s="819"/>
      <c r="FXK43" s="819"/>
      <c r="FXL43" s="819"/>
      <c r="FXM43" s="819"/>
      <c r="FXN43" s="819"/>
      <c r="FXO43" s="819"/>
      <c r="FXP43" s="819"/>
      <c r="FXQ43" s="819"/>
      <c r="FXR43" s="819"/>
      <c r="FXS43" s="819"/>
      <c r="FXT43" s="819"/>
      <c r="FXU43" s="819"/>
      <c r="FXV43" s="819"/>
      <c r="FXW43" s="819"/>
      <c r="FXX43" s="819"/>
      <c r="FXY43" s="819"/>
      <c r="FXZ43" s="819"/>
      <c r="FYA43" s="819"/>
      <c r="FYB43" s="819"/>
      <c r="FYC43" s="819"/>
      <c r="FYD43" s="819"/>
      <c r="FYE43" s="819"/>
      <c r="FYF43" s="819"/>
      <c r="FYG43" s="819"/>
      <c r="FYH43" s="819"/>
      <c r="FYI43" s="819"/>
      <c r="FYJ43" s="819"/>
      <c r="FYK43" s="819"/>
      <c r="FYL43" s="819"/>
      <c r="FYM43" s="819"/>
      <c r="FYN43" s="819"/>
      <c r="FYO43" s="819"/>
      <c r="FYP43" s="819"/>
      <c r="FYQ43" s="819"/>
      <c r="FYR43" s="819"/>
      <c r="FYS43" s="819"/>
      <c r="FYT43" s="819"/>
      <c r="FYU43" s="819"/>
      <c r="FYV43" s="819"/>
      <c r="FYW43" s="819"/>
      <c r="FYX43" s="819"/>
      <c r="FYY43" s="819"/>
      <c r="FYZ43" s="819"/>
      <c r="FZA43" s="819"/>
      <c r="FZB43" s="819"/>
      <c r="FZC43" s="819"/>
      <c r="FZD43" s="819"/>
      <c r="FZE43" s="819"/>
      <c r="FZF43" s="819"/>
      <c r="FZG43" s="819"/>
      <c r="FZH43" s="819"/>
      <c r="FZI43" s="819"/>
      <c r="FZJ43" s="819"/>
      <c r="FZK43" s="819"/>
      <c r="FZL43" s="819"/>
      <c r="FZM43" s="819"/>
      <c r="FZN43" s="819"/>
      <c r="FZO43" s="819"/>
      <c r="FZP43" s="819"/>
      <c r="FZQ43" s="819"/>
      <c r="FZR43" s="819"/>
      <c r="FZS43" s="819"/>
      <c r="FZT43" s="819"/>
      <c r="FZU43" s="819"/>
      <c r="FZV43" s="819"/>
      <c r="FZW43" s="819"/>
      <c r="FZX43" s="819"/>
      <c r="FZY43" s="819"/>
      <c r="FZZ43" s="819"/>
      <c r="GAA43" s="819"/>
      <c r="GAB43" s="819"/>
      <c r="GAC43" s="819"/>
      <c r="GAD43" s="819"/>
      <c r="GAE43" s="819"/>
      <c r="GAF43" s="819"/>
      <c r="GAG43" s="819"/>
      <c r="GAH43" s="819"/>
      <c r="GAI43" s="819"/>
      <c r="GAJ43" s="819"/>
      <c r="GAK43" s="819"/>
      <c r="GAL43" s="819"/>
      <c r="GAM43" s="819"/>
      <c r="GAN43" s="819"/>
      <c r="GAO43" s="819"/>
      <c r="GAP43" s="819"/>
      <c r="GAQ43" s="819"/>
      <c r="GAR43" s="819"/>
      <c r="GAS43" s="819"/>
      <c r="GAT43" s="819"/>
      <c r="GAU43" s="819"/>
      <c r="GAV43" s="819"/>
      <c r="GAW43" s="819"/>
      <c r="GAX43" s="819"/>
      <c r="GAY43" s="819"/>
      <c r="GAZ43" s="819"/>
      <c r="GBA43" s="819"/>
      <c r="GBB43" s="819"/>
      <c r="GBC43" s="819"/>
      <c r="GBD43" s="819"/>
      <c r="GBE43" s="819"/>
      <c r="GBF43" s="819"/>
      <c r="GBG43" s="819"/>
      <c r="GBH43" s="819"/>
      <c r="GBI43" s="819"/>
      <c r="GBJ43" s="819"/>
      <c r="GBK43" s="819"/>
      <c r="GBL43" s="819"/>
      <c r="GBM43" s="819"/>
      <c r="GBN43" s="819"/>
      <c r="GBO43" s="819"/>
      <c r="GBP43" s="819"/>
      <c r="GBQ43" s="819"/>
      <c r="GBR43" s="819"/>
      <c r="GBS43" s="819"/>
      <c r="GBT43" s="819"/>
      <c r="GBU43" s="819"/>
      <c r="GBV43" s="819"/>
      <c r="GBW43" s="819"/>
      <c r="GBX43" s="819"/>
      <c r="GBY43" s="819"/>
      <c r="GBZ43" s="819"/>
      <c r="GCA43" s="819"/>
      <c r="GCB43" s="819"/>
      <c r="GCC43" s="819"/>
      <c r="GCD43" s="819"/>
      <c r="GCE43" s="819"/>
      <c r="GCF43" s="819"/>
      <c r="GCG43" s="819"/>
      <c r="GCH43" s="819"/>
      <c r="GCI43" s="819"/>
      <c r="GCJ43" s="819"/>
      <c r="GCK43" s="819"/>
      <c r="GCL43" s="819"/>
      <c r="GCM43" s="819"/>
      <c r="GCN43" s="819"/>
      <c r="GCO43" s="819"/>
      <c r="GCP43" s="819"/>
      <c r="GCQ43" s="819"/>
      <c r="GCR43" s="819"/>
      <c r="GCS43" s="819"/>
      <c r="GCT43" s="819"/>
      <c r="GCU43" s="819"/>
      <c r="GCV43" s="819"/>
      <c r="GCW43" s="819"/>
      <c r="GCX43" s="819"/>
      <c r="GCY43" s="819"/>
      <c r="GCZ43" s="819"/>
      <c r="GDA43" s="819"/>
      <c r="GDB43" s="819"/>
      <c r="GDC43" s="819"/>
      <c r="GDD43" s="819"/>
      <c r="GDE43" s="819"/>
      <c r="GDF43" s="819"/>
      <c r="GDG43" s="819"/>
      <c r="GDH43" s="819"/>
      <c r="GDI43" s="819"/>
      <c r="GDJ43" s="819"/>
      <c r="GDK43" s="819"/>
      <c r="GDL43" s="819"/>
      <c r="GDM43" s="819"/>
      <c r="GDN43" s="819"/>
      <c r="GDO43" s="819"/>
      <c r="GDP43" s="819"/>
      <c r="GDQ43" s="819"/>
      <c r="GDR43" s="819"/>
      <c r="GDS43" s="819"/>
      <c r="GDT43" s="819"/>
      <c r="GDU43" s="819"/>
      <c r="GDV43" s="819"/>
      <c r="GDW43" s="819"/>
      <c r="GDX43" s="819"/>
      <c r="GDY43" s="819"/>
      <c r="GDZ43" s="819"/>
      <c r="GEA43" s="819"/>
      <c r="GEB43" s="819"/>
      <c r="GEC43" s="819"/>
      <c r="GED43" s="819"/>
      <c r="GEE43" s="819"/>
      <c r="GEF43" s="819"/>
      <c r="GEG43" s="819"/>
      <c r="GEH43" s="819"/>
      <c r="GEI43" s="819"/>
      <c r="GEJ43" s="819"/>
      <c r="GEK43" s="819"/>
      <c r="GEL43" s="819"/>
      <c r="GEM43" s="819"/>
      <c r="GEN43" s="819"/>
      <c r="GEO43" s="819"/>
      <c r="GEP43" s="819"/>
      <c r="GEQ43" s="819"/>
      <c r="GER43" s="819"/>
      <c r="GES43" s="819"/>
      <c r="GET43" s="819"/>
      <c r="GEU43" s="819"/>
      <c r="GEV43" s="819"/>
      <c r="GEW43" s="819"/>
      <c r="GEX43" s="819"/>
      <c r="GEY43" s="819"/>
      <c r="GEZ43" s="819"/>
      <c r="GFA43" s="819"/>
      <c r="GFB43" s="819"/>
      <c r="GFC43" s="819"/>
      <c r="GFD43" s="819"/>
      <c r="GFE43" s="819"/>
      <c r="GFF43" s="819"/>
      <c r="GFG43" s="819"/>
      <c r="GFH43" s="819"/>
      <c r="GFI43" s="819"/>
      <c r="GFJ43" s="819"/>
      <c r="GFK43" s="819"/>
      <c r="GFL43" s="819"/>
      <c r="GFM43" s="819"/>
      <c r="GFN43" s="819"/>
      <c r="GFO43" s="819"/>
      <c r="GFP43" s="819"/>
      <c r="GFQ43" s="819"/>
      <c r="GFR43" s="819"/>
      <c r="GFS43" s="819"/>
      <c r="GFT43" s="819"/>
      <c r="GFU43" s="819"/>
      <c r="GFV43" s="819"/>
      <c r="GFW43" s="819"/>
      <c r="GFX43" s="819"/>
      <c r="GFY43" s="819"/>
      <c r="GFZ43" s="819"/>
      <c r="GGA43" s="819"/>
      <c r="GGB43" s="819"/>
      <c r="GGC43" s="819"/>
      <c r="GGD43" s="819"/>
      <c r="GGE43" s="819"/>
      <c r="GGF43" s="819"/>
      <c r="GGG43" s="819"/>
      <c r="GGH43" s="819"/>
      <c r="GGI43" s="819"/>
      <c r="GGJ43" s="819"/>
      <c r="GGK43" s="819"/>
      <c r="GGL43" s="819"/>
      <c r="GGM43" s="819"/>
      <c r="GGN43" s="819"/>
      <c r="GGO43" s="819"/>
      <c r="GGP43" s="819"/>
      <c r="GGQ43" s="819"/>
      <c r="GGR43" s="819"/>
      <c r="GGS43" s="819"/>
      <c r="GGT43" s="819"/>
      <c r="GGU43" s="819"/>
      <c r="GGV43" s="819"/>
      <c r="GGW43" s="819"/>
      <c r="GGX43" s="819"/>
      <c r="GGY43" s="819"/>
      <c r="GGZ43" s="819"/>
      <c r="GHA43" s="819"/>
      <c r="GHB43" s="819"/>
      <c r="GHC43" s="819"/>
      <c r="GHD43" s="819"/>
      <c r="GHE43" s="819"/>
      <c r="GHF43" s="819"/>
      <c r="GHG43" s="819"/>
      <c r="GHH43" s="819"/>
      <c r="GHI43" s="819"/>
      <c r="GHJ43" s="819"/>
      <c r="GHK43" s="819"/>
      <c r="GHL43" s="819"/>
      <c r="GHM43" s="819"/>
      <c r="GHN43" s="819"/>
      <c r="GHO43" s="819"/>
      <c r="GHP43" s="819"/>
      <c r="GHQ43" s="819"/>
      <c r="GHR43" s="819"/>
      <c r="GHS43" s="819"/>
      <c r="GHT43" s="819"/>
      <c r="GHU43" s="819"/>
      <c r="GHV43" s="819"/>
      <c r="GHW43" s="819"/>
      <c r="GHX43" s="819"/>
      <c r="GHY43" s="819"/>
      <c r="GHZ43" s="819"/>
      <c r="GIA43" s="819"/>
      <c r="GIB43" s="819"/>
      <c r="GIC43" s="819"/>
      <c r="GID43" s="819"/>
      <c r="GIE43" s="819"/>
      <c r="GIF43" s="819"/>
      <c r="GIG43" s="819"/>
      <c r="GIH43" s="819"/>
      <c r="GII43" s="819"/>
      <c r="GIJ43" s="819"/>
      <c r="GIK43" s="819"/>
      <c r="GIL43" s="819"/>
      <c r="GIM43" s="819"/>
      <c r="GIN43" s="819"/>
      <c r="GIO43" s="819"/>
      <c r="GIP43" s="819"/>
      <c r="GIQ43" s="819"/>
      <c r="GIR43" s="819"/>
      <c r="GIS43" s="819"/>
      <c r="GIT43" s="819"/>
      <c r="GIU43" s="819"/>
      <c r="GIV43" s="819"/>
      <c r="GIW43" s="819"/>
      <c r="GIX43" s="819"/>
      <c r="GIY43" s="819"/>
      <c r="GIZ43" s="819"/>
      <c r="GJA43" s="819"/>
      <c r="GJB43" s="819"/>
      <c r="GJC43" s="819"/>
      <c r="GJD43" s="819"/>
      <c r="GJE43" s="819"/>
      <c r="GJF43" s="819"/>
      <c r="GJG43" s="819"/>
      <c r="GJH43" s="819"/>
      <c r="GJI43" s="819"/>
      <c r="GJJ43" s="819"/>
      <c r="GJK43" s="819"/>
      <c r="GJL43" s="819"/>
      <c r="GJM43" s="819"/>
      <c r="GJN43" s="819"/>
      <c r="GJO43" s="819"/>
      <c r="GJP43" s="819"/>
      <c r="GJQ43" s="819"/>
      <c r="GJR43" s="819"/>
      <c r="GJS43" s="819"/>
      <c r="GJT43" s="819"/>
      <c r="GJU43" s="819"/>
      <c r="GJV43" s="819"/>
      <c r="GJW43" s="819"/>
      <c r="GJX43" s="819"/>
      <c r="GJY43" s="819"/>
      <c r="GJZ43" s="819"/>
      <c r="GKA43" s="819"/>
      <c r="GKB43" s="819"/>
      <c r="GKC43" s="819"/>
      <c r="GKD43" s="819"/>
      <c r="GKE43" s="819"/>
      <c r="GKF43" s="819"/>
      <c r="GKG43" s="819"/>
      <c r="GKH43" s="819"/>
      <c r="GKI43" s="819"/>
      <c r="GKJ43" s="819"/>
      <c r="GKK43" s="819"/>
      <c r="GKL43" s="819"/>
      <c r="GKM43" s="819"/>
      <c r="GKN43" s="819"/>
      <c r="GKO43" s="819"/>
      <c r="GKP43" s="819"/>
      <c r="GKQ43" s="819"/>
      <c r="GKR43" s="819"/>
      <c r="GKS43" s="819"/>
      <c r="GKT43" s="819"/>
      <c r="GKU43" s="819"/>
      <c r="GKV43" s="819"/>
      <c r="GKW43" s="819"/>
      <c r="GKX43" s="819"/>
      <c r="GKY43" s="819"/>
      <c r="GKZ43" s="819"/>
      <c r="GLA43" s="819"/>
      <c r="GLB43" s="819"/>
      <c r="GLC43" s="819"/>
      <c r="GLD43" s="819"/>
      <c r="GLE43" s="819"/>
      <c r="GLF43" s="819"/>
      <c r="GLG43" s="819"/>
      <c r="GLH43" s="819"/>
      <c r="GLI43" s="819"/>
      <c r="GLJ43" s="819"/>
      <c r="GLK43" s="819"/>
      <c r="GLL43" s="819"/>
      <c r="GLM43" s="819"/>
      <c r="GLN43" s="819"/>
      <c r="GLO43" s="819"/>
      <c r="GLP43" s="819"/>
      <c r="GLQ43" s="819"/>
      <c r="GLR43" s="819"/>
      <c r="GLS43" s="819"/>
      <c r="GLT43" s="819"/>
      <c r="GLU43" s="819"/>
      <c r="GLV43" s="819"/>
      <c r="GLW43" s="819"/>
      <c r="GLX43" s="819"/>
      <c r="GLY43" s="819"/>
      <c r="GLZ43" s="819"/>
      <c r="GMA43" s="819"/>
      <c r="GMB43" s="819"/>
      <c r="GMC43" s="819"/>
      <c r="GMD43" s="819"/>
      <c r="GME43" s="819"/>
      <c r="GMF43" s="819"/>
      <c r="GMG43" s="819"/>
      <c r="GMH43" s="819"/>
      <c r="GMI43" s="819"/>
      <c r="GMJ43" s="819"/>
      <c r="GMK43" s="819"/>
      <c r="GML43" s="819"/>
      <c r="GMM43" s="819"/>
      <c r="GMN43" s="819"/>
      <c r="GMO43" s="819"/>
      <c r="GMP43" s="819"/>
      <c r="GMQ43" s="819"/>
      <c r="GMR43" s="819"/>
      <c r="GMS43" s="819"/>
      <c r="GMT43" s="819"/>
      <c r="GMU43" s="819"/>
      <c r="GMV43" s="819"/>
      <c r="GMW43" s="819"/>
      <c r="GMX43" s="819"/>
      <c r="GMY43" s="819"/>
      <c r="GMZ43" s="819"/>
      <c r="GNA43" s="819"/>
      <c r="GNB43" s="819"/>
      <c r="GNC43" s="819"/>
      <c r="GND43" s="819"/>
      <c r="GNE43" s="819"/>
      <c r="GNF43" s="819"/>
      <c r="GNG43" s="819"/>
      <c r="GNH43" s="819"/>
      <c r="GNI43" s="819"/>
      <c r="GNJ43" s="819"/>
      <c r="GNK43" s="819"/>
      <c r="GNL43" s="819"/>
      <c r="GNM43" s="819"/>
      <c r="GNN43" s="819"/>
      <c r="GNO43" s="819"/>
      <c r="GNP43" s="819"/>
      <c r="GNQ43" s="819"/>
      <c r="GNR43" s="819"/>
      <c r="GNS43" s="819"/>
      <c r="GNT43" s="819"/>
      <c r="GNU43" s="819"/>
      <c r="GNV43" s="819"/>
      <c r="GNW43" s="819"/>
      <c r="GNX43" s="819"/>
      <c r="GNY43" s="819"/>
      <c r="GNZ43" s="819"/>
      <c r="GOA43" s="819"/>
      <c r="GOB43" s="819"/>
      <c r="GOC43" s="819"/>
      <c r="GOD43" s="819"/>
      <c r="GOE43" s="819"/>
      <c r="GOF43" s="819"/>
      <c r="GOG43" s="819"/>
      <c r="GOH43" s="819"/>
      <c r="GOI43" s="819"/>
      <c r="GOJ43" s="819"/>
      <c r="GOK43" s="819"/>
      <c r="GOL43" s="819"/>
      <c r="GOM43" s="819"/>
      <c r="GON43" s="819"/>
      <c r="GOO43" s="819"/>
      <c r="GOP43" s="819"/>
      <c r="GOQ43" s="819"/>
      <c r="GOR43" s="819"/>
      <c r="GOS43" s="819"/>
      <c r="GOT43" s="819"/>
      <c r="GOU43" s="819"/>
      <c r="GOV43" s="819"/>
      <c r="GOW43" s="819"/>
      <c r="GOX43" s="819"/>
      <c r="GOY43" s="819"/>
      <c r="GOZ43" s="819"/>
      <c r="GPA43" s="819"/>
      <c r="GPB43" s="819"/>
      <c r="GPC43" s="819"/>
      <c r="GPD43" s="819"/>
      <c r="GPE43" s="819"/>
      <c r="GPF43" s="819"/>
      <c r="GPG43" s="819"/>
      <c r="GPH43" s="819"/>
      <c r="GPI43" s="819"/>
      <c r="GPJ43" s="819"/>
      <c r="GPK43" s="819"/>
      <c r="GPL43" s="819"/>
      <c r="GPM43" s="819"/>
      <c r="GPN43" s="819"/>
      <c r="GPO43" s="819"/>
      <c r="GPP43" s="819"/>
      <c r="GPQ43" s="819"/>
      <c r="GPR43" s="819"/>
      <c r="GPS43" s="819"/>
      <c r="GPT43" s="819"/>
      <c r="GPU43" s="819"/>
      <c r="GPV43" s="819"/>
      <c r="GPW43" s="819"/>
      <c r="GPX43" s="819"/>
      <c r="GPY43" s="819"/>
      <c r="GPZ43" s="819"/>
      <c r="GQA43" s="819"/>
      <c r="GQB43" s="819"/>
      <c r="GQC43" s="819"/>
      <c r="GQD43" s="819"/>
      <c r="GQE43" s="819"/>
      <c r="GQF43" s="819"/>
      <c r="GQG43" s="819"/>
      <c r="GQH43" s="819"/>
      <c r="GQI43" s="819"/>
      <c r="GQJ43" s="819"/>
      <c r="GQK43" s="819"/>
      <c r="GQL43" s="819"/>
      <c r="GQM43" s="819"/>
      <c r="GQN43" s="819"/>
      <c r="GQO43" s="819"/>
      <c r="GQP43" s="819"/>
      <c r="GQQ43" s="819"/>
      <c r="GQR43" s="819"/>
      <c r="GQS43" s="819"/>
      <c r="GQT43" s="819"/>
      <c r="GQU43" s="819"/>
      <c r="GQV43" s="819"/>
      <c r="GQW43" s="819"/>
      <c r="GQX43" s="819"/>
      <c r="GQY43" s="819"/>
      <c r="GQZ43" s="819"/>
      <c r="GRA43" s="819"/>
      <c r="GRB43" s="819"/>
      <c r="GRC43" s="819"/>
      <c r="GRD43" s="819"/>
      <c r="GRE43" s="819"/>
      <c r="GRF43" s="819"/>
      <c r="GRG43" s="819"/>
      <c r="GRH43" s="819"/>
      <c r="GRI43" s="819"/>
      <c r="GRJ43" s="819"/>
      <c r="GRK43" s="819"/>
      <c r="GRL43" s="819"/>
      <c r="GRM43" s="819"/>
      <c r="GRN43" s="819"/>
      <c r="GRO43" s="819"/>
      <c r="GRP43" s="819"/>
      <c r="GRQ43" s="819"/>
      <c r="GRR43" s="819"/>
      <c r="GRS43" s="819"/>
      <c r="GRT43" s="819"/>
      <c r="GRU43" s="819"/>
      <c r="GRV43" s="819"/>
      <c r="GRW43" s="819"/>
      <c r="GRX43" s="819"/>
      <c r="GRY43" s="819"/>
      <c r="GRZ43" s="819"/>
      <c r="GSA43" s="819"/>
      <c r="GSB43" s="819"/>
      <c r="GSC43" s="819"/>
      <c r="GSD43" s="819"/>
      <c r="GSE43" s="819"/>
      <c r="GSF43" s="819"/>
      <c r="GSG43" s="819"/>
      <c r="GSH43" s="819"/>
      <c r="GSI43" s="819"/>
      <c r="GSJ43" s="819"/>
      <c r="GSK43" s="819"/>
      <c r="GSL43" s="819"/>
      <c r="GSM43" s="819"/>
      <c r="GSN43" s="819"/>
      <c r="GSO43" s="819"/>
      <c r="GSP43" s="819"/>
      <c r="GSQ43" s="819"/>
      <c r="GSR43" s="819"/>
      <c r="GSS43" s="819"/>
      <c r="GST43" s="819"/>
      <c r="GSU43" s="819"/>
      <c r="GSV43" s="819"/>
      <c r="GSW43" s="819"/>
      <c r="GSX43" s="819"/>
      <c r="GSY43" s="819"/>
      <c r="GSZ43" s="819"/>
      <c r="GTA43" s="819"/>
      <c r="GTB43" s="819"/>
      <c r="GTC43" s="819"/>
      <c r="GTD43" s="819"/>
      <c r="GTE43" s="819"/>
      <c r="GTF43" s="819"/>
      <c r="GTG43" s="819"/>
      <c r="GTH43" s="819"/>
      <c r="GTI43" s="819"/>
      <c r="GTJ43" s="819"/>
      <c r="GTK43" s="819"/>
      <c r="GTL43" s="819"/>
      <c r="GTM43" s="819"/>
      <c r="GTN43" s="819"/>
      <c r="GTO43" s="819"/>
      <c r="GTP43" s="819"/>
      <c r="GTQ43" s="819"/>
      <c r="GTR43" s="819"/>
      <c r="GTS43" s="819"/>
      <c r="GTT43" s="819"/>
      <c r="GTU43" s="819"/>
      <c r="GTV43" s="819"/>
      <c r="GTW43" s="819"/>
      <c r="GTX43" s="819"/>
      <c r="GTY43" s="819"/>
      <c r="GTZ43" s="819"/>
      <c r="GUA43" s="819"/>
      <c r="GUB43" s="819"/>
      <c r="GUC43" s="819"/>
      <c r="GUD43" s="819"/>
      <c r="GUE43" s="819"/>
      <c r="GUF43" s="819"/>
      <c r="GUG43" s="819"/>
      <c r="GUH43" s="819"/>
      <c r="GUI43" s="819"/>
      <c r="GUJ43" s="819"/>
      <c r="GUK43" s="819"/>
      <c r="GUL43" s="819"/>
      <c r="GUM43" s="819"/>
      <c r="GUN43" s="819"/>
      <c r="GUO43" s="819"/>
      <c r="GUP43" s="819"/>
      <c r="GUQ43" s="819"/>
      <c r="GUR43" s="819"/>
      <c r="GUS43" s="819"/>
      <c r="GUT43" s="819"/>
      <c r="GUU43" s="819"/>
      <c r="GUV43" s="819"/>
      <c r="GUW43" s="819"/>
      <c r="GUX43" s="819"/>
      <c r="GUY43" s="819"/>
      <c r="GUZ43" s="819"/>
      <c r="GVA43" s="819"/>
      <c r="GVB43" s="819"/>
      <c r="GVC43" s="819"/>
      <c r="GVD43" s="819"/>
      <c r="GVE43" s="819"/>
      <c r="GVF43" s="819"/>
      <c r="GVG43" s="819"/>
      <c r="GVH43" s="819"/>
      <c r="GVI43" s="819"/>
      <c r="GVJ43" s="819"/>
      <c r="GVK43" s="819"/>
      <c r="GVL43" s="819"/>
      <c r="GVM43" s="819"/>
      <c r="GVN43" s="819"/>
      <c r="GVO43" s="819"/>
      <c r="GVP43" s="819"/>
      <c r="GVQ43" s="819"/>
      <c r="GVR43" s="819"/>
      <c r="GVS43" s="819"/>
      <c r="GVT43" s="819"/>
      <c r="GVU43" s="819"/>
      <c r="GVV43" s="819"/>
      <c r="GVW43" s="819"/>
      <c r="GVX43" s="819"/>
      <c r="GVY43" s="819"/>
      <c r="GVZ43" s="819"/>
      <c r="GWA43" s="819"/>
      <c r="GWB43" s="819"/>
      <c r="GWC43" s="819"/>
      <c r="GWD43" s="819"/>
      <c r="GWE43" s="819"/>
      <c r="GWF43" s="819"/>
      <c r="GWG43" s="819"/>
      <c r="GWH43" s="819"/>
      <c r="GWI43" s="819"/>
      <c r="GWJ43" s="819"/>
      <c r="GWK43" s="819"/>
      <c r="GWL43" s="819"/>
      <c r="GWM43" s="819"/>
      <c r="GWN43" s="819"/>
      <c r="GWO43" s="819"/>
      <c r="GWP43" s="819"/>
      <c r="GWQ43" s="819"/>
      <c r="GWR43" s="819"/>
      <c r="GWS43" s="819"/>
      <c r="GWT43" s="819"/>
      <c r="GWU43" s="819"/>
      <c r="GWV43" s="819"/>
      <c r="GWW43" s="819"/>
      <c r="GWX43" s="819"/>
      <c r="GWY43" s="819"/>
      <c r="GWZ43" s="819"/>
      <c r="GXA43" s="819"/>
      <c r="GXB43" s="819"/>
      <c r="GXC43" s="819"/>
      <c r="GXD43" s="819"/>
      <c r="GXE43" s="819"/>
      <c r="GXF43" s="819"/>
      <c r="GXG43" s="819"/>
      <c r="GXH43" s="819"/>
      <c r="GXI43" s="819"/>
      <c r="GXJ43" s="819"/>
      <c r="GXK43" s="819"/>
      <c r="GXL43" s="819"/>
      <c r="GXM43" s="819"/>
      <c r="GXN43" s="819"/>
      <c r="GXO43" s="819"/>
      <c r="GXP43" s="819"/>
      <c r="GXQ43" s="819"/>
      <c r="GXR43" s="819"/>
      <c r="GXS43" s="819"/>
      <c r="GXT43" s="819"/>
      <c r="GXU43" s="819"/>
      <c r="GXV43" s="819"/>
      <c r="GXW43" s="819"/>
      <c r="GXX43" s="819"/>
      <c r="GXY43" s="819"/>
      <c r="GXZ43" s="819"/>
      <c r="GYA43" s="819"/>
      <c r="GYB43" s="819"/>
      <c r="GYC43" s="819"/>
      <c r="GYD43" s="819"/>
      <c r="GYE43" s="819"/>
      <c r="GYF43" s="819"/>
      <c r="GYG43" s="819"/>
      <c r="GYH43" s="819"/>
      <c r="GYI43" s="819"/>
      <c r="GYJ43" s="819"/>
      <c r="GYK43" s="819"/>
      <c r="GYL43" s="819"/>
      <c r="GYM43" s="819"/>
      <c r="GYN43" s="819"/>
      <c r="GYO43" s="819"/>
      <c r="GYP43" s="819"/>
      <c r="GYQ43" s="819"/>
      <c r="GYR43" s="819"/>
      <c r="GYS43" s="819"/>
      <c r="GYT43" s="819"/>
      <c r="GYU43" s="819"/>
      <c r="GYV43" s="819"/>
      <c r="GYW43" s="819"/>
      <c r="GYX43" s="819"/>
      <c r="GYY43" s="819"/>
      <c r="GYZ43" s="819"/>
      <c r="GZA43" s="819"/>
      <c r="GZB43" s="819"/>
      <c r="GZC43" s="819"/>
      <c r="GZD43" s="819"/>
      <c r="GZE43" s="819"/>
      <c r="GZF43" s="819"/>
      <c r="GZG43" s="819"/>
      <c r="GZH43" s="819"/>
      <c r="GZI43" s="819"/>
      <c r="GZJ43" s="819"/>
      <c r="GZK43" s="819"/>
      <c r="GZL43" s="819"/>
      <c r="GZM43" s="819"/>
      <c r="GZN43" s="819"/>
      <c r="GZO43" s="819"/>
      <c r="GZP43" s="819"/>
      <c r="GZQ43" s="819"/>
      <c r="GZR43" s="819"/>
      <c r="GZS43" s="819"/>
      <c r="GZT43" s="819"/>
      <c r="GZU43" s="819"/>
      <c r="GZV43" s="819"/>
      <c r="GZW43" s="819"/>
      <c r="GZX43" s="819"/>
      <c r="GZY43" s="819"/>
      <c r="GZZ43" s="819"/>
      <c r="HAA43" s="819"/>
      <c r="HAB43" s="819"/>
      <c r="HAC43" s="819"/>
      <c r="HAD43" s="819"/>
      <c r="HAE43" s="819"/>
      <c r="HAF43" s="819"/>
      <c r="HAG43" s="819"/>
      <c r="HAH43" s="819"/>
      <c r="HAI43" s="819"/>
      <c r="HAJ43" s="819"/>
      <c r="HAK43" s="819"/>
      <c r="HAL43" s="819"/>
      <c r="HAM43" s="819"/>
      <c r="HAN43" s="819"/>
      <c r="HAO43" s="819"/>
      <c r="HAP43" s="819"/>
      <c r="HAQ43" s="819"/>
      <c r="HAR43" s="819"/>
      <c r="HAS43" s="819"/>
      <c r="HAT43" s="819"/>
      <c r="HAU43" s="819"/>
      <c r="HAV43" s="819"/>
      <c r="HAW43" s="819"/>
      <c r="HAX43" s="819"/>
      <c r="HAY43" s="819"/>
      <c r="HAZ43" s="819"/>
      <c r="HBA43" s="819"/>
      <c r="HBB43" s="819"/>
      <c r="HBC43" s="819"/>
      <c r="HBD43" s="819"/>
      <c r="HBE43" s="819"/>
      <c r="HBF43" s="819"/>
      <c r="HBG43" s="819"/>
      <c r="HBH43" s="819"/>
      <c r="HBI43" s="819"/>
      <c r="HBJ43" s="819"/>
      <c r="HBK43" s="819"/>
      <c r="HBL43" s="819"/>
      <c r="HBM43" s="819"/>
      <c r="HBN43" s="819"/>
      <c r="HBO43" s="819"/>
      <c r="HBP43" s="819"/>
      <c r="HBQ43" s="819"/>
      <c r="HBR43" s="819"/>
      <c r="HBS43" s="819"/>
      <c r="HBT43" s="819"/>
      <c r="HBU43" s="819"/>
      <c r="HBV43" s="819"/>
      <c r="HBW43" s="819"/>
      <c r="HBX43" s="819"/>
      <c r="HBY43" s="819"/>
      <c r="HBZ43" s="819"/>
      <c r="HCA43" s="819"/>
      <c r="HCB43" s="819"/>
      <c r="HCC43" s="819"/>
      <c r="HCD43" s="819"/>
      <c r="HCE43" s="819"/>
      <c r="HCF43" s="819"/>
      <c r="HCG43" s="819"/>
      <c r="HCH43" s="819"/>
      <c r="HCI43" s="819"/>
      <c r="HCJ43" s="819"/>
      <c r="HCK43" s="819"/>
      <c r="HCL43" s="819"/>
      <c r="HCM43" s="819"/>
      <c r="HCN43" s="819"/>
      <c r="HCO43" s="819"/>
      <c r="HCP43" s="819"/>
      <c r="HCQ43" s="819"/>
      <c r="HCR43" s="819"/>
      <c r="HCS43" s="819"/>
      <c r="HCT43" s="819"/>
      <c r="HCU43" s="819"/>
      <c r="HCV43" s="819"/>
      <c r="HCW43" s="819"/>
      <c r="HCX43" s="819"/>
      <c r="HCY43" s="819"/>
      <c r="HCZ43" s="819"/>
      <c r="HDA43" s="819"/>
      <c r="HDB43" s="819"/>
      <c r="HDC43" s="819"/>
      <c r="HDD43" s="819"/>
      <c r="HDE43" s="819"/>
      <c r="HDF43" s="819"/>
      <c r="HDG43" s="819"/>
      <c r="HDH43" s="819"/>
      <c r="HDI43" s="819"/>
      <c r="HDJ43" s="819"/>
      <c r="HDK43" s="819"/>
      <c r="HDL43" s="819"/>
      <c r="HDM43" s="819"/>
      <c r="HDN43" s="819"/>
      <c r="HDO43" s="819"/>
      <c r="HDP43" s="819"/>
      <c r="HDQ43" s="819"/>
      <c r="HDR43" s="819"/>
      <c r="HDS43" s="819"/>
      <c r="HDT43" s="819"/>
      <c r="HDU43" s="819"/>
      <c r="HDV43" s="819"/>
      <c r="HDW43" s="819"/>
      <c r="HDX43" s="819"/>
      <c r="HDY43" s="819"/>
      <c r="HDZ43" s="819"/>
      <c r="HEA43" s="819"/>
      <c r="HEB43" s="819"/>
      <c r="HEC43" s="819"/>
      <c r="HED43" s="819"/>
      <c r="HEE43" s="819"/>
      <c r="HEF43" s="819"/>
      <c r="HEG43" s="819"/>
      <c r="HEH43" s="819"/>
      <c r="HEI43" s="819"/>
      <c r="HEJ43" s="819"/>
      <c r="HEK43" s="819"/>
      <c r="HEL43" s="819"/>
      <c r="HEM43" s="819"/>
      <c r="HEN43" s="819"/>
      <c r="HEO43" s="819"/>
      <c r="HEP43" s="819"/>
      <c r="HEQ43" s="819"/>
      <c r="HER43" s="819"/>
      <c r="HES43" s="819"/>
      <c r="HET43" s="819"/>
      <c r="HEU43" s="819"/>
      <c r="HEV43" s="819"/>
      <c r="HEW43" s="819"/>
      <c r="HEX43" s="819"/>
      <c r="HEY43" s="819"/>
      <c r="HEZ43" s="819"/>
      <c r="HFA43" s="819"/>
      <c r="HFB43" s="819"/>
      <c r="HFC43" s="819"/>
      <c r="HFD43" s="819"/>
      <c r="HFE43" s="819"/>
      <c r="HFF43" s="819"/>
      <c r="HFG43" s="819"/>
      <c r="HFH43" s="819"/>
      <c r="HFI43" s="819"/>
      <c r="HFJ43" s="819"/>
      <c r="HFK43" s="819"/>
      <c r="HFL43" s="819"/>
      <c r="HFM43" s="819"/>
      <c r="HFN43" s="819"/>
      <c r="HFO43" s="819"/>
      <c r="HFP43" s="819"/>
      <c r="HFQ43" s="819"/>
      <c r="HFR43" s="819"/>
      <c r="HFS43" s="819"/>
      <c r="HFT43" s="819"/>
      <c r="HFU43" s="819"/>
      <c r="HFV43" s="819"/>
      <c r="HFW43" s="819"/>
      <c r="HFX43" s="819"/>
      <c r="HFY43" s="819"/>
      <c r="HFZ43" s="819"/>
      <c r="HGA43" s="819"/>
      <c r="HGB43" s="819"/>
      <c r="HGC43" s="819"/>
      <c r="HGD43" s="819"/>
      <c r="HGE43" s="819"/>
      <c r="HGF43" s="819"/>
      <c r="HGG43" s="819"/>
      <c r="HGH43" s="819"/>
      <c r="HGI43" s="819"/>
      <c r="HGJ43" s="819"/>
      <c r="HGK43" s="819"/>
      <c r="HGL43" s="819"/>
      <c r="HGM43" s="819"/>
      <c r="HGN43" s="819"/>
      <c r="HGO43" s="819"/>
      <c r="HGP43" s="819"/>
      <c r="HGQ43" s="819"/>
      <c r="HGR43" s="819"/>
      <c r="HGS43" s="819"/>
      <c r="HGT43" s="819"/>
      <c r="HGU43" s="819"/>
      <c r="HGV43" s="819"/>
      <c r="HGW43" s="819"/>
      <c r="HGX43" s="819"/>
      <c r="HGY43" s="819"/>
      <c r="HGZ43" s="819"/>
      <c r="HHA43" s="819"/>
      <c r="HHB43" s="819"/>
      <c r="HHC43" s="819"/>
      <c r="HHD43" s="819"/>
      <c r="HHE43" s="819"/>
      <c r="HHF43" s="819"/>
      <c r="HHG43" s="819"/>
      <c r="HHH43" s="819"/>
      <c r="HHI43" s="819"/>
      <c r="HHJ43" s="819"/>
      <c r="HHK43" s="819"/>
      <c r="HHL43" s="819"/>
      <c r="HHM43" s="819"/>
      <c r="HHN43" s="819"/>
      <c r="HHO43" s="819"/>
      <c r="HHP43" s="819"/>
      <c r="HHQ43" s="819"/>
      <c r="HHR43" s="819"/>
      <c r="HHS43" s="819"/>
      <c r="HHT43" s="819"/>
      <c r="HHU43" s="819"/>
      <c r="HHV43" s="819"/>
      <c r="HHW43" s="819"/>
      <c r="HHX43" s="819"/>
      <c r="HHY43" s="819"/>
      <c r="HHZ43" s="819"/>
      <c r="HIA43" s="819"/>
      <c r="HIB43" s="819"/>
      <c r="HIC43" s="819"/>
      <c r="HID43" s="819"/>
      <c r="HIE43" s="819"/>
      <c r="HIF43" s="819"/>
      <c r="HIG43" s="819"/>
      <c r="HIH43" s="819"/>
      <c r="HII43" s="819"/>
      <c r="HIJ43" s="819"/>
      <c r="HIK43" s="819"/>
      <c r="HIL43" s="819"/>
      <c r="HIM43" s="819"/>
      <c r="HIN43" s="819"/>
      <c r="HIO43" s="819"/>
      <c r="HIP43" s="819"/>
      <c r="HIQ43" s="819"/>
      <c r="HIR43" s="819"/>
      <c r="HIS43" s="819"/>
      <c r="HIT43" s="819"/>
      <c r="HIU43" s="819"/>
      <c r="HIV43" s="819"/>
      <c r="HIW43" s="819"/>
      <c r="HIX43" s="819"/>
      <c r="HIY43" s="819"/>
      <c r="HIZ43" s="819"/>
      <c r="HJA43" s="819"/>
      <c r="HJB43" s="819"/>
      <c r="HJC43" s="819"/>
      <c r="HJD43" s="819"/>
      <c r="HJE43" s="819"/>
      <c r="HJF43" s="819"/>
      <c r="HJG43" s="819"/>
      <c r="HJH43" s="819"/>
      <c r="HJI43" s="819"/>
      <c r="HJJ43" s="819"/>
      <c r="HJK43" s="819"/>
      <c r="HJL43" s="819"/>
      <c r="HJM43" s="819"/>
      <c r="HJN43" s="819"/>
      <c r="HJO43" s="819"/>
      <c r="HJP43" s="819"/>
      <c r="HJQ43" s="819"/>
      <c r="HJR43" s="819"/>
      <c r="HJS43" s="819"/>
      <c r="HJT43" s="819"/>
      <c r="HJU43" s="819"/>
      <c r="HJV43" s="819"/>
      <c r="HJW43" s="819"/>
      <c r="HJX43" s="819"/>
      <c r="HJY43" s="819"/>
      <c r="HJZ43" s="819"/>
      <c r="HKA43" s="819"/>
      <c r="HKB43" s="819"/>
      <c r="HKC43" s="819"/>
      <c r="HKD43" s="819"/>
      <c r="HKE43" s="819"/>
      <c r="HKF43" s="819"/>
      <c r="HKG43" s="819"/>
      <c r="HKH43" s="819"/>
      <c r="HKI43" s="819"/>
      <c r="HKJ43" s="819"/>
      <c r="HKK43" s="819"/>
      <c r="HKL43" s="819"/>
      <c r="HKM43" s="819"/>
      <c r="HKN43" s="819"/>
      <c r="HKO43" s="819"/>
      <c r="HKP43" s="819"/>
      <c r="HKQ43" s="819"/>
      <c r="HKR43" s="819"/>
      <c r="HKS43" s="819"/>
      <c r="HKT43" s="819"/>
      <c r="HKU43" s="819"/>
      <c r="HKV43" s="819"/>
      <c r="HKW43" s="819"/>
      <c r="HKX43" s="819"/>
      <c r="HKY43" s="819"/>
      <c r="HKZ43" s="819"/>
      <c r="HLA43" s="819"/>
      <c r="HLB43" s="819"/>
      <c r="HLC43" s="819"/>
      <c r="HLD43" s="819"/>
      <c r="HLE43" s="819"/>
      <c r="HLF43" s="819"/>
      <c r="HLG43" s="819"/>
      <c r="HLH43" s="819"/>
      <c r="HLI43" s="819"/>
      <c r="HLJ43" s="819"/>
      <c r="HLK43" s="819"/>
      <c r="HLL43" s="819"/>
      <c r="HLM43" s="819"/>
      <c r="HLN43" s="819"/>
      <c r="HLO43" s="819"/>
      <c r="HLP43" s="819"/>
      <c r="HLQ43" s="819"/>
      <c r="HLR43" s="819"/>
      <c r="HLS43" s="819"/>
      <c r="HLT43" s="819"/>
      <c r="HLU43" s="819"/>
      <c r="HLV43" s="819"/>
      <c r="HLW43" s="819"/>
      <c r="HLX43" s="819"/>
      <c r="HLY43" s="819"/>
      <c r="HLZ43" s="819"/>
      <c r="HMA43" s="819"/>
      <c r="HMB43" s="819"/>
      <c r="HMC43" s="819"/>
      <c r="HMD43" s="819"/>
      <c r="HME43" s="819"/>
      <c r="HMF43" s="819"/>
      <c r="HMG43" s="819"/>
      <c r="HMH43" s="819"/>
      <c r="HMI43" s="819"/>
      <c r="HMJ43" s="819"/>
      <c r="HMK43" s="819"/>
      <c r="HML43" s="819"/>
      <c r="HMM43" s="819"/>
      <c r="HMN43" s="819"/>
      <c r="HMO43" s="819"/>
      <c r="HMP43" s="819"/>
      <c r="HMQ43" s="819"/>
      <c r="HMR43" s="819"/>
      <c r="HMS43" s="819"/>
      <c r="HMT43" s="819"/>
      <c r="HMU43" s="819"/>
      <c r="HMV43" s="819"/>
      <c r="HMW43" s="819"/>
      <c r="HMX43" s="819"/>
      <c r="HMY43" s="819"/>
      <c r="HMZ43" s="819"/>
      <c r="HNA43" s="819"/>
      <c r="HNB43" s="819"/>
      <c r="HNC43" s="819"/>
      <c r="HND43" s="819"/>
      <c r="HNE43" s="819"/>
      <c r="HNF43" s="819"/>
      <c r="HNG43" s="819"/>
      <c r="HNH43" s="819"/>
      <c r="HNI43" s="819"/>
      <c r="HNJ43" s="819"/>
      <c r="HNK43" s="819"/>
      <c r="HNL43" s="819"/>
      <c r="HNM43" s="819"/>
      <c r="HNN43" s="819"/>
      <c r="HNO43" s="819"/>
      <c r="HNP43" s="819"/>
      <c r="HNQ43" s="819"/>
      <c r="HNR43" s="819"/>
      <c r="HNS43" s="819"/>
      <c r="HNT43" s="819"/>
      <c r="HNU43" s="819"/>
      <c r="HNV43" s="819"/>
      <c r="HNW43" s="819"/>
      <c r="HNX43" s="819"/>
      <c r="HNY43" s="819"/>
      <c r="HNZ43" s="819"/>
      <c r="HOA43" s="819"/>
      <c r="HOB43" s="819"/>
      <c r="HOC43" s="819"/>
      <c r="HOD43" s="819"/>
      <c r="HOE43" s="819"/>
      <c r="HOF43" s="819"/>
      <c r="HOG43" s="819"/>
      <c r="HOH43" s="819"/>
      <c r="HOI43" s="819"/>
      <c r="HOJ43" s="819"/>
      <c r="HOK43" s="819"/>
      <c r="HOL43" s="819"/>
      <c r="HOM43" s="819"/>
      <c r="HON43" s="819"/>
      <c r="HOO43" s="819"/>
      <c r="HOP43" s="819"/>
      <c r="HOQ43" s="819"/>
      <c r="HOR43" s="819"/>
      <c r="HOS43" s="819"/>
      <c r="HOT43" s="819"/>
      <c r="HOU43" s="819"/>
      <c r="HOV43" s="819"/>
      <c r="HOW43" s="819"/>
      <c r="HOX43" s="819"/>
      <c r="HOY43" s="819"/>
      <c r="HOZ43" s="819"/>
      <c r="HPA43" s="819"/>
      <c r="HPB43" s="819"/>
      <c r="HPC43" s="819"/>
      <c r="HPD43" s="819"/>
      <c r="HPE43" s="819"/>
      <c r="HPF43" s="819"/>
      <c r="HPG43" s="819"/>
      <c r="HPH43" s="819"/>
      <c r="HPI43" s="819"/>
      <c r="HPJ43" s="819"/>
      <c r="HPK43" s="819"/>
      <c r="HPL43" s="819"/>
      <c r="HPM43" s="819"/>
      <c r="HPN43" s="819"/>
      <c r="HPO43" s="819"/>
      <c r="HPP43" s="819"/>
      <c r="HPQ43" s="819"/>
      <c r="HPR43" s="819"/>
      <c r="HPS43" s="819"/>
      <c r="HPT43" s="819"/>
      <c r="HPU43" s="819"/>
      <c r="HPV43" s="819"/>
      <c r="HPW43" s="819"/>
      <c r="HPX43" s="819"/>
      <c r="HPY43" s="819"/>
      <c r="HPZ43" s="819"/>
      <c r="HQA43" s="819"/>
      <c r="HQB43" s="819"/>
      <c r="HQC43" s="819"/>
      <c r="HQD43" s="819"/>
      <c r="HQE43" s="819"/>
      <c r="HQF43" s="819"/>
      <c r="HQG43" s="819"/>
      <c r="HQH43" s="819"/>
      <c r="HQI43" s="819"/>
      <c r="HQJ43" s="819"/>
      <c r="HQK43" s="819"/>
      <c r="HQL43" s="819"/>
      <c r="HQM43" s="819"/>
      <c r="HQN43" s="819"/>
      <c r="HQO43" s="819"/>
      <c r="HQP43" s="819"/>
      <c r="HQQ43" s="819"/>
      <c r="HQR43" s="819"/>
      <c r="HQS43" s="819"/>
      <c r="HQT43" s="819"/>
      <c r="HQU43" s="819"/>
      <c r="HQV43" s="819"/>
      <c r="HQW43" s="819"/>
      <c r="HQX43" s="819"/>
      <c r="HQY43" s="819"/>
      <c r="HQZ43" s="819"/>
      <c r="HRA43" s="819"/>
      <c r="HRB43" s="819"/>
      <c r="HRC43" s="819"/>
      <c r="HRD43" s="819"/>
      <c r="HRE43" s="819"/>
      <c r="HRF43" s="819"/>
      <c r="HRG43" s="819"/>
      <c r="HRH43" s="819"/>
      <c r="HRI43" s="819"/>
      <c r="HRJ43" s="819"/>
      <c r="HRK43" s="819"/>
      <c r="HRL43" s="819"/>
      <c r="HRM43" s="819"/>
      <c r="HRN43" s="819"/>
      <c r="HRO43" s="819"/>
      <c r="HRP43" s="819"/>
      <c r="HRQ43" s="819"/>
      <c r="HRR43" s="819"/>
      <c r="HRS43" s="819"/>
      <c r="HRT43" s="819"/>
      <c r="HRU43" s="819"/>
      <c r="HRV43" s="819"/>
      <c r="HRW43" s="819"/>
      <c r="HRX43" s="819"/>
      <c r="HRY43" s="819"/>
      <c r="HRZ43" s="819"/>
      <c r="HSA43" s="819"/>
      <c r="HSB43" s="819"/>
      <c r="HSC43" s="819"/>
      <c r="HSD43" s="819"/>
      <c r="HSE43" s="819"/>
      <c r="HSF43" s="819"/>
      <c r="HSG43" s="819"/>
      <c r="HSH43" s="819"/>
      <c r="HSI43" s="819"/>
      <c r="HSJ43" s="819"/>
      <c r="HSK43" s="819"/>
      <c r="HSL43" s="819"/>
      <c r="HSM43" s="819"/>
      <c r="HSN43" s="819"/>
      <c r="HSO43" s="819"/>
      <c r="HSP43" s="819"/>
      <c r="HSQ43" s="819"/>
      <c r="HSR43" s="819"/>
      <c r="HSS43" s="819"/>
      <c r="HST43" s="819"/>
      <c r="HSU43" s="819"/>
      <c r="HSV43" s="819"/>
      <c r="HSW43" s="819"/>
      <c r="HSX43" s="819"/>
      <c r="HSY43" s="819"/>
      <c r="HSZ43" s="819"/>
      <c r="HTA43" s="819"/>
      <c r="HTB43" s="819"/>
      <c r="HTC43" s="819"/>
      <c r="HTD43" s="819"/>
      <c r="HTE43" s="819"/>
      <c r="HTF43" s="819"/>
      <c r="HTG43" s="819"/>
      <c r="HTH43" s="819"/>
      <c r="HTI43" s="819"/>
      <c r="HTJ43" s="819"/>
      <c r="HTK43" s="819"/>
      <c r="HTL43" s="819"/>
      <c r="HTM43" s="819"/>
      <c r="HTN43" s="819"/>
      <c r="HTO43" s="819"/>
      <c r="HTP43" s="819"/>
      <c r="HTQ43" s="819"/>
      <c r="HTR43" s="819"/>
      <c r="HTS43" s="819"/>
      <c r="HTT43" s="819"/>
      <c r="HTU43" s="819"/>
      <c r="HTV43" s="819"/>
      <c r="HTW43" s="819"/>
      <c r="HTX43" s="819"/>
      <c r="HTY43" s="819"/>
      <c r="HTZ43" s="819"/>
      <c r="HUA43" s="819"/>
      <c r="HUB43" s="819"/>
      <c r="HUC43" s="819"/>
      <c r="HUD43" s="819"/>
      <c r="HUE43" s="819"/>
      <c r="HUF43" s="819"/>
      <c r="HUG43" s="819"/>
      <c r="HUH43" s="819"/>
      <c r="HUI43" s="819"/>
      <c r="HUJ43" s="819"/>
      <c r="HUK43" s="819"/>
      <c r="HUL43" s="819"/>
      <c r="HUM43" s="819"/>
      <c r="HUN43" s="819"/>
      <c r="HUO43" s="819"/>
      <c r="HUP43" s="819"/>
      <c r="HUQ43" s="819"/>
      <c r="HUR43" s="819"/>
      <c r="HUS43" s="819"/>
      <c r="HUT43" s="819"/>
      <c r="HUU43" s="819"/>
      <c r="HUV43" s="819"/>
      <c r="HUW43" s="819"/>
      <c r="HUX43" s="819"/>
      <c r="HUY43" s="819"/>
      <c r="HUZ43" s="819"/>
      <c r="HVA43" s="819"/>
      <c r="HVB43" s="819"/>
      <c r="HVC43" s="819"/>
      <c r="HVD43" s="819"/>
      <c r="HVE43" s="819"/>
      <c r="HVF43" s="819"/>
      <c r="HVG43" s="819"/>
      <c r="HVH43" s="819"/>
      <c r="HVI43" s="819"/>
      <c r="HVJ43" s="819"/>
      <c r="HVK43" s="819"/>
      <c r="HVL43" s="819"/>
      <c r="HVM43" s="819"/>
      <c r="HVN43" s="819"/>
      <c r="HVO43" s="819"/>
      <c r="HVP43" s="819"/>
      <c r="HVQ43" s="819"/>
      <c r="HVR43" s="819"/>
      <c r="HVS43" s="819"/>
      <c r="HVT43" s="819"/>
      <c r="HVU43" s="819"/>
      <c r="HVV43" s="819"/>
      <c r="HVW43" s="819"/>
      <c r="HVX43" s="819"/>
      <c r="HVY43" s="819"/>
      <c r="HVZ43" s="819"/>
      <c r="HWA43" s="819"/>
      <c r="HWB43" s="819"/>
      <c r="HWC43" s="819"/>
      <c r="HWD43" s="819"/>
      <c r="HWE43" s="819"/>
      <c r="HWF43" s="819"/>
      <c r="HWG43" s="819"/>
      <c r="HWH43" s="819"/>
      <c r="HWI43" s="819"/>
      <c r="HWJ43" s="819"/>
      <c r="HWK43" s="819"/>
      <c r="HWL43" s="819"/>
      <c r="HWM43" s="819"/>
      <c r="HWN43" s="819"/>
      <c r="HWO43" s="819"/>
      <c r="HWP43" s="819"/>
      <c r="HWQ43" s="819"/>
      <c r="HWR43" s="819"/>
      <c r="HWS43" s="819"/>
      <c r="HWT43" s="819"/>
      <c r="HWU43" s="819"/>
      <c r="HWV43" s="819"/>
      <c r="HWW43" s="819"/>
      <c r="HWX43" s="819"/>
      <c r="HWY43" s="819"/>
      <c r="HWZ43" s="819"/>
      <c r="HXA43" s="819"/>
      <c r="HXB43" s="819"/>
      <c r="HXC43" s="819"/>
      <c r="HXD43" s="819"/>
      <c r="HXE43" s="819"/>
      <c r="HXF43" s="819"/>
      <c r="HXG43" s="819"/>
      <c r="HXH43" s="819"/>
      <c r="HXI43" s="819"/>
      <c r="HXJ43" s="819"/>
      <c r="HXK43" s="819"/>
      <c r="HXL43" s="819"/>
      <c r="HXM43" s="819"/>
      <c r="HXN43" s="819"/>
      <c r="HXO43" s="819"/>
      <c r="HXP43" s="819"/>
      <c r="HXQ43" s="819"/>
      <c r="HXR43" s="819"/>
      <c r="HXS43" s="819"/>
      <c r="HXT43" s="819"/>
      <c r="HXU43" s="819"/>
      <c r="HXV43" s="819"/>
      <c r="HXW43" s="819"/>
      <c r="HXX43" s="819"/>
      <c r="HXY43" s="819"/>
      <c r="HXZ43" s="819"/>
      <c r="HYA43" s="819"/>
      <c r="HYB43" s="819"/>
      <c r="HYC43" s="819"/>
      <c r="HYD43" s="819"/>
      <c r="HYE43" s="819"/>
      <c r="HYF43" s="819"/>
      <c r="HYG43" s="819"/>
      <c r="HYH43" s="819"/>
      <c r="HYI43" s="819"/>
      <c r="HYJ43" s="819"/>
      <c r="HYK43" s="819"/>
      <c r="HYL43" s="819"/>
      <c r="HYM43" s="819"/>
      <c r="HYN43" s="819"/>
      <c r="HYO43" s="819"/>
      <c r="HYP43" s="819"/>
      <c r="HYQ43" s="819"/>
      <c r="HYR43" s="819"/>
      <c r="HYS43" s="819"/>
      <c r="HYT43" s="819"/>
      <c r="HYU43" s="819"/>
      <c r="HYV43" s="819"/>
      <c r="HYW43" s="819"/>
      <c r="HYX43" s="819"/>
      <c r="HYY43" s="819"/>
      <c r="HYZ43" s="819"/>
      <c r="HZA43" s="819"/>
      <c r="HZB43" s="819"/>
      <c r="HZC43" s="819"/>
      <c r="HZD43" s="819"/>
      <c r="HZE43" s="819"/>
      <c r="HZF43" s="819"/>
      <c r="HZG43" s="819"/>
      <c r="HZH43" s="819"/>
      <c r="HZI43" s="819"/>
      <c r="HZJ43" s="819"/>
      <c r="HZK43" s="819"/>
      <c r="HZL43" s="819"/>
      <c r="HZM43" s="819"/>
      <c r="HZN43" s="819"/>
      <c r="HZO43" s="819"/>
      <c r="HZP43" s="819"/>
      <c r="HZQ43" s="819"/>
      <c r="HZR43" s="819"/>
      <c r="HZS43" s="819"/>
      <c r="HZT43" s="819"/>
      <c r="HZU43" s="819"/>
      <c r="HZV43" s="819"/>
      <c r="HZW43" s="819"/>
      <c r="HZX43" s="819"/>
      <c r="HZY43" s="819"/>
      <c r="HZZ43" s="819"/>
      <c r="IAA43" s="819"/>
      <c r="IAB43" s="819"/>
      <c r="IAC43" s="819"/>
      <c r="IAD43" s="819"/>
      <c r="IAE43" s="819"/>
      <c r="IAF43" s="819"/>
      <c r="IAG43" s="819"/>
      <c r="IAH43" s="819"/>
      <c r="IAI43" s="819"/>
      <c r="IAJ43" s="819"/>
      <c r="IAK43" s="819"/>
      <c r="IAL43" s="819"/>
      <c r="IAM43" s="819"/>
      <c r="IAN43" s="819"/>
      <c r="IAO43" s="819"/>
      <c r="IAP43" s="819"/>
      <c r="IAQ43" s="819"/>
      <c r="IAR43" s="819"/>
      <c r="IAS43" s="819"/>
      <c r="IAT43" s="819"/>
      <c r="IAU43" s="819"/>
      <c r="IAV43" s="819"/>
      <c r="IAW43" s="819"/>
      <c r="IAX43" s="819"/>
      <c r="IAY43" s="819"/>
      <c r="IAZ43" s="819"/>
      <c r="IBA43" s="819"/>
      <c r="IBB43" s="819"/>
      <c r="IBC43" s="819"/>
      <c r="IBD43" s="819"/>
      <c r="IBE43" s="819"/>
      <c r="IBF43" s="819"/>
      <c r="IBG43" s="819"/>
      <c r="IBH43" s="819"/>
      <c r="IBI43" s="819"/>
      <c r="IBJ43" s="819"/>
      <c r="IBK43" s="819"/>
      <c r="IBL43" s="819"/>
      <c r="IBM43" s="819"/>
      <c r="IBN43" s="819"/>
      <c r="IBO43" s="819"/>
      <c r="IBP43" s="819"/>
      <c r="IBQ43" s="819"/>
      <c r="IBR43" s="819"/>
      <c r="IBS43" s="819"/>
      <c r="IBT43" s="819"/>
      <c r="IBU43" s="819"/>
      <c r="IBV43" s="819"/>
      <c r="IBW43" s="819"/>
      <c r="IBX43" s="819"/>
      <c r="IBY43" s="819"/>
      <c r="IBZ43" s="819"/>
      <c r="ICA43" s="819"/>
      <c r="ICB43" s="819"/>
      <c r="ICC43" s="819"/>
      <c r="ICD43" s="819"/>
      <c r="ICE43" s="819"/>
      <c r="ICF43" s="819"/>
      <c r="ICG43" s="819"/>
      <c r="ICH43" s="819"/>
      <c r="ICI43" s="819"/>
      <c r="ICJ43" s="819"/>
      <c r="ICK43" s="819"/>
      <c r="ICL43" s="819"/>
      <c r="ICM43" s="819"/>
      <c r="ICN43" s="819"/>
      <c r="ICO43" s="819"/>
      <c r="ICP43" s="819"/>
      <c r="ICQ43" s="819"/>
      <c r="ICR43" s="819"/>
      <c r="ICS43" s="819"/>
      <c r="ICT43" s="819"/>
      <c r="ICU43" s="819"/>
      <c r="ICV43" s="819"/>
      <c r="ICW43" s="819"/>
      <c r="ICX43" s="819"/>
      <c r="ICY43" s="819"/>
      <c r="ICZ43" s="819"/>
      <c r="IDA43" s="819"/>
      <c r="IDB43" s="819"/>
      <c r="IDC43" s="819"/>
      <c r="IDD43" s="819"/>
      <c r="IDE43" s="819"/>
      <c r="IDF43" s="819"/>
      <c r="IDG43" s="819"/>
      <c r="IDH43" s="819"/>
      <c r="IDI43" s="819"/>
      <c r="IDJ43" s="819"/>
      <c r="IDK43" s="819"/>
      <c r="IDL43" s="819"/>
      <c r="IDM43" s="819"/>
      <c r="IDN43" s="819"/>
      <c r="IDO43" s="819"/>
      <c r="IDP43" s="819"/>
      <c r="IDQ43" s="819"/>
      <c r="IDR43" s="819"/>
      <c r="IDS43" s="819"/>
      <c r="IDT43" s="819"/>
      <c r="IDU43" s="819"/>
      <c r="IDV43" s="819"/>
      <c r="IDW43" s="819"/>
      <c r="IDX43" s="819"/>
      <c r="IDY43" s="819"/>
      <c r="IDZ43" s="819"/>
      <c r="IEA43" s="819"/>
      <c r="IEB43" s="819"/>
      <c r="IEC43" s="819"/>
      <c r="IED43" s="819"/>
      <c r="IEE43" s="819"/>
      <c r="IEF43" s="819"/>
      <c r="IEG43" s="819"/>
      <c r="IEH43" s="819"/>
      <c r="IEI43" s="819"/>
      <c r="IEJ43" s="819"/>
      <c r="IEK43" s="819"/>
      <c r="IEL43" s="819"/>
      <c r="IEM43" s="819"/>
      <c r="IEN43" s="819"/>
      <c r="IEO43" s="819"/>
      <c r="IEP43" s="819"/>
      <c r="IEQ43" s="819"/>
      <c r="IER43" s="819"/>
      <c r="IES43" s="819"/>
      <c r="IET43" s="819"/>
      <c r="IEU43" s="819"/>
      <c r="IEV43" s="819"/>
      <c r="IEW43" s="819"/>
      <c r="IEX43" s="819"/>
      <c r="IEY43" s="819"/>
      <c r="IEZ43" s="819"/>
      <c r="IFA43" s="819"/>
      <c r="IFB43" s="819"/>
      <c r="IFC43" s="819"/>
      <c r="IFD43" s="819"/>
      <c r="IFE43" s="819"/>
      <c r="IFF43" s="819"/>
      <c r="IFG43" s="819"/>
      <c r="IFH43" s="819"/>
      <c r="IFI43" s="819"/>
      <c r="IFJ43" s="819"/>
      <c r="IFK43" s="819"/>
      <c r="IFL43" s="819"/>
      <c r="IFM43" s="819"/>
      <c r="IFN43" s="819"/>
      <c r="IFO43" s="819"/>
      <c r="IFP43" s="819"/>
      <c r="IFQ43" s="819"/>
      <c r="IFR43" s="819"/>
      <c r="IFS43" s="819"/>
      <c r="IFT43" s="819"/>
      <c r="IFU43" s="819"/>
      <c r="IFV43" s="819"/>
      <c r="IFW43" s="819"/>
      <c r="IFX43" s="819"/>
      <c r="IFY43" s="819"/>
      <c r="IFZ43" s="819"/>
      <c r="IGA43" s="819"/>
      <c r="IGB43" s="819"/>
      <c r="IGC43" s="819"/>
      <c r="IGD43" s="819"/>
      <c r="IGE43" s="819"/>
      <c r="IGF43" s="819"/>
      <c r="IGG43" s="819"/>
      <c r="IGH43" s="819"/>
      <c r="IGI43" s="819"/>
      <c r="IGJ43" s="819"/>
      <c r="IGK43" s="819"/>
      <c r="IGL43" s="819"/>
      <c r="IGM43" s="819"/>
      <c r="IGN43" s="819"/>
      <c r="IGO43" s="819"/>
      <c r="IGP43" s="819"/>
      <c r="IGQ43" s="819"/>
      <c r="IGR43" s="819"/>
      <c r="IGS43" s="819"/>
      <c r="IGT43" s="819"/>
      <c r="IGU43" s="819"/>
      <c r="IGV43" s="819"/>
      <c r="IGW43" s="819"/>
      <c r="IGX43" s="819"/>
      <c r="IGY43" s="819"/>
      <c r="IGZ43" s="819"/>
      <c r="IHA43" s="819"/>
      <c r="IHB43" s="819"/>
      <c r="IHC43" s="819"/>
      <c r="IHD43" s="819"/>
      <c r="IHE43" s="819"/>
      <c r="IHF43" s="819"/>
      <c r="IHG43" s="819"/>
      <c r="IHH43" s="819"/>
      <c r="IHI43" s="819"/>
      <c r="IHJ43" s="819"/>
      <c r="IHK43" s="819"/>
      <c r="IHL43" s="819"/>
      <c r="IHM43" s="819"/>
      <c r="IHN43" s="819"/>
      <c r="IHO43" s="819"/>
      <c r="IHP43" s="819"/>
      <c r="IHQ43" s="819"/>
      <c r="IHR43" s="819"/>
      <c r="IHS43" s="819"/>
      <c r="IHT43" s="819"/>
      <c r="IHU43" s="819"/>
      <c r="IHV43" s="819"/>
      <c r="IHW43" s="819"/>
      <c r="IHX43" s="819"/>
      <c r="IHY43" s="819"/>
      <c r="IHZ43" s="819"/>
      <c r="IIA43" s="819"/>
      <c r="IIB43" s="819"/>
      <c r="IIC43" s="819"/>
      <c r="IID43" s="819"/>
      <c r="IIE43" s="819"/>
      <c r="IIF43" s="819"/>
      <c r="IIG43" s="819"/>
      <c r="IIH43" s="819"/>
      <c r="III43" s="819"/>
      <c r="IIJ43" s="819"/>
      <c r="IIK43" s="819"/>
      <c r="IIL43" s="819"/>
      <c r="IIM43" s="819"/>
      <c r="IIN43" s="819"/>
      <c r="IIO43" s="819"/>
      <c r="IIP43" s="819"/>
      <c r="IIQ43" s="819"/>
      <c r="IIR43" s="819"/>
      <c r="IIS43" s="819"/>
      <c r="IIT43" s="819"/>
      <c r="IIU43" s="819"/>
      <c r="IIV43" s="819"/>
      <c r="IIW43" s="819"/>
      <c r="IIX43" s="819"/>
      <c r="IIY43" s="819"/>
      <c r="IIZ43" s="819"/>
      <c r="IJA43" s="819"/>
      <c r="IJB43" s="819"/>
      <c r="IJC43" s="819"/>
      <c r="IJD43" s="819"/>
      <c r="IJE43" s="819"/>
      <c r="IJF43" s="819"/>
      <c r="IJG43" s="819"/>
      <c r="IJH43" s="819"/>
      <c r="IJI43" s="819"/>
      <c r="IJJ43" s="819"/>
      <c r="IJK43" s="819"/>
      <c r="IJL43" s="819"/>
      <c r="IJM43" s="819"/>
      <c r="IJN43" s="819"/>
      <c r="IJO43" s="819"/>
      <c r="IJP43" s="819"/>
      <c r="IJQ43" s="819"/>
      <c r="IJR43" s="819"/>
      <c r="IJS43" s="819"/>
      <c r="IJT43" s="819"/>
      <c r="IJU43" s="819"/>
      <c r="IJV43" s="819"/>
      <c r="IJW43" s="819"/>
      <c r="IJX43" s="819"/>
      <c r="IJY43" s="819"/>
      <c r="IJZ43" s="819"/>
      <c r="IKA43" s="819"/>
      <c r="IKB43" s="819"/>
      <c r="IKC43" s="819"/>
      <c r="IKD43" s="819"/>
      <c r="IKE43" s="819"/>
      <c r="IKF43" s="819"/>
      <c r="IKG43" s="819"/>
      <c r="IKH43" s="819"/>
      <c r="IKI43" s="819"/>
      <c r="IKJ43" s="819"/>
      <c r="IKK43" s="819"/>
      <c r="IKL43" s="819"/>
      <c r="IKM43" s="819"/>
      <c r="IKN43" s="819"/>
      <c r="IKO43" s="819"/>
      <c r="IKP43" s="819"/>
      <c r="IKQ43" s="819"/>
      <c r="IKR43" s="819"/>
      <c r="IKS43" s="819"/>
      <c r="IKT43" s="819"/>
      <c r="IKU43" s="819"/>
      <c r="IKV43" s="819"/>
      <c r="IKW43" s="819"/>
      <c r="IKX43" s="819"/>
      <c r="IKY43" s="819"/>
      <c r="IKZ43" s="819"/>
      <c r="ILA43" s="819"/>
      <c r="ILB43" s="819"/>
      <c r="ILC43" s="819"/>
      <c r="ILD43" s="819"/>
      <c r="ILE43" s="819"/>
      <c r="ILF43" s="819"/>
      <c r="ILG43" s="819"/>
      <c r="ILH43" s="819"/>
      <c r="ILI43" s="819"/>
      <c r="ILJ43" s="819"/>
      <c r="ILK43" s="819"/>
      <c r="ILL43" s="819"/>
      <c r="ILM43" s="819"/>
      <c r="ILN43" s="819"/>
      <c r="ILO43" s="819"/>
      <c r="ILP43" s="819"/>
      <c r="ILQ43" s="819"/>
      <c r="ILR43" s="819"/>
      <c r="ILS43" s="819"/>
      <c r="ILT43" s="819"/>
      <c r="ILU43" s="819"/>
      <c r="ILV43" s="819"/>
      <c r="ILW43" s="819"/>
      <c r="ILX43" s="819"/>
      <c r="ILY43" s="819"/>
      <c r="ILZ43" s="819"/>
      <c r="IMA43" s="819"/>
      <c r="IMB43" s="819"/>
      <c r="IMC43" s="819"/>
      <c r="IMD43" s="819"/>
      <c r="IME43" s="819"/>
      <c r="IMF43" s="819"/>
      <c r="IMG43" s="819"/>
      <c r="IMH43" s="819"/>
      <c r="IMI43" s="819"/>
      <c r="IMJ43" s="819"/>
      <c r="IMK43" s="819"/>
      <c r="IML43" s="819"/>
      <c r="IMM43" s="819"/>
      <c r="IMN43" s="819"/>
      <c r="IMO43" s="819"/>
      <c r="IMP43" s="819"/>
      <c r="IMQ43" s="819"/>
      <c r="IMR43" s="819"/>
      <c r="IMS43" s="819"/>
      <c r="IMT43" s="819"/>
      <c r="IMU43" s="819"/>
      <c r="IMV43" s="819"/>
      <c r="IMW43" s="819"/>
      <c r="IMX43" s="819"/>
      <c r="IMY43" s="819"/>
      <c r="IMZ43" s="819"/>
      <c r="INA43" s="819"/>
      <c r="INB43" s="819"/>
      <c r="INC43" s="819"/>
      <c r="IND43" s="819"/>
      <c r="INE43" s="819"/>
      <c r="INF43" s="819"/>
      <c r="ING43" s="819"/>
      <c r="INH43" s="819"/>
      <c r="INI43" s="819"/>
      <c r="INJ43" s="819"/>
      <c r="INK43" s="819"/>
      <c r="INL43" s="819"/>
      <c r="INM43" s="819"/>
      <c r="INN43" s="819"/>
      <c r="INO43" s="819"/>
      <c r="INP43" s="819"/>
      <c r="INQ43" s="819"/>
      <c r="INR43" s="819"/>
      <c r="INS43" s="819"/>
      <c r="INT43" s="819"/>
      <c r="INU43" s="819"/>
      <c r="INV43" s="819"/>
      <c r="INW43" s="819"/>
      <c r="INX43" s="819"/>
      <c r="INY43" s="819"/>
      <c r="INZ43" s="819"/>
      <c r="IOA43" s="819"/>
      <c r="IOB43" s="819"/>
      <c r="IOC43" s="819"/>
      <c r="IOD43" s="819"/>
      <c r="IOE43" s="819"/>
      <c r="IOF43" s="819"/>
      <c r="IOG43" s="819"/>
      <c r="IOH43" s="819"/>
      <c r="IOI43" s="819"/>
      <c r="IOJ43" s="819"/>
      <c r="IOK43" s="819"/>
      <c r="IOL43" s="819"/>
      <c r="IOM43" s="819"/>
      <c r="ION43" s="819"/>
      <c r="IOO43" s="819"/>
      <c r="IOP43" s="819"/>
      <c r="IOQ43" s="819"/>
      <c r="IOR43" s="819"/>
      <c r="IOS43" s="819"/>
      <c r="IOT43" s="819"/>
      <c r="IOU43" s="819"/>
      <c r="IOV43" s="819"/>
      <c r="IOW43" s="819"/>
      <c r="IOX43" s="819"/>
      <c r="IOY43" s="819"/>
      <c r="IOZ43" s="819"/>
      <c r="IPA43" s="819"/>
      <c r="IPB43" s="819"/>
      <c r="IPC43" s="819"/>
      <c r="IPD43" s="819"/>
      <c r="IPE43" s="819"/>
      <c r="IPF43" s="819"/>
      <c r="IPG43" s="819"/>
      <c r="IPH43" s="819"/>
      <c r="IPI43" s="819"/>
      <c r="IPJ43" s="819"/>
      <c r="IPK43" s="819"/>
      <c r="IPL43" s="819"/>
      <c r="IPM43" s="819"/>
      <c r="IPN43" s="819"/>
      <c r="IPO43" s="819"/>
      <c r="IPP43" s="819"/>
      <c r="IPQ43" s="819"/>
      <c r="IPR43" s="819"/>
      <c r="IPS43" s="819"/>
      <c r="IPT43" s="819"/>
      <c r="IPU43" s="819"/>
      <c r="IPV43" s="819"/>
      <c r="IPW43" s="819"/>
      <c r="IPX43" s="819"/>
      <c r="IPY43" s="819"/>
      <c r="IPZ43" s="819"/>
      <c r="IQA43" s="819"/>
      <c r="IQB43" s="819"/>
      <c r="IQC43" s="819"/>
      <c r="IQD43" s="819"/>
      <c r="IQE43" s="819"/>
      <c r="IQF43" s="819"/>
      <c r="IQG43" s="819"/>
      <c r="IQH43" s="819"/>
      <c r="IQI43" s="819"/>
      <c r="IQJ43" s="819"/>
      <c r="IQK43" s="819"/>
      <c r="IQL43" s="819"/>
      <c r="IQM43" s="819"/>
      <c r="IQN43" s="819"/>
      <c r="IQO43" s="819"/>
      <c r="IQP43" s="819"/>
      <c r="IQQ43" s="819"/>
      <c r="IQR43" s="819"/>
      <c r="IQS43" s="819"/>
      <c r="IQT43" s="819"/>
      <c r="IQU43" s="819"/>
      <c r="IQV43" s="819"/>
      <c r="IQW43" s="819"/>
      <c r="IQX43" s="819"/>
      <c r="IQY43" s="819"/>
      <c r="IQZ43" s="819"/>
      <c r="IRA43" s="819"/>
      <c r="IRB43" s="819"/>
      <c r="IRC43" s="819"/>
      <c r="IRD43" s="819"/>
      <c r="IRE43" s="819"/>
      <c r="IRF43" s="819"/>
      <c r="IRG43" s="819"/>
      <c r="IRH43" s="819"/>
      <c r="IRI43" s="819"/>
      <c r="IRJ43" s="819"/>
      <c r="IRK43" s="819"/>
      <c r="IRL43" s="819"/>
      <c r="IRM43" s="819"/>
      <c r="IRN43" s="819"/>
      <c r="IRO43" s="819"/>
      <c r="IRP43" s="819"/>
      <c r="IRQ43" s="819"/>
      <c r="IRR43" s="819"/>
      <c r="IRS43" s="819"/>
      <c r="IRT43" s="819"/>
      <c r="IRU43" s="819"/>
      <c r="IRV43" s="819"/>
      <c r="IRW43" s="819"/>
      <c r="IRX43" s="819"/>
      <c r="IRY43" s="819"/>
      <c r="IRZ43" s="819"/>
      <c r="ISA43" s="819"/>
      <c r="ISB43" s="819"/>
      <c r="ISC43" s="819"/>
      <c r="ISD43" s="819"/>
      <c r="ISE43" s="819"/>
      <c r="ISF43" s="819"/>
      <c r="ISG43" s="819"/>
      <c r="ISH43" s="819"/>
      <c r="ISI43" s="819"/>
      <c r="ISJ43" s="819"/>
      <c r="ISK43" s="819"/>
      <c r="ISL43" s="819"/>
      <c r="ISM43" s="819"/>
      <c r="ISN43" s="819"/>
      <c r="ISO43" s="819"/>
      <c r="ISP43" s="819"/>
      <c r="ISQ43" s="819"/>
      <c r="ISR43" s="819"/>
      <c r="ISS43" s="819"/>
      <c r="IST43" s="819"/>
      <c r="ISU43" s="819"/>
      <c r="ISV43" s="819"/>
      <c r="ISW43" s="819"/>
      <c r="ISX43" s="819"/>
      <c r="ISY43" s="819"/>
      <c r="ISZ43" s="819"/>
      <c r="ITA43" s="819"/>
      <c r="ITB43" s="819"/>
      <c r="ITC43" s="819"/>
      <c r="ITD43" s="819"/>
      <c r="ITE43" s="819"/>
      <c r="ITF43" s="819"/>
      <c r="ITG43" s="819"/>
      <c r="ITH43" s="819"/>
      <c r="ITI43" s="819"/>
      <c r="ITJ43" s="819"/>
      <c r="ITK43" s="819"/>
      <c r="ITL43" s="819"/>
      <c r="ITM43" s="819"/>
      <c r="ITN43" s="819"/>
      <c r="ITO43" s="819"/>
      <c r="ITP43" s="819"/>
      <c r="ITQ43" s="819"/>
      <c r="ITR43" s="819"/>
      <c r="ITS43" s="819"/>
      <c r="ITT43" s="819"/>
      <c r="ITU43" s="819"/>
      <c r="ITV43" s="819"/>
      <c r="ITW43" s="819"/>
      <c r="ITX43" s="819"/>
      <c r="ITY43" s="819"/>
      <c r="ITZ43" s="819"/>
      <c r="IUA43" s="819"/>
      <c r="IUB43" s="819"/>
      <c r="IUC43" s="819"/>
      <c r="IUD43" s="819"/>
      <c r="IUE43" s="819"/>
      <c r="IUF43" s="819"/>
      <c r="IUG43" s="819"/>
      <c r="IUH43" s="819"/>
      <c r="IUI43" s="819"/>
      <c r="IUJ43" s="819"/>
      <c r="IUK43" s="819"/>
      <c r="IUL43" s="819"/>
      <c r="IUM43" s="819"/>
      <c r="IUN43" s="819"/>
      <c r="IUO43" s="819"/>
      <c r="IUP43" s="819"/>
      <c r="IUQ43" s="819"/>
      <c r="IUR43" s="819"/>
      <c r="IUS43" s="819"/>
      <c r="IUT43" s="819"/>
      <c r="IUU43" s="819"/>
      <c r="IUV43" s="819"/>
      <c r="IUW43" s="819"/>
      <c r="IUX43" s="819"/>
      <c r="IUY43" s="819"/>
      <c r="IUZ43" s="819"/>
      <c r="IVA43" s="819"/>
      <c r="IVB43" s="819"/>
      <c r="IVC43" s="819"/>
      <c r="IVD43" s="819"/>
      <c r="IVE43" s="819"/>
      <c r="IVF43" s="819"/>
      <c r="IVG43" s="819"/>
      <c r="IVH43" s="819"/>
      <c r="IVI43" s="819"/>
      <c r="IVJ43" s="819"/>
      <c r="IVK43" s="819"/>
      <c r="IVL43" s="819"/>
      <c r="IVM43" s="819"/>
      <c r="IVN43" s="819"/>
      <c r="IVO43" s="819"/>
      <c r="IVP43" s="819"/>
      <c r="IVQ43" s="819"/>
      <c r="IVR43" s="819"/>
      <c r="IVS43" s="819"/>
      <c r="IVT43" s="819"/>
      <c r="IVU43" s="819"/>
      <c r="IVV43" s="819"/>
      <c r="IVW43" s="819"/>
      <c r="IVX43" s="819"/>
      <c r="IVY43" s="819"/>
      <c r="IVZ43" s="819"/>
      <c r="IWA43" s="819"/>
      <c r="IWB43" s="819"/>
      <c r="IWC43" s="819"/>
      <c r="IWD43" s="819"/>
      <c r="IWE43" s="819"/>
      <c r="IWF43" s="819"/>
      <c r="IWG43" s="819"/>
      <c r="IWH43" s="819"/>
      <c r="IWI43" s="819"/>
      <c r="IWJ43" s="819"/>
      <c r="IWK43" s="819"/>
      <c r="IWL43" s="819"/>
      <c r="IWM43" s="819"/>
      <c r="IWN43" s="819"/>
      <c r="IWO43" s="819"/>
      <c r="IWP43" s="819"/>
      <c r="IWQ43" s="819"/>
      <c r="IWR43" s="819"/>
      <c r="IWS43" s="819"/>
      <c r="IWT43" s="819"/>
      <c r="IWU43" s="819"/>
      <c r="IWV43" s="819"/>
      <c r="IWW43" s="819"/>
      <c r="IWX43" s="819"/>
      <c r="IWY43" s="819"/>
      <c r="IWZ43" s="819"/>
      <c r="IXA43" s="819"/>
      <c r="IXB43" s="819"/>
      <c r="IXC43" s="819"/>
      <c r="IXD43" s="819"/>
      <c r="IXE43" s="819"/>
      <c r="IXF43" s="819"/>
      <c r="IXG43" s="819"/>
      <c r="IXH43" s="819"/>
      <c r="IXI43" s="819"/>
      <c r="IXJ43" s="819"/>
      <c r="IXK43" s="819"/>
      <c r="IXL43" s="819"/>
      <c r="IXM43" s="819"/>
      <c r="IXN43" s="819"/>
      <c r="IXO43" s="819"/>
      <c r="IXP43" s="819"/>
      <c r="IXQ43" s="819"/>
      <c r="IXR43" s="819"/>
      <c r="IXS43" s="819"/>
      <c r="IXT43" s="819"/>
      <c r="IXU43" s="819"/>
      <c r="IXV43" s="819"/>
      <c r="IXW43" s="819"/>
      <c r="IXX43" s="819"/>
      <c r="IXY43" s="819"/>
      <c r="IXZ43" s="819"/>
      <c r="IYA43" s="819"/>
      <c r="IYB43" s="819"/>
      <c r="IYC43" s="819"/>
      <c r="IYD43" s="819"/>
      <c r="IYE43" s="819"/>
      <c r="IYF43" s="819"/>
      <c r="IYG43" s="819"/>
      <c r="IYH43" s="819"/>
      <c r="IYI43" s="819"/>
      <c r="IYJ43" s="819"/>
      <c r="IYK43" s="819"/>
      <c r="IYL43" s="819"/>
      <c r="IYM43" s="819"/>
      <c r="IYN43" s="819"/>
      <c r="IYO43" s="819"/>
      <c r="IYP43" s="819"/>
      <c r="IYQ43" s="819"/>
      <c r="IYR43" s="819"/>
      <c r="IYS43" s="819"/>
      <c r="IYT43" s="819"/>
      <c r="IYU43" s="819"/>
      <c r="IYV43" s="819"/>
      <c r="IYW43" s="819"/>
      <c r="IYX43" s="819"/>
      <c r="IYY43" s="819"/>
      <c r="IYZ43" s="819"/>
      <c r="IZA43" s="819"/>
      <c r="IZB43" s="819"/>
      <c r="IZC43" s="819"/>
      <c r="IZD43" s="819"/>
      <c r="IZE43" s="819"/>
      <c r="IZF43" s="819"/>
      <c r="IZG43" s="819"/>
      <c r="IZH43" s="819"/>
      <c r="IZI43" s="819"/>
      <c r="IZJ43" s="819"/>
      <c r="IZK43" s="819"/>
      <c r="IZL43" s="819"/>
      <c r="IZM43" s="819"/>
      <c r="IZN43" s="819"/>
      <c r="IZO43" s="819"/>
      <c r="IZP43" s="819"/>
      <c r="IZQ43" s="819"/>
      <c r="IZR43" s="819"/>
      <c r="IZS43" s="819"/>
      <c r="IZT43" s="819"/>
      <c r="IZU43" s="819"/>
      <c r="IZV43" s="819"/>
      <c r="IZW43" s="819"/>
      <c r="IZX43" s="819"/>
      <c r="IZY43" s="819"/>
      <c r="IZZ43" s="819"/>
      <c r="JAA43" s="819"/>
      <c r="JAB43" s="819"/>
      <c r="JAC43" s="819"/>
      <c r="JAD43" s="819"/>
      <c r="JAE43" s="819"/>
      <c r="JAF43" s="819"/>
      <c r="JAG43" s="819"/>
      <c r="JAH43" s="819"/>
      <c r="JAI43" s="819"/>
      <c r="JAJ43" s="819"/>
      <c r="JAK43" s="819"/>
      <c r="JAL43" s="819"/>
      <c r="JAM43" s="819"/>
      <c r="JAN43" s="819"/>
      <c r="JAO43" s="819"/>
      <c r="JAP43" s="819"/>
      <c r="JAQ43" s="819"/>
      <c r="JAR43" s="819"/>
      <c r="JAS43" s="819"/>
      <c r="JAT43" s="819"/>
      <c r="JAU43" s="819"/>
      <c r="JAV43" s="819"/>
      <c r="JAW43" s="819"/>
      <c r="JAX43" s="819"/>
      <c r="JAY43" s="819"/>
      <c r="JAZ43" s="819"/>
      <c r="JBA43" s="819"/>
      <c r="JBB43" s="819"/>
      <c r="JBC43" s="819"/>
      <c r="JBD43" s="819"/>
      <c r="JBE43" s="819"/>
      <c r="JBF43" s="819"/>
      <c r="JBG43" s="819"/>
      <c r="JBH43" s="819"/>
      <c r="JBI43" s="819"/>
      <c r="JBJ43" s="819"/>
      <c r="JBK43" s="819"/>
      <c r="JBL43" s="819"/>
      <c r="JBM43" s="819"/>
      <c r="JBN43" s="819"/>
      <c r="JBO43" s="819"/>
      <c r="JBP43" s="819"/>
      <c r="JBQ43" s="819"/>
      <c r="JBR43" s="819"/>
      <c r="JBS43" s="819"/>
      <c r="JBT43" s="819"/>
      <c r="JBU43" s="819"/>
      <c r="JBV43" s="819"/>
      <c r="JBW43" s="819"/>
      <c r="JBX43" s="819"/>
      <c r="JBY43" s="819"/>
      <c r="JBZ43" s="819"/>
      <c r="JCA43" s="819"/>
      <c r="JCB43" s="819"/>
      <c r="JCC43" s="819"/>
      <c r="JCD43" s="819"/>
      <c r="JCE43" s="819"/>
      <c r="JCF43" s="819"/>
      <c r="JCG43" s="819"/>
      <c r="JCH43" s="819"/>
      <c r="JCI43" s="819"/>
      <c r="JCJ43" s="819"/>
      <c r="JCK43" s="819"/>
      <c r="JCL43" s="819"/>
      <c r="JCM43" s="819"/>
      <c r="JCN43" s="819"/>
      <c r="JCO43" s="819"/>
      <c r="JCP43" s="819"/>
      <c r="JCQ43" s="819"/>
      <c r="JCR43" s="819"/>
      <c r="JCS43" s="819"/>
      <c r="JCT43" s="819"/>
      <c r="JCU43" s="819"/>
      <c r="JCV43" s="819"/>
      <c r="JCW43" s="819"/>
      <c r="JCX43" s="819"/>
      <c r="JCY43" s="819"/>
      <c r="JCZ43" s="819"/>
      <c r="JDA43" s="819"/>
      <c r="JDB43" s="819"/>
      <c r="JDC43" s="819"/>
      <c r="JDD43" s="819"/>
      <c r="JDE43" s="819"/>
      <c r="JDF43" s="819"/>
      <c r="JDG43" s="819"/>
      <c r="JDH43" s="819"/>
      <c r="JDI43" s="819"/>
      <c r="JDJ43" s="819"/>
      <c r="JDK43" s="819"/>
      <c r="JDL43" s="819"/>
      <c r="JDM43" s="819"/>
      <c r="JDN43" s="819"/>
      <c r="JDO43" s="819"/>
      <c r="JDP43" s="819"/>
      <c r="JDQ43" s="819"/>
      <c r="JDR43" s="819"/>
      <c r="JDS43" s="819"/>
      <c r="JDT43" s="819"/>
      <c r="JDU43" s="819"/>
      <c r="JDV43" s="819"/>
      <c r="JDW43" s="819"/>
      <c r="JDX43" s="819"/>
      <c r="JDY43" s="819"/>
      <c r="JDZ43" s="819"/>
      <c r="JEA43" s="819"/>
      <c r="JEB43" s="819"/>
      <c r="JEC43" s="819"/>
      <c r="JED43" s="819"/>
      <c r="JEE43" s="819"/>
      <c r="JEF43" s="819"/>
      <c r="JEG43" s="819"/>
      <c r="JEH43" s="819"/>
      <c r="JEI43" s="819"/>
      <c r="JEJ43" s="819"/>
      <c r="JEK43" s="819"/>
      <c r="JEL43" s="819"/>
      <c r="JEM43" s="819"/>
      <c r="JEN43" s="819"/>
      <c r="JEO43" s="819"/>
      <c r="JEP43" s="819"/>
      <c r="JEQ43" s="819"/>
      <c r="JER43" s="819"/>
      <c r="JES43" s="819"/>
      <c r="JET43" s="819"/>
      <c r="JEU43" s="819"/>
      <c r="JEV43" s="819"/>
      <c r="JEW43" s="819"/>
      <c r="JEX43" s="819"/>
      <c r="JEY43" s="819"/>
      <c r="JEZ43" s="819"/>
      <c r="JFA43" s="819"/>
      <c r="JFB43" s="819"/>
      <c r="JFC43" s="819"/>
      <c r="JFD43" s="819"/>
      <c r="JFE43" s="819"/>
      <c r="JFF43" s="819"/>
      <c r="JFG43" s="819"/>
      <c r="JFH43" s="819"/>
      <c r="JFI43" s="819"/>
      <c r="JFJ43" s="819"/>
      <c r="JFK43" s="819"/>
      <c r="JFL43" s="819"/>
      <c r="JFM43" s="819"/>
      <c r="JFN43" s="819"/>
      <c r="JFO43" s="819"/>
      <c r="JFP43" s="819"/>
      <c r="JFQ43" s="819"/>
      <c r="JFR43" s="819"/>
      <c r="JFS43" s="819"/>
      <c r="JFT43" s="819"/>
      <c r="JFU43" s="819"/>
      <c r="JFV43" s="819"/>
      <c r="JFW43" s="819"/>
      <c r="JFX43" s="819"/>
      <c r="JFY43" s="819"/>
      <c r="JFZ43" s="819"/>
      <c r="JGA43" s="819"/>
      <c r="JGB43" s="819"/>
      <c r="JGC43" s="819"/>
      <c r="JGD43" s="819"/>
      <c r="JGE43" s="819"/>
      <c r="JGF43" s="819"/>
      <c r="JGG43" s="819"/>
      <c r="JGH43" s="819"/>
      <c r="JGI43" s="819"/>
      <c r="JGJ43" s="819"/>
      <c r="JGK43" s="819"/>
      <c r="JGL43" s="819"/>
      <c r="JGM43" s="819"/>
      <c r="JGN43" s="819"/>
      <c r="JGO43" s="819"/>
      <c r="JGP43" s="819"/>
      <c r="JGQ43" s="819"/>
      <c r="JGR43" s="819"/>
      <c r="JGS43" s="819"/>
      <c r="JGT43" s="819"/>
      <c r="JGU43" s="819"/>
      <c r="JGV43" s="819"/>
      <c r="JGW43" s="819"/>
      <c r="JGX43" s="819"/>
      <c r="JGY43" s="819"/>
      <c r="JGZ43" s="819"/>
      <c r="JHA43" s="819"/>
      <c r="JHB43" s="819"/>
      <c r="JHC43" s="819"/>
      <c r="JHD43" s="819"/>
      <c r="JHE43" s="819"/>
      <c r="JHF43" s="819"/>
      <c r="JHG43" s="819"/>
      <c r="JHH43" s="819"/>
      <c r="JHI43" s="819"/>
      <c r="JHJ43" s="819"/>
      <c r="JHK43" s="819"/>
      <c r="JHL43" s="819"/>
      <c r="JHM43" s="819"/>
      <c r="JHN43" s="819"/>
      <c r="JHO43" s="819"/>
      <c r="JHP43" s="819"/>
      <c r="JHQ43" s="819"/>
      <c r="JHR43" s="819"/>
      <c r="JHS43" s="819"/>
      <c r="JHT43" s="819"/>
      <c r="JHU43" s="819"/>
      <c r="JHV43" s="819"/>
      <c r="JHW43" s="819"/>
      <c r="JHX43" s="819"/>
      <c r="JHY43" s="819"/>
      <c r="JHZ43" s="819"/>
      <c r="JIA43" s="819"/>
      <c r="JIB43" s="819"/>
      <c r="JIC43" s="819"/>
      <c r="JID43" s="819"/>
      <c r="JIE43" s="819"/>
      <c r="JIF43" s="819"/>
      <c r="JIG43" s="819"/>
      <c r="JIH43" s="819"/>
      <c r="JII43" s="819"/>
      <c r="JIJ43" s="819"/>
      <c r="JIK43" s="819"/>
      <c r="JIL43" s="819"/>
      <c r="JIM43" s="819"/>
      <c r="JIN43" s="819"/>
      <c r="JIO43" s="819"/>
      <c r="JIP43" s="819"/>
      <c r="JIQ43" s="819"/>
      <c r="JIR43" s="819"/>
      <c r="JIS43" s="819"/>
      <c r="JIT43" s="819"/>
      <c r="JIU43" s="819"/>
      <c r="JIV43" s="819"/>
      <c r="JIW43" s="819"/>
      <c r="JIX43" s="819"/>
      <c r="JIY43" s="819"/>
      <c r="JIZ43" s="819"/>
      <c r="JJA43" s="819"/>
      <c r="JJB43" s="819"/>
      <c r="JJC43" s="819"/>
      <c r="JJD43" s="819"/>
      <c r="JJE43" s="819"/>
      <c r="JJF43" s="819"/>
      <c r="JJG43" s="819"/>
      <c r="JJH43" s="819"/>
      <c r="JJI43" s="819"/>
      <c r="JJJ43" s="819"/>
      <c r="JJK43" s="819"/>
      <c r="JJL43" s="819"/>
      <c r="JJM43" s="819"/>
      <c r="JJN43" s="819"/>
      <c r="JJO43" s="819"/>
      <c r="JJP43" s="819"/>
      <c r="JJQ43" s="819"/>
      <c r="JJR43" s="819"/>
      <c r="JJS43" s="819"/>
      <c r="JJT43" s="819"/>
      <c r="JJU43" s="819"/>
      <c r="JJV43" s="819"/>
      <c r="JJW43" s="819"/>
      <c r="JJX43" s="819"/>
      <c r="JJY43" s="819"/>
      <c r="JJZ43" s="819"/>
      <c r="JKA43" s="819"/>
      <c r="JKB43" s="819"/>
      <c r="JKC43" s="819"/>
      <c r="JKD43" s="819"/>
      <c r="JKE43" s="819"/>
      <c r="JKF43" s="819"/>
      <c r="JKG43" s="819"/>
      <c r="JKH43" s="819"/>
      <c r="JKI43" s="819"/>
      <c r="JKJ43" s="819"/>
      <c r="JKK43" s="819"/>
      <c r="JKL43" s="819"/>
      <c r="JKM43" s="819"/>
      <c r="JKN43" s="819"/>
      <c r="JKO43" s="819"/>
      <c r="JKP43" s="819"/>
      <c r="JKQ43" s="819"/>
      <c r="JKR43" s="819"/>
      <c r="JKS43" s="819"/>
      <c r="JKT43" s="819"/>
      <c r="JKU43" s="819"/>
      <c r="JKV43" s="819"/>
      <c r="JKW43" s="819"/>
      <c r="JKX43" s="819"/>
      <c r="JKY43" s="819"/>
      <c r="JKZ43" s="819"/>
      <c r="JLA43" s="819"/>
      <c r="JLB43" s="819"/>
      <c r="JLC43" s="819"/>
      <c r="JLD43" s="819"/>
      <c r="JLE43" s="819"/>
      <c r="JLF43" s="819"/>
      <c r="JLG43" s="819"/>
      <c r="JLH43" s="819"/>
      <c r="JLI43" s="819"/>
      <c r="JLJ43" s="819"/>
      <c r="JLK43" s="819"/>
      <c r="JLL43" s="819"/>
      <c r="JLM43" s="819"/>
      <c r="JLN43" s="819"/>
      <c r="JLO43" s="819"/>
      <c r="JLP43" s="819"/>
      <c r="JLQ43" s="819"/>
      <c r="JLR43" s="819"/>
      <c r="JLS43" s="819"/>
      <c r="JLT43" s="819"/>
      <c r="JLU43" s="819"/>
      <c r="JLV43" s="819"/>
      <c r="JLW43" s="819"/>
      <c r="JLX43" s="819"/>
      <c r="JLY43" s="819"/>
      <c r="JLZ43" s="819"/>
      <c r="JMA43" s="819"/>
      <c r="JMB43" s="819"/>
      <c r="JMC43" s="819"/>
      <c r="JMD43" s="819"/>
      <c r="JME43" s="819"/>
      <c r="JMF43" s="819"/>
      <c r="JMG43" s="819"/>
      <c r="JMH43" s="819"/>
      <c r="JMI43" s="819"/>
      <c r="JMJ43" s="819"/>
      <c r="JMK43" s="819"/>
      <c r="JML43" s="819"/>
      <c r="JMM43" s="819"/>
      <c r="JMN43" s="819"/>
      <c r="JMO43" s="819"/>
      <c r="JMP43" s="819"/>
      <c r="JMQ43" s="819"/>
      <c r="JMR43" s="819"/>
      <c r="JMS43" s="819"/>
      <c r="JMT43" s="819"/>
      <c r="JMU43" s="819"/>
      <c r="JMV43" s="819"/>
      <c r="JMW43" s="819"/>
      <c r="JMX43" s="819"/>
      <c r="JMY43" s="819"/>
      <c r="JMZ43" s="819"/>
      <c r="JNA43" s="819"/>
      <c r="JNB43" s="819"/>
      <c r="JNC43" s="819"/>
      <c r="JND43" s="819"/>
      <c r="JNE43" s="819"/>
      <c r="JNF43" s="819"/>
      <c r="JNG43" s="819"/>
      <c r="JNH43" s="819"/>
      <c r="JNI43" s="819"/>
      <c r="JNJ43" s="819"/>
      <c r="JNK43" s="819"/>
      <c r="JNL43" s="819"/>
      <c r="JNM43" s="819"/>
      <c r="JNN43" s="819"/>
      <c r="JNO43" s="819"/>
      <c r="JNP43" s="819"/>
      <c r="JNQ43" s="819"/>
      <c r="JNR43" s="819"/>
      <c r="JNS43" s="819"/>
      <c r="JNT43" s="819"/>
      <c r="JNU43" s="819"/>
      <c r="JNV43" s="819"/>
      <c r="JNW43" s="819"/>
      <c r="JNX43" s="819"/>
      <c r="JNY43" s="819"/>
      <c r="JNZ43" s="819"/>
      <c r="JOA43" s="819"/>
      <c r="JOB43" s="819"/>
      <c r="JOC43" s="819"/>
      <c r="JOD43" s="819"/>
      <c r="JOE43" s="819"/>
      <c r="JOF43" s="819"/>
      <c r="JOG43" s="819"/>
      <c r="JOH43" s="819"/>
      <c r="JOI43" s="819"/>
      <c r="JOJ43" s="819"/>
      <c r="JOK43" s="819"/>
      <c r="JOL43" s="819"/>
      <c r="JOM43" s="819"/>
      <c r="JON43" s="819"/>
      <c r="JOO43" s="819"/>
      <c r="JOP43" s="819"/>
      <c r="JOQ43" s="819"/>
      <c r="JOR43" s="819"/>
      <c r="JOS43" s="819"/>
      <c r="JOT43" s="819"/>
      <c r="JOU43" s="819"/>
      <c r="JOV43" s="819"/>
      <c r="JOW43" s="819"/>
      <c r="JOX43" s="819"/>
      <c r="JOY43" s="819"/>
      <c r="JOZ43" s="819"/>
      <c r="JPA43" s="819"/>
      <c r="JPB43" s="819"/>
      <c r="JPC43" s="819"/>
      <c r="JPD43" s="819"/>
      <c r="JPE43" s="819"/>
      <c r="JPF43" s="819"/>
      <c r="JPG43" s="819"/>
      <c r="JPH43" s="819"/>
      <c r="JPI43" s="819"/>
      <c r="JPJ43" s="819"/>
      <c r="JPK43" s="819"/>
      <c r="JPL43" s="819"/>
      <c r="JPM43" s="819"/>
      <c r="JPN43" s="819"/>
      <c r="JPO43" s="819"/>
      <c r="JPP43" s="819"/>
      <c r="JPQ43" s="819"/>
      <c r="JPR43" s="819"/>
      <c r="JPS43" s="819"/>
      <c r="JPT43" s="819"/>
      <c r="JPU43" s="819"/>
      <c r="JPV43" s="819"/>
      <c r="JPW43" s="819"/>
      <c r="JPX43" s="819"/>
      <c r="JPY43" s="819"/>
      <c r="JPZ43" s="819"/>
      <c r="JQA43" s="819"/>
      <c r="JQB43" s="819"/>
      <c r="JQC43" s="819"/>
      <c r="JQD43" s="819"/>
      <c r="JQE43" s="819"/>
      <c r="JQF43" s="819"/>
      <c r="JQG43" s="819"/>
      <c r="JQH43" s="819"/>
      <c r="JQI43" s="819"/>
      <c r="JQJ43" s="819"/>
      <c r="JQK43" s="819"/>
      <c r="JQL43" s="819"/>
      <c r="JQM43" s="819"/>
      <c r="JQN43" s="819"/>
      <c r="JQO43" s="819"/>
      <c r="JQP43" s="819"/>
      <c r="JQQ43" s="819"/>
      <c r="JQR43" s="819"/>
      <c r="JQS43" s="819"/>
      <c r="JQT43" s="819"/>
      <c r="JQU43" s="819"/>
      <c r="JQV43" s="819"/>
      <c r="JQW43" s="819"/>
      <c r="JQX43" s="819"/>
      <c r="JQY43" s="819"/>
      <c r="JQZ43" s="819"/>
      <c r="JRA43" s="819"/>
      <c r="JRB43" s="819"/>
      <c r="JRC43" s="819"/>
      <c r="JRD43" s="819"/>
      <c r="JRE43" s="819"/>
      <c r="JRF43" s="819"/>
      <c r="JRG43" s="819"/>
      <c r="JRH43" s="819"/>
      <c r="JRI43" s="819"/>
      <c r="JRJ43" s="819"/>
      <c r="JRK43" s="819"/>
      <c r="JRL43" s="819"/>
      <c r="JRM43" s="819"/>
      <c r="JRN43" s="819"/>
      <c r="JRO43" s="819"/>
      <c r="JRP43" s="819"/>
      <c r="JRQ43" s="819"/>
      <c r="JRR43" s="819"/>
      <c r="JRS43" s="819"/>
      <c r="JRT43" s="819"/>
      <c r="JRU43" s="819"/>
      <c r="JRV43" s="819"/>
      <c r="JRW43" s="819"/>
      <c r="JRX43" s="819"/>
      <c r="JRY43" s="819"/>
      <c r="JRZ43" s="819"/>
      <c r="JSA43" s="819"/>
      <c r="JSB43" s="819"/>
      <c r="JSC43" s="819"/>
      <c r="JSD43" s="819"/>
      <c r="JSE43" s="819"/>
      <c r="JSF43" s="819"/>
      <c r="JSG43" s="819"/>
      <c r="JSH43" s="819"/>
      <c r="JSI43" s="819"/>
      <c r="JSJ43" s="819"/>
      <c r="JSK43" s="819"/>
      <c r="JSL43" s="819"/>
      <c r="JSM43" s="819"/>
      <c r="JSN43" s="819"/>
      <c r="JSO43" s="819"/>
      <c r="JSP43" s="819"/>
      <c r="JSQ43" s="819"/>
      <c r="JSR43" s="819"/>
      <c r="JSS43" s="819"/>
      <c r="JST43" s="819"/>
      <c r="JSU43" s="819"/>
      <c r="JSV43" s="819"/>
      <c r="JSW43" s="819"/>
      <c r="JSX43" s="819"/>
      <c r="JSY43" s="819"/>
      <c r="JSZ43" s="819"/>
      <c r="JTA43" s="819"/>
      <c r="JTB43" s="819"/>
      <c r="JTC43" s="819"/>
      <c r="JTD43" s="819"/>
      <c r="JTE43" s="819"/>
      <c r="JTF43" s="819"/>
      <c r="JTG43" s="819"/>
      <c r="JTH43" s="819"/>
      <c r="JTI43" s="819"/>
      <c r="JTJ43" s="819"/>
      <c r="JTK43" s="819"/>
      <c r="JTL43" s="819"/>
      <c r="JTM43" s="819"/>
      <c r="JTN43" s="819"/>
      <c r="JTO43" s="819"/>
      <c r="JTP43" s="819"/>
      <c r="JTQ43" s="819"/>
      <c r="JTR43" s="819"/>
      <c r="JTS43" s="819"/>
      <c r="JTT43" s="819"/>
      <c r="JTU43" s="819"/>
      <c r="JTV43" s="819"/>
      <c r="JTW43" s="819"/>
      <c r="JTX43" s="819"/>
      <c r="JTY43" s="819"/>
      <c r="JTZ43" s="819"/>
      <c r="JUA43" s="819"/>
      <c r="JUB43" s="819"/>
      <c r="JUC43" s="819"/>
      <c r="JUD43" s="819"/>
      <c r="JUE43" s="819"/>
      <c r="JUF43" s="819"/>
      <c r="JUG43" s="819"/>
      <c r="JUH43" s="819"/>
      <c r="JUI43" s="819"/>
      <c r="JUJ43" s="819"/>
      <c r="JUK43" s="819"/>
      <c r="JUL43" s="819"/>
      <c r="JUM43" s="819"/>
      <c r="JUN43" s="819"/>
      <c r="JUO43" s="819"/>
      <c r="JUP43" s="819"/>
      <c r="JUQ43" s="819"/>
      <c r="JUR43" s="819"/>
      <c r="JUS43" s="819"/>
      <c r="JUT43" s="819"/>
      <c r="JUU43" s="819"/>
      <c r="JUV43" s="819"/>
      <c r="JUW43" s="819"/>
      <c r="JUX43" s="819"/>
      <c r="JUY43" s="819"/>
      <c r="JUZ43" s="819"/>
      <c r="JVA43" s="819"/>
      <c r="JVB43" s="819"/>
      <c r="JVC43" s="819"/>
      <c r="JVD43" s="819"/>
      <c r="JVE43" s="819"/>
      <c r="JVF43" s="819"/>
      <c r="JVG43" s="819"/>
      <c r="JVH43" s="819"/>
      <c r="JVI43" s="819"/>
      <c r="JVJ43" s="819"/>
      <c r="JVK43" s="819"/>
      <c r="JVL43" s="819"/>
      <c r="JVM43" s="819"/>
      <c r="JVN43" s="819"/>
      <c r="JVO43" s="819"/>
      <c r="JVP43" s="819"/>
      <c r="JVQ43" s="819"/>
      <c r="JVR43" s="819"/>
      <c r="JVS43" s="819"/>
      <c r="JVT43" s="819"/>
      <c r="JVU43" s="819"/>
      <c r="JVV43" s="819"/>
      <c r="JVW43" s="819"/>
      <c r="JVX43" s="819"/>
      <c r="JVY43" s="819"/>
      <c r="JVZ43" s="819"/>
      <c r="JWA43" s="819"/>
      <c r="JWB43" s="819"/>
      <c r="JWC43" s="819"/>
      <c r="JWD43" s="819"/>
      <c r="JWE43" s="819"/>
      <c r="JWF43" s="819"/>
      <c r="JWG43" s="819"/>
      <c r="JWH43" s="819"/>
      <c r="JWI43" s="819"/>
      <c r="JWJ43" s="819"/>
      <c r="JWK43" s="819"/>
      <c r="JWL43" s="819"/>
      <c r="JWM43" s="819"/>
      <c r="JWN43" s="819"/>
      <c r="JWO43" s="819"/>
      <c r="JWP43" s="819"/>
      <c r="JWQ43" s="819"/>
      <c r="JWR43" s="819"/>
      <c r="JWS43" s="819"/>
      <c r="JWT43" s="819"/>
      <c r="JWU43" s="819"/>
      <c r="JWV43" s="819"/>
      <c r="JWW43" s="819"/>
      <c r="JWX43" s="819"/>
      <c r="JWY43" s="819"/>
      <c r="JWZ43" s="819"/>
      <c r="JXA43" s="819"/>
      <c r="JXB43" s="819"/>
      <c r="JXC43" s="819"/>
      <c r="JXD43" s="819"/>
      <c r="JXE43" s="819"/>
      <c r="JXF43" s="819"/>
      <c r="JXG43" s="819"/>
      <c r="JXH43" s="819"/>
      <c r="JXI43" s="819"/>
      <c r="JXJ43" s="819"/>
      <c r="JXK43" s="819"/>
      <c r="JXL43" s="819"/>
      <c r="JXM43" s="819"/>
      <c r="JXN43" s="819"/>
      <c r="JXO43" s="819"/>
      <c r="JXP43" s="819"/>
      <c r="JXQ43" s="819"/>
      <c r="JXR43" s="819"/>
      <c r="JXS43" s="819"/>
      <c r="JXT43" s="819"/>
      <c r="JXU43" s="819"/>
      <c r="JXV43" s="819"/>
      <c r="JXW43" s="819"/>
      <c r="JXX43" s="819"/>
      <c r="JXY43" s="819"/>
      <c r="JXZ43" s="819"/>
      <c r="JYA43" s="819"/>
      <c r="JYB43" s="819"/>
      <c r="JYC43" s="819"/>
      <c r="JYD43" s="819"/>
      <c r="JYE43" s="819"/>
      <c r="JYF43" s="819"/>
      <c r="JYG43" s="819"/>
      <c r="JYH43" s="819"/>
      <c r="JYI43" s="819"/>
      <c r="JYJ43" s="819"/>
      <c r="JYK43" s="819"/>
      <c r="JYL43" s="819"/>
      <c r="JYM43" s="819"/>
      <c r="JYN43" s="819"/>
      <c r="JYO43" s="819"/>
      <c r="JYP43" s="819"/>
      <c r="JYQ43" s="819"/>
      <c r="JYR43" s="819"/>
      <c r="JYS43" s="819"/>
      <c r="JYT43" s="819"/>
      <c r="JYU43" s="819"/>
      <c r="JYV43" s="819"/>
      <c r="JYW43" s="819"/>
      <c r="JYX43" s="819"/>
      <c r="JYY43" s="819"/>
      <c r="JYZ43" s="819"/>
      <c r="JZA43" s="819"/>
      <c r="JZB43" s="819"/>
      <c r="JZC43" s="819"/>
      <c r="JZD43" s="819"/>
      <c r="JZE43" s="819"/>
      <c r="JZF43" s="819"/>
      <c r="JZG43" s="819"/>
      <c r="JZH43" s="819"/>
      <c r="JZI43" s="819"/>
      <c r="JZJ43" s="819"/>
      <c r="JZK43" s="819"/>
      <c r="JZL43" s="819"/>
      <c r="JZM43" s="819"/>
      <c r="JZN43" s="819"/>
      <c r="JZO43" s="819"/>
      <c r="JZP43" s="819"/>
      <c r="JZQ43" s="819"/>
      <c r="JZR43" s="819"/>
      <c r="JZS43" s="819"/>
      <c r="JZT43" s="819"/>
      <c r="JZU43" s="819"/>
      <c r="JZV43" s="819"/>
      <c r="JZW43" s="819"/>
      <c r="JZX43" s="819"/>
      <c r="JZY43" s="819"/>
      <c r="JZZ43" s="819"/>
      <c r="KAA43" s="819"/>
      <c r="KAB43" s="819"/>
      <c r="KAC43" s="819"/>
      <c r="KAD43" s="819"/>
      <c r="KAE43" s="819"/>
      <c r="KAF43" s="819"/>
      <c r="KAG43" s="819"/>
      <c r="KAH43" s="819"/>
      <c r="KAI43" s="819"/>
      <c r="KAJ43" s="819"/>
      <c r="KAK43" s="819"/>
      <c r="KAL43" s="819"/>
      <c r="KAM43" s="819"/>
      <c r="KAN43" s="819"/>
      <c r="KAO43" s="819"/>
      <c r="KAP43" s="819"/>
      <c r="KAQ43" s="819"/>
      <c r="KAR43" s="819"/>
      <c r="KAS43" s="819"/>
      <c r="KAT43" s="819"/>
      <c r="KAU43" s="819"/>
      <c r="KAV43" s="819"/>
      <c r="KAW43" s="819"/>
      <c r="KAX43" s="819"/>
      <c r="KAY43" s="819"/>
      <c r="KAZ43" s="819"/>
      <c r="KBA43" s="819"/>
      <c r="KBB43" s="819"/>
      <c r="KBC43" s="819"/>
      <c r="KBD43" s="819"/>
      <c r="KBE43" s="819"/>
      <c r="KBF43" s="819"/>
      <c r="KBG43" s="819"/>
      <c r="KBH43" s="819"/>
      <c r="KBI43" s="819"/>
      <c r="KBJ43" s="819"/>
      <c r="KBK43" s="819"/>
      <c r="KBL43" s="819"/>
      <c r="KBM43" s="819"/>
      <c r="KBN43" s="819"/>
      <c r="KBO43" s="819"/>
      <c r="KBP43" s="819"/>
      <c r="KBQ43" s="819"/>
      <c r="KBR43" s="819"/>
      <c r="KBS43" s="819"/>
      <c r="KBT43" s="819"/>
      <c r="KBU43" s="819"/>
      <c r="KBV43" s="819"/>
      <c r="KBW43" s="819"/>
      <c r="KBX43" s="819"/>
      <c r="KBY43" s="819"/>
      <c r="KBZ43" s="819"/>
      <c r="KCA43" s="819"/>
      <c r="KCB43" s="819"/>
      <c r="KCC43" s="819"/>
      <c r="KCD43" s="819"/>
      <c r="KCE43" s="819"/>
      <c r="KCF43" s="819"/>
      <c r="KCG43" s="819"/>
      <c r="KCH43" s="819"/>
      <c r="KCI43" s="819"/>
      <c r="KCJ43" s="819"/>
      <c r="KCK43" s="819"/>
      <c r="KCL43" s="819"/>
      <c r="KCM43" s="819"/>
      <c r="KCN43" s="819"/>
      <c r="KCO43" s="819"/>
      <c r="KCP43" s="819"/>
      <c r="KCQ43" s="819"/>
      <c r="KCR43" s="819"/>
      <c r="KCS43" s="819"/>
      <c r="KCT43" s="819"/>
      <c r="KCU43" s="819"/>
      <c r="KCV43" s="819"/>
      <c r="KCW43" s="819"/>
      <c r="KCX43" s="819"/>
      <c r="KCY43" s="819"/>
      <c r="KCZ43" s="819"/>
      <c r="KDA43" s="819"/>
      <c r="KDB43" s="819"/>
      <c r="KDC43" s="819"/>
      <c r="KDD43" s="819"/>
      <c r="KDE43" s="819"/>
      <c r="KDF43" s="819"/>
      <c r="KDG43" s="819"/>
      <c r="KDH43" s="819"/>
      <c r="KDI43" s="819"/>
      <c r="KDJ43" s="819"/>
      <c r="KDK43" s="819"/>
      <c r="KDL43" s="819"/>
      <c r="KDM43" s="819"/>
      <c r="KDN43" s="819"/>
      <c r="KDO43" s="819"/>
      <c r="KDP43" s="819"/>
      <c r="KDQ43" s="819"/>
      <c r="KDR43" s="819"/>
      <c r="KDS43" s="819"/>
      <c r="KDT43" s="819"/>
      <c r="KDU43" s="819"/>
      <c r="KDV43" s="819"/>
      <c r="KDW43" s="819"/>
      <c r="KDX43" s="819"/>
      <c r="KDY43" s="819"/>
      <c r="KDZ43" s="819"/>
      <c r="KEA43" s="819"/>
      <c r="KEB43" s="819"/>
      <c r="KEC43" s="819"/>
      <c r="KED43" s="819"/>
      <c r="KEE43" s="819"/>
      <c r="KEF43" s="819"/>
      <c r="KEG43" s="819"/>
      <c r="KEH43" s="819"/>
      <c r="KEI43" s="819"/>
      <c r="KEJ43" s="819"/>
      <c r="KEK43" s="819"/>
      <c r="KEL43" s="819"/>
      <c r="KEM43" s="819"/>
      <c r="KEN43" s="819"/>
      <c r="KEO43" s="819"/>
      <c r="KEP43" s="819"/>
      <c r="KEQ43" s="819"/>
      <c r="KER43" s="819"/>
      <c r="KES43" s="819"/>
      <c r="KET43" s="819"/>
      <c r="KEU43" s="819"/>
      <c r="KEV43" s="819"/>
      <c r="KEW43" s="819"/>
      <c r="KEX43" s="819"/>
      <c r="KEY43" s="819"/>
      <c r="KEZ43" s="819"/>
      <c r="KFA43" s="819"/>
      <c r="KFB43" s="819"/>
      <c r="KFC43" s="819"/>
      <c r="KFD43" s="819"/>
      <c r="KFE43" s="819"/>
      <c r="KFF43" s="819"/>
      <c r="KFG43" s="819"/>
      <c r="KFH43" s="819"/>
      <c r="KFI43" s="819"/>
      <c r="KFJ43" s="819"/>
      <c r="KFK43" s="819"/>
      <c r="KFL43" s="819"/>
      <c r="KFM43" s="819"/>
      <c r="KFN43" s="819"/>
      <c r="KFO43" s="819"/>
      <c r="KFP43" s="819"/>
      <c r="KFQ43" s="819"/>
      <c r="KFR43" s="819"/>
      <c r="KFS43" s="819"/>
      <c r="KFT43" s="819"/>
      <c r="KFU43" s="819"/>
      <c r="KFV43" s="819"/>
      <c r="KFW43" s="819"/>
      <c r="KFX43" s="819"/>
      <c r="KFY43" s="819"/>
      <c r="KFZ43" s="819"/>
      <c r="KGA43" s="819"/>
      <c r="KGB43" s="819"/>
      <c r="KGC43" s="819"/>
      <c r="KGD43" s="819"/>
      <c r="KGE43" s="819"/>
      <c r="KGF43" s="819"/>
      <c r="KGG43" s="819"/>
      <c r="KGH43" s="819"/>
      <c r="KGI43" s="819"/>
      <c r="KGJ43" s="819"/>
      <c r="KGK43" s="819"/>
      <c r="KGL43" s="819"/>
      <c r="KGM43" s="819"/>
      <c r="KGN43" s="819"/>
      <c r="KGO43" s="819"/>
      <c r="KGP43" s="819"/>
      <c r="KGQ43" s="819"/>
      <c r="KGR43" s="819"/>
      <c r="KGS43" s="819"/>
      <c r="KGT43" s="819"/>
      <c r="KGU43" s="819"/>
      <c r="KGV43" s="819"/>
      <c r="KGW43" s="819"/>
      <c r="KGX43" s="819"/>
      <c r="KGY43" s="819"/>
      <c r="KGZ43" s="819"/>
      <c r="KHA43" s="819"/>
      <c r="KHB43" s="819"/>
      <c r="KHC43" s="819"/>
      <c r="KHD43" s="819"/>
      <c r="KHE43" s="819"/>
      <c r="KHF43" s="819"/>
      <c r="KHG43" s="819"/>
      <c r="KHH43" s="819"/>
      <c r="KHI43" s="819"/>
      <c r="KHJ43" s="819"/>
      <c r="KHK43" s="819"/>
      <c r="KHL43" s="819"/>
      <c r="KHM43" s="819"/>
      <c r="KHN43" s="819"/>
      <c r="KHO43" s="819"/>
      <c r="KHP43" s="819"/>
      <c r="KHQ43" s="819"/>
      <c r="KHR43" s="819"/>
      <c r="KHS43" s="819"/>
      <c r="KHT43" s="819"/>
      <c r="KHU43" s="819"/>
      <c r="KHV43" s="819"/>
      <c r="KHW43" s="819"/>
      <c r="KHX43" s="819"/>
      <c r="KHY43" s="819"/>
      <c r="KHZ43" s="819"/>
      <c r="KIA43" s="819"/>
      <c r="KIB43" s="819"/>
      <c r="KIC43" s="819"/>
      <c r="KID43" s="819"/>
      <c r="KIE43" s="819"/>
      <c r="KIF43" s="819"/>
      <c r="KIG43" s="819"/>
      <c r="KIH43" s="819"/>
      <c r="KII43" s="819"/>
      <c r="KIJ43" s="819"/>
      <c r="KIK43" s="819"/>
      <c r="KIL43" s="819"/>
      <c r="KIM43" s="819"/>
      <c r="KIN43" s="819"/>
      <c r="KIO43" s="819"/>
      <c r="KIP43" s="819"/>
      <c r="KIQ43" s="819"/>
      <c r="KIR43" s="819"/>
      <c r="KIS43" s="819"/>
      <c r="KIT43" s="819"/>
      <c r="KIU43" s="819"/>
      <c r="KIV43" s="819"/>
      <c r="KIW43" s="819"/>
      <c r="KIX43" s="819"/>
      <c r="KIY43" s="819"/>
      <c r="KIZ43" s="819"/>
      <c r="KJA43" s="819"/>
      <c r="KJB43" s="819"/>
      <c r="KJC43" s="819"/>
      <c r="KJD43" s="819"/>
      <c r="KJE43" s="819"/>
      <c r="KJF43" s="819"/>
      <c r="KJG43" s="819"/>
      <c r="KJH43" s="819"/>
      <c r="KJI43" s="819"/>
      <c r="KJJ43" s="819"/>
      <c r="KJK43" s="819"/>
      <c r="KJL43" s="819"/>
      <c r="KJM43" s="819"/>
      <c r="KJN43" s="819"/>
      <c r="KJO43" s="819"/>
      <c r="KJP43" s="819"/>
      <c r="KJQ43" s="819"/>
      <c r="KJR43" s="819"/>
      <c r="KJS43" s="819"/>
      <c r="KJT43" s="819"/>
      <c r="KJU43" s="819"/>
      <c r="KJV43" s="819"/>
      <c r="KJW43" s="819"/>
      <c r="KJX43" s="819"/>
      <c r="KJY43" s="819"/>
      <c r="KJZ43" s="819"/>
      <c r="KKA43" s="819"/>
      <c r="KKB43" s="819"/>
      <c r="KKC43" s="819"/>
      <c r="KKD43" s="819"/>
      <c r="KKE43" s="819"/>
      <c r="KKF43" s="819"/>
      <c r="KKG43" s="819"/>
      <c r="KKH43" s="819"/>
      <c r="KKI43" s="819"/>
      <c r="KKJ43" s="819"/>
      <c r="KKK43" s="819"/>
      <c r="KKL43" s="819"/>
      <c r="KKM43" s="819"/>
      <c r="KKN43" s="819"/>
      <c r="KKO43" s="819"/>
      <c r="KKP43" s="819"/>
      <c r="KKQ43" s="819"/>
      <c r="KKR43" s="819"/>
      <c r="KKS43" s="819"/>
      <c r="KKT43" s="819"/>
      <c r="KKU43" s="819"/>
      <c r="KKV43" s="819"/>
      <c r="KKW43" s="819"/>
      <c r="KKX43" s="819"/>
      <c r="KKY43" s="819"/>
      <c r="KKZ43" s="819"/>
      <c r="KLA43" s="819"/>
      <c r="KLB43" s="819"/>
      <c r="KLC43" s="819"/>
      <c r="KLD43" s="819"/>
      <c r="KLE43" s="819"/>
      <c r="KLF43" s="819"/>
      <c r="KLG43" s="819"/>
      <c r="KLH43" s="819"/>
      <c r="KLI43" s="819"/>
      <c r="KLJ43" s="819"/>
      <c r="KLK43" s="819"/>
      <c r="KLL43" s="819"/>
      <c r="KLM43" s="819"/>
      <c r="KLN43" s="819"/>
      <c r="KLO43" s="819"/>
      <c r="KLP43" s="819"/>
      <c r="KLQ43" s="819"/>
      <c r="KLR43" s="819"/>
      <c r="KLS43" s="819"/>
      <c r="KLT43" s="819"/>
      <c r="KLU43" s="819"/>
      <c r="KLV43" s="819"/>
      <c r="KLW43" s="819"/>
      <c r="KLX43" s="819"/>
      <c r="KLY43" s="819"/>
      <c r="KLZ43" s="819"/>
      <c r="KMA43" s="819"/>
      <c r="KMB43" s="819"/>
      <c r="KMC43" s="819"/>
      <c r="KMD43" s="819"/>
      <c r="KME43" s="819"/>
      <c r="KMF43" s="819"/>
      <c r="KMG43" s="819"/>
      <c r="KMH43" s="819"/>
      <c r="KMI43" s="819"/>
      <c r="KMJ43" s="819"/>
      <c r="KMK43" s="819"/>
      <c r="KML43" s="819"/>
      <c r="KMM43" s="819"/>
      <c r="KMN43" s="819"/>
      <c r="KMO43" s="819"/>
      <c r="KMP43" s="819"/>
      <c r="KMQ43" s="819"/>
      <c r="KMR43" s="819"/>
      <c r="KMS43" s="819"/>
      <c r="KMT43" s="819"/>
      <c r="KMU43" s="819"/>
      <c r="KMV43" s="819"/>
      <c r="KMW43" s="819"/>
      <c r="KMX43" s="819"/>
      <c r="KMY43" s="819"/>
      <c r="KMZ43" s="819"/>
      <c r="KNA43" s="819"/>
      <c r="KNB43" s="819"/>
      <c r="KNC43" s="819"/>
      <c r="KND43" s="819"/>
      <c r="KNE43" s="819"/>
      <c r="KNF43" s="819"/>
      <c r="KNG43" s="819"/>
      <c r="KNH43" s="819"/>
      <c r="KNI43" s="819"/>
      <c r="KNJ43" s="819"/>
      <c r="KNK43" s="819"/>
      <c r="KNL43" s="819"/>
      <c r="KNM43" s="819"/>
      <c r="KNN43" s="819"/>
      <c r="KNO43" s="819"/>
      <c r="KNP43" s="819"/>
      <c r="KNQ43" s="819"/>
      <c r="KNR43" s="819"/>
      <c r="KNS43" s="819"/>
      <c r="KNT43" s="819"/>
      <c r="KNU43" s="819"/>
      <c r="KNV43" s="819"/>
      <c r="KNW43" s="819"/>
      <c r="KNX43" s="819"/>
      <c r="KNY43" s="819"/>
      <c r="KNZ43" s="819"/>
      <c r="KOA43" s="819"/>
      <c r="KOB43" s="819"/>
      <c r="KOC43" s="819"/>
      <c r="KOD43" s="819"/>
      <c r="KOE43" s="819"/>
      <c r="KOF43" s="819"/>
      <c r="KOG43" s="819"/>
      <c r="KOH43" s="819"/>
      <c r="KOI43" s="819"/>
      <c r="KOJ43" s="819"/>
      <c r="KOK43" s="819"/>
      <c r="KOL43" s="819"/>
      <c r="KOM43" s="819"/>
      <c r="KON43" s="819"/>
      <c r="KOO43" s="819"/>
      <c r="KOP43" s="819"/>
      <c r="KOQ43" s="819"/>
      <c r="KOR43" s="819"/>
      <c r="KOS43" s="819"/>
      <c r="KOT43" s="819"/>
      <c r="KOU43" s="819"/>
      <c r="KOV43" s="819"/>
      <c r="KOW43" s="819"/>
      <c r="KOX43" s="819"/>
      <c r="KOY43" s="819"/>
      <c r="KOZ43" s="819"/>
      <c r="KPA43" s="819"/>
      <c r="KPB43" s="819"/>
      <c r="KPC43" s="819"/>
      <c r="KPD43" s="819"/>
      <c r="KPE43" s="819"/>
      <c r="KPF43" s="819"/>
      <c r="KPG43" s="819"/>
      <c r="KPH43" s="819"/>
      <c r="KPI43" s="819"/>
      <c r="KPJ43" s="819"/>
      <c r="KPK43" s="819"/>
      <c r="KPL43" s="819"/>
      <c r="KPM43" s="819"/>
      <c r="KPN43" s="819"/>
      <c r="KPO43" s="819"/>
      <c r="KPP43" s="819"/>
      <c r="KPQ43" s="819"/>
      <c r="KPR43" s="819"/>
      <c r="KPS43" s="819"/>
      <c r="KPT43" s="819"/>
      <c r="KPU43" s="819"/>
      <c r="KPV43" s="819"/>
      <c r="KPW43" s="819"/>
      <c r="KPX43" s="819"/>
      <c r="KPY43" s="819"/>
      <c r="KPZ43" s="819"/>
      <c r="KQA43" s="819"/>
      <c r="KQB43" s="819"/>
      <c r="KQC43" s="819"/>
      <c r="KQD43" s="819"/>
      <c r="KQE43" s="819"/>
      <c r="KQF43" s="819"/>
      <c r="KQG43" s="819"/>
      <c r="KQH43" s="819"/>
      <c r="KQI43" s="819"/>
      <c r="KQJ43" s="819"/>
      <c r="KQK43" s="819"/>
      <c r="KQL43" s="819"/>
      <c r="KQM43" s="819"/>
      <c r="KQN43" s="819"/>
      <c r="KQO43" s="819"/>
      <c r="KQP43" s="819"/>
      <c r="KQQ43" s="819"/>
      <c r="KQR43" s="819"/>
      <c r="KQS43" s="819"/>
      <c r="KQT43" s="819"/>
      <c r="KQU43" s="819"/>
      <c r="KQV43" s="819"/>
      <c r="KQW43" s="819"/>
      <c r="KQX43" s="819"/>
      <c r="KQY43" s="819"/>
      <c r="KQZ43" s="819"/>
      <c r="KRA43" s="819"/>
      <c r="KRB43" s="819"/>
      <c r="KRC43" s="819"/>
      <c r="KRD43" s="819"/>
      <c r="KRE43" s="819"/>
      <c r="KRF43" s="819"/>
      <c r="KRG43" s="819"/>
      <c r="KRH43" s="819"/>
      <c r="KRI43" s="819"/>
      <c r="KRJ43" s="819"/>
      <c r="KRK43" s="819"/>
      <c r="KRL43" s="819"/>
      <c r="KRM43" s="819"/>
      <c r="KRN43" s="819"/>
      <c r="KRO43" s="819"/>
      <c r="KRP43" s="819"/>
      <c r="KRQ43" s="819"/>
      <c r="KRR43" s="819"/>
      <c r="KRS43" s="819"/>
      <c r="KRT43" s="819"/>
      <c r="KRU43" s="819"/>
      <c r="KRV43" s="819"/>
      <c r="KRW43" s="819"/>
      <c r="KRX43" s="819"/>
      <c r="KRY43" s="819"/>
      <c r="KRZ43" s="819"/>
      <c r="KSA43" s="819"/>
      <c r="KSB43" s="819"/>
      <c r="KSC43" s="819"/>
      <c r="KSD43" s="819"/>
      <c r="KSE43" s="819"/>
      <c r="KSF43" s="819"/>
      <c r="KSG43" s="819"/>
      <c r="KSH43" s="819"/>
      <c r="KSI43" s="819"/>
      <c r="KSJ43" s="819"/>
      <c r="KSK43" s="819"/>
      <c r="KSL43" s="819"/>
      <c r="KSM43" s="819"/>
      <c r="KSN43" s="819"/>
      <c r="KSO43" s="819"/>
      <c r="KSP43" s="819"/>
      <c r="KSQ43" s="819"/>
      <c r="KSR43" s="819"/>
      <c r="KSS43" s="819"/>
      <c r="KST43" s="819"/>
      <c r="KSU43" s="819"/>
      <c r="KSV43" s="819"/>
      <c r="KSW43" s="819"/>
      <c r="KSX43" s="819"/>
      <c r="KSY43" s="819"/>
      <c r="KSZ43" s="819"/>
      <c r="KTA43" s="819"/>
      <c r="KTB43" s="819"/>
      <c r="KTC43" s="819"/>
      <c r="KTD43" s="819"/>
      <c r="KTE43" s="819"/>
      <c r="KTF43" s="819"/>
      <c r="KTG43" s="819"/>
      <c r="KTH43" s="819"/>
      <c r="KTI43" s="819"/>
      <c r="KTJ43" s="819"/>
      <c r="KTK43" s="819"/>
      <c r="KTL43" s="819"/>
      <c r="KTM43" s="819"/>
      <c r="KTN43" s="819"/>
      <c r="KTO43" s="819"/>
      <c r="KTP43" s="819"/>
      <c r="KTQ43" s="819"/>
      <c r="KTR43" s="819"/>
      <c r="KTS43" s="819"/>
      <c r="KTT43" s="819"/>
      <c r="KTU43" s="819"/>
      <c r="KTV43" s="819"/>
      <c r="KTW43" s="819"/>
      <c r="KTX43" s="819"/>
      <c r="KTY43" s="819"/>
      <c r="KTZ43" s="819"/>
      <c r="KUA43" s="819"/>
      <c r="KUB43" s="819"/>
      <c r="KUC43" s="819"/>
      <c r="KUD43" s="819"/>
      <c r="KUE43" s="819"/>
      <c r="KUF43" s="819"/>
      <c r="KUG43" s="819"/>
      <c r="KUH43" s="819"/>
      <c r="KUI43" s="819"/>
      <c r="KUJ43" s="819"/>
      <c r="KUK43" s="819"/>
      <c r="KUL43" s="819"/>
      <c r="KUM43" s="819"/>
      <c r="KUN43" s="819"/>
      <c r="KUO43" s="819"/>
      <c r="KUP43" s="819"/>
      <c r="KUQ43" s="819"/>
      <c r="KUR43" s="819"/>
      <c r="KUS43" s="819"/>
      <c r="KUT43" s="819"/>
      <c r="KUU43" s="819"/>
      <c r="KUV43" s="819"/>
      <c r="KUW43" s="819"/>
      <c r="KUX43" s="819"/>
      <c r="KUY43" s="819"/>
      <c r="KUZ43" s="819"/>
      <c r="KVA43" s="819"/>
      <c r="KVB43" s="819"/>
      <c r="KVC43" s="819"/>
      <c r="KVD43" s="819"/>
      <c r="KVE43" s="819"/>
      <c r="KVF43" s="819"/>
      <c r="KVG43" s="819"/>
      <c r="KVH43" s="819"/>
      <c r="KVI43" s="819"/>
      <c r="KVJ43" s="819"/>
      <c r="KVK43" s="819"/>
      <c r="KVL43" s="819"/>
      <c r="KVM43" s="819"/>
      <c r="KVN43" s="819"/>
      <c r="KVO43" s="819"/>
      <c r="KVP43" s="819"/>
      <c r="KVQ43" s="819"/>
      <c r="KVR43" s="819"/>
      <c r="KVS43" s="819"/>
      <c r="KVT43" s="819"/>
      <c r="KVU43" s="819"/>
      <c r="KVV43" s="819"/>
      <c r="KVW43" s="819"/>
      <c r="KVX43" s="819"/>
      <c r="KVY43" s="819"/>
      <c r="KVZ43" s="819"/>
      <c r="KWA43" s="819"/>
      <c r="KWB43" s="819"/>
      <c r="KWC43" s="819"/>
      <c r="KWD43" s="819"/>
      <c r="KWE43" s="819"/>
      <c r="KWF43" s="819"/>
      <c r="KWG43" s="819"/>
      <c r="KWH43" s="819"/>
      <c r="KWI43" s="819"/>
      <c r="KWJ43" s="819"/>
      <c r="KWK43" s="819"/>
      <c r="KWL43" s="819"/>
      <c r="KWM43" s="819"/>
      <c r="KWN43" s="819"/>
      <c r="KWO43" s="819"/>
      <c r="KWP43" s="819"/>
      <c r="KWQ43" s="819"/>
      <c r="KWR43" s="819"/>
      <c r="KWS43" s="819"/>
      <c r="KWT43" s="819"/>
      <c r="KWU43" s="819"/>
      <c r="KWV43" s="819"/>
      <c r="KWW43" s="819"/>
      <c r="KWX43" s="819"/>
      <c r="KWY43" s="819"/>
      <c r="KWZ43" s="819"/>
      <c r="KXA43" s="819"/>
      <c r="KXB43" s="819"/>
      <c r="KXC43" s="819"/>
      <c r="KXD43" s="819"/>
      <c r="KXE43" s="819"/>
      <c r="KXF43" s="819"/>
      <c r="KXG43" s="819"/>
      <c r="KXH43" s="819"/>
      <c r="KXI43" s="819"/>
      <c r="KXJ43" s="819"/>
      <c r="KXK43" s="819"/>
      <c r="KXL43" s="819"/>
      <c r="KXM43" s="819"/>
      <c r="KXN43" s="819"/>
      <c r="KXO43" s="819"/>
      <c r="KXP43" s="819"/>
      <c r="KXQ43" s="819"/>
      <c r="KXR43" s="819"/>
      <c r="KXS43" s="819"/>
      <c r="KXT43" s="819"/>
      <c r="KXU43" s="819"/>
      <c r="KXV43" s="819"/>
      <c r="KXW43" s="819"/>
      <c r="KXX43" s="819"/>
      <c r="KXY43" s="819"/>
      <c r="KXZ43" s="819"/>
      <c r="KYA43" s="819"/>
      <c r="KYB43" s="819"/>
      <c r="KYC43" s="819"/>
      <c r="KYD43" s="819"/>
      <c r="KYE43" s="819"/>
      <c r="KYF43" s="819"/>
      <c r="KYG43" s="819"/>
      <c r="KYH43" s="819"/>
      <c r="KYI43" s="819"/>
      <c r="KYJ43" s="819"/>
      <c r="KYK43" s="819"/>
      <c r="KYL43" s="819"/>
      <c r="KYM43" s="819"/>
      <c r="KYN43" s="819"/>
      <c r="KYO43" s="819"/>
      <c r="KYP43" s="819"/>
      <c r="KYQ43" s="819"/>
      <c r="KYR43" s="819"/>
      <c r="KYS43" s="819"/>
      <c r="KYT43" s="819"/>
      <c r="KYU43" s="819"/>
      <c r="KYV43" s="819"/>
      <c r="KYW43" s="819"/>
      <c r="KYX43" s="819"/>
      <c r="KYY43" s="819"/>
      <c r="KYZ43" s="819"/>
      <c r="KZA43" s="819"/>
      <c r="KZB43" s="819"/>
      <c r="KZC43" s="819"/>
      <c r="KZD43" s="819"/>
      <c r="KZE43" s="819"/>
      <c r="KZF43" s="819"/>
      <c r="KZG43" s="819"/>
      <c r="KZH43" s="819"/>
      <c r="KZI43" s="819"/>
      <c r="KZJ43" s="819"/>
      <c r="KZK43" s="819"/>
      <c r="KZL43" s="819"/>
      <c r="KZM43" s="819"/>
      <c r="KZN43" s="819"/>
      <c r="KZO43" s="819"/>
      <c r="KZP43" s="819"/>
      <c r="KZQ43" s="819"/>
      <c r="KZR43" s="819"/>
      <c r="KZS43" s="819"/>
      <c r="KZT43" s="819"/>
      <c r="KZU43" s="819"/>
      <c r="KZV43" s="819"/>
      <c r="KZW43" s="819"/>
      <c r="KZX43" s="819"/>
      <c r="KZY43" s="819"/>
      <c r="KZZ43" s="819"/>
      <c r="LAA43" s="819"/>
      <c r="LAB43" s="819"/>
      <c r="LAC43" s="819"/>
      <c r="LAD43" s="819"/>
      <c r="LAE43" s="819"/>
      <c r="LAF43" s="819"/>
      <c r="LAG43" s="819"/>
      <c r="LAH43" s="819"/>
      <c r="LAI43" s="819"/>
      <c r="LAJ43" s="819"/>
      <c r="LAK43" s="819"/>
      <c r="LAL43" s="819"/>
      <c r="LAM43" s="819"/>
      <c r="LAN43" s="819"/>
      <c r="LAO43" s="819"/>
      <c r="LAP43" s="819"/>
      <c r="LAQ43" s="819"/>
      <c r="LAR43" s="819"/>
      <c r="LAS43" s="819"/>
      <c r="LAT43" s="819"/>
      <c r="LAU43" s="819"/>
      <c r="LAV43" s="819"/>
      <c r="LAW43" s="819"/>
      <c r="LAX43" s="819"/>
      <c r="LAY43" s="819"/>
      <c r="LAZ43" s="819"/>
      <c r="LBA43" s="819"/>
      <c r="LBB43" s="819"/>
      <c r="LBC43" s="819"/>
      <c r="LBD43" s="819"/>
      <c r="LBE43" s="819"/>
      <c r="LBF43" s="819"/>
      <c r="LBG43" s="819"/>
      <c r="LBH43" s="819"/>
      <c r="LBI43" s="819"/>
      <c r="LBJ43" s="819"/>
      <c r="LBK43" s="819"/>
      <c r="LBL43" s="819"/>
      <c r="LBM43" s="819"/>
      <c r="LBN43" s="819"/>
      <c r="LBO43" s="819"/>
      <c r="LBP43" s="819"/>
      <c r="LBQ43" s="819"/>
      <c r="LBR43" s="819"/>
      <c r="LBS43" s="819"/>
      <c r="LBT43" s="819"/>
      <c r="LBU43" s="819"/>
      <c r="LBV43" s="819"/>
      <c r="LBW43" s="819"/>
      <c r="LBX43" s="819"/>
      <c r="LBY43" s="819"/>
      <c r="LBZ43" s="819"/>
      <c r="LCA43" s="819"/>
      <c r="LCB43" s="819"/>
      <c r="LCC43" s="819"/>
      <c r="LCD43" s="819"/>
      <c r="LCE43" s="819"/>
      <c r="LCF43" s="819"/>
      <c r="LCG43" s="819"/>
      <c r="LCH43" s="819"/>
      <c r="LCI43" s="819"/>
      <c r="LCJ43" s="819"/>
      <c r="LCK43" s="819"/>
      <c r="LCL43" s="819"/>
      <c r="LCM43" s="819"/>
      <c r="LCN43" s="819"/>
      <c r="LCO43" s="819"/>
      <c r="LCP43" s="819"/>
      <c r="LCQ43" s="819"/>
      <c r="LCR43" s="819"/>
      <c r="LCS43" s="819"/>
      <c r="LCT43" s="819"/>
      <c r="LCU43" s="819"/>
      <c r="LCV43" s="819"/>
      <c r="LCW43" s="819"/>
      <c r="LCX43" s="819"/>
      <c r="LCY43" s="819"/>
      <c r="LCZ43" s="819"/>
      <c r="LDA43" s="819"/>
      <c r="LDB43" s="819"/>
      <c r="LDC43" s="819"/>
      <c r="LDD43" s="819"/>
      <c r="LDE43" s="819"/>
      <c r="LDF43" s="819"/>
      <c r="LDG43" s="819"/>
      <c r="LDH43" s="819"/>
      <c r="LDI43" s="819"/>
      <c r="LDJ43" s="819"/>
      <c r="LDK43" s="819"/>
      <c r="LDL43" s="819"/>
      <c r="LDM43" s="819"/>
      <c r="LDN43" s="819"/>
      <c r="LDO43" s="819"/>
      <c r="LDP43" s="819"/>
      <c r="LDQ43" s="819"/>
      <c r="LDR43" s="819"/>
      <c r="LDS43" s="819"/>
      <c r="LDT43" s="819"/>
      <c r="LDU43" s="819"/>
      <c r="LDV43" s="819"/>
      <c r="LDW43" s="819"/>
      <c r="LDX43" s="819"/>
      <c r="LDY43" s="819"/>
      <c r="LDZ43" s="819"/>
      <c r="LEA43" s="819"/>
      <c r="LEB43" s="819"/>
      <c r="LEC43" s="819"/>
      <c r="LED43" s="819"/>
      <c r="LEE43" s="819"/>
      <c r="LEF43" s="819"/>
      <c r="LEG43" s="819"/>
      <c r="LEH43" s="819"/>
      <c r="LEI43" s="819"/>
      <c r="LEJ43" s="819"/>
      <c r="LEK43" s="819"/>
      <c r="LEL43" s="819"/>
      <c r="LEM43" s="819"/>
      <c r="LEN43" s="819"/>
      <c r="LEO43" s="819"/>
      <c r="LEP43" s="819"/>
      <c r="LEQ43" s="819"/>
      <c r="LER43" s="819"/>
      <c r="LES43" s="819"/>
      <c r="LET43" s="819"/>
      <c r="LEU43" s="819"/>
      <c r="LEV43" s="819"/>
      <c r="LEW43" s="819"/>
      <c r="LEX43" s="819"/>
      <c r="LEY43" s="819"/>
      <c r="LEZ43" s="819"/>
      <c r="LFA43" s="819"/>
      <c r="LFB43" s="819"/>
      <c r="LFC43" s="819"/>
      <c r="LFD43" s="819"/>
      <c r="LFE43" s="819"/>
      <c r="LFF43" s="819"/>
      <c r="LFG43" s="819"/>
      <c r="LFH43" s="819"/>
      <c r="LFI43" s="819"/>
      <c r="LFJ43" s="819"/>
      <c r="LFK43" s="819"/>
      <c r="LFL43" s="819"/>
      <c r="LFM43" s="819"/>
      <c r="LFN43" s="819"/>
      <c r="LFO43" s="819"/>
      <c r="LFP43" s="819"/>
      <c r="LFQ43" s="819"/>
      <c r="LFR43" s="819"/>
      <c r="LFS43" s="819"/>
      <c r="LFT43" s="819"/>
      <c r="LFU43" s="819"/>
      <c r="LFV43" s="819"/>
      <c r="LFW43" s="819"/>
      <c r="LFX43" s="819"/>
      <c r="LFY43" s="819"/>
      <c r="LFZ43" s="819"/>
      <c r="LGA43" s="819"/>
      <c r="LGB43" s="819"/>
      <c r="LGC43" s="819"/>
      <c r="LGD43" s="819"/>
      <c r="LGE43" s="819"/>
      <c r="LGF43" s="819"/>
      <c r="LGG43" s="819"/>
      <c r="LGH43" s="819"/>
      <c r="LGI43" s="819"/>
      <c r="LGJ43" s="819"/>
      <c r="LGK43" s="819"/>
      <c r="LGL43" s="819"/>
      <c r="LGM43" s="819"/>
      <c r="LGN43" s="819"/>
      <c r="LGO43" s="819"/>
      <c r="LGP43" s="819"/>
      <c r="LGQ43" s="819"/>
      <c r="LGR43" s="819"/>
      <c r="LGS43" s="819"/>
      <c r="LGT43" s="819"/>
      <c r="LGU43" s="819"/>
      <c r="LGV43" s="819"/>
      <c r="LGW43" s="819"/>
      <c r="LGX43" s="819"/>
      <c r="LGY43" s="819"/>
      <c r="LGZ43" s="819"/>
      <c r="LHA43" s="819"/>
      <c r="LHB43" s="819"/>
      <c r="LHC43" s="819"/>
      <c r="LHD43" s="819"/>
      <c r="LHE43" s="819"/>
      <c r="LHF43" s="819"/>
      <c r="LHG43" s="819"/>
      <c r="LHH43" s="819"/>
      <c r="LHI43" s="819"/>
      <c r="LHJ43" s="819"/>
      <c r="LHK43" s="819"/>
      <c r="LHL43" s="819"/>
      <c r="LHM43" s="819"/>
      <c r="LHN43" s="819"/>
      <c r="LHO43" s="819"/>
      <c r="LHP43" s="819"/>
      <c r="LHQ43" s="819"/>
      <c r="LHR43" s="819"/>
      <c r="LHS43" s="819"/>
      <c r="LHT43" s="819"/>
      <c r="LHU43" s="819"/>
      <c r="LHV43" s="819"/>
      <c r="LHW43" s="819"/>
      <c r="LHX43" s="819"/>
      <c r="LHY43" s="819"/>
      <c r="LHZ43" s="819"/>
      <c r="LIA43" s="819"/>
      <c r="LIB43" s="819"/>
      <c r="LIC43" s="819"/>
      <c r="LID43" s="819"/>
      <c r="LIE43" s="819"/>
      <c r="LIF43" s="819"/>
      <c r="LIG43" s="819"/>
      <c r="LIH43" s="819"/>
      <c r="LII43" s="819"/>
      <c r="LIJ43" s="819"/>
      <c r="LIK43" s="819"/>
      <c r="LIL43" s="819"/>
      <c r="LIM43" s="819"/>
      <c r="LIN43" s="819"/>
      <c r="LIO43" s="819"/>
      <c r="LIP43" s="819"/>
      <c r="LIQ43" s="819"/>
      <c r="LIR43" s="819"/>
      <c r="LIS43" s="819"/>
      <c r="LIT43" s="819"/>
      <c r="LIU43" s="819"/>
      <c r="LIV43" s="819"/>
      <c r="LIW43" s="819"/>
      <c r="LIX43" s="819"/>
      <c r="LIY43" s="819"/>
      <c r="LIZ43" s="819"/>
      <c r="LJA43" s="819"/>
      <c r="LJB43" s="819"/>
      <c r="LJC43" s="819"/>
      <c r="LJD43" s="819"/>
      <c r="LJE43" s="819"/>
      <c r="LJF43" s="819"/>
      <c r="LJG43" s="819"/>
      <c r="LJH43" s="819"/>
      <c r="LJI43" s="819"/>
      <c r="LJJ43" s="819"/>
      <c r="LJK43" s="819"/>
      <c r="LJL43" s="819"/>
      <c r="LJM43" s="819"/>
      <c r="LJN43" s="819"/>
      <c r="LJO43" s="819"/>
      <c r="LJP43" s="819"/>
      <c r="LJQ43" s="819"/>
      <c r="LJR43" s="819"/>
      <c r="LJS43" s="819"/>
      <c r="LJT43" s="819"/>
      <c r="LJU43" s="819"/>
      <c r="LJV43" s="819"/>
      <c r="LJW43" s="819"/>
      <c r="LJX43" s="819"/>
      <c r="LJY43" s="819"/>
      <c r="LJZ43" s="819"/>
      <c r="LKA43" s="819"/>
      <c r="LKB43" s="819"/>
      <c r="LKC43" s="819"/>
      <c r="LKD43" s="819"/>
      <c r="LKE43" s="819"/>
      <c r="LKF43" s="819"/>
      <c r="LKG43" s="819"/>
      <c r="LKH43" s="819"/>
      <c r="LKI43" s="819"/>
      <c r="LKJ43" s="819"/>
      <c r="LKK43" s="819"/>
      <c r="LKL43" s="819"/>
      <c r="LKM43" s="819"/>
      <c r="LKN43" s="819"/>
      <c r="LKO43" s="819"/>
      <c r="LKP43" s="819"/>
      <c r="LKQ43" s="819"/>
      <c r="LKR43" s="819"/>
      <c r="LKS43" s="819"/>
      <c r="LKT43" s="819"/>
      <c r="LKU43" s="819"/>
      <c r="LKV43" s="819"/>
      <c r="LKW43" s="819"/>
      <c r="LKX43" s="819"/>
      <c r="LKY43" s="819"/>
      <c r="LKZ43" s="819"/>
      <c r="LLA43" s="819"/>
      <c r="LLB43" s="819"/>
      <c r="LLC43" s="819"/>
      <c r="LLD43" s="819"/>
      <c r="LLE43" s="819"/>
      <c r="LLF43" s="819"/>
      <c r="LLG43" s="819"/>
      <c r="LLH43" s="819"/>
      <c r="LLI43" s="819"/>
      <c r="LLJ43" s="819"/>
      <c r="LLK43" s="819"/>
      <c r="LLL43" s="819"/>
      <c r="LLM43" s="819"/>
      <c r="LLN43" s="819"/>
      <c r="LLO43" s="819"/>
      <c r="LLP43" s="819"/>
      <c r="LLQ43" s="819"/>
      <c r="LLR43" s="819"/>
      <c r="LLS43" s="819"/>
      <c r="LLT43" s="819"/>
      <c r="LLU43" s="819"/>
      <c r="LLV43" s="819"/>
      <c r="LLW43" s="819"/>
      <c r="LLX43" s="819"/>
      <c r="LLY43" s="819"/>
      <c r="LLZ43" s="819"/>
      <c r="LMA43" s="819"/>
      <c r="LMB43" s="819"/>
      <c r="LMC43" s="819"/>
      <c r="LMD43" s="819"/>
      <c r="LME43" s="819"/>
      <c r="LMF43" s="819"/>
      <c r="LMG43" s="819"/>
      <c r="LMH43" s="819"/>
      <c r="LMI43" s="819"/>
      <c r="LMJ43" s="819"/>
      <c r="LMK43" s="819"/>
      <c r="LML43" s="819"/>
      <c r="LMM43" s="819"/>
      <c r="LMN43" s="819"/>
      <c r="LMO43" s="819"/>
      <c r="LMP43" s="819"/>
      <c r="LMQ43" s="819"/>
      <c r="LMR43" s="819"/>
      <c r="LMS43" s="819"/>
      <c r="LMT43" s="819"/>
      <c r="LMU43" s="819"/>
      <c r="LMV43" s="819"/>
      <c r="LMW43" s="819"/>
      <c r="LMX43" s="819"/>
      <c r="LMY43" s="819"/>
      <c r="LMZ43" s="819"/>
      <c r="LNA43" s="819"/>
      <c r="LNB43" s="819"/>
      <c r="LNC43" s="819"/>
      <c r="LND43" s="819"/>
      <c r="LNE43" s="819"/>
      <c r="LNF43" s="819"/>
      <c r="LNG43" s="819"/>
      <c r="LNH43" s="819"/>
      <c r="LNI43" s="819"/>
      <c r="LNJ43" s="819"/>
      <c r="LNK43" s="819"/>
      <c r="LNL43" s="819"/>
      <c r="LNM43" s="819"/>
      <c r="LNN43" s="819"/>
      <c r="LNO43" s="819"/>
      <c r="LNP43" s="819"/>
      <c r="LNQ43" s="819"/>
      <c r="LNR43" s="819"/>
      <c r="LNS43" s="819"/>
      <c r="LNT43" s="819"/>
      <c r="LNU43" s="819"/>
      <c r="LNV43" s="819"/>
      <c r="LNW43" s="819"/>
      <c r="LNX43" s="819"/>
      <c r="LNY43" s="819"/>
      <c r="LNZ43" s="819"/>
      <c r="LOA43" s="819"/>
      <c r="LOB43" s="819"/>
      <c r="LOC43" s="819"/>
      <c r="LOD43" s="819"/>
      <c r="LOE43" s="819"/>
      <c r="LOF43" s="819"/>
      <c r="LOG43" s="819"/>
      <c r="LOH43" s="819"/>
      <c r="LOI43" s="819"/>
      <c r="LOJ43" s="819"/>
      <c r="LOK43" s="819"/>
      <c r="LOL43" s="819"/>
      <c r="LOM43" s="819"/>
      <c r="LON43" s="819"/>
      <c r="LOO43" s="819"/>
      <c r="LOP43" s="819"/>
      <c r="LOQ43" s="819"/>
      <c r="LOR43" s="819"/>
      <c r="LOS43" s="819"/>
      <c r="LOT43" s="819"/>
      <c r="LOU43" s="819"/>
      <c r="LOV43" s="819"/>
      <c r="LOW43" s="819"/>
      <c r="LOX43" s="819"/>
      <c r="LOY43" s="819"/>
      <c r="LOZ43" s="819"/>
      <c r="LPA43" s="819"/>
      <c r="LPB43" s="819"/>
      <c r="LPC43" s="819"/>
      <c r="LPD43" s="819"/>
      <c r="LPE43" s="819"/>
      <c r="LPF43" s="819"/>
      <c r="LPG43" s="819"/>
      <c r="LPH43" s="819"/>
      <c r="LPI43" s="819"/>
      <c r="LPJ43" s="819"/>
      <c r="LPK43" s="819"/>
      <c r="LPL43" s="819"/>
      <c r="LPM43" s="819"/>
      <c r="LPN43" s="819"/>
      <c r="LPO43" s="819"/>
      <c r="LPP43" s="819"/>
      <c r="LPQ43" s="819"/>
      <c r="LPR43" s="819"/>
      <c r="LPS43" s="819"/>
      <c r="LPT43" s="819"/>
      <c r="LPU43" s="819"/>
      <c r="LPV43" s="819"/>
      <c r="LPW43" s="819"/>
      <c r="LPX43" s="819"/>
      <c r="LPY43" s="819"/>
      <c r="LPZ43" s="819"/>
      <c r="LQA43" s="819"/>
      <c r="LQB43" s="819"/>
      <c r="LQC43" s="819"/>
      <c r="LQD43" s="819"/>
      <c r="LQE43" s="819"/>
      <c r="LQF43" s="819"/>
      <c r="LQG43" s="819"/>
      <c r="LQH43" s="819"/>
      <c r="LQI43" s="819"/>
      <c r="LQJ43" s="819"/>
      <c r="LQK43" s="819"/>
      <c r="LQL43" s="819"/>
      <c r="LQM43" s="819"/>
      <c r="LQN43" s="819"/>
      <c r="LQO43" s="819"/>
      <c r="LQP43" s="819"/>
      <c r="LQQ43" s="819"/>
      <c r="LQR43" s="819"/>
      <c r="LQS43" s="819"/>
      <c r="LQT43" s="819"/>
      <c r="LQU43" s="819"/>
      <c r="LQV43" s="819"/>
      <c r="LQW43" s="819"/>
      <c r="LQX43" s="819"/>
      <c r="LQY43" s="819"/>
      <c r="LQZ43" s="819"/>
      <c r="LRA43" s="819"/>
      <c r="LRB43" s="819"/>
      <c r="LRC43" s="819"/>
      <c r="LRD43" s="819"/>
      <c r="LRE43" s="819"/>
      <c r="LRF43" s="819"/>
      <c r="LRG43" s="819"/>
      <c r="LRH43" s="819"/>
      <c r="LRI43" s="819"/>
      <c r="LRJ43" s="819"/>
      <c r="LRK43" s="819"/>
      <c r="LRL43" s="819"/>
      <c r="LRM43" s="819"/>
      <c r="LRN43" s="819"/>
      <c r="LRO43" s="819"/>
      <c r="LRP43" s="819"/>
      <c r="LRQ43" s="819"/>
      <c r="LRR43" s="819"/>
      <c r="LRS43" s="819"/>
      <c r="LRT43" s="819"/>
      <c r="LRU43" s="819"/>
      <c r="LRV43" s="819"/>
      <c r="LRW43" s="819"/>
      <c r="LRX43" s="819"/>
      <c r="LRY43" s="819"/>
      <c r="LRZ43" s="819"/>
      <c r="LSA43" s="819"/>
      <c r="LSB43" s="819"/>
      <c r="LSC43" s="819"/>
      <c r="LSD43" s="819"/>
      <c r="LSE43" s="819"/>
      <c r="LSF43" s="819"/>
      <c r="LSG43" s="819"/>
      <c r="LSH43" s="819"/>
      <c r="LSI43" s="819"/>
      <c r="LSJ43" s="819"/>
      <c r="LSK43" s="819"/>
      <c r="LSL43" s="819"/>
      <c r="LSM43" s="819"/>
      <c r="LSN43" s="819"/>
      <c r="LSO43" s="819"/>
      <c r="LSP43" s="819"/>
      <c r="LSQ43" s="819"/>
      <c r="LSR43" s="819"/>
      <c r="LSS43" s="819"/>
      <c r="LST43" s="819"/>
      <c r="LSU43" s="819"/>
      <c r="LSV43" s="819"/>
      <c r="LSW43" s="819"/>
      <c r="LSX43" s="819"/>
      <c r="LSY43" s="819"/>
      <c r="LSZ43" s="819"/>
      <c r="LTA43" s="819"/>
      <c r="LTB43" s="819"/>
      <c r="LTC43" s="819"/>
      <c r="LTD43" s="819"/>
      <c r="LTE43" s="819"/>
      <c r="LTF43" s="819"/>
      <c r="LTG43" s="819"/>
      <c r="LTH43" s="819"/>
      <c r="LTI43" s="819"/>
      <c r="LTJ43" s="819"/>
      <c r="LTK43" s="819"/>
      <c r="LTL43" s="819"/>
      <c r="LTM43" s="819"/>
      <c r="LTN43" s="819"/>
      <c r="LTO43" s="819"/>
      <c r="LTP43" s="819"/>
      <c r="LTQ43" s="819"/>
      <c r="LTR43" s="819"/>
      <c r="LTS43" s="819"/>
      <c r="LTT43" s="819"/>
      <c r="LTU43" s="819"/>
      <c r="LTV43" s="819"/>
      <c r="LTW43" s="819"/>
      <c r="LTX43" s="819"/>
      <c r="LTY43" s="819"/>
      <c r="LTZ43" s="819"/>
      <c r="LUA43" s="819"/>
      <c r="LUB43" s="819"/>
      <c r="LUC43" s="819"/>
      <c r="LUD43" s="819"/>
      <c r="LUE43" s="819"/>
      <c r="LUF43" s="819"/>
      <c r="LUG43" s="819"/>
      <c r="LUH43" s="819"/>
      <c r="LUI43" s="819"/>
      <c r="LUJ43" s="819"/>
      <c r="LUK43" s="819"/>
      <c r="LUL43" s="819"/>
      <c r="LUM43" s="819"/>
      <c r="LUN43" s="819"/>
      <c r="LUO43" s="819"/>
      <c r="LUP43" s="819"/>
      <c r="LUQ43" s="819"/>
      <c r="LUR43" s="819"/>
      <c r="LUS43" s="819"/>
      <c r="LUT43" s="819"/>
      <c r="LUU43" s="819"/>
      <c r="LUV43" s="819"/>
      <c r="LUW43" s="819"/>
      <c r="LUX43" s="819"/>
      <c r="LUY43" s="819"/>
      <c r="LUZ43" s="819"/>
      <c r="LVA43" s="819"/>
      <c r="LVB43" s="819"/>
      <c r="LVC43" s="819"/>
      <c r="LVD43" s="819"/>
      <c r="LVE43" s="819"/>
      <c r="LVF43" s="819"/>
      <c r="LVG43" s="819"/>
      <c r="LVH43" s="819"/>
      <c r="LVI43" s="819"/>
      <c r="LVJ43" s="819"/>
      <c r="LVK43" s="819"/>
      <c r="LVL43" s="819"/>
      <c r="LVM43" s="819"/>
      <c r="LVN43" s="819"/>
      <c r="LVO43" s="819"/>
      <c r="LVP43" s="819"/>
      <c r="LVQ43" s="819"/>
      <c r="LVR43" s="819"/>
      <c r="LVS43" s="819"/>
      <c r="LVT43" s="819"/>
      <c r="LVU43" s="819"/>
      <c r="LVV43" s="819"/>
      <c r="LVW43" s="819"/>
      <c r="LVX43" s="819"/>
      <c r="LVY43" s="819"/>
      <c r="LVZ43" s="819"/>
      <c r="LWA43" s="819"/>
      <c r="LWB43" s="819"/>
      <c r="LWC43" s="819"/>
      <c r="LWD43" s="819"/>
      <c r="LWE43" s="819"/>
      <c r="LWF43" s="819"/>
      <c r="LWG43" s="819"/>
      <c r="LWH43" s="819"/>
      <c r="LWI43" s="819"/>
      <c r="LWJ43" s="819"/>
      <c r="LWK43" s="819"/>
      <c r="LWL43" s="819"/>
      <c r="LWM43" s="819"/>
      <c r="LWN43" s="819"/>
      <c r="LWO43" s="819"/>
      <c r="LWP43" s="819"/>
      <c r="LWQ43" s="819"/>
      <c r="LWR43" s="819"/>
      <c r="LWS43" s="819"/>
      <c r="LWT43" s="819"/>
      <c r="LWU43" s="819"/>
      <c r="LWV43" s="819"/>
      <c r="LWW43" s="819"/>
      <c r="LWX43" s="819"/>
      <c r="LWY43" s="819"/>
      <c r="LWZ43" s="819"/>
      <c r="LXA43" s="819"/>
      <c r="LXB43" s="819"/>
      <c r="LXC43" s="819"/>
      <c r="LXD43" s="819"/>
      <c r="LXE43" s="819"/>
      <c r="LXF43" s="819"/>
      <c r="LXG43" s="819"/>
      <c r="LXH43" s="819"/>
      <c r="LXI43" s="819"/>
      <c r="LXJ43" s="819"/>
      <c r="LXK43" s="819"/>
      <c r="LXL43" s="819"/>
      <c r="LXM43" s="819"/>
      <c r="LXN43" s="819"/>
      <c r="LXO43" s="819"/>
      <c r="LXP43" s="819"/>
      <c r="LXQ43" s="819"/>
      <c r="LXR43" s="819"/>
      <c r="LXS43" s="819"/>
      <c r="LXT43" s="819"/>
      <c r="LXU43" s="819"/>
      <c r="LXV43" s="819"/>
      <c r="LXW43" s="819"/>
      <c r="LXX43" s="819"/>
      <c r="LXY43" s="819"/>
      <c r="LXZ43" s="819"/>
      <c r="LYA43" s="819"/>
      <c r="LYB43" s="819"/>
      <c r="LYC43" s="819"/>
      <c r="LYD43" s="819"/>
      <c r="LYE43" s="819"/>
      <c r="LYF43" s="819"/>
      <c r="LYG43" s="819"/>
      <c r="LYH43" s="819"/>
      <c r="LYI43" s="819"/>
      <c r="LYJ43" s="819"/>
      <c r="LYK43" s="819"/>
      <c r="LYL43" s="819"/>
      <c r="LYM43" s="819"/>
      <c r="LYN43" s="819"/>
      <c r="LYO43" s="819"/>
      <c r="LYP43" s="819"/>
      <c r="LYQ43" s="819"/>
      <c r="LYR43" s="819"/>
      <c r="LYS43" s="819"/>
      <c r="LYT43" s="819"/>
      <c r="LYU43" s="819"/>
      <c r="LYV43" s="819"/>
      <c r="LYW43" s="819"/>
      <c r="LYX43" s="819"/>
      <c r="LYY43" s="819"/>
      <c r="LYZ43" s="819"/>
      <c r="LZA43" s="819"/>
      <c r="LZB43" s="819"/>
      <c r="LZC43" s="819"/>
      <c r="LZD43" s="819"/>
      <c r="LZE43" s="819"/>
      <c r="LZF43" s="819"/>
      <c r="LZG43" s="819"/>
      <c r="LZH43" s="819"/>
      <c r="LZI43" s="819"/>
      <c r="LZJ43" s="819"/>
      <c r="LZK43" s="819"/>
      <c r="LZL43" s="819"/>
      <c r="LZM43" s="819"/>
      <c r="LZN43" s="819"/>
      <c r="LZO43" s="819"/>
      <c r="LZP43" s="819"/>
      <c r="LZQ43" s="819"/>
      <c r="LZR43" s="819"/>
      <c r="LZS43" s="819"/>
      <c r="LZT43" s="819"/>
      <c r="LZU43" s="819"/>
      <c r="LZV43" s="819"/>
      <c r="LZW43" s="819"/>
      <c r="LZX43" s="819"/>
      <c r="LZY43" s="819"/>
      <c r="LZZ43" s="819"/>
      <c r="MAA43" s="819"/>
      <c r="MAB43" s="819"/>
      <c r="MAC43" s="819"/>
      <c r="MAD43" s="819"/>
      <c r="MAE43" s="819"/>
      <c r="MAF43" s="819"/>
      <c r="MAG43" s="819"/>
      <c r="MAH43" s="819"/>
      <c r="MAI43" s="819"/>
      <c r="MAJ43" s="819"/>
      <c r="MAK43" s="819"/>
      <c r="MAL43" s="819"/>
      <c r="MAM43" s="819"/>
      <c r="MAN43" s="819"/>
      <c r="MAO43" s="819"/>
      <c r="MAP43" s="819"/>
      <c r="MAQ43" s="819"/>
      <c r="MAR43" s="819"/>
      <c r="MAS43" s="819"/>
      <c r="MAT43" s="819"/>
      <c r="MAU43" s="819"/>
      <c r="MAV43" s="819"/>
      <c r="MAW43" s="819"/>
      <c r="MAX43" s="819"/>
      <c r="MAY43" s="819"/>
      <c r="MAZ43" s="819"/>
      <c r="MBA43" s="819"/>
      <c r="MBB43" s="819"/>
      <c r="MBC43" s="819"/>
      <c r="MBD43" s="819"/>
      <c r="MBE43" s="819"/>
      <c r="MBF43" s="819"/>
      <c r="MBG43" s="819"/>
      <c r="MBH43" s="819"/>
      <c r="MBI43" s="819"/>
      <c r="MBJ43" s="819"/>
      <c r="MBK43" s="819"/>
      <c r="MBL43" s="819"/>
      <c r="MBM43" s="819"/>
      <c r="MBN43" s="819"/>
      <c r="MBO43" s="819"/>
      <c r="MBP43" s="819"/>
      <c r="MBQ43" s="819"/>
      <c r="MBR43" s="819"/>
      <c r="MBS43" s="819"/>
      <c r="MBT43" s="819"/>
      <c r="MBU43" s="819"/>
      <c r="MBV43" s="819"/>
      <c r="MBW43" s="819"/>
      <c r="MBX43" s="819"/>
      <c r="MBY43" s="819"/>
      <c r="MBZ43" s="819"/>
      <c r="MCA43" s="819"/>
      <c r="MCB43" s="819"/>
      <c r="MCC43" s="819"/>
      <c r="MCD43" s="819"/>
      <c r="MCE43" s="819"/>
      <c r="MCF43" s="819"/>
      <c r="MCG43" s="819"/>
      <c r="MCH43" s="819"/>
      <c r="MCI43" s="819"/>
      <c r="MCJ43" s="819"/>
      <c r="MCK43" s="819"/>
      <c r="MCL43" s="819"/>
      <c r="MCM43" s="819"/>
      <c r="MCN43" s="819"/>
      <c r="MCO43" s="819"/>
      <c r="MCP43" s="819"/>
      <c r="MCQ43" s="819"/>
      <c r="MCR43" s="819"/>
      <c r="MCS43" s="819"/>
      <c r="MCT43" s="819"/>
      <c r="MCU43" s="819"/>
      <c r="MCV43" s="819"/>
      <c r="MCW43" s="819"/>
      <c r="MCX43" s="819"/>
      <c r="MCY43" s="819"/>
      <c r="MCZ43" s="819"/>
      <c r="MDA43" s="819"/>
      <c r="MDB43" s="819"/>
      <c r="MDC43" s="819"/>
      <c r="MDD43" s="819"/>
      <c r="MDE43" s="819"/>
      <c r="MDF43" s="819"/>
      <c r="MDG43" s="819"/>
      <c r="MDH43" s="819"/>
      <c r="MDI43" s="819"/>
      <c r="MDJ43" s="819"/>
      <c r="MDK43" s="819"/>
      <c r="MDL43" s="819"/>
      <c r="MDM43" s="819"/>
      <c r="MDN43" s="819"/>
      <c r="MDO43" s="819"/>
      <c r="MDP43" s="819"/>
      <c r="MDQ43" s="819"/>
      <c r="MDR43" s="819"/>
      <c r="MDS43" s="819"/>
      <c r="MDT43" s="819"/>
      <c r="MDU43" s="819"/>
      <c r="MDV43" s="819"/>
      <c r="MDW43" s="819"/>
      <c r="MDX43" s="819"/>
      <c r="MDY43" s="819"/>
      <c r="MDZ43" s="819"/>
      <c r="MEA43" s="819"/>
      <c r="MEB43" s="819"/>
      <c r="MEC43" s="819"/>
      <c r="MED43" s="819"/>
      <c r="MEE43" s="819"/>
      <c r="MEF43" s="819"/>
      <c r="MEG43" s="819"/>
      <c r="MEH43" s="819"/>
      <c r="MEI43" s="819"/>
      <c r="MEJ43" s="819"/>
      <c r="MEK43" s="819"/>
      <c r="MEL43" s="819"/>
      <c r="MEM43" s="819"/>
      <c r="MEN43" s="819"/>
      <c r="MEO43" s="819"/>
      <c r="MEP43" s="819"/>
      <c r="MEQ43" s="819"/>
      <c r="MER43" s="819"/>
      <c r="MES43" s="819"/>
      <c r="MET43" s="819"/>
      <c r="MEU43" s="819"/>
      <c r="MEV43" s="819"/>
      <c r="MEW43" s="819"/>
      <c r="MEX43" s="819"/>
      <c r="MEY43" s="819"/>
      <c r="MEZ43" s="819"/>
      <c r="MFA43" s="819"/>
      <c r="MFB43" s="819"/>
      <c r="MFC43" s="819"/>
      <c r="MFD43" s="819"/>
      <c r="MFE43" s="819"/>
      <c r="MFF43" s="819"/>
      <c r="MFG43" s="819"/>
      <c r="MFH43" s="819"/>
      <c r="MFI43" s="819"/>
      <c r="MFJ43" s="819"/>
      <c r="MFK43" s="819"/>
      <c r="MFL43" s="819"/>
      <c r="MFM43" s="819"/>
      <c r="MFN43" s="819"/>
      <c r="MFO43" s="819"/>
      <c r="MFP43" s="819"/>
      <c r="MFQ43" s="819"/>
      <c r="MFR43" s="819"/>
      <c r="MFS43" s="819"/>
      <c r="MFT43" s="819"/>
      <c r="MFU43" s="819"/>
      <c r="MFV43" s="819"/>
      <c r="MFW43" s="819"/>
      <c r="MFX43" s="819"/>
      <c r="MFY43" s="819"/>
      <c r="MFZ43" s="819"/>
      <c r="MGA43" s="819"/>
      <c r="MGB43" s="819"/>
      <c r="MGC43" s="819"/>
      <c r="MGD43" s="819"/>
      <c r="MGE43" s="819"/>
      <c r="MGF43" s="819"/>
      <c r="MGG43" s="819"/>
      <c r="MGH43" s="819"/>
      <c r="MGI43" s="819"/>
      <c r="MGJ43" s="819"/>
      <c r="MGK43" s="819"/>
      <c r="MGL43" s="819"/>
      <c r="MGM43" s="819"/>
      <c r="MGN43" s="819"/>
      <c r="MGO43" s="819"/>
      <c r="MGP43" s="819"/>
      <c r="MGQ43" s="819"/>
      <c r="MGR43" s="819"/>
      <c r="MGS43" s="819"/>
      <c r="MGT43" s="819"/>
      <c r="MGU43" s="819"/>
      <c r="MGV43" s="819"/>
      <c r="MGW43" s="819"/>
      <c r="MGX43" s="819"/>
      <c r="MGY43" s="819"/>
      <c r="MGZ43" s="819"/>
      <c r="MHA43" s="819"/>
      <c r="MHB43" s="819"/>
      <c r="MHC43" s="819"/>
      <c r="MHD43" s="819"/>
      <c r="MHE43" s="819"/>
      <c r="MHF43" s="819"/>
      <c r="MHG43" s="819"/>
      <c r="MHH43" s="819"/>
      <c r="MHI43" s="819"/>
      <c r="MHJ43" s="819"/>
      <c r="MHK43" s="819"/>
      <c r="MHL43" s="819"/>
      <c r="MHM43" s="819"/>
      <c r="MHN43" s="819"/>
      <c r="MHO43" s="819"/>
      <c r="MHP43" s="819"/>
      <c r="MHQ43" s="819"/>
      <c r="MHR43" s="819"/>
      <c r="MHS43" s="819"/>
      <c r="MHT43" s="819"/>
      <c r="MHU43" s="819"/>
      <c r="MHV43" s="819"/>
      <c r="MHW43" s="819"/>
      <c r="MHX43" s="819"/>
      <c r="MHY43" s="819"/>
      <c r="MHZ43" s="819"/>
      <c r="MIA43" s="819"/>
      <c r="MIB43" s="819"/>
      <c r="MIC43" s="819"/>
      <c r="MID43" s="819"/>
      <c r="MIE43" s="819"/>
      <c r="MIF43" s="819"/>
      <c r="MIG43" s="819"/>
      <c r="MIH43" s="819"/>
      <c r="MII43" s="819"/>
      <c r="MIJ43" s="819"/>
      <c r="MIK43" s="819"/>
      <c r="MIL43" s="819"/>
      <c r="MIM43" s="819"/>
      <c r="MIN43" s="819"/>
      <c r="MIO43" s="819"/>
      <c r="MIP43" s="819"/>
      <c r="MIQ43" s="819"/>
      <c r="MIR43" s="819"/>
      <c r="MIS43" s="819"/>
      <c r="MIT43" s="819"/>
      <c r="MIU43" s="819"/>
      <c r="MIV43" s="819"/>
      <c r="MIW43" s="819"/>
      <c r="MIX43" s="819"/>
      <c r="MIY43" s="819"/>
      <c r="MIZ43" s="819"/>
      <c r="MJA43" s="819"/>
      <c r="MJB43" s="819"/>
      <c r="MJC43" s="819"/>
      <c r="MJD43" s="819"/>
      <c r="MJE43" s="819"/>
      <c r="MJF43" s="819"/>
      <c r="MJG43" s="819"/>
      <c r="MJH43" s="819"/>
      <c r="MJI43" s="819"/>
      <c r="MJJ43" s="819"/>
      <c r="MJK43" s="819"/>
      <c r="MJL43" s="819"/>
      <c r="MJM43" s="819"/>
      <c r="MJN43" s="819"/>
      <c r="MJO43" s="819"/>
      <c r="MJP43" s="819"/>
      <c r="MJQ43" s="819"/>
      <c r="MJR43" s="819"/>
      <c r="MJS43" s="819"/>
      <c r="MJT43" s="819"/>
      <c r="MJU43" s="819"/>
      <c r="MJV43" s="819"/>
      <c r="MJW43" s="819"/>
      <c r="MJX43" s="819"/>
      <c r="MJY43" s="819"/>
      <c r="MJZ43" s="819"/>
      <c r="MKA43" s="819"/>
      <c r="MKB43" s="819"/>
      <c r="MKC43" s="819"/>
      <c r="MKD43" s="819"/>
      <c r="MKE43" s="819"/>
      <c r="MKF43" s="819"/>
      <c r="MKG43" s="819"/>
      <c r="MKH43" s="819"/>
      <c r="MKI43" s="819"/>
      <c r="MKJ43" s="819"/>
      <c r="MKK43" s="819"/>
      <c r="MKL43" s="819"/>
      <c r="MKM43" s="819"/>
      <c r="MKN43" s="819"/>
      <c r="MKO43" s="819"/>
      <c r="MKP43" s="819"/>
      <c r="MKQ43" s="819"/>
      <c r="MKR43" s="819"/>
      <c r="MKS43" s="819"/>
      <c r="MKT43" s="819"/>
      <c r="MKU43" s="819"/>
      <c r="MKV43" s="819"/>
      <c r="MKW43" s="819"/>
      <c r="MKX43" s="819"/>
      <c r="MKY43" s="819"/>
      <c r="MKZ43" s="819"/>
      <c r="MLA43" s="819"/>
      <c r="MLB43" s="819"/>
      <c r="MLC43" s="819"/>
      <c r="MLD43" s="819"/>
      <c r="MLE43" s="819"/>
      <c r="MLF43" s="819"/>
      <c r="MLG43" s="819"/>
      <c r="MLH43" s="819"/>
      <c r="MLI43" s="819"/>
      <c r="MLJ43" s="819"/>
      <c r="MLK43" s="819"/>
      <c r="MLL43" s="819"/>
      <c r="MLM43" s="819"/>
      <c r="MLN43" s="819"/>
      <c r="MLO43" s="819"/>
      <c r="MLP43" s="819"/>
      <c r="MLQ43" s="819"/>
      <c r="MLR43" s="819"/>
      <c r="MLS43" s="819"/>
      <c r="MLT43" s="819"/>
      <c r="MLU43" s="819"/>
      <c r="MLV43" s="819"/>
      <c r="MLW43" s="819"/>
      <c r="MLX43" s="819"/>
      <c r="MLY43" s="819"/>
      <c r="MLZ43" s="819"/>
      <c r="MMA43" s="819"/>
      <c r="MMB43" s="819"/>
      <c r="MMC43" s="819"/>
      <c r="MMD43" s="819"/>
      <c r="MME43" s="819"/>
      <c r="MMF43" s="819"/>
      <c r="MMG43" s="819"/>
      <c r="MMH43" s="819"/>
      <c r="MMI43" s="819"/>
      <c r="MMJ43" s="819"/>
      <c r="MMK43" s="819"/>
      <c r="MML43" s="819"/>
      <c r="MMM43" s="819"/>
      <c r="MMN43" s="819"/>
      <c r="MMO43" s="819"/>
      <c r="MMP43" s="819"/>
      <c r="MMQ43" s="819"/>
      <c r="MMR43" s="819"/>
      <c r="MMS43" s="819"/>
      <c r="MMT43" s="819"/>
      <c r="MMU43" s="819"/>
      <c r="MMV43" s="819"/>
      <c r="MMW43" s="819"/>
      <c r="MMX43" s="819"/>
      <c r="MMY43" s="819"/>
      <c r="MMZ43" s="819"/>
      <c r="MNA43" s="819"/>
      <c r="MNB43" s="819"/>
      <c r="MNC43" s="819"/>
      <c r="MND43" s="819"/>
      <c r="MNE43" s="819"/>
      <c r="MNF43" s="819"/>
      <c r="MNG43" s="819"/>
      <c r="MNH43" s="819"/>
      <c r="MNI43" s="819"/>
      <c r="MNJ43" s="819"/>
      <c r="MNK43" s="819"/>
      <c r="MNL43" s="819"/>
      <c r="MNM43" s="819"/>
      <c r="MNN43" s="819"/>
      <c r="MNO43" s="819"/>
      <c r="MNP43" s="819"/>
      <c r="MNQ43" s="819"/>
      <c r="MNR43" s="819"/>
      <c r="MNS43" s="819"/>
      <c r="MNT43" s="819"/>
      <c r="MNU43" s="819"/>
      <c r="MNV43" s="819"/>
      <c r="MNW43" s="819"/>
      <c r="MNX43" s="819"/>
      <c r="MNY43" s="819"/>
      <c r="MNZ43" s="819"/>
      <c r="MOA43" s="819"/>
      <c r="MOB43" s="819"/>
      <c r="MOC43" s="819"/>
      <c r="MOD43" s="819"/>
      <c r="MOE43" s="819"/>
      <c r="MOF43" s="819"/>
      <c r="MOG43" s="819"/>
      <c r="MOH43" s="819"/>
      <c r="MOI43" s="819"/>
      <c r="MOJ43" s="819"/>
      <c r="MOK43" s="819"/>
      <c r="MOL43" s="819"/>
      <c r="MOM43" s="819"/>
      <c r="MON43" s="819"/>
      <c r="MOO43" s="819"/>
      <c r="MOP43" s="819"/>
      <c r="MOQ43" s="819"/>
      <c r="MOR43" s="819"/>
      <c r="MOS43" s="819"/>
      <c r="MOT43" s="819"/>
      <c r="MOU43" s="819"/>
      <c r="MOV43" s="819"/>
      <c r="MOW43" s="819"/>
      <c r="MOX43" s="819"/>
      <c r="MOY43" s="819"/>
      <c r="MOZ43" s="819"/>
      <c r="MPA43" s="819"/>
      <c r="MPB43" s="819"/>
      <c r="MPC43" s="819"/>
      <c r="MPD43" s="819"/>
      <c r="MPE43" s="819"/>
      <c r="MPF43" s="819"/>
      <c r="MPG43" s="819"/>
      <c r="MPH43" s="819"/>
      <c r="MPI43" s="819"/>
      <c r="MPJ43" s="819"/>
      <c r="MPK43" s="819"/>
      <c r="MPL43" s="819"/>
      <c r="MPM43" s="819"/>
      <c r="MPN43" s="819"/>
      <c r="MPO43" s="819"/>
      <c r="MPP43" s="819"/>
      <c r="MPQ43" s="819"/>
      <c r="MPR43" s="819"/>
      <c r="MPS43" s="819"/>
      <c r="MPT43" s="819"/>
      <c r="MPU43" s="819"/>
      <c r="MPV43" s="819"/>
      <c r="MPW43" s="819"/>
      <c r="MPX43" s="819"/>
      <c r="MPY43" s="819"/>
      <c r="MPZ43" s="819"/>
      <c r="MQA43" s="819"/>
      <c r="MQB43" s="819"/>
      <c r="MQC43" s="819"/>
      <c r="MQD43" s="819"/>
      <c r="MQE43" s="819"/>
      <c r="MQF43" s="819"/>
      <c r="MQG43" s="819"/>
      <c r="MQH43" s="819"/>
      <c r="MQI43" s="819"/>
      <c r="MQJ43" s="819"/>
      <c r="MQK43" s="819"/>
      <c r="MQL43" s="819"/>
      <c r="MQM43" s="819"/>
      <c r="MQN43" s="819"/>
      <c r="MQO43" s="819"/>
      <c r="MQP43" s="819"/>
      <c r="MQQ43" s="819"/>
      <c r="MQR43" s="819"/>
      <c r="MQS43" s="819"/>
      <c r="MQT43" s="819"/>
      <c r="MQU43" s="819"/>
      <c r="MQV43" s="819"/>
      <c r="MQW43" s="819"/>
      <c r="MQX43" s="819"/>
      <c r="MQY43" s="819"/>
      <c r="MQZ43" s="819"/>
      <c r="MRA43" s="819"/>
      <c r="MRB43" s="819"/>
      <c r="MRC43" s="819"/>
      <c r="MRD43" s="819"/>
      <c r="MRE43" s="819"/>
      <c r="MRF43" s="819"/>
      <c r="MRG43" s="819"/>
      <c r="MRH43" s="819"/>
      <c r="MRI43" s="819"/>
      <c r="MRJ43" s="819"/>
      <c r="MRK43" s="819"/>
      <c r="MRL43" s="819"/>
      <c r="MRM43" s="819"/>
      <c r="MRN43" s="819"/>
      <c r="MRO43" s="819"/>
      <c r="MRP43" s="819"/>
      <c r="MRQ43" s="819"/>
      <c r="MRR43" s="819"/>
      <c r="MRS43" s="819"/>
      <c r="MRT43" s="819"/>
      <c r="MRU43" s="819"/>
      <c r="MRV43" s="819"/>
      <c r="MRW43" s="819"/>
      <c r="MRX43" s="819"/>
      <c r="MRY43" s="819"/>
      <c r="MRZ43" s="819"/>
      <c r="MSA43" s="819"/>
      <c r="MSB43" s="819"/>
      <c r="MSC43" s="819"/>
      <c r="MSD43" s="819"/>
      <c r="MSE43" s="819"/>
      <c r="MSF43" s="819"/>
      <c r="MSG43" s="819"/>
      <c r="MSH43" s="819"/>
      <c r="MSI43" s="819"/>
      <c r="MSJ43" s="819"/>
      <c r="MSK43" s="819"/>
      <c r="MSL43" s="819"/>
      <c r="MSM43" s="819"/>
      <c r="MSN43" s="819"/>
      <c r="MSO43" s="819"/>
      <c r="MSP43" s="819"/>
      <c r="MSQ43" s="819"/>
      <c r="MSR43" s="819"/>
      <c r="MSS43" s="819"/>
      <c r="MST43" s="819"/>
      <c r="MSU43" s="819"/>
      <c r="MSV43" s="819"/>
      <c r="MSW43" s="819"/>
      <c r="MSX43" s="819"/>
      <c r="MSY43" s="819"/>
      <c r="MSZ43" s="819"/>
      <c r="MTA43" s="819"/>
      <c r="MTB43" s="819"/>
      <c r="MTC43" s="819"/>
      <c r="MTD43" s="819"/>
      <c r="MTE43" s="819"/>
      <c r="MTF43" s="819"/>
      <c r="MTG43" s="819"/>
      <c r="MTH43" s="819"/>
      <c r="MTI43" s="819"/>
      <c r="MTJ43" s="819"/>
      <c r="MTK43" s="819"/>
      <c r="MTL43" s="819"/>
      <c r="MTM43" s="819"/>
      <c r="MTN43" s="819"/>
      <c r="MTO43" s="819"/>
      <c r="MTP43" s="819"/>
      <c r="MTQ43" s="819"/>
      <c r="MTR43" s="819"/>
      <c r="MTS43" s="819"/>
      <c r="MTT43" s="819"/>
      <c r="MTU43" s="819"/>
      <c r="MTV43" s="819"/>
      <c r="MTW43" s="819"/>
      <c r="MTX43" s="819"/>
      <c r="MTY43" s="819"/>
      <c r="MTZ43" s="819"/>
      <c r="MUA43" s="819"/>
      <c r="MUB43" s="819"/>
      <c r="MUC43" s="819"/>
      <c r="MUD43" s="819"/>
      <c r="MUE43" s="819"/>
      <c r="MUF43" s="819"/>
      <c r="MUG43" s="819"/>
      <c r="MUH43" s="819"/>
      <c r="MUI43" s="819"/>
      <c r="MUJ43" s="819"/>
      <c r="MUK43" s="819"/>
      <c r="MUL43" s="819"/>
      <c r="MUM43" s="819"/>
      <c r="MUN43" s="819"/>
      <c r="MUO43" s="819"/>
      <c r="MUP43" s="819"/>
      <c r="MUQ43" s="819"/>
      <c r="MUR43" s="819"/>
      <c r="MUS43" s="819"/>
      <c r="MUT43" s="819"/>
      <c r="MUU43" s="819"/>
      <c r="MUV43" s="819"/>
      <c r="MUW43" s="819"/>
      <c r="MUX43" s="819"/>
      <c r="MUY43" s="819"/>
      <c r="MUZ43" s="819"/>
      <c r="MVA43" s="819"/>
      <c r="MVB43" s="819"/>
      <c r="MVC43" s="819"/>
      <c r="MVD43" s="819"/>
      <c r="MVE43" s="819"/>
      <c r="MVF43" s="819"/>
      <c r="MVG43" s="819"/>
      <c r="MVH43" s="819"/>
      <c r="MVI43" s="819"/>
      <c r="MVJ43" s="819"/>
      <c r="MVK43" s="819"/>
      <c r="MVL43" s="819"/>
      <c r="MVM43" s="819"/>
      <c r="MVN43" s="819"/>
      <c r="MVO43" s="819"/>
      <c r="MVP43" s="819"/>
      <c r="MVQ43" s="819"/>
      <c r="MVR43" s="819"/>
      <c r="MVS43" s="819"/>
      <c r="MVT43" s="819"/>
      <c r="MVU43" s="819"/>
      <c r="MVV43" s="819"/>
      <c r="MVW43" s="819"/>
      <c r="MVX43" s="819"/>
      <c r="MVY43" s="819"/>
      <c r="MVZ43" s="819"/>
      <c r="MWA43" s="819"/>
      <c r="MWB43" s="819"/>
      <c r="MWC43" s="819"/>
      <c r="MWD43" s="819"/>
      <c r="MWE43" s="819"/>
      <c r="MWF43" s="819"/>
      <c r="MWG43" s="819"/>
      <c r="MWH43" s="819"/>
      <c r="MWI43" s="819"/>
      <c r="MWJ43" s="819"/>
      <c r="MWK43" s="819"/>
      <c r="MWL43" s="819"/>
      <c r="MWM43" s="819"/>
      <c r="MWN43" s="819"/>
      <c r="MWO43" s="819"/>
      <c r="MWP43" s="819"/>
      <c r="MWQ43" s="819"/>
      <c r="MWR43" s="819"/>
      <c r="MWS43" s="819"/>
      <c r="MWT43" s="819"/>
      <c r="MWU43" s="819"/>
      <c r="MWV43" s="819"/>
      <c r="MWW43" s="819"/>
      <c r="MWX43" s="819"/>
      <c r="MWY43" s="819"/>
      <c r="MWZ43" s="819"/>
      <c r="MXA43" s="819"/>
      <c r="MXB43" s="819"/>
      <c r="MXC43" s="819"/>
      <c r="MXD43" s="819"/>
      <c r="MXE43" s="819"/>
      <c r="MXF43" s="819"/>
      <c r="MXG43" s="819"/>
      <c r="MXH43" s="819"/>
      <c r="MXI43" s="819"/>
      <c r="MXJ43" s="819"/>
      <c r="MXK43" s="819"/>
      <c r="MXL43" s="819"/>
      <c r="MXM43" s="819"/>
      <c r="MXN43" s="819"/>
      <c r="MXO43" s="819"/>
      <c r="MXP43" s="819"/>
      <c r="MXQ43" s="819"/>
      <c r="MXR43" s="819"/>
      <c r="MXS43" s="819"/>
      <c r="MXT43" s="819"/>
      <c r="MXU43" s="819"/>
      <c r="MXV43" s="819"/>
      <c r="MXW43" s="819"/>
      <c r="MXX43" s="819"/>
      <c r="MXY43" s="819"/>
      <c r="MXZ43" s="819"/>
      <c r="MYA43" s="819"/>
      <c r="MYB43" s="819"/>
      <c r="MYC43" s="819"/>
      <c r="MYD43" s="819"/>
      <c r="MYE43" s="819"/>
      <c r="MYF43" s="819"/>
      <c r="MYG43" s="819"/>
      <c r="MYH43" s="819"/>
      <c r="MYI43" s="819"/>
      <c r="MYJ43" s="819"/>
      <c r="MYK43" s="819"/>
      <c r="MYL43" s="819"/>
      <c r="MYM43" s="819"/>
      <c r="MYN43" s="819"/>
      <c r="MYO43" s="819"/>
      <c r="MYP43" s="819"/>
      <c r="MYQ43" s="819"/>
      <c r="MYR43" s="819"/>
      <c r="MYS43" s="819"/>
      <c r="MYT43" s="819"/>
      <c r="MYU43" s="819"/>
      <c r="MYV43" s="819"/>
      <c r="MYW43" s="819"/>
      <c r="MYX43" s="819"/>
      <c r="MYY43" s="819"/>
      <c r="MYZ43" s="819"/>
      <c r="MZA43" s="819"/>
      <c r="MZB43" s="819"/>
      <c r="MZC43" s="819"/>
      <c r="MZD43" s="819"/>
      <c r="MZE43" s="819"/>
      <c r="MZF43" s="819"/>
      <c r="MZG43" s="819"/>
      <c r="MZH43" s="819"/>
      <c r="MZI43" s="819"/>
      <c r="MZJ43" s="819"/>
      <c r="MZK43" s="819"/>
      <c r="MZL43" s="819"/>
      <c r="MZM43" s="819"/>
      <c r="MZN43" s="819"/>
      <c r="MZO43" s="819"/>
      <c r="MZP43" s="819"/>
      <c r="MZQ43" s="819"/>
      <c r="MZR43" s="819"/>
      <c r="MZS43" s="819"/>
      <c r="MZT43" s="819"/>
      <c r="MZU43" s="819"/>
      <c r="MZV43" s="819"/>
      <c r="MZW43" s="819"/>
      <c r="MZX43" s="819"/>
      <c r="MZY43" s="819"/>
      <c r="MZZ43" s="819"/>
      <c r="NAA43" s="819"/>
      <c r="NAB43" s="819"/>
      <c r="NAC43" s="819"/>
      <c r="NAD43" s="819"/>
      <c r="NAE43" s="819"/>
      <c r="NAF43" s="819"/>
      <c r="NAG43" s="819"/>
      <c r="NAH43" s="819"/>
      <c r="NAI43" s="819"/>
      <c r="NAJ43" s="819"/>
      <c r="NAK43" s="819"/>
      <c r="NAL43" s="819"/>
      <c r="NAM43" s="819"/>
      <c r="NAN43" s="819"/>
      <c r="NAO43" s="819"/>
      <c r="NAP43" s="819"/>
      <c r="NAQ43" s="819"/>
      <c r="NAR43" s="819"/>
      <c r="NAS43" s="819"/>
      <c r="NAT43" s="819"/>
      <c r="NAU43" s="819"/>
      <c r="NAV43" s="819"/>
      <c r="NAW43" s="819"/>
      <c r="NAX43" s="819"/>
      <c r="NAY43" s="819"/>
      <c r="NAZ43" s="819"/>
      <c r="NBA43" s="819"/>
      <c r="NBB43" s="819"/>
      <c r="NBC43" s="819"/>
      <c r="NBD43" s="819"/>
      <c r="NBE43" s="819"/>
      <c r="NBF43" s="819"/>
      <c r="NBG43" s="819"/>
      <c r="NBH43" s="819"/>
      <c r="NBI43" s="819"/>
      <c r="NBJ43" s="819"/>
      <c r="NBK43" s="819"/>
      <c r="NBL43" s="819"/>
      <c r="NBM43" s="819"/>
      <c r="NBN43" s="819"/>
      <c r="NBO43" s="819"/>
      <c r="NBP43" s="819"/>
      <c r="NBQ43" s="819"/>
      <c r="NBR43" s="819"/>
      <c r="NBS43" s="819"/>
      <c r="NBT43" s="819"/>
      <c r="NBU43" s="819"/>
      <c r="NBV43" s="819"/>
      <c r="NBW43" s="819"/>
      <c r="NBX43" s="819"/>
      <c r="NBY43" s="819"/>
      <c r="NBZ43" s="819"/>
      <c r="NCA43" s="819"/>
      <c r="NCB43" s="819"/>
      <c r="NCC43" s="819"/>
      <c r="NCD43" s="819"/>
      <c r="NCE43" s="819"/>
      <c r="NCF43" s="819"/>
      <c r="NCG43" s="819"/>
      <c r="NCH43" s="819"/>
      <c r="NCI43" s="819"/>
      <c r="NCJ43" s="819"/>
      <c r="NCK43" s="819"/>
      <c r="NCL43" s="819"/>
      <c r="NCM43" s="819"/>
      <c r="NCN43" s="819"/>
      <c r="NCO43" s="819"/>
      <c r="NCP43" s="819"/>
      <c r="NCQ43" s="819"/>
      <c r="NCR43" s="819"/>
      <c r="NCS43" s="819"/>
      <c r="NCT43" s="819"/>
      <c r="NCU43" s="819"/>
      <c r="NCV43" s="819"/>
      <c r="NCW43" s="819"/>
      <c r="NCX43" s="819"/>
      <c r="NCY43" s="819"/>
      <c r="NCZ43" s="819"/>
      <c r="NDA43" s="819"/>
      <c r="NDB43" s="819"/>
      <c r="NDC43" s="819"/>
      <c r="NDD43" s="819"/>
      <c r="NDE43" s="819"/>
      <c r="NDF43" s="819"/>
      <c r="NDG43" s="819"/>
      <c r="NDH43" s="819"/>
      <c r="NDI43" s="819"/>
      <c r="NDJ43" s="819"/>
      <c r="NDK43" s="819"/>
      <c r="NDL43" s="819"/>
      <c r="NDM43" s="819"/>
      <c r="NDN43" s="819"/>
      <c r="NDO43" s="819"/>
      <c r="NDP43" s="819"/>
      <c r="NDQ43" s="819"/>
      <c r="NDR43" s="819"/>
      <c r="NDS43" s="819"/>
      <c r="NDT43" s="819"/>
      <c r="NDU43" s="819"/>
      <c r="NDV43" s="819"/>
      <c r="NDW43" s="819"/>
      <c r="NDX43" s="819"/>
      <c r="NDY43" s="819"/>
      <c r="NDZ43" s="819"/>
      <c r="NEA43" s="819"/>
      <c r="NEB43" s="819"/>
      <c r="NEC43" s="819"/>
      <c r="NED43" s="819"/>
      <c r="NEE43" s="819"/>
      <c r="NEF43" s="819"/>
      <c r="NEG43" s="819"/>
      <c r="NEH43" s="819"/>
      <c r="NEI43" s="819"/>
      <c r="NEJ43" s="819"/>
      <c r="NEK43" s="819"/>
      <c r="NEL43" s="819"/>
      <c r="NEM43" s="819"/>
      <c r="NEN43" s="819"/>
      <c r="NEO43" s="819"/>
      <c r="NEP43" s="819"/>
      <c r="NEQ43" s="819"/>
      <c r="NER43" s="819"/>
      <c r="NES43" s="819"/>
      <c r="NET43" s="819"/>
      <c r="NEU43" s="819"/>
      <c r="NEV43" s="819"/>
      <c r="NEW43" s="819"/>
      <c r="NEX43" s="819"/>
      <c r="NEY43" s="819"/>
      <c r="NEZ43" s="819"/>
      <c r="NFA43" s="819"/>
      <c r="NFB43" s="819"/>
      <c r="NFC43" s="819"/>
      <c r="NFD43" s="819"/>
      <c r="NFE43" s="819"/>
      <c r="NFF43" s="819"/>
      <c r="NFG43" s="819"/>
      <c r="NFH43" s="819"/>
      <c r="NFI43" s="819"/>
      <c r="NFJ43" s="819"/>
      <c r="NFK43" s="819"/>
      <c r="NFL43" s="819"/>
      <c r="NFM43" s="819"/>
      <c r="NFN43" s="819"/>
      <c r="NFO43" s="819"/>
      <c r="NFP43" s="819"/>
      <c r="NFQ43" s="819"/>
      <c r="NFR43" s="819"/>
      <c r="NFS43" s="819"/>
      <c r="NFT43" s="819"/>
      <c r="NFU43" s="819"/>
      <c r="NFV43" s="819"/>
      <c r="NFW43" s="819"/>
      <c r="NFX43" s="819"/>
      <c r="NFY43" s="819"/>
      <c r="NFZ43" s="819"/>
      <c r="NGA43" s="819"/>
      <c r="NGB43" s="819"/>
      <c r="NGC43" s="819"/>
      <c r="NGD43" s="819"/>
      <c r="NGE43" s="819"/>
      <c r="NGF43" s="819"/>
      <c r="NGG43" s="819"/>
      <c r="NGH43" s="819"/>
      <c r="NGI43" s="819"/>
      <c r="NGJ43" s="819"/>
      <c r="NGK43" s="819"/>
      <c r="NGL43" s="819"/>
      <c r="NGM43" s="819"/>
      <c r="NGN43" s="819"/>
      <c r="NGO43" s="819"/>
      <c r="NGP43" s="819"/>
      <c r="NGQ43" s="819"/>
      <c r="NGR43" s="819"/>
      <c r="NGS43" s="819"/>
      <c r="NGT43" s="819"/>
      <c r="NGU43" s="819"/>
      <c r="NGV43" s="819"/>
      <c r="NGW43" s="819"/>
      <c r="NGX43" s="819"/>
      <c r="NGY43" s="819"/>
      <c r="NGZ43" s="819"/>
      <c r="NHA43" s="819"/>
      <c r="NHB43" s="819"/>
      <c r="NHC43" s="819"/>
      <c r="NHD43" s="819"/>
      <c r="NHE43" s="819"/>
      <c r="NHF43" s="819"/>
      <c r="NHG43" s="819"/>
      <c r="NHH43" s="819"/>
      <c r="NHI43" s="819"/>
      <c r="NHJ43" s="819"/>
      <c r="NHK43" s="819"/>
      <c r="NHL43" s="819"/>
      <c r="NHM43" s="819"/>
      <c r="NHN43" s="819"/>
      <c r="NHO43" s="819"/>
      <c r="NHP43" s="819"/>
      <c r="NHQ43" s="819"/>
      <c r="NHR43" s="819"/>
      <c r="NHS43" s="819"/>
      <c r="NHT43" s="819"/>
      <c r="NHU43" s="819"/>
      <c r="NHV43" s="819"/>
      <c r="NHW43" s="819"/>
      <c r="NHX43" s="819"/>
      <c r="NHY43" s="819"/>
      <c r="NHZ43" s="819"/>
      <c r="NIA43" s="819"/>
      <c r="NIB43" s="819"/>
      <c r="NIC43" s="819"/>
      <c r="NID43" s="819"/>
      <c r="NIE43" s="819"/>
      <c r="NIF43" s="819"/>
      <c r="NIG43" s="819"/>
      <c r="NIH43" s="819"/>
      <c r="NII43" s="819"/>
      <c r="NIJ43" s="819"/>
      <c r="NIK43" s="819"/>
      <c r="NIL43" s="819"/>
      <c r="NIM43" s="819"/>
      <c r="NIN43" s="819"/>
      <c r="NIO43" s="819"/>
      <c r="NIP43" s="819"/>
      <c r="NIQ43" s="819"/>
      <c r="NIR43" s="819"/>
      <c r="NIS43" s="819"/>
      <c r="NIT43" s="819"/>
      <c r="NIU43" s="819"/>
      <c r="NIV43" s="819"/>
      <c r="NIW43" s="819"/>
      <c r="NIX43" s="819"/>
      <c r="NIY43" s="819"/>
      <c r="NIZ43" s="819"/>
      <c r="NJA43" s="819"/>
      <c r="NJB43" s="819"/>
      <c r="NJC43" s="819"/>
      <c r="NJD43" s="819"/>
      <c r="NJE43" s="819"/>
      <c r="NJF43" s="819"/>
      <c r="NJG43" s="819"/>
      <c r="NJH43" s="819"/>
      <c r="NJI43" s="819"/>
      <c r="NJJ43" s="819"/>
      <c r="NJK43" s="819"/>
      <c r="NJL43" s="819"/>
      <c r="NJM43" s="819"/>
      <c r="NJN43" s="819"/>
      <c r="NJO43" s="819"/>
      <c r="NJP43" s="819"/>
      <c r="NJQ43" s="819"/>
      <c r="NJR43" s="819"/>
      <c r="NJS43" s="819"/>
      <c r="NJT43" s="819"/>
      <c r="NJU43" s="819"/>
      <c r="NJV43" s="819"/>
      <c r="NJW43" s="819"/>
      <c r="NJX43" s="819"/>
      <c r="NJY43" s="819"/>
      <c r="NJZ43" s="819"/>
      <c r="NKA43" s="819"/>
      <c r="NKB43" s="819"/>
      <c r="NKC43" s="819"/>
      <c r="NKD43" s="819"/>
      <c r="NKE43" s="819"/>
      <c r="NKF43" s="819"/>
      <c r="NKG43" s="819"/>
      <c r="NKH43" s="819"/>
      <c r="NKI43" s="819"/>
      <c r="NKJ43" s="819"/>
      <c r="NKK43" s="819"/>
      <c r="NKL43" s="819"/>
      <c r="NKM43" s="819"/>
      <c r="NKN43" s="819"/>
      <c r="NKO43" s="819"/>
      <c r="NKP43" s="819"/>
      <c r="NKQ43" s="819"/>
      <c r="NKR43" s="819"/>
      <c r="NKS43" s="819"/>
      <c r="NKT43" s="819"/>
      <c r="NKU43" s="819"/>
      <c r="NKV43" s="819"/>
      <c r="NKW43" s="819"/>
      <c r="NKX43" s="819"/>
      <c r="NKY43" s="819"/>
      <c r="NKZ43" s="819"/>
      <c r="NLA43" s="819"/>
      <c r="NLB43" s="819"/>
      <c r="NLC43" s="819"/>
      <c r="NLD43" s="819"/>
      <c r="NLE43" s="819"/>
      <c r="NLF43" s="819"/>
      <c r="NLG43" s="819"/>
      <c r="NLH43" s="819"/>
      <c r="NLI43" s="819"/>
      <c r="NLJ43" s="819"/>
      <c r="NLK43" s="819"/>
      <c r="NLL43" s="819"/>
      <c r="NLM43" s="819"/>
      <c r="NLN43" s="819"/>
      <c r="NLO43" s="819"/>
      <c r="NLP43" s="819"/>
      <c r="NLQ43" s="819"/>
      <c r="NLR43" s="819"/>
      <c r="NLS43" s="819"/>
      <c r="NLT43" s="819"/>
      <c r="NLU43" s="819"/>
      <c r="NLV43" s="819"/>
      <c r="NLW43" s="819"/>
      <c r="NLX43" s="819"/>
      <c r="NLY43" s="819"/>
      <c r="NLZ43" s="819"/>
      <c r="NMA43" s="819"/>
      <c r="NMB43" s="819"/>
      <c r="NMC43" s="819"/>
      <c r="NMD43" s="819"/>
      <c r="NME43" s="819"/>
      <c r="NMF43" s="819"/>
      <c r="NMG43" s="819"/>
      <c r="NMH43" s="819"/>
      <c r="NMI43" s="819"/>
      <c r="NMJ43" s="819"/>
      <c r="NMK43" s="819"/>
      <c r="NML43" s="819"/>
      <c r="NMM43" s="819"/>
      <c r="NMN43" s="819"/>
      <c r="NMO43" s="819"/>
      <c r="NMP43" s="819"/>
      <c r="NMQ43" s="819"/>
      <c r="NMR43" s="819"/>
      <c r="NMS43" s="819"/>
      <c r="NMT43" s="819"/>
      <c r="NMU43" s="819"/>
      <c r="NMV43" s="819"/>
      <c r="NMW43" s="819"/>
      <c r="NMX43" s="819"/>
      <c r="NMY43" s="819"/>
      <c r="NMZ43" s="819"/>
      <c r="NNA43" s="819"/>
      <c r="NNB43" s="819"/>
      <c r="NNC43" s="819"/>
      <c r="NND43" s="819"/>
      <c r="NNE43" s="819"/>
      <c r="NNF43" s="819"/>
      <c r="NNG43" s="819"/>
      <c r="NNH43" s="819"/>
      <c r="NNI43" s="819"/>
      <c r="NNJ43" s="819"/>
      <c r="NNK43" s="819"/>
      <c r="NNL43" s="819"/>
      <c r="NNM43" s="819"/>
      <c r="NNN43" s="819"/>
      <c r="NNO43" s="819"/>
      <c r="NNP43" s="819"/>
      <c r="NNQ43" s="819"/>
      <c r="NNR43" s="819"/>
      <c r="NNS43" s="819"/>
      <c r="NNT43" s="819"/>
      <c r="NNU43" s="819"/>
      <c r="NNV43" s="819"/>
      <c r="NNW43" s="819"/>
      <c r="NNX43" s="819"/>
      <c r="NNY43" s="819"/>
      <c r="NNZ43" s="819"/>
      <c r="NOA43" s="819"/>
      <c r="NOB43" s="819"/>
      <c r="NOC43" s="819"/>
      <c r="NOD43" s="819"/>
      <c r="NOE43" s="819"/>
      <c r="NOF43" s="819"/>
      <c r="NOG43" s="819"/>
      <c r="NOH43" s="819"/>
      <c r="NOI43" s="819"/>
      <c r="NOJ43" s="819"/>
      <c r="NOK43" s="819"/>
      <c r="NOL43" s="819"/>
      <c r="NOM43" s="819"/>
      <c r="NON43" s="819"/>
      <c r="NOO43" s="819"/>
      <c r="NOP43" s="819"/>
      <c r="NOQ43" s="819"/>
      <c r="NOR43" s="819"/>
      <c r="NOS43" s="819"/>
      <c r="NOT43" s="819"/>
      <c r="NOU43" s="819"/>
      <c r="NOV43" s="819"/>
      <c r="NOW43" s="819"/>
      <c r="NOX43" s="819"/>
      <c r="NOY43" s="819"/>
      <c r="NOZ43" s="819"/>
      <c r="NPA43" s="819"/>
      <c r="NPB43" s="819"/>
      <c r="NPC43" s="819"/>
      <c r="NPD43" s="819"/>
      <c r="NPE43" s="819"/>
      <c r="NPF43" s="819"/>
      <c r="NPG43" s="819"/>
      <c r="NPH43" s="819"/>
      <c r="NPI43" s="819"/>
      <c r="NPJ43" s="819"/>
      <c r="NPK43" s="819"/>
      <c r="NPL43" s="819"/>
      <c r="NPM43" s="819"/>
      <c r="NPN43" s="819"/>
      <c r="NPO43" s="819"/>
      <c r="NPP43" s="819"/>
      <c r="NPQ43" s="819"/>
      <c r="NPR43" s="819"/>
      <c r="NPS43" s="819"/>
      <c r="NPT43" s="819"/>
      <c r="NPU43" s="819"/>
      <c r="NPV43" s="819"/>
      <c r="NPW43" s="819"/>
      <c r="NPX43" s="819"/>
      <c r="NPY43" s="819"/>
      <c r="NPZ43" s="819"/>
      <c r="NQA43" s="819"/>
      <c r="NQB43" s="819"/>
      <c r="NQC43" s="819"/>
      <c r="NQD43" s="819"/>
      <c r="NQE43" s="819"/>
      <c r="NQF43" s="819"/>
      <c r="NQG43" s="819"/>
      <c r="NQH43" s="819"/>
      <c r="NQI43" s="819"/>
      <c r="NQJ43" s="819"/>
      <c r="NQK43" s="819"/>
      <c r="NQL43" s="819"/>
      <c r="NQM43" s="819"/>
      <c r="NQN43" s="819"/>
      <c r="NQO43" s="819"/>
      <c r="NQP43" s="819"/>
      <c r="NQQ43" s="819"/>
      <c r="NQR43" s="819"/>
      <c r="NQS43" s="819"/>
      <c r="NQT43" s="819"/>
      <c r="NQU43" s="819"/>
      <c r="NQV43" s="819"/>
      <c r="NQW43" s="819"/>
      <c r="NQX43" s="819"/>
      <c r="NQY43" s="819"/>
      <c r="NQZ43" s="819"/>
      <c r="NRA43" s="819"/>
      <c r="NRB43" s="819"/>
      <c r="NRC43" s="819"/>
      <c r="NRD43" s="819"/>
      <c r="NRE43" s="819"/>
      <c r="NRF43" s="819"/>
      <c r="NRG43" s="819"/>
      <c r="NRH43" s="819"/>
      <c r="NRI43" s="819"/>
      <c r="NRJ43" s="819"/>
      <c r="NRK43" s="819"/>
      <c r="NRL43" s="819"/>
      <c r="NRM43" s="819"/>
      <c r="NRN43" s="819"/>
      <c r="NRO43" s="819"/>
      <c r="NRP43" s="819"/>
      <c r="NRQ43" s="819"/>
      <c r="NRR43" s="819"/>
      <c r="NRS43" s="819"/>
      <c r="NRT43" s="819"/>
      <c r="NRU43" s="819"/>
      <c r="NRV43" s="819"/>
      <c r="NRW43" s="819"/>
      <c r="NRX43" s="819"/>
      <c r="NRY43" s="819"/>
      <c r="NRZ43" s="819"/>
      <c r="NSA43" s="819"/>
      <c r="NSB43" s="819"/>
      <c r="NSC43" s="819"/>
      <c r="NSD43" s="819"/>
      <c r="NSE43" s="819"/>
      <c r="NSF43" s="819"/>
      <c r="NSG43" s="819"/>
      <c r="NSH43" s="819"/>
      <c r="NSI43" s="819"/>
      <c r="NSJ43" s="819"/>
      <c r="NSK43" s="819"/>
      <c r="NSL43" s="819"/>
      <c r="NSM43" s="819"/>
      <c r="NSN43" s="819"/>
      <c r="NSO43" s="819"/>
      <c r="NSP43" s="819"/>
      <c r="NSQ43" s="819"/>
      <c r="NSR43" s="819"/>
      <c r="NSS43" s="819"/>
      <c r="NST43" s="819"/>
      <c r="NSU43" s="819"/>
      <c r="NSV43" s="819"/>
      <c r="NSW43" s="819"/>
      <c r="NSX43" s="819"/>
      <c r="NSY43" s="819"/>
      <c r="NSZ43" s="819"/>
      <c r="NTA43" s="819"/>
      <c r="NTB43" s="819"/>
      <c r="NTC43" s="819"/>
      <c r="NTD43" s="819"/>
      <c r="NTE43" s="819"/>
      <c r="NTF43" s="819"/>
      <c r="NTG43" s="819"/>
      <c r="NTH43" s="819"/>
      <c r="NTI43" s="819"/>
      <c r="NTJ43" s="819"/>
      <c r="NTK43" s="819"/>
      <c r="NTL43" s="819"/>
      <c r="NTM43" s="819"/>
      <c r="NTN43" s="819"/>
      <c r="NTO43" s="819"/>
      <c r="NTP43" s="819"/>
      <c r="NTQ43" s="819"/>
      <c r="NTR43" s="819"/>
      <c r="NTS43" s="819"/>
      <c r="NTT43" s="819"/>
      <c r="NTU43" s="819"/>
      <c r="NTV43" s="819"/>
      <c r="NTW43" s="819"/>
      <c r="NTX43" s="819"/>
      <c r="NTY43" s="819"/>
      <c r="NTZ43" s="819"/>
      <c r="NUA43" s="819"/>
      <c r="NUB43" s="819"/>
      <c r="NUC43" s="819"/>
      <c r="NUD43" s="819"/>
      <c r="NUE43" s="819"/>
      <c r="NUF43" s="819"/>
      <c r="NUG43" s="819"/>
      <c r="NUH43" s="819"/>
      <c r="NUI43" s="819"/>
      <c r="NUJ43" s="819"/>
      <c r="NUK43" s="819"/>
      <c r="NUL43" s="819"/>
      <c r="NUM43" s="819"/>
      <c r="NUN43" s="819"/>
      <c r="NUO43" s="819"/>
      <c r="NUP43" s="819"/>
      <c r="NUQ43" s="819"/>
      <c r="NUR43" s="819"/>
      <c r="NUS43" s="819"/>
      <c r="NUT43" s="819"/>
      <c r="NUU43" s="819"/>
      <c r="NUV43" s="819"/>
      <c r="NUW43" s="819"/>
      <c r="NUX43" s="819"/>
      <c r="NUY43" s="819"/>
      <c r="NUZ43" s="819"/>
      <c r="NVA43" s="819"/>
      <c r="NVB43" s="819"/>
      <c r="NVC43" s="819"/>
      <c r="NVD43" s="819"/>
      <c r="NVE43" s="819"/>
      <c r="NVF43" s="819"/>
      <c r="NVG43" s="819"/>
      <c r="NVH43" s="819"/>
      <c r="NVI43" s="819"/>
      <c r="NVJ43" s="819"/>
      <c r="NVK43" s="819"/>
      <c r="NVL43" s="819"/>
      <c r="NVM43" s="819"/>
      <c r="NVN43" s="819"/>
      <c r="NVO43" s="819"/>
      <c r="NVP43" s="819"/>
      <c r="NVQ43" s="819"/>
      <c r="NVR43" s="819"/>
      <c r="NVS43" s="819"/>
      <c r="NVT43" s="819"/>
      <c r="NVU43" s="819"/>
      <c r="NVV43" s="819"/>
      <c r="NVW43" s="819"/>
      <c r="NVX43" s="819"/>
      <c r="NVY43" s="819"/>
      <c r="NVZ43" s="819"/>
      <c r="NWA43" s="819"/>
      <c r="NWB43" s="819"/>
      <c r="NWC43" s="819"/>
      <c r="NWD43" s="819"/>
      <c r="NWE43" s="819"/>
      <c r="NWF43" s="819"/>
      <c r="NWG43" s="819"/>
      <c r="NWH43" s="819"/>
      <c r="NWI43" s="819"/>
      <c r="NWJ43" s="819"/>
      <c r="NWK43" s="819"/>
      <c r="NWL43" s="819"/>
      <c r="NWM43" s="819"/>
      <c r="NWN43" s="819"/>
      <c r="NWO43" s="819"/>
      <c r="NWP43" s="819"/>
      <c r="NWQ43" s="819"/>
      <c r="NWR43" s="819"/>
      <c r="NWS43" s="819"/>
      <c r="NWT43" s="819"/>
      <c r="NWU43" s="819"/>
      <c r="NWV43" s="819"/>
      <c r="NWW43" s="819"/>
      <c r="NWX43" s="819"/>
      <c r="NWY43" s="819"/>
      <c r="NWZ43" s="819"/>
      <c r="NXA43" s="819"/>
      <c r="NXB43" s="819"/>
      <c r="NXC43" s="819"/>
      <c r="NXD43" s="819"/>
      <c r="NXE43" s="819"/>
      <c r="NXF43" s="819"/>
      <c r="NXG43" s="819"/>
      <c r="NXH43" s="819"/>
      <c r="NXI43" s="819"/>
      <c r="NXJ43" s="819"/>
      <c r="NXK43" s="819"/>
      <c r="NXL43" s="819"/>
      <c r="NXM43" s="819"/>
      <c r="NXN43" s="819"/>
      <c r="NXO43" s="819"/>
      <c r="NXP43" s="819"/>
      <c r="NXQ43" s="819"/>
      <c r="NXR43" s="819"/>
      <c r="NXS43" s="819"/>
      <c r="NXT43" s="819"/>
      <c r="NXU43" s="819"/>
      <c r="NXV43" s="819"/>
      <c r="NXW43" s="819"/>
      <c r="NXX43" s="819"/>
      <c r="NXY43" s="819"/>
      <c r="NXZ43" s="819"/>
      <c r="NYA43" s="819"/>
      <c r="NYB43" s="819"/>
      <c r="NYC43" s="819"/>
      <c r="NYD43" s="819"/>
      <c r="NYE43" s="819"/>
      <c r="NYF43" s="819"/>
      <c r="NYG43" s="819"/>
      <c r="NYH43" s="819"/>
      <c r="NYI43" s="819"/>
      <c r="NYJ43" s="819"/>
      <c r="NYK43" s="819"/>
      <c r="NYL43" s="819"/>
      <c r="NYM43" s="819"/>
      <c r="NYN43" s="819"/>
      <c r="NYO43" s="819"/>
      <c r="NYP43" s="819"/>
      <c r="NYQ43" s="819"/>
      <c r="NYR43" s="819"/>
      <c r="NYS43" s="819"/>
      <c r="NYT43" s="819"/>
      <c r="NYU43" s="819"/>
      <c r="NYV43" s="819"/>
      <c r="NYW43" s="819"/>
      <c r="NYX43" s="819"/>
      <c r="NYY43" s="819"/>
      <c r="NYZ43" s="819"/>
      <c r="NZA43" s="819"/>
      <c r="NZB43" s="819"/>
      <c r="NZC43" s="819"/>
      <c r="NZD43" s="819"/>
      <c r="NZE43" s="819"/>
      <c r="NZF43" s="819"/>
      <c r="NZG43" s="819"/>
      <c r="NZH43" s="819"/>
      <c r="NZI43" s="819"/>
      <c r="NZJ43" s="819"/>
      <c r="NZK43" s="819"/>
      <c r="NZL43" s="819"/>
      <c r="NZM43" s="819"/>
      <c r="NZN43" s="819"/>
      <c r="NZO43" s="819"/>
      <c r="NZP43" s="819"/>
      <c r="NZQ43" s="819"/>
      <c r="NZR43" s="819"/>
      <c r="NZS43" s="819"/>
      <c r="NZT43" s="819"/>
      <c r="NZU43" s="819"/>
      <c r="NZV43" s="819"/>
      <c r="NZW43" s="819"/>
      <c r="NZX43" s="819"/>
      <c r="NZY43" s="819"/>
      <c r="NZZ43" s="819"/>
      <c r="OAA43" s="819"/>
      <c r="OAB43" s="819"/>
      <c r="OAC43" s="819"/>
      <c r="OAD43" s="819"/>
      <c r="OAE43" s="819"/>
      <c r="OAF43" s="819"/>
      <c r="OAG43" s="819"/>
      <c r="OAH43" s="819"/>
      <c r="OAI43" s="819"/>
      <c r="OAJ43" s="819"/>
      <c r="OAK43" s="819"/>
      <c r="OAL43" s="819"/>
      <c r="OAM43" s="819"/>
      <c r="OAN43" s="819"/>
      <c r="OAO43" s="819"/>
      <c r="OAP43" s="819"/>
      <c r="OAQ43" s="819"/>
      <c r="OAR43" s="819"/>
      <c r="OAS43" s="819"/>
      <c r="OAT43" s="819"/>
      <c r="OAU43" s="819"/>
      <c r="OAV43" s="819"/>
      <c r="OAW43" s="819"/>
      <c r="OAX43" s="819"/>
      <c r="OAY43" s="819"/>
      <c r="OAZ43" s="819"/>
      <c r="OBA43" s="819"/>
      <c r="OBB43" s="819"/>
      <c r="OBC43" s="819"/>
      <c r="OBD43" s="819"/>
      <c r="OBE43" s="819"/>
      <c r="OBF43" s="819"/>
      <c r="OBG43" s="819"/>
      <c r="OBH43" s="819"/>
      <c r="OBI43" s="819"/>
      <c r="OBJ43" s="819"/>
      <c r="OBK43" s="819"/>
      <c r="OBL43" s="819"/>
      <c r="OBM43" s="819"/>
      <c r="OBN43" s="819"/>
      <c r="OBO43" s="819"/>
      <c r="OBP43" s="819"/>
      <c r="OBQ43" s="819"/>
      <c r="OBR43" s="819"/>
      <c r="OBS43" s="819"/>
      <c r="OBT43" s="819"/>
      <c r="OBU43" s="819"/>
      <c r="OBV43" s="819"/>
      <c r="OBW43" s="819"/>
      <c r="OBX43" s="819"/>
      <c r="OBY43" s="819"/>
      <c r="OBZ43" s="819"/>
      <c r="OCA43" s="819"/>
      <c r="OCB43" s="819"/>
      <c r="OCC43" s="819"/>
      <c r="OCD43" s="819"/>
      <c r="OCE43" s="819"/>
      <c r="OCF43" s="819"/>
      <c r="OCG43" s="819"/>
      <c r="OCH43" s="819"/>
      <c r="OCI43" s="819"/>
      <c r="OCJ43" s="819"/>
      <c r="OCK43" s="819"/>
      <c r="OCL43" s="819"/>
      <c r="OCM43" s="819"/>
      <c r="OCN43" s="819"/>
      <c r="OCO43" s="819"/>
      <c r="OCP43" s="819"/>
      <c r="OCQ43" s="819"/>
      <c r="OCR43" s="819"/>
      <c r="OCS43" s="819"/>
      <c r="OCT43" s="819"/>
      <c r="OCU43" s="819"/>
      <c r="OCV43" s="819"/>
      <c r="OCW43" s="819"/>
      <c r="OCX43" s="819"/>
      <c r="OCY43" s="819"/>
      <c r="OCZ43" s="819"/>
      <c r="ODA43" s="819"/>
      <c r="ODB43" s="819"/>
      <c r="ODC43" s="819"/>
      <c r="ODD43" s="819"/>
      <c r="ODE43" s="819"/>
      <c r="ODF43" s="819"/>
      <c r="ODG43" s="819"/>
      <c r="ODH43" s="819"/>
      <c r="ODI43" s="819"/>
      <c r="ODJ43" s="819"/>
      <c r="ODK43" s="819"/>
      <c r="ODL43" s="819"/>
      <c r="ODM43" s="819"/>
      <c r="ODN43" s="819"/>
      <c r="ODO43" s="819"/>
      <c r="ODP43" s="819"/>
      <c r="ODQ43" s="819"/>
      <c r="ODR43" s="819"/>
      <c r="ODS43" s="819"/>
      <c r="ODT43" s="819"/>
      <c r="ODU43" s="819"/>
      <c r="ODV43" s="819"/>
      <c r="ODW43" s="819"/>
      <c r="ODX43" s="819"/>
      <c r="ODY43" s="819"/>
      <c r="ODZ43" s="819"/>
      <c r="OEA43" s="819"/>
      <c r="OEB43" s="819"/>
      <c r="OEC43" s="819"/>
      <c r="OED43" s="819"/>
      <c r="OEE43" s="819"/>
      <c r="OEF43" s="819"/>
      <c r="OEG43" s="819"/>
      <c r="OEH43" s="819"/>
      <c r="OEI43" s="819"/>
      <c r="OEJ43" s="819"/>
      <c r="OEK43" s="819"/>
      <c r="OEL43" s="819"/>
      <c r="OEM43" s="819"/>
      <c r="OEN43" s="819"/>
      <c r="OEO43" s="819"/>
      <c r="OEP43" s="819"/>
      <c r="OEQ43" s="819"/>
      <c r="OER43" s="819"/>
      <c r="OES43" s="819"/>
      <c r="OET43" s="819"/>
      <c r="OEU43" s="819"/>
      <c r="OEV43" s="819"/>
      <c r="OEW43" s="819"/>
      <c r="OEX43" s="819"/>
      <c r="OEY43" s="819"/>
      <c r="OEZ43" s="819"/>
      <c r="OFA43" s="819"/>
      <c r="OFB43" s="819"/>
      <c r="OFC43" s="819"/>
      <c r="OFD43" s="819"/>
      <c r="OFE43" s="819"/>
      <c r="OFF43" s="819"/>
      <c r="OFG43" s="819"/>
      <c r="OFH43" s="819"/>
      <c r="OFI43" s="819"/>
      <c r="OFJ43" s="819"/>
      <c r="OFK43" s="819"/>
      <c r="OFL43" s="819"/>
      <c r="OFM43" s="819"/>
      <c r="OFN43" s="819"/>
      <c r="OFO43" s="819"/>
      <c r="OFP43" s="819"/>
      <c r="OFQ43" s="819"/>
      <c r="OFR43" s="819"/>
      <c r="OFS43" s="819"/>
      <c r="OFT43" s="819"/>
      <c r="OFU43" s="819"/>
      <c r="OFV43" s="819"/>
      <c r="OFW43" s="819"/>
      <c r="OFX43" s="819"/>
      <c r="OFY43" s="819"/>
      <c r="OFZ43" s="819"/>
      <c r="OGA43" s="819"/>
      <c r="OGB43" s="819"/>
      <c r="OGC43" s="819"/>
      <c r="OGD43" s="819"/>
      <c r="OGE43" s="819"/>
      <c r="OGF43" s="819"/>
      <c r="OGG43" s="819"/>
      <c r="OGH43" s="819"/>
      <c r="OGI43" s="819"/>
      <c r="OGJ43" s="819"/>
      <c r="OGK43" s="819"/>
      <c r="OGL43" s="819"/>
      <c r="OGM43" s="819"/>
      <c r="OGN43" s="819"/>
      <c r="OGO43" s="819"/>
      <c r="OGP43" s="819"/>
      <c r="OGQ43" s="819"/>
      <c r="OGR43" s="819"/>
      <c r="OGS43" s="819"/>
      <c r="OGT43" s="819"/>
      <c r="OGU43" s="819"/>
      <c r="OGV43" s="819"/>
      <c r="OGW43" s="819"/>
      <c r="OGX43" s="819"/>
      <c r="OGY43" s="819"/>
      <c r="OGZ43" s="819"/>
      <c r="OHA43" s="819"/>
      <c r="OHB43" s="819"/>
      <c r="OHC43" s="819"/>
      <c r="OHD43" s="819"/>
      <c r="OHE43" s="819"/>
      <c r="OHF43" s="819"/>
      <c r="OHG43" s="819"/>
      <c r="OHH43" s="819"/>
      <c r="OHI43" s="819"/>
      <c r="OHJ43" s="819"/>
      <c r="OHK43" s="819"/>
      <c r="OHL43" s="819"/>
      <c r="OHM43" s="819"/>
      <c r="OHN43" s="819"/>
      <c r="OHO43" s="819"/>
      <c r="OHP43" s="819"/>
      <c r="OHQ43" s="819"/>
      <c r="OHR43" s="819"/>
      <c r="OHS43" s="819"/>
      <c r="OHT43" s="819"/>
      <c r="OHU43" s="819"/>
      <c r="OHV43" s="819"/>
      <c r="OHW43" s="819"/>
      <c r="OHX43" s="819"/>
      <c r="OHY43" s="819"/>
      <c r="OHZ43" s="819"/>
      <c r="OIA43" s="819"/>
      <c r="OIB43" s="819"/>
      <c r="OIC43" s="819"/>
      <c r="OID43" s="819"/>
      <c r="OIE43" s="819"/>
      <c r="OIF43" s="819"/>
      <c r="OIG43" s="819"/>
      <c r="OIH43" s="819"/>
      <c r="OII43" s="819"/>
      <c r="OIJ43" s="819"/>
      <c r="OIK43" s="819"/>
      <c r="OIL43" s="819"/>
      <c r="OIM43" s="819"/>
      <c r="OIN43" s="819"/>
      <c r="OIO43" s="819"/>
      <c r="OIP43" s="819"/>
      <c r="OIQ43" s="819"/>
      <c r="OIR43" s="819"/>
      <c r="OIS43" s="819"/>
      <c r="OIT43" s="819"/>
      <c r="OIU43" s="819"/>
      <c r="OIV43" s="819"/>
      <c r="OIW43" s="819"/>
      <c r="OIX43" s="819"/>
      <c r="OIY43" s="819"/>
      <c r="OIZ43" s="819"/>
      <c r="OJA43" s="819"/>
      <c r="OJB43" s="819"/>
      <c r="OJC43" s="819"/>
      <c r="OJD43" s="819"/>
      <c r="OJE43" s="819"/>
      <c r="OJF43" s="819"/>
      <c r="OJG43" s="819"/>
      <c r="OJH43" s="819"/>
      <c r="OJI43" s="819"/>
      <c r="OJJ43" s="819"/>
      <c r="OJK43" s="819"/>
      <c r="OJL43" s="819"/>
      <c r="OJM43" s="819"/>
      <c r="OJN43" s="819"/>
      <c r="OJO43" s="819"/>
      <c r="OJP43" s="819"/>
      <c r="OJQ43" s="819"/>
      <c r="OJR43" s="819"/>
      <c r="OJS43" s="819"/>
      <c r="OJT43" s="819"/>
      <c r="OJU43" s="819"/>
      <c r="OJV43" s="819"/>
      <c r="OJW43" s="819"/>
      <c r="OJX43" s="819"/>
      <c r="OJY43" s="819"/>
      <c r="OJZ43" s="819"/>
      <c r="OKA43" s="819"/>
      <c r="OKB43" s="819"/>
      <c r="OKC43" s="819"/>
      <c r="OKD43" s="819"/>
      <c r="OKE43" s="819"/>
      <c r="OKF43" s="819"/>
      <c r="OKG43" s="819"/>
      <c r="OKH43" s="819"/>
      <c r="OKI43" s="819"/>
      <c r="OKJ43" s="819"/>
      <c r="OKK43" s="819"/>
      <c r="OKL43" s="819"/>
      <c r="OKM43" s="819"/>
      <c r="OKN43" s="819"/>
      <c r="OKO43" s="819"/>
      <c r="OKP43" s="819"/>
      <c r="OKQ43" s="819"/>
      <c r="OKR43" s="819"/>
      <c r="OKS43" s="819"/>
      <c r="OKT43" s="819"/>
      <c r="OKU43" s="819"/>
      <c r="OKV43" s="819"/>
      <c r="OKW43" s="819"/>
      <c r="OKX43" s="819"/>
      <c r="OKY43" s="819"/>
      <c r="OKZ43" s="819"/>
      <c r="OLA43" s="819"/>
      <c r="OLB43" s="819"/>
      <c r="OLC43" s="819"/>
      <c r="OLD43" s="819"/>
      <c r="OLE43" s="819"/>
      <c r="OLF43" s="819"/>
      <c r="OLG43" s="819"/>
      <c r="OLH43" s="819"/>
      <c r="OLI43" s="819"/>
      <c r="OLJ43" s="819"/>
      <c r="OLK43" s="819"/>
      <c r="OLL43" s="819"/>
      <c r="OLM43" s="819"/>
      <c r="OLN43" s="819"/>
      <c r="OLO43" s="819"/>
      <c r="OLP43" s="819"/>
      <c r="OLQ43" s="819"/>
      <c r="OLR43" s="819"/>
      <c r="OLS43" s="819"/>
      <c r="OLT43" s="819"/>
      <c r="OLU43" s="819"/>
      <c r="OLV43" s="819"/>
      <c r="OLW43" s="819"/>
      <c r="OLX43" s="819"/>
      <c r="OLY43" s="819"/>
      <c r="OLZ43" s="819"/>
      <c r="OMA43" s="819"/>
      <c r="OMB43" s="819"/>
      <c r="OMC43" s="819"/>
      <c r="OMD43" s="819"/>
      <c r="OME43" s="819"/>
      <c r="OMF43" s="819"/>
      <c r="OMG43" s="819"/>
      <c r="OMH43" s="819"/>
      <c r="OMI43" s="819"/>
      <c r="OMJ43" s="819"/>
      <c r="OMK43" s="819"/>
      <c r="OML43" s="819"/>
      <c r="OMM43" s="819"/>
      <c r="OMN43" s="819"/>
      <c r="OMO43" s="819"/>
      <c r="OMP43" s="819"/>
      <c r="OMQ43" s="819"/>
      <c r="OMR43" s="819"/>
      <c r="OMS43" s="819"/>
      <c r="OMT43" s="819"/>
      <c r="OMU43" s="819"/>
      <c r="OMV43" s="819"/>
      <c r="OMW43" s="819"/>
      <c r="OMX43" s="819"/>
      <c r="OMY43" s="819"/>
      <c r="OMZ43" s="819"/>
      <c r="ONA43" s="819"/>
      <c r="ONB43" s="819"/>
      <c r="ONC43" s="819"/>
      <c r="OND43" s="819"/>
      <c r="ONE43" s="819"/>
      <c r="ONF43" s="819"/>
      <c r="ONG43" s="819"/>
      <c r="ONH43" s="819"/>
      <c r="ONI43" s="819"/>
      <c r="ONJ43" s="819"/>
      <c r="ONK43" s="819"/>
      <c r="ONL43" s="819"/>
      <c r="ONM43" s="819"/>
      <c r="ONN43" s="819"/>
      <c r="ONO43" s="819"/>
      <c r="ONP43" s="819"/>
      <c r="ONQ43" s="819"/>
      <c r="ONR43" s="819"/>
      <c r="ONS43" s="819"/>
      <c r="ONT43" s="819"/>
      <c r="ONU43" s="819"/>
      <c r="ONV43" s="819"/>
      <c r="ONW43" s="819"/>
      <c r="ONX43" s="819"/>
      <c r="ONY43" s="819"/>
      <c r="ONZ43" s="819"/>
      <c r="OOA43" s="819"/>
      <c r="OOB43" s="819"/>
      <c r="OOC43" s="819"/>
      <c r="OOD43" s="819"/>
      <c r="OOE43" s="819"/>
      <c r="OOF43" s="819"/>
      <c r="OOG43" s="819"/>
      <c r="OOH43" s="819"/>
      <c r="OOI43" s="819"/>
      <c r="OOJ43" s="819"/>
      <c r="OOK43" s="819"/>
      <c r="OOL43" s="819"/>
      <c r="OOM43" s="819"/>
      <c r="OON43" s="819"/>
      <c r="OOO43" s="819"/>
      <c r="OOP43" s="819"/>
      <c r="OOQ43" s="819"/>
      <c r="OOR43" s="819"/>
      <c r="OOS43" s="819"/>
      <c r="OOT43" s="819"/>
      <c r="OOU43" s="819"/>
      <c r="OOV43" s="819"/>
      <c r="OOW43" s="819"/>
      <c r="OOX43" s="819"/>
      <c r="OOY43" s="819"/>
      <c r="OOZ43" s="819"/>
      <c r="OPA43" s="819"/>
      <c r="OPB43" s="819"/>
      <c r="OPC43" s="819"/>
      <c r="OPD43" s="819"/>
      <c r="OPE43" s="819"/>
      <c r="OPF43" s="819"/>
      <c r="OPG43" s="819"/>
      <c r="OPH43" s="819"/>
      <c r="OPI43" s="819"/>
      <c r="OPJ43" s="819"/>
      <c r="OPK43" s="819"/>
      <c r="OPL43" s="819"/>
      <c r="OPM43" s="819"/>
      <c r="OPN43" s="819"/>
      <c r="OPO43" s="819"/>
      <c r="OPP43" s="819"/>
      <c r="OPQ43" s="819"/>
      <c r="OPR43" s="819"/>
      <c r="OPS43" s="819"/>
      <c r="OPT43" s="819"/>
      <c r="OPU43" s="819"/>
      <c r="OPV43" s="819"/>
      <c r="OPW43" s="819"/>
      <c r="OPX43" s="819"/>
      <c r="OPY43" s="819"/>
      <c r="OPZ43" s="819"/>
      <c r="OQA43" s="819"/>
      <c r="OQB43" s="819"/>
      <c r="OQC43" s="819"/>
      <c r="OQD43" s="819"/>
      <c r="OQE43" s="819"/>
      <c r="OQF43" s="819"/>
      <c r="OQG43" s="819"/>
      <c r="OQH43" s="819"/>
      <c r="OQI43" s="819"/>
      <c r="OQJ43" s="819"/>
      <c r="OQK43" s="819"/>
      <c r="OQL43" s="819"/>
      <c r="OQM43" s="819"/>
      <c r="OQN43" s="819"/>
      <c r="OQO43" s="819"/>
      <c r="OQP43" s="819"/>
      <c r="OQQ43" s="819"/>
      <c r="OQR43" s="819"/>
      <c r="OQS43" s="819"/>
      <c r="OQT43" s="819"/>
      <c r="OQU43" s="819"/>
      <c r="OQV43" s="819"/>
      <c r="OQW43" s="819"/>
      <c r="OQX43" s="819"/>
      <c r="OQY43" s="819"/>
      <c r="OQZ43" s="819"/>
      <c r="ORA43" s="819"/>
      <c r="ORB43" s="819"/>
      <c r="ORC43" s="819"/>
      <c r="ORD43" s="819"/>
      <c r="ORE43" s="819"/>
      <c r="ORF43" s="819"/>
      <c r="ORG43" s="819"/>
      <c r="ORH43" s="819"/>
      <c r="ORI43" s="819"/>
      <c r="ORJ43" s="819"/>
      <c r="ORK43" s="819"/>
      <c r="ORL43" s="819"/>
      <c r="ORM43" s="819"/>
      <c r="ORN43" s="819"/>
      <c r="ORO43" s="819"/>
      <c r="ORP43" s="819"/>
      <c r="ORQ43" s="819"/>
      <c r="ORR43" s="819"/>
      <c r="ORS43" s="819"/>
      <c r="ORT43" s="819"/>
      <c r="ORU43" s="819"/>
      <c r="ORV43" s="819"/>
      <c r="ORW43" s="819"/>
      <c r="ORX43" s="819"/>
      <c r="ORY43" s="819"/>
      <c r="ORZ43" s="819"/>
      <c r="OSA43" s="819"/>
      <c r="OSB43" s="819"/>
      <c r="OSC43" s="819"/>
      <c r="OSD43" s="819"/>
      <c r="OSE43" s="819"/>
      <c r="OSF43" s="819"/>
      <c r="OSG43" s="819"/>
      <c r="OSH43" s="819"/>
      <c r="OSI43" s="819"/>
      <c r="OSJ43" s="819"/>
      <c r="OSK43" s="819"/>
      <c r="OSL43" s="819"/>
      <c r="OSM43" s="819"/>
      <c r="OSN43" s="819"/>
      <c r="OSO43" s="819"/>
      <c r="OSP43" s="819"/>
      <c r="OSQ43" s="819"/>
      <c r="OSR43" s="819"/>
      <c r="OSS43" s="819"/>
      <c r="OST43" s="819"/>
      <c r="OSU43" s="819"/>
      <c r="OSV43" s="819"/>
      <c r="OSW43" s="819"/>
      <c r="OSX43" s="819"/>
      <c r="OSY43" s="819"/>
      <c r="OSZ43" s="819"/>
      <c r="OTA43" s="819"/>
      <c r="OTB43" s="819"/>
      <c r="OTC43" s="819"/>
      <c r="OTD43" s="819"/>
      <c r="OTE43" s="819"/>
      <c r="OTF43" s="819"/>
      <c r="OTG43" s="819"/>
      <c r="OTH43" s="819"/>
      <c r="OTI43" s="819"/>
      <c r="OTJ43" s="819"/>
      <c r="OTK43" s="819"/>
      <c r="OTL43" s="819"/>
      <c r="OTM43" s="819"/>
      <c r="OTN43" s="819"/>
      <c r="OTO43" s="819"/>
      <c r="OTP43" s="819"/>
      <c r="OTQ43" s="819"/>
      <c r="OTR43" s="819"/>
      <c r="OTS43" s="819"/>
      <c r="OTT43" s="819"/>
      <c r="OTU43" s="819"/>
      <c r="OTV43" s="819"/>
      <c r="OTW43" s="819"/>
      <c r="OTX43" s="819"/>
      <c r="OTY43" s="819"/>
      <c r="OTZ43" s="819"/>
      <c r="OUA43" s="819"/>
      <c r="OUB43" s="819"/>
      <c r="OUC43" s="819"/>
      <c r="OUD43" s="819"/>
      <c r="OUE43" s="819"/>
      <c r="OUF43" s="819"/>
      <c r="OUG43" s="819"/>
      <c r="OUH43" s="819"/>
      <c r="OUI43" s="819"/>
      <c r="OUJ43" s="819"/>
      <c r="OUK43" s="819"/>
      <c r="OUL43" s="819"/>
      <c r="OUM43" s="819"/>
      <c r="OUN43" s="819"/>
      <c r="OUO43" s="819"/>
      <c r="OUP43" s="819"/>
      <c r="OUQ43" s="819"/>
      <c r="OUR43" s="819"/>
      <c r="OUS43" s="819"/>
      <c r="OUT43" s="819"/>
      <c r="OUU43" s="819"/>
      <c r="OUV43" s="819"/>
      <c r="OUW43" s="819"/>
      <c r="OUX43" s="819"/>
      <c r="OUY43" s="819"/>
      <c r="OUZ43" s="819"/>
      <c r="OVA43" s="819"/>
      <c r="OVB43" s="819"/>
      <c r="OVC43" s="819"/>
      <c r="OVD43" s="819"/>
      <c r="OVE43" s="819"/>
      <c r="OVF43" s="819"/>
      <c r="OVG43" s="819"/>
      <c r="OVH43" s="819"/>
      <c r="OVI43" s="819"/>
      <c r="OVJ43" s="819"/>
      <c r="OVK43" s="819"/>
      <c r="OVL43" s="819"/>
      <c r="OVM43" s="819"/>
      <c r="OVN43" s="819"/>
      <c r="OVO43" s="819"/>
      <c r="OVP43" s="819"/>
      <c r="OVQ43" s="819"/>
      <c r="OVR43" s="819"/>
      <c r="OVS43" s="819"/>
      <c r="OVT43" s="819"/>
      <c r="OVU43" s="819"/>
      <c r="OVV43" s="819"/>
      <c r="OVW43" s="819"/>
      <c r="OVX43" s="819"/>
      <c r="OVY43" s="819"/>
      <c r="OVZ43" s="819"/>
      <c r="OWA43" s="819"/>
      <c r="OWB43" s="819"/>
      <c r="OWC43" s="819"/>
      <c r="OWD43" s="819"/>
      <c r="OWE43" s="819"/>
      <c r="OWF43" s="819"/>
      <c r="OWG43" s="819"/>
      <c r="OWH43" s="819"/>
      <c r="OWI43" s="819"/>
      <c r="OWJ43" s="819"/>
      <c r="OWK43" s="819"/>
      <c r="OWL43" s="819"/>
      <c r="OWM43" s="819"/>
      <c r="OWN43" s="819"/>
      <c r="OWO43" s="819"/>
      <c r="OWP43" s="819"/>
      <c r="OWQ43" s="819"/>
      <c r="OWR43" s="819"/>
      <c r="OWS43" s="819"/>
      <c r="OWT43" s="819"/>
      <c r="OWU43" s="819"/>
      <c r="OWV43" s="819"/>
      <c r="OWW43" s="819"/>
      <c r="OWX43" s="819"/>
      <c r="OWY43" s="819"/>
      <c r="OWZ43" s="819"/>
      <c r="OXA43" s="819"/>
      <c r="OXB43" s="819"/>
      <c r="OXC43" s="819"/>
      <c r="OXD43" s="819"/>
      <c r="OXE43" s="819"/>
      <c r="OXF43" s="819"/>
      <c r="OXG43" s="819"/>
      <c r="OXH43" s="819"/>
      <c r="OXI43" s="819"/>
      <c r="OXJ43" s="819"/>
      <c r="OXK43" s="819"/>
      <c r="OXL43" s="819"/>
      <c r="OXM43" s="819"/>
      <c r="OXN43" s="819"/>
      <c r="OXO43" s="819"/>
      <c r="OXP43" s="819"/>
      <c r="OXQ43" s="819"/>
      <c r="OXR43" s="819"/>
      <c r="OXS43" s="819"/>
      <c r="OXT43" s="819"/>
      <c r="OXU43" s="819"/>
      <c r="OXV43" s="819"/>
      <c r="OXW43" s="819"/>
      <c r="OXX43" s="819"/>
      <c r="OXY43" s="819"/>
      <c r="OXZ43" s="819"/>
      <c r="OYA43" s="819"/>
      <c r="OYB43" s="819"/>
      <c r="OYC43" s="819"/>
      <c r="OYD43" s="819"/>
      <c r="OYE43" s="819"/>
      <c r="OYF43" s="819"/>
      <c r="OYG43" s="819"/>
      <c r="OYH43" s="819"/>
      <c r="OYI43" s="819"/>
      <c r="OYJ43" s="819"/>
      <c r="OYK43" s="819"/>
      <c r="OYL43" s="819"/>
      <c r="OYM43" s="819"/>
      <c r="OYN43" s="819"/>
      <c r="OYO43" s="819"/>
      <c r="OYP43" s="819"/>
      <c r="OYQ43" s="819"/>
      <c r="OYR43" s="819"/>
      <c r="OYS43" s="819"/>
      <c r="OYT43" s="819"/>
      <c r="OYU43" s="819"/>
      <c r="OYV43" s="819"/>
      <c r="OYW43" s="819"/>
      <c r="OYX43" s="819"/>
      <c r="OYY43" s="819"/>
      <c r="OYZ43" s="819"/>
      <c r="OZA43" s="819"/>
      <c r="OZB43" s="819"/>
      <c r="OZC43" s="819"/>
      <c r="OZD43" s="819"/>
      <c r="OZE43" s="819"/>
      <c r="OZF43" s="819"/>
      <c r="OZG43" s="819"/>
      <c r="OZH43" s="819"/>
      <c r="OZI43" s="819"/>
      <c r="OZJ43" s="819"/>
      <c r="OZK43" s="819"/>
      <c r="OZL43" s="819"/>
      <c r="OZM43" s="819"/>
      <c r="OZN43" s="819"/>
      <c r="OZO43" s="819"/>
      <c r="OZP43" s="819"/>
      <c r="OZQ43" s="819"/>
      <c r="OZR43" s="819"/>
      <c r="OZS43" s="819"/>
      <c r="OZT43" s="819"/>
      <c r="OZU43" s="819"/>
      <c r="OZV43" s="819"/>
      <c r="OZW43" s="819"/>
      <c r="OZX43" s="819"/>
      <c r="OZY43" s="819"/>
      <c r="OZZ43" s="819"/>
      <c r="PAA43" s="819"/>
      <c r="PAB43" s="819"/>
      <c r="PAC43" s="819"/>
      <c r="PAD43" s="819"/>
      <c r="PAE43" s="819"/>
      <c r="PAF43" s="819"/>
      <c r="PAG43" s="819"/>
      <c r="PAH43" s="819"/>
      <c r="PAI43" s="819"/>
      <c r="PAJ43" s="819"/>
      <c r="PAK43" s="819"/>
      <c r="PAL43" s="819"/>
      <c r="PAM43" s="819"/>
      <c r="PAN43" s="819"/>
      <c r="PAO43" s="819"/>
      <c r="PAP43" s="819"/>
      <c r="PAQ43" s="819"/>
      <c r="PAR43" s="819"/>
      <c r="PAS43" s="819"/>
      <c r="PAT43" s="819"/>
      <c r="PAU43" s="819"/>
      <c r="PAV43" s="819"/>
      <c r="PAW43" s="819"/>
      <c r="PAX43" s="819"/>
      <c r="PAY43" s="819"/>
      <c r="PAZ43" s="819"/>
      <c r="PBA43" s="819"/>
      <c r="PBB43" s="819"/>
      <c r="PBC43" s="819"/>
      <c r="PBD43" s="819"/>
      <c r="PBE43" s="819"/>
      <c r="PBF43" s="819"/>
      <c r="PBG43" s="819"/>
      <c r="PBH43" s="819"/>
      <c r="PBI43" s="819"/>
      <c r="PBJ43" s="819"/>
      <c r="PBK43" s="819"/>
      <c r="PBL43" s="819"/>
      <c r="PBM43" s="819"/>
      <c r="PBN43" s="819"/>
      <c r="PBO43" s="819"/>
      <c r="PBP43" s="819"/>
      <c r="PBQ43" s="819"/>
      <c r="PBR43" s="819"/>
      <c r="PBS43" s="819"/>
      <c r="PBT43" s="819"/>
      <c r="PBU43" s="819"/>
      <c r="PBV43" s="819"/>
      <c r="PBW43" s="819"/>
      <c r="PBX43" s="819"/>
      <c r="PBY43" s="819"/>
      <c r="PBZ43" s="819"/>
      <c r="PCA43" s="819"/>
      <c r="PCB43" s="819"/>
      <c r="PCC43" s="819"/>
      <c r="PCD43" s="819"/>
      <c r="PCE43" s="819"/>
      <c r="PCF43" s="819"/>
      <c r="PCG43" s="819"/>
      <c r="PCH43" s="819"/>
      <c r="PCI43" s="819"/>
      <c r="PCJ43" s="819"/>
      <c r="PCK43" s="819"/>
      <c r="PCL43" s="819"/>
      <c r="PCM43" s="819"/>
      <c r="PCN43" s="819"/>
      <c r="PCO43" s="819"/>
      <c r="PCP43" s="819"/>
      <c r="PCQ43" s="819"/>
      <c r="PCR43" s="819"/>
      <c r="PCS43" s="819"/>
      <c r="PCT43" s="819"/>
      <c r="PCU43" s="819"/>
      <c r="PCV43" s="819"/>
      <c r="PCW43" s="819"/>
      <c r="PCX43" s="819"/>
      <c r="PCY43" s="819"/>
      <c r="PCZ43" s="819"/>
      <c r="PDA43" s="819"/>
      <c r="PDB43" s="819"/>
      <c r="PDC43" s="819"/>
      <c r="PDD43" s="819"/>
      <c r="PDE43" s="819"/>
      <c r="PDF43" s="819"/>
      <c r="PDG43" s="819"/>
      <c r="PDH43" s="819"/>
      <c r="PDI43" s="819"/>
      <c r="PDJ43" s="819"/>
      <c r="PDK43" s="819"/>
      <c r="PDL43" s="819"/>
      <c r="PDM43" s="819"/>
      <c r="PDN43" s="819"/>
      <c r="PDO43" s="819"/>
      <c r="PDP43" s="819"/>
      <c r="PDQ43" s="819"/>
      <c r="PDR43" s="819"/>
      <c r="PDS43" s="819"/>
      <c r="PDT43" s="819"/>
      <c r="PDU43" s="819"/>
      <c r="PDV43" s="819"/>
      <c r="PDW43" s="819"/>
      <c r="PDX43" s="819"/>
      <c r="PDY43" s="819"/>
      <c r="PDZ43" s="819"/>
      <c r="PEA43" s="819"/>
      <c r="PEB43" s="819"/>
      <c r="PEC43" s="819"/>
      <c r="PED43" s="819"/>
      <c r="PEE43" s="819"/>
      <c r="PEF43" s="819"/>
      <c r="PEG43" s="819"/>
      <c r="PEH43" s="819"/>
      <c r="PEI43" s="819"/>
      <c r="PEJ43" s="819"/>
      <c r="PEK43" s="819"/>
      <c r="PEL43" s="819"/>
      <c r="PEM43" s="819"/>
      <c r="PEN43" s="819"/>
      <c r="PEO43" s="819"/>
      <c r="PEP43" s="819"/>
      <c r="PEQ43" s="819"/>
      <c r="PER43" s="819"/>
      <c r="PES43" s="819"/>
      <c r="PET43" s="819"/>
      <c r="PEU43" s="819"/>
      <c r="PEV43" s="819"/>
      <c r="PEW43" s="819"/>
      <c r="PEX43" s="819"/>
      <c r="PEY43" s="819"/>
      <c r="PEZ43" s="819"/>
      <c r="PFA43" s="819"/>
      <c r="PFB43" s="819"/>
      <c r="PFC43" s="819"/>
      <c r="PFD43" s="819"/>
      <c r="PFE43" s="819"/>
      <c r="PFF43" s="819"/>
      <c r="PFG43" s="819"/>
      <c r="PFH43" s="819"/>
      <c r="PFI43" s="819"/>
      <c r="PFJ43" s="819"/>
      <c r="PFK43" s="819"/>
      <c r="PFL43" s="819"/>
      <c r="PFM43" s="819"/>
      <c r="PFN43" s="819"/>
      <c r="PFO43" s="819"/>
      <c r="PFP43" s="819"/>
      <c r="PFQ43" s="819"/>
      <c r="PFR43" s="819"/>
      <c r="PFS43" s="819"/>
      <c r="PFT43" s="819"/>
      <c r="PFU43" s="819"/>
      <c r="PFV43" s="819"/>
      <c r="PFW43" s="819"/>
      <c r="PFX43" s="819"/>
      <c r="PFY43" s="819"/>
      <c r="PFZ43" s="819"/>
      <c r="PGA43" s="819"/>
      <c r="PGB43" s="819"/>
      <c r="PGC43" s="819"/>
      <c r="PGD43" s="819"/>
      <c r="PGE43" s="819"/>
      <c r="PGF43" s="819"/>
      <c r="PGG43" s="819"/>
      <c r="PGH43" s="819"/>
      <c r="PGI43" s="819"/>
      <c r="PGJ43" s="819"/>
      <c r="PGK43" s="819"/>
      <c r="PGL43" s="819"/>
      <c r="PGM43" s="819"/>
      <c r="PGN43" s="819"/>
      <c r="PGO43" s="819"/>
      <c r="PGP43" s="819"/>
      <c r="PGQ43" s="819"/>
      <c r="PGR43" s="819"/>
      <c r="PGS43" s="819"/>
      <c r="PGT43" s="819"/>
      <c r="PGU43" s="819"/>
      <c r="PGV43" s="819"/>
      <c r="PGW43" s="819"/>
      <c r="PGX43" s="819"/>
      <c r="PGY43" s="819"/>
      <c r="PGZ43" s="819"/>
      <c r="PHA43" s="819"/>
      <c r="PHB43" s="819"/>
      <c r="PHC43" s="819"/>
      <c r="PHD43" s="819"/>
      <c r="PHE43" s="819"/>
      <c r="PHF43" s="819"/>
      <c r="PHG43" s="819"/>
      <c r="PHH43" s="819"/>
      <c r="PHI43" s="819"/>
      <c r="PHJ43" s="819"/>
      <c r="PHK43" s="819"/>
      <c r="PHL43" s="819"/>
      <c r="PHM43" s="819"/>
      <c r="PHN43" s="819"/>
      <c r="PHO43" s="819"/>
      <c r="PHP43" s="819"/>
      <c r="PHQ43" s="819"/>
      <c r="PHR43" s="819"/>
      <c r="PHS43" s="819"/>
      <c r="PHT43" s="819"/>
      <c r="PHU43" s="819"/>
      <c r="PHV43" s="819"/>
      <c r="PHW43" s="819"/>
      <c r="PHX43" s="819"/>
      <c r="PHY43" s="819"/>
      <c r="PHZ43" s="819"/>
      <c r="PIA43" s="819"/>
      <c r="PIB43" s="819"/>
      <c r="PIC43" s="819"/>
      <c r="PID43" s="819"/>
      <c r="PIE43" s="819"/>
      <c r="PIF43" s="819"/>
      <c r="PIG43" s="819"/>
      <c r="PIH43" s="819"/>
      <c r="PII43" s="819"/>
      <c r="PIJ43" s="819"/>
      <c r="PIK43" s="819"/>
      <c r="PIL43" s="819"/>
      <c r="PIM43" s="819"/>
      <c r="PIN43" s="819"/>
      <c r="PIO43" s="819"/>
      <c r="PIP43" s="819"/>
      <c r="PIQ43" s="819"/>
      <c r="PIR43" s="819"/>
      <c r="PIS43" s="819"/>
      <c r="PIT43" s="819"/>
      <c r="PIU43" s="819"/>
      <c r="PIV43" s="819"/>
      <c r="PIW43" s="819"/>
      <c r="PIX43" s="819"/>
      <c r="PIY43" s="819"/>
      <c r="PIZ43" s="819"/>
      <c r="PJA43" s="819"/>
      <c r="PJB43" s="819"/>
      <c r="PJC43" s="819"/>
      <c r="PJD43" s="819"/>
      <c r="PJE43" s="819"/>
      <c r="PJF43" s="819"/>
      <c r="PJG43" s="819"/>
      <c r="PJH43" s="819"/>
      <c r="PJI43" s="819"/>
      <c r="PJJ43" s="819"/>
      <c r="PJK43" s="819"/>
      <c r="PJL43" s="819"/>
      <c r="PJM43" s="819"/>
      <c r="PJN43" s="819"/>
      <c r="PJO43" s="819"/>
      <c r="PJP43" s="819"/>
      <c r="PJQ43" s="819"/>
      <c r="PJR43" s="819"/>
      <c r="PJS43" s="819"/>
      <c r="PJT43" s="819"/>
      <c r="PJU43" s="819"/>
      <c r="PJV43" s="819"/>
      <c r="PJW43" s="819"/>
      <c r="PJX43" s="819"/>
      <c r="PJY43" s="819"/>
      <c r="PJZ43" s="819"/>
      <c r="PKA43" s="819"/>
      <c r="PKB43" s="819"/>
      <c r="PKC43" s="819"/>
      <c r="PKD43" s="819"/>
      <c r="PKE43" s="819"/>
      <c r="PKF43" s="819"/>
      <c r="PKG43" s="819"/>
      <c r="PKH43" s="819"/>
      <c r="PKI43" s="819"/>
      <c r="PKJ43" s="819"/>
      <c r="PKK43" s="819"/>
      <c r="PKL43" s="819"/>
      <c r="PKM43" s="819"/>
      <c r="PKN43" s="819"/>
      <c r="PKO43" s="819"/>
      <c r="PKP43" s="819"/>
      <c r="PKQ43" s="819"/>
      <c r="PKR43" s="819"/>
      <c r="PKS43" s="819"/>
      <c r="PKT43" s="819"/>
      <c r="PKU43" s="819"/>
      <c r="PKV43" s="819"/>
      <c r="PKW43" s="819"/>
      <c r="PKX43" s="819"/>
      <c r="PKY43" s="819"/>
      <c r="PKZ43" s="819"/>
      <c r="PLA43" s="819"/>
      <c r="PLB43" s="819"/>
      <c r="PLC43" s="819"/>
      <c r="PLD43" s="819"/>
      <c r="PLE43" s="819"/>
      <c r="PLF43" s="819"/>
      <c r="PLG43" s="819"/>
      <c r="PLH43" s="819"/>
      <c r="PLI43" s="819"/>
      <c r="PLJ43" s="819"/>
      <c r="PLK43" s="819"/>
      <c r="PLL43" s="819"/>
      <c r="PLM43" s="819"/>
      <c r="PLN43" s="819"/>
      <c r="PLO43" s="819"/>
      <c r="PLP43" s="819"/>
      <c r="PLQ43" s="819"/>
      <c r="PLR43" s="819"/>
      <c r="PLS43" s="819"/>
      <c r="PLT43" s="819"/>
      <c r="PLU43" s="819"/>
      <c r="PLV43" s="819"/>
      <c r="PLW43" s="819"/>
      <c r="PLX43" s="819"/>
      <c r="PLY43" s="819"/>
      <c r="PLZ43" s="819"/>
      <c r="PMA43" s="819"/>
      <c r="PMB43" s="819"/>
      <c r="PMC43" s="819"/>
      <c r="PMD43" s="819"/>
      <c r="PME43" s="819"/>
      <c r="PMF43" s="819"/>
      <c r="PMG43" s="819"/>
      <c r="PMH43" s="819"/>
      <c r="PMI43" s="819"/>
      <c r="PMJ43" s="819"/>
      <c r="PMK43" s="819"/>
      <c r="PML43" s="819"/>
      <c r="PMM43" s="819"/>
      <c r="PMN43" s="819"/>
      <c r="PMO43" s="819"/>
      <c r="PMP43" s="819"/>
      <c r="PMQ43" s="819"/>
      <c r="PMR43" s="819"/>
      <c r="PMS43" s="819"/>
      <c r="PMT43" s="819"/>
      <c r="PMU43" s="819"/>
      <c r="PMV43" s="819"/>
      <c r="PMW43" s="819"/>
      <c r="PMX43" s="819"/>
      <c r="PMY43" s="819"/>
      <c r="PMZ43" s="819"/>
      <c r="PNA43" s="819"/>
      <c r="PNB43" s="819"/>
      <c r="PNC43" s="819"/>
      <c r="PND43" s="819"/>
      <c r="PNE43" s="819"/>
      <c r="PNF43" s="819"/>
      <c r="PNG43" s="819"/>
      <c r="PNH43" s="819"/>
      <c r="PNI43" s="819"/>
      <c r="PNJ43" s="819"/>
      <c r="PNK43" s="819"/>
      <c r="PNL43" s="819"/>
      <c r="PNM43" s="819"/>
      <c r="PNN43" s="819"/>
      <c r="PNO43" s="819"/>
      <c r="PNP43" s="819"/>
      <c r="PNQ43" s="819"/>
      <c r="PNR43" s="819"/>
      <c r="PNS43" s="819"/>
      <c r="PNT43" s="819"/>
      <c r="PNU43" s="819"/>
      <c r="PNV43" s="819"/>
      <c r="PNW43" s="819"/>
      <c r="PNX43" s="819"/>
      <c r="PNY43" s="819"/>
      <c r="PNZ43" s="819"/>
      <c r="POA43" s="819"/>
      <c r="POB43" s="819"/>
      <c r="POC43" s="819"/>
      <c r="POD43" s="819"/>
      <c r="POE43" s="819"/>
      <c r="POF43" s="819"/>
      <c r="POG43" s="819"/>
      <c r="POH43" s="819"/>
      <c r="POI43" s="819"/>
      <c r="POJ43" s="819"/>
      <c r="POK43" s="819"/>
      <c r="POL43" s="819"/>
      <c r="POM43" s="819"/>
      <c r="PON43" s="819"/>
      <c r="POO43" s="819"/>
      <c r="POP43" s="819"/>
      <c r="POQ43" s="819"/>
      <c r="POR43" s="819"/>
      <c r="POS43" s="819"/>
      <c r="POT43" s="819"/>
      <c r="POU43" s="819"/>
      <c r="POV43" s="819"/>
      <c r="POW43" s="819"/>
      <c r="POX43" s="819"/>
      <c r="POY43" s="819"/>
      <c r="POZ43" s="819"/>
      <c r="PPA43" s="819"/>
      <c r="PPB43" s="819"/>
      <c r="PPC43" s="819"/>
      <c r="PPD43" s="819"/>
      <c r="PPE43" s="819"/>
      <c r="PPF43" s="819"/>
      <c r="PPG43" s="819"/>
      <c r="PPH43" s="819"/>
      <c r="PPI43" s="819"/>
      <c r="PPJ43" s="819"/>
      <c r="PPK43" s="819"/>
      <c r="PPL43" s="819"/>
      <c r="PPM43" s="819"/>
      <c r="PPN43" s="819"/>
      <c r="PPO43" s="819"/>
      <c r="PPP43" s="819"/>
      <c r="PPQ43" s="819"/>
      <c r="PPR43" s="819"/>
      <c r="PPS43" s="819"/>
      <c r="PPT43" s="819"/>
      <c r="PPU43" s="819"/>
      <c r="PPV43" s="819"/>
      <c r="PPW43" s="819"/>
      <c r="PPX43" s="819"/>
      <c r="PPY43" s="819"/>
      <c r="PPZ43" s="819"/>
      <c r="PQA43" s="819"/>
      <c r="PQB43" s="819"/>
      <c r="PQC43" s="819"/>
      <c r="PQD43" s="819"/>
      <c r="PQE43" s="819"/>
      <c r="PQF43" s="819"/>
      <c r="PQG43" s="819"/>
      <c r="PQH43" s="819"/>
      <c r="PQI43" s="819"/>
      <c r="PQJ43" s="819"/>
      <c r="PQK43" s="819"/>
      <c r="PQL43" s="819"/>
      <c r="PQM43" s="819"/>
      <c r="PQN43" s="819"/>
      <c r="PQO43" s="819"/>
      <c r="PQP43" s="819"/>
      <c r="PQQ43" s="819"/>
      <c r="PQR43" s="819"/>
      <c r="PQS43" s="819"/>
      <c r="PQT43" s="819"/>
      <c r="PQU43" s="819"/>
      <c r="PQV43" s="819"/>
      <c r="PQW43" s="819"/>
      <c r="PQX43" s="819"/>
      <c r="PQY43" s="819"/>
      <c r="PQZ43" s="819"/>
      <c r="PRA43" s="819"/>
      <c r="PRB43" s="819"/>
      <c r="PRC43" s="819"/>
      <c r="PRD43" s="819"/>
      <c r="PRE43" s="819"/>
      <c r="PRF43" s="819"/>
      <c r="PRG43" s="819"/>
      <c r="PRH43" s="819"/>
      <c r="PRI43" s="819"/>
      <c r="PRJ43" s="819"/>
      <c r="PRK43" s="819"/>
      <c r="PRL43" s="819"/>
      <c r="PRM43" s="819"/>
      <c r="PRN43" s="819"/>
      <c r="PRO43" s="819"/>
      <c r="PRP43" s="819"/>
      <c r="PRQ43" s="819"/>
      <c r="PRR43" s="819"/>
      <c r="PRS43" s="819"/>
      <c r="PRT43" s="819"/>
      <c r="PRU43" s="819"/>
      <c r="PRV43" s="819"/>
      <c r="PRW43" s="819"/>
      <c r="PRX43" s="819"/>
      <c r="PRY43" s="819"/>
      <c r="PRZ43" s="819"/>
      <c r="PSA43" s="819"/>
      <c r="PSB43" s="819"/>
      <c r="PSC43" s="819"/>
      <c r="PSD43" s="819"/>
      <c r="PSE43" s="819"/>
      <c r="PSF43" s="819"/>
      <c r="PSG43" s="819"/>
      <c r="PSH43" s="819"/>
      <c r="PSI43" s="819"/>
      <c r="PSJ43" s="819"/>
      <c r="PSK43" s="819"/>
      <c r="PSL43" s="819"/>
      <c r="PSM43" s="819"/>
      <c r="PSN43" s="819"/>
      <c r="PSO43" s="819"/>
      <c r="PSP43" s="819"/>
      <c r="PSQ43" s="819"/>
      <c r="PSR43" s="819"/>
      <c r="PSS43" s="819"/>
      <c r="PST43" s="819"/>
      <c r="PSU43" s="819"/>
      <c r="PSV43" s="819"/>
      <c r="PSW43" s="819"/>
      <c r="PSX43" s="819"/>
      <c r="PSY43" s="819"/>
      <c r="PSZ43" s="819"/>
      <c r="PTA43" s="819"/>
      <c r="PTB43" s="819"/>
      <c r="PTC43" s="819"/>
      <c r="PTD43" s="819"/>
      <c r="PTE43" s="819"/>
      <c r="PTF43" s="819"/>
      <c r="PTG43" s="819"/>
      <c r="PTH43" s="819"/>
      <c r="PTI43" s="819"/>
      <c r="PTJ43" s="819"/>
      <c r="PTK43" s="819"/>
      <c r="PTL43" s="819"/>
      <c r="PTM43" s="819"/>
      <c r="PTN43" s="819"/>
      <c r="PTO43" s="819"/>
      <c r="PTP43" s="819"/>
      <c r="PTQ43" s="819"/>
      <c r="PTR43" s="819"/>
      <c r="PTS43" s="819"/>
      <c r="PTT43" s="819"/>
      <c r="PTU43" s="819"/>
      <c r="PTV43" s="819"/>
      <c r="PTW43" s="819"/>
      <c r="PTX43" s="819"/>
      <c r="PTY43" s="819"/>
      <c r="PTZ43" s="819"/>
      <c r="PUA43" s="819"/>
      <c r="PUB43" s="819"/>
      <c r="PUC43" s="819"/>
      <c r="PUD43" s="819"/>
      <c r="PUE43" s="819"/>
      <c r="PUF43" s="819"/>
      <c r="PUG43" s="819"/>
      <c r="PUH43" s="819"/>
      <c r="PUI43" s="819"/>
      <c r="PUJ43" s="819"/>
      <c r="PUK43" s="819"/>
      <c r="PUL43" s="819"/>
      <c r="PUM43" s="819"/>
      <c r="PUN43" s="819"/>
      <c r="PUO43" s="819"/>
      <c r="PUP43" s="819"/>
      <c r="PUQ43" s="819"/>
      <c r="PUR43" s="819"/>
      <c r="PUS43" s="819"/>
      <c r="PUT43" s="819"/>
      <c r="PUU43" s="819"/>
      <c r="PUV43" s="819"/>
      <c r="PUW43" s="819"/>
      <c r="PUX43" s="819"/>
      <c r="PUY43" s="819"/>
      <c r="PUZ43" s="819"/>
      <c r="PVA43" s="819"/>
      <c r="PVB43" s="819"/>
      <c r="PVC43" s="819"/>
      <c r="PVD43" s="819"/>
      <c r="PVE43" s="819"/>
      <c r="PVF43" s="819"/>
      <c r="PVG43" s="819"/>
      <c r="PVH43" s="819"/>
      <c r="PVI43" s="819"/>
      <c r="PVJ43" s="819"/>
      <c r="PVK43" s="819"/>
      <c r="PVL43" s="819"/>
      <c r="PVM43" s="819"/>
      <c r="PVN43" s="819"/>
      <c r="PVO43" s="819"/>
      <c r="PVP43" s="819"/>
      <c r="PVQ43" s="819"/>
      <c r="PVR43" s="819"/>
      <c r="PVS43" s="819"/>
      <c r="PVT43" s="819"/>
      <c r="PVU43" s="819"/>
      <c r="PVV43" s="819"/>
      <c r="PVW43" s="819"/>
      <c r="PVX43" s="819"/>
      <c r="PVY43" s="819"/>
      <c r="PVZ43" s="819"/>
      <c r="PWA43" s="819"/>
      <c r="PWB43" s="819"/>
      <c r="PWC43" s="819"/>
      <c r="PWD43" s="819"/>
      <c r="PWE43" s="819"/>
      <c r="PWF43" s="819"/>
      <c r="PWG43" s="819"/>
      <c r="PWH43" s="819"/>
      <c r="PWI43" s="819"/>
      <c r="PWJ43" s="819"/>
      <c r="PWK43" s="819"/>
      <c r="PWL43" s="819"/>
      <c r="PWM43" s="819"/>
      <c r="PWN43" s="819"/>
      <c r="PWO43" s="819"/>
      <c r="PWP43" s="819"/>
      <c r="PWQ43" s="819"/>
      <c r="PWR43" s="819"/>
      <c r="PWS43" s="819"/>
      <c r="PWT43" s="819"/>
      <c r="PWU43" s="819"/>
      <c r="PWV43" s="819"/>
      <c r="PWW43" s="819"/>
      <c r="PWX43" s="819"/>
      <c r="PWY43" s="819"/>
      <c r="PWZ43" s="819"/>
      <c r="PXA43" s="819"/>
      <c r="PXB43" s="819"/>
      <c r="PXC43" s="819"/>
      <c r="PXD43" s="819"/>
      <c r="PXE43" s="819"/>
      <c r="PXF43" s="819"/>
      <c r="PXG43" s="819"/>
      <c r="PXH43" s="819"/>
      <c r="PXI43" s="819"/>
      <c r="PXJ43" s="819"/>
      <c r="PXK43" s="819"/>
      <c r="PXL43" s="819"/>
      <c r="PXM43" s="819"/>
      <c r="PXN43" s="819"/>
      <c r="PXO43" s="819"/>
      <c r="PXP43" s="819"/>
      <c r="PXQ43" s="819"/>
      <c r="PXR43" s="819"/>
      <c r="PXS43" s="819"/>
      <c r="PXT43" s="819"/>
      <c r="PXU43" s="819"/>
      <c r="PXV43" s="819"/>
      <c r="PXW43" s="819"/>
      <c r="PXX43" s="819"/>
      <c r="PXY43" s="819"/>
      <c r="PXZ43" s="819"/>
      <c r="PYA43" s="819"/>
      <c r="PYB43" s="819"/>
      <c r="PYC43" s="819"/>
      <c r="PYD43" s="819"/>
      <c r="PYE43" s="819"/>
      <c r="PYF43" s="819"/>
      <c r="PYG43" s="819"/>
      <c r="PYH43" s="819"/>
      <c r="PYI43" s="819"/>
      <c r="PYJ43" s="819"/>
      <c r="PYK43" s="819"/>
      <c r="PYL43" s="819"/>
      <c r="PYM43" s="819"/>
      <c r="PYN43" s="819"/>
      <c r="PYO43" s="819"/>
      <c r="PYP43" s="819"/>
      <c r="PYQ43" s="819"/>
      <c r="PYR43" s="819"/>
      <c r="PYS43" s="819"/>
      <c r="PYT43" s="819"/>
      <c r="PYU43" s="819"/>
      <c r="PYV43" s="819"/>
      <c r="PYW43" s="819"/>
      <c r="PYX43" s="819"/>
      <c r="PYY43" s="819"/>
      <c r="PYZ43" s="819"/>
      <c r="PZA43" s="819"/>
      <c r="PZB43" s="819"/>
      <c r="PZC43" s="819"/>
      <c r="PZD43" s="819"/>
      <c r="PZE43" s="819"/>
      <c r="PZF43" s="819"/>
      <c r="PZG43" s="819"/>
      <c r="PZH43" s="819"/>
      <c r="PZI43" s="819"/>
      <c r="PZJ43" s="819"/>
      <c r="PZK43" s="819"/>
      <c r="PZL43" s="819"/>
      <c r="PZM43" s="819"/>
      <c r="PZN43" s="819"/>
      <c r="PZO43" s="819"/>
      <c r="PZP43" s="819"/>
      <c r="PZQ43" s="819"/>
      <c r="PZR43" s="819"/>
      <c r="PZS43" s="819"/>
      <c r="PZT43" s="819"/>
      <c r="PZU43" s="819"/>
      <c r="PZV43" s="819"/>
      <c r="PZW43" s="819"/>
      <c r="PZX43" s="819"/>
      <c r="PZY43" s="819"/>
      <c r="PZZ43" s="819"/>
      <c r="QAA43" s="819"/>
      <c r="QAB43" s="819"/>
      <c r="QAC43" s="819"/>
      <c r="QAD43" s="819"/>
      <c r="QAE43" s="819"/>
      <c r="QAF43" s="819"/>
      <c r="QAG43" s="819"/>
      <c r="QAH43" s="819"/>
      <c r="QAI43" s="819"/>
      <c r="QAJ43" s="819"/>
      <c r="QAK43" s="819"/>
      <c r="QAL43" s="819"/>
      <c r="QAM43" s="819"/>
      <c r="QAN43" s="819"/>
      <c r="QAO43" s="819"/>
      <c r="QAP43" s="819"/>
      <c r="QAQ43" s="819"/>
      <c r="QAR43" s="819"/>
      <c r="QAS43" s="819"/>
      <c r="QAT43" s="819"/>
      <c r="QAU43" s="819"/>
      <c r="QAV43" s="819"/>
      <c r="QAW43" s="819"/>
      <c r="QAX43" s="819"/>
      <c r="QAY43" s="819"/>
      <c r="QAZ43" s="819"/>
      <c r="QBA43" s="819"/>
      <c r="QBB43" s="819"/>
      <c r="QBC43" s="819"/>
      <c r="QBD43" s="819"/>
      <c r="QBE43" s="819"/>
      <c r="QBF43" s="819"/>
      <c r="QBG43" s="819"/>
      <c r="QBH43" s="819"/>
      <c r="QBI43" s="819"/>
      <c r="QBJ43" s="819"/>
      <c r="QBK43" s="819"/>
      <c r="QBL43" s="819"/>
      <c r="QBM43" s="819"/>
      <c r="QBN43" s="819"/>
      <c r="QBO43" s="819"/>
      <c r="QBP43" s="819"/>
      <c r="QBQ43" s="819"/>
      <c r="QBR43" s="819"/>
      <c r="QBS43" s="819"/>
      <c r="QBT43" s="819"/>
      <c r="QBU43" s="819"/>
      <c r="QBV43" s="819"/>
      <c r="QBW43" s="819"/>
      <c r="QBX43" s="819"/>
      <c r="QBY43" s="819"/>
      <c r="QBZ43" s="819"/>
      <c r="QCA43" s="819"/>
      <c r="QCB43" s="819"/>
      <c r="QCC43" s="819"/>
      <c r="QCD43" s="819"/>
      <c r="QCE43" s="819"/>
      <c r="QCF43" s="819"/>
      <c r="QCG43" s="819"/>
      <c r="QCH43" s="819"/>
      <c r="QCI43" s="819"/>
      <c r="QCJ43" s="819"/>
      <c r="QCK43" s="819"/>
      <c r="QCL43" s="819"/>
      <c r="QCM43" s="819"/>
      <c r="QCN43" s="819"/>
      <c r="QCO43" s="819"/>
      <c r="QCP43" s="819"/>
      <c r="QCQ43" s="819"/>
      <c r="QCR43" s="819"/>
      <c r="QCS43" s="819"/>
      <c r="QCT43" s="819"/>
      <c r="QCU43" s="819"/>
      <c r="QCV43" s="819"/>
      <c r="QCW43" s="819"/>
      <c r="QCX43" s="819"/>
      <c r="QCY43" s="819"/>
      <c r="QCZ43" s="819"/>
      <c r="QDA43" s="819"/>
      <c r="QDB43" s="819"/>
      <c r="QDC43" s="819"/>
      <c r="QDD43" s="819"/>
      <c r="QDE43" s="819"/>
      <c r="QDF43" s="819"/>
      <c r="QDG43" s="819"/>
      <c r="QDH43" s="819"/>
      <c r="QDI43" s="819"/>
      <c r="QDJ43" s="819"/>
      <c r="QDK43" s="819"/>
      <c r="QDL43" s="819"/>
      <c r="QDM43" s="819"/>
      <c r="QDN43" s="819"/>
      <c r="QDO43" s="819"/>
      <c r="QDP43" s="819"/>
      <c r="QDQ43" s="819"/>
      <c r="QDR43" s="819"/>
      <c r="QDS43" s="819"/>
      <c r="QDT43" s="819"/>
      <c r="QDU43" s="819"/>
      <c r="QDV43" s="819"/>
      <c r="QDW43" s="819"/>
      <c r="QDX43" s="819"/>
      <c r="QDY43" s="819"/>
      <c r="QDZ43" s="819"/>
      <c r="QEA43" s="819"/>
      <c r="QEB43" s="819"/>
      <c r="QEC43" s="819"/>
      <c r="QED43" s="819"/>
      <c r="QEE43" s="819"/>
      <c r="QEF43" s="819"/>
      <c r="QEG43" s="819"/>
      <c r="QEH43" s="819"/>
      <c r="QEI43" s="819"/>
      <c r="QEJ43" s="819"/>
      <c r="QEK43" s="819"/>
      <c r="QEL43" s="819"/>
      <c r="QEM43" s="819"/>
      <c r="QEN43" s="819"/>
      <c r="QEO43" s="819"/>
      <c r="QEP43" s="819"/>
      <c r="QEQ43" s="819"/>
      <c r="QER43" s="819"/>
      <c r="QES43" s="819"/>
      <c r="QET43" s="819"/>
      <c r="QEU43" s="819"/>
      <c r="QEV43" s="819"/>
      <c r="QEW43" s="819"/>
      <c r="QEX43" s="819"/>
      <c r="QEY43" s="819"/>
      <c r="QEZ43" s="819"/>
      <c r="QFA43" s="819"/>
      <c r="QFB43" s="819"/>
      <c r="QFC43" s="819"/>
      <c r="QFD43" s="819"/>
      <c r="QFE43" s="819"/>
      <c r="QFF43" s="819"/>
      <c r="QFG43" s="819"/>
      <c r="QFH43" s="819"/>
      <c r="QFI43" s="819"/>
      <c r="QFJ43" s="819"/>
      <c r="QFK43" s="819"/>
      <c r="QFL43" s="819"/>
      <c r="QFM43" s="819"/>
      <c r="QFN43" s="819"/>
      <c r="QFO43" s="819"/>
      <c r="QFP43" s="819"/>
      <c r="QFQ43" s="819"/>
      <c r="QFR43" s="819"/>
      <c r="QFS43" s="819"/>
      <c r="QFT43" s="819"/>
      <c r="QFU43" s="819"/>
      <c r="QFV43" s="819"/>
      <c r="QFW43" s="819"/>
      <c r="QFX43" s="819"/>
      <c r="QFY43" s="819"/>
      <c r="QFZ43" s="819"/>
      <c r="QGA43" s="819"/>
      <c r="QGB43" s="819"/>
      <c r="QGC43" s="819"/>
      <c r="QGD43" s="819"/>
      <c r="QGE43" s="819"/>
      <c r="QGF43" s="819"/>
      <c r="QGG43" s="819"/>
      <c r="QGH43" s="819"/>
      <c r="QGI43" s="819"/>
      <c r="QGJ43" s="819"/>
      <c r="QGK43" s="819"/>
      <c r="QGL43" s="819"/>
      <c r="QGM43" s="819"/>
      <c r="QGN43" s="819"/>
      <c r="QGO43" s="819"/>
      <c r="QGP43" s="819"/>
      <c r="QGQ43" s="819"/>
      <c r="QGR43" s="819"/>
      <c r="QGS43" s="819"/>
      <c r="QGT43" s="819"/>
      <c r="QGU43" s="819"/>
      <c r="QGV43" s="819"/>
      <c r="QGW43" s="819"/>
      <c r="QGX43" s="819"/>
      <c r="QGY43" s="819"/>
      <c r="QGZ43" s="819"/>
      <c r="QHA43" s="819"/>
      <c r="QHB43" s="819"/>
      <c r="QHC43" s="819"/>
      <c r="QHD43" s="819"/>
      <c r="QHE43" s="819"/>
      <c r="QHF43" s="819"/>
      <c r="QHG43" s="819"/>
      <c r="QHH43" s="819"/>
      <c r="QHI43" s="819"/>
      <c r="QHJ43" s="819"/>
      <c r="QHK43" s="819"/>
      <c r="QHL43" s="819"/>
      <c r="QHM43" s="819"/>
      <c r="QHN43" s="819"/>
      <c r="QHO43" s="819"/>
      <c r="QHP43" s="819"/>
      <c r="QHQ43" s="819"/>
      <c r="QHR43" s="819"/>
      <c r="QHS43" s="819"/>
      <c r="QHT43" s="819"/>
      <c r="QHU43" s="819"/>
      <c r="QHV43" s="819"/>
      <c r="QHW43" s="819"/>
      <c r="QHX43" s="819"/>
      <c r="QHY43" s="819"/>
      <c r="QHZ43" s="819"/>
      <c r="QIA43" s="819"/>
      <c r="QIB43" s="819"/>
      <c r="QIC43" s="819"/>
      <c r="QID43" s="819"/>
      <c r="QIE43" s="819"/>
      <c r="QIF43" s="819"/>
      <c r="QIG43" s="819"/>
      <c r="QIH43" s="819"/>
      <c r="QII43" s="819"/>
      <c r="QIJ43" s="819"/>
      <c r="QIK43" s="819"/>
      <c r="QIL43" s="819"/>
      <c r="QIM43" s="819"/>
      <c r="QIN43" s="819"/>
      <c r="QIO43" s="819"/>
      <c r="QIP43" s="819"/>
      <c r="QIQ43" s="819"/>
      <c r="QIR43" s="819"/>
      <c r="QIS43" s="819"/>
      <c r="QIT43" s="819"/>
      <c r="QIU43" s="819"/>
      <c r="QIV43" s="819"/>
      <c r="QIW43" s="819"/>
      <c r="QIX43" s="819"/>
      <c r="QIY43" s="819"/>
      <c r="QIZ43" s="819"/>
      <c r="QJA43" s="819"/>
      <c r="QJB43" s="819"/>
      <c r="QJC43" s="819"/>
      <c r="QJD43" s="819"/>
      <c r="QJE43" s="819"/>
      <c r="QJF43" s="819"/>
      <c r="QJG43" s="819"/>
      <c r="QJH43" s="819"/>
      <c r="QJI43" s="819"/>
      <c r="QJJ43" s="819"/>
      <c r="QJK43" s="819"/>
      <c r="QJL43" s="819"/>
      <c r="QJM43" s="819"/>
      <c r="QJN43" s="819"/>
      <c r="QJO43" s="819"/>
      <c r="QJP43" s="819"/>
      <c r="QJQ43" s="819"/>
      <c r="QJR43" s="819"/>
      <c r="QJS43" s="819"/>
      <c r="QJT43" s="819"/>
      <c r="QJU43" s="819"/>
      <c r="QJV43" s="819"/>
      <c r="QJW43" s="819"/>
      <c r="QJX43" s="819"/>
      <c r="QJY43" s="819"/>
      <c r="QJZ43" s="819"/>
      <c r="QKA43" s="819"/>
      <c r="QKB43" s="819"/>
      <c r="QKC43" s="819"/>
      <c r="QKD43" s="819"/>
      <c r="QKE43" s="819"/>
      <c r="QKF43" s="819"/>
      <c r="QKG43" s="819"/>
      <c r="QKH43" s="819"/>
      <c r="QKI43" s="819"/>
      <c r="QKJ43" s="819"/>
      <c r="QKK43" s="819"/>
      <c r="QKL43" s="819"/>
      <c r="QKM43" s="819"/>
      <c r="QKN43" s="819"/>
      <c r="QKO43" s="819"/>
      <c r="QKP43" s="819"/>
      <c r="QKQ43" s="819"/>
      <c r="QKR43" s="819"/>
      <c r="QKS43" s="819"/>
      <c r="QKT43" s="819"/>
      <c r="QKU43" s="819"/>
      <c r="QKV43" s="819"/>
      <c r="QKW43" s="819"/>
      <c r="QKX43" s="819"/>
      <c r="QKY43" s="819"/>
      <c r="QKZ43" s="819"/>
      <c r="QLA43" s="819"/>
      <c r="QLB43" s="819"/>
      <c r="QLC43" s="819"/>
      <c r="QLD43" s="819"/>
      <c r="QLE43" s="819"/>
      <c r="QLF43" s="819"/>
      <c r="QLG43" s="819"/>
      <c r="QLH43" s="819"/>
      <c r="QLI43" s="819"/>
      <c r="QLJ43" s="819"/>
      <c r="QLK43" s="819"/>
      <c r="QLL43" s="819"/>
      <c r="QLM43" s="819"/>
      <c r="QLN43" s="819"/>
      <c r="QLO43" s="819"/>
      <c r="QLP43" s="819"/>
      <c r="QLQ43" s="819"/>
      <c r="QLR43" s="819"/>
      <c r="QLS43" s="819"/>
      <c r="QLT43" s="819"/>
      <c r="QLU43" s="819"/>
      <c r="QLV43" s="819"/>
      <c r="QLW43" s="819"/>
      <c r="QLX43" s="819"/>
      <c r="QLY43" s="819"/>
      <c r="QLZ43" s="819"/>
      <c r="QMA43" s="819"/>
      <c r="QMB43" s="819"/>
      <c r="QMC43" s="819"/>
      <c r="QMD43" s="819"/>
      <c r="QME43" s="819"/>
      <c r="QMF43" s="819"/>
      <c r="QMG43" s="819"/>
      <c r="QMH43" s="819"/>
      <c r="QMI43" s="819"/>
      <c r="QMJ43" s="819"/>
      <c r="QMK43" s="819"/>
      <c r="QML43" s="819"/>
      <c r="QMM43" s="819"/>
      <c r="QMN43" s="819"/>
      <c r="QMO43" s="819"/>
      <c r="QMP43" s="819"/>
      <c r="QMQ43" s="819"/>
      <c r="QMR43" s="819"/>
      <c r="QMS43" s="819"/>
      <c r="QMT43" s="819"/>
      <c r="QMU43" s="819"/>
      <c r="QMV43" s="819"/>
      <c r="QMW43" s="819"/>
      <c r="QMX43" s="819"/>
      <c r="QMY43" s="819"/>
      <c r="QMZ43" s="819"/>
      <c r="QNA43" s="819"/>
      <c r="QNB43" s="819"/>
      <c r="QNC43" s="819"/>
      <c r="QND43" s="819"/>
      <c r="QNE43" s="819"/>
      <c r="QNF43" s="819"/>
      <c r="QNG43" s="819"/>
      <c r="QNH43" s="819"/>
      <c r="QNI43" s="819"/>
      <c r="QNJ43" s="819"/>
      <c r="QNK43" s="819"/>
      <c r="QNL43" s="819"/>
      <c r="QNM43" s="819"/>
      <c r="QNN43" s="819"/>
      <c r="QNO43" s="819"/>
      <c r="QNP43" s="819"/>
      <c r="QNQ43" s="819"/>
      <c r="QNR43" s="819"/>
      <c r="QNS43" s="819"/>
      <c r="QNT43" s="819"/>
      <c r="QNU43" s="819"/>
      <c r="QNV43" s="819"/>
      <c r="QNW43" s="819"/>
      <c r="QNX43" s="819"/>
      <c r="QNY43" s="819"/>
      <c r="QNZ43" s="819"/>
      <c r="QOA43" s="819"/>
      <c r="QOB43" s="819"/>
      <c r="QOC43" s="819"/>
      <c r="QOD43" s="819"/>
      <c r="QOE43" s="819"/>
      <c r="QOF43" s="819"/>
      <c r="QOG43" s="819"/>
      <c r="QOH43" s="819"/>
      <c r="QOI43" s="819"/>
      <c r="QOJ43" s="819"/>
      <c r="QOK43" s="819"/>
      <c r="QOL43" s="819"/>
      <c r="QOM43" s="819"/>
      <c r="QON43" s="819"/>
      <c r="QOO43" s="819"/>
      <c r="QOP43" s="819"/>
      <c r="QOQ43" s="819"/>
      <c r="QOR43" s="819"/>
      <c r="QOS43" s="819"/>
      <c r="QOT43" s="819"/>
      <c r="QOU43" s="819"/>
      <c r="QOV43" s="819"/>
      <c r="QOW43" s="819"/>
      <c r="QOX43" s="819"/>
      <c r="QOY43" s="819"/>
      <c r="QOZ43" s="819"/>
      <c r="QPA43" s="819"/>
      <c r="QPB43" s="819"/>
      <c r="QPC43" s="819"/>
      <c r="QPD43" s="819"/>
      <c r="QPE43" s="819"/>
      <c r="QPF43" s="819"/>
      <c r="QPG43" s="819"/>
      <c r="QPH43" s="819"/>
      <c r="QPI43" s="819"/>
      <c r="QPJ43" s="819"/>
      <c r="QPK43" s="819"/>
      <c r="QPL43" s="819"/>
      <c r="QPM43" s="819"/>
      <c r="QPN43" s="819"/>
      <c r="QPO43" s="819"/>
      <c r="QPP43" s="819"/>
      <c r="QPQ43" s="819"/>
      <c r="QPR43" s="819"/>
      <c r="QPS43" s="819"/>
      <c r="QPT43" s="819"/>
      <c r="QPU43" s="819"/>
      <c r="QPV43" s="819"/>
      <c r="QPW43" s="819"/>
      <c r="QPX43" s="819"/>
      <c r="QPY43" s="819"/>
      <c r="QPZ43" s="819"/>
      <c r="QQA43" s="819"/>
      <c r="QQB43" s="819"/>
      <c r="QQC43" s="819"/>
      <c r="QQD43" s="819"/>
      <c r="QQE43" s="819"/>
      <c r="QQF43" s="819"/>
      <c r="QQG43" s="819"/>
      <c r="QQH43" s="819"/>
      <c r="QQI43" s="819"/>
      <c r="QQJ43" s="819"/>
      <c r="QQK43" s="819"/>
      <c r="QQL43" s="819"/>
      <c r="QQM43" s="819"/>
      <c r="QQN43" s="819"/>
      <c r="QQO43" s="819"/>
      <c r="QQP43" s="819"/>
      <c r="QQQ43" s="819"/>
      <c r="QQR43" s="819"/>
      <c r="QQS43" s="819"/>
      <c r="QQT43" s="819"/>
      <c r="QQU43" s="819"/>
      <c r="QQV43" s="819"/>
      <c r="QQW43" s="819"/>
      <c r="QQX43" s="819"/>
      <c r="QQY43" s="819"/>
      <c r="QQZ43" s="819"/>
      <c r="QRA43" s="819"/>
      <c r="QRB43" s="819"/>
      <c r="QRC43" s="819"/>
      <c r="QRD43" s="819"/>
      <c r="QRE43" s="819"/>
      <c r="QRF43" s="819"/>
      <c r="QRG43" s="819"/>
      <c r="QRH43" s="819"/>
      <c r="QRI43" s="819"/>
      <c r="QRJ43" s="819"/>
      <c r="QRK43" s="819"/>
      <c r="QRL43" s="819"/>
      <c r="QRM43" s="819"/>
      <c r="QRN43" s="819"/>
      <c r="QRO43" s="819"/>
      <c r="QRP43" s="819"/>
      <c r="QRQ43" s="819"/>
      <c r="QRR43" s="819"/>
      <c r="QRS43" s="819"/>
      <c r="QRT43" s="819"/>
      <c r="QRU43" s="819"/>
      <c r="QRV43" s="819"/>
      <c r="QRW43" s="819"/>
      <c r="QRX43" s="819"/>
      <c r="QRY43" s="819"/>
      <c r="QRZ43" s="819"/>
      <c r="QSA43" s="819"/>
      <c r="QSB43" s="819"/>
      <c r="QSC43" s="819"/>
      <c r="QSD43" s="819"/>
      <c r="QSE43" s="819"/>
      <c r="QSF43" s="819"/>
      <c r="QSG43" s="819"/>
      <c r="QSH43" s="819"/>
      <c r="QSI43" s="819"/>
      <c r="QSJ43" s="819"/>
      <c r="QSK43" s="819"/>
      <c r="QSL43" s="819"/>
      <c r="QSM43" s="819"/>
      <c r="QSN43" s="819"/>
      <c r="QSO43" s="819"/>
      <c r="QSP43" s="819"/>
      <c r="QSQ43" s="819"/>
      <c r="QSR43" s="819"/>
      <c r="QSS43" s="819"/>
      <c r="QST43" s="819"/>
      <c r="QSU43" s="819"/>
      <c r="QSV43" s="819"/>
      <c r="QSW43" s="819"/>
      <c r="QSX43" s="819"/>
      <c r="QSY43" s="819"/>
      <c r="QSZ43" s="819"/>
      <c r="QTA43" s="819"/>
      <c r="QTB43" s="819"/>
      <c r="QTC43" s="819"/>
      <c r="QTD43" s="819"/>
      <c r="QTE43" s="819"/>
      <c r="QTF43" s="819"/>
      <c r="QTG43" s="819"/>
      <c r="QTH43" s="819"/>
      <c r="QTI43" s="819"/>
      <c r="QTJ43" s="819"/>
      <c r="QTK43" s="819"/>
      <c r="QTL43" s="819"/>
      <c r="QTM43" s="819"/>
      <c r="QTN43" s="819"/>
      <c r="QTO43" s="819"/>
      <c r="QTP43" s="819"/>
      <c r="QTQ43" s="819"/>
      <c r="QTR43" s="819"/>
      <c r="QTS43" s="819"/>
      <c r="QTT43" s="819"/>
      <c r="QTU43" s="819"/>
      <c r="QTV43" s="819"/>
      <c r="QTW43" s="819"/>
      <c r="QTX43" s="819"/>
      <c r="QTY43" s="819"/>
      <c r="QTZ43" s="819"/>
      <c r="QUA43" s="819"/>
      <c r="QUB43" s="819"/>
      <c r="QUC43" s="819"/>
      <c r="QUD43" s="819"/>
      <c r="QUE43" s="819"/>
      <c r="QUF43" s="819"/>
      <c r="QUG43" s="819"/>
      <c r="QUH43" s="819"/>
      <c r="QUI43" s="819"/>
      <c r="QUJ43" s="819"/>
      <c r="QUK43" s="819"/>
      <c r="QUL43" s="819"/>
      <c r="QUM43" s="819"/>
      <c r="QUN43" s="819"/>
      <c r="QUO43" s="819"/>
      <c r="QUP43" s="819"/>
      <c r="QUQ43" s="819"/>
      <c r="QUR43" s="819"/>
      <c r="QUS43" s="819"/>
      <c r="QUT43" s="819"/>
      <c r="QUU43" s="819"/>
      <c r="QUV43" s="819"/>
      <c r="QUW43" s="819"/>
      <c r="QUX43" s="819"/>
      <c r="QUY43" s="819"/>
      <c r="QUZ43" s="819"/>
      <c r="QVA43" s="819"/>
      <c r="QVB43" s="819"/>
      <c r="QVC43" s="819"/>
      <c r="QVD43" s="819"/>
      <c r="QVE43" s="819"/>
      <c r="QVF43" s="819"/>
      <c r="QVG43" s="819"/>
      <c r="QVH43" s="819"/>
      <c r="QVI43" s="819"/>
      <c r="QVJ43" s="819"/>
      <c r="QVK43" s="819"/>
      <c r="QVL43" s="819"/>
      <c r="QVM43" s="819"/>
      <c r="QVN43" s="819"/>
      <c r="QVO43" s="819"/>
      <c r="QVP43" s="819"/>
      <c r="QVQ43" s="819"/>
      <c r="QVR43" s="819"/>
      <c r="QVS43" s="819"/>
      <c r="QVT43" s="819"/>
      <c r="QVU43" s="819"/>
      <c r="QVV43" s="819"/>
      <c r="QVW43" s="819"/>
      <c r="QVX43" s="819"/>
      <c r="QVY43" s="819"/>
      <c r="QVZ43" s="819"/>
      <c r="QWA43" s="819"/>
      <c r="QWB43" s="819"/>
      <c r="QWC43" s="819"/>
      <c r="QWD43" s="819"/>
      <c r="QWE43" s="819"/>
      <c r="QWF43" s="819"/>
      <c r="QWG43" s="819"/>
      <c r="QWH43" s="819"/>
      <c r="QWI43" s="819"/>
      <c r="QWJ43" s="819"/>
      <c r="QWK43" s="819"/>
      <c r="QWL43" s="819"/>
      <c r="QWM43" s="819"/>
      <c r="QWN43" s="819"/>
      <c r="QWO43" s="819"/>
      <c r="QWP43" s="819"/>
      <c r="QWQ43" s="819"/>
      <c r="QWR43" s="819"/>
      <c r="QWS43" s="819"/>
      <c r="QWT43" s="819"/>
      <c r="QWU43" s="819"/>
      <c r="QWV43" s="819"/>
      <c r="QWW43" s="819"/>
      <c r="QWX43" s="819"/>
      <c r="QWY43" s="819"/>
      <c r="QWZ43" s="819"/>
      <c r="QXA43" s="819"/>
      <c r="QXB43" s="819"/>
      <c r="QXC43" s="819"/>
      <c r="QXD43" s="819"/>
      <c r="QXE43" s="819"/>
      <c r="QXF43" s="819"/>
      <c r="QXG43" s="819"/>
      <c r="QXH43" s="819"/>
      <c r="QXI43" s="819"/>
      <c r="QXJ43" s="819"/>
      <c r="QXK43" s="819"/>
      <c r="QXL43" s="819"/>
      <c r="QXM43" s="819"/>
      <c r="QXN43" s="819"/>
      <c r="QXO43" s="819"/>
      <c r="QXP43" s="819"/>
      <c r="QXQ43" s="819"/>
      <c r="QXR43" s="819"/>
      <c r="QXS43" s="819"/>
      <c r="QXT43" s="819"/>
      <c r="QXU43" s="819"/>
      <c r="QXV43" s="819"/>
      <c r="QXW43" s="819"/>
      <c r="QXX43" s="819"/>
      <c r="QXY43" s="819"/>
      <c r="QXZ43" s="819"/>
      <c r="QYA43" s="819"/>
      <c r="QYB43" s="819"/>
      <c r="QYC43" s="819"/>
      <c r="QYD43" s="819"/>
      <c r="QYE43" s="819"/>
      <c r="QYF43" s="819"/>
      <c r="QYG43" s="819"/>
      <c r="QYH43" s="819"/>
      <c r="QYI43" s="819"/>
      <c r="QYJ43" s="819"/>
      <c r="QYK43" s="819"/>
      <c r="QYL43" s="819"/>
      <c r="QYM43" s="819"/>
      <c r="QYN43" s="819"/>
      <c r="QYO43" s="819"/>
      <c r="QYP43" s="819"/>
      <c r="QYQ43" s="819"/>
      <c r="QYR43" s="819"/>
      <c r="QYS43" s="819"/>
      <c r="QYT43" s="819"/>
      <c r="QYU43" s="819"/>
      <c r="QYV43" s="819"/>
      <c r="QYW43" s="819"/>
      <c r="QYX43" s="819"/>
      <c r="QYY43" s="819"/>
      <c r="QYZ43" s="819"/>
      <c r="QZA43" s="819"/>
      <c r="QZB43" s="819"/>
      <c r="QZC43" s="819"/>
      <c r="QZD43" s="819"/>
      <c r="QZE43" s="819"/>
      <c r="QZF43" s="819"/>
      <c r="QZG43" s="819"/>
      <c r="QZH43" s="819"/>
      <c r="QZI43" s="819"/>
      <c r="QZJ43" s="819"/>
      <c r="QZK43" s="819"/>
      <c r="QZL43" s="819"/>
      <c r="QZM43" s="819"/>
      <c r="QZN43" s="819"/>
      <c r="QZO43" s="819"/>
      <c r="QZP43" s="819"/>
      <c r="QZQ43" s="819"/>
      <c r="QZR43" s="819"/>
      <c r="QZS43" s="819"/>
      <c r="QZT43" s="819"/>
      <c r="QZU43" s="819"/>
      <c r="QZV43" s="819"/>
      <c r="QZW43" s="819"/>
      <c r="QZX43" s="819"/>
      <c r="QZY43" s="819"/>
      <c r="QZZ43" s="819"/>
      <c r="RAA43" s="819"/>
      <c r="RAB43" s="819"/>
      <c r="RAC43" s="819"/>
      <c r="RAD43" s="819"/>
      <c r="RAE43" s="819"/>
      <c r="RAF43" s="819"/>
      <c r="RAG43" s="819"/>
      <c r="RAH43" s="819"/>
      <c r="RAI43" s="819"/>
      <c r="RAJ43" s="819"/>
      <c r="RAK43" s="819"/>
      <c r="RAL43" s="819"/>
      <c r="RAM43" s="819"/>
      <c r="RAN43" s="819"/>
      <c r="RAO43" s="819"/>
      <c r="RAP43" s="819"/>
      <c r="RAQ43" s="819"/>
      <c r="RAR43" s="819"/>
      <c r="RAS43" s="819"/>
      <c r="RAT43" s="819"/>
      <c r="RAU43" s="819"/>
      <c r="RAV43" s="819"/>
      <c r="RAW43" s="819"/>
      <c r="RAX43" s="819"/>
      <c r="RAY43" s="819"/>
      <c r="RAZ43" s="819"/>
      <c r="RBA43" s="819"/>
      <c r="RBB43" s="819"/>
      <c r="RBC43" s="819"/>
      <c r="RBD43" s="819"/>
      <c r="RBE43" s="819"/>
      <c r="RBF43" s="819"/>
      <c r="RBG43" s="819"/>
      <c r="RBH43" s="819"/>
      <c r="RBI43" s="819"/>
      <c r="RBJ43" s="819"/>
      <c r="RBK43" s="819"/>
      <c r="RBL43" s="819"/>
      <c r="RBM43" s="819"/>
      <c r="RBN43" s="819"/>
      <c r="RBO43" s="819"/>
      <c r="RBP43" s="819"/>
      <c r="RBQ43" s="819"/>
      <c r="RBR43" s="819"/>
      <c r="RBS43" s="819"/>
      <c r="RBT43" s="819"/>
      <c r="RBU43" s="819"/>
      <c r="RBV43" s="819"/>
      <c r="RBW43" s="819"/>
      <c r="RBX43" s="819"/>
      <c r="RBY43" s="819"/>
      <c r="RBZ43" s="819"/>
      <c r="RCA43" s="819"/>
      <c r="RCB43" s="819"/>
      <c r="RCC43" s="819"/>
      <c r="RCD43" s="819"/>
      <c r="RCE43" s="819"/>
      <c r="RCF43" s="819"/>
      <c r="RCG43" s="819"/>
      <c r="RCH43" s="819"/>
      <c r="RCI43" s="819"/>
      <c r="RCJ43" s="819"/>
      <c r="RCK43" s="819"/>
      <c r="RCL43" s="819"/>
      <c r="RCM43" s="819"/>
      <c r="RCN43" s="819"/>
      <c r="RCO43" s="819"/>
      <c r="RCP43" s="819"/>
      <c r="RCQ43" s="819"/>
      <c r="RCR43" s="819"/>
      <c r="RCS43" s="819"/>
      <c r="RCT43" s="819"/>
      <c r="RCU43" s="819"/>
      <c r="RCV43" s="819"/>
      <c r="RCW43" s="819"/>
      <c r="RCX43" s="819"/>
      <c r="RCY43" s="819"/>
      <c r="RCZ43" s="819"/>
      <c r="RDA43" s="819"/>
      <c r="RDB43" s="819"/>
      <c r="RDC43" s="819"/>
      <c r="RDD43" s="819"/>
      <c r="RDE43" s="819"/>
      <c r="RDF43" s="819"/>
      <c r="RDG43" s="819"/>
      <c r="RDH43" s="819"/>
      <c r="RDI43" s="819"/>
      <c r="RDJ43" s="819"/>
      <c r="RDK43" s="819"/>
      <c r="RDL43" s="819"/>
      <c r="RDM43" s="819"/>
      <c r="RDN43" s="819"/>
      <c r="RDO43" s="819"/>
      <c r="RDP43" s="819"/>
      <c r="RDQ43" s="819"/>
      <c r="RDR43" s="819"/>
      <c r="RDS43" s="819"/>
      <c r="RDT43" s="819"/>
      <c r="RDU43" s="819"/>
      <c r="RDV43" s="819"/>
      <c r="RDW43" s="819"/>
      <c r="RDX43" s="819"/>
      <c r="RDY43" s="819"/>
      <c r="RDZ43" s="819"/>
      <c r="REA43" s="819"/>
      <c r="REB43" s="819"/>
      <c r="REC43" s="819"/>
      <c r="RED43" s="819"/>
      <c r="REE43" s="819"/>
      <c r="REF43" s="819"/>
      <c r="REG43" s="819"/>
      <c r="REH43" s="819"/>
      <c r="REI43" s="819"/>
      <c r="REJ43" s="819"/>
      <c r="REK43" s="819"/>
      <c r="REL43" s="819"/>
      <c r="REM43" s="819"/>
      <c r="REN43" s="819"/>
      <c r="REO43" s="819"/>
      <c r="REP43" s="819"/>
      <c r="REQ43" s="819"/>
      <c r="RER43" s="819"/>
      <c r="RES43" s="819"/>
      <c r="RET43" s="819"/>
      <c r="REU43" s="819"/>
      <c r="REV43" s="819"/>
      <c r="REW43" s="819"/>
      <c r="REX43" s="819"/>
      <c r="REY43" s="819"/>
      <c r="REZ43" s="819"/>
      <c r="RFA43" s="819"/>
      <c r="RFB43" s="819"/>
      <c r="RFC43" s="819"/>
      <c r="RFD43" s="819"/>
      <c r="RFE43" s="819"/>
      <c r="RFF43" s="819"/>
      <c r="RFG43" s="819"/>
      <c r="RFH43" s="819"/>
      <c r="RFI43" s="819"/>
      <c r="RFJ43" s="819"/>
      <c r="RFK43" s="819"/>
      <c r="RFL43" s="819"/>
      <c r="RFM43" s="819"/>
      <c r="RFN43" s="819"/>
      <c r="RFO43" s="819"/>
      <c r="RFP43" s="819"/>
      <c r="RFQ43" s="819"/>
      <c r="RFR43" s="819"/>
      <c r="RFS43" s="819"/>
      <c r="RFT43" s="819"/>
      <c r="RFU43" s="819"/>
      <c r="RFV43" s="819"/>
      <c r="RFW43" s="819"/>
      <c r="RFX43" s="819"/>
      <c r="RFY43" s="819"/>
      <c r="RFZ43" s="819"/>
      <c r="RGA43" s="819"/>
      <c r="RGB43" s="819"/>
      <c r="RGC43" s="819"/>
      <c r="RGD43" s="819"/>
      <c r="RGE43" s="819"/>
      <c r="RGF43" s="819"/>
      <c r="RGG43" s="819"/>
      <c r="RGH43" s="819"/>
      <c r="RGI43" s="819"/>
      <c r="RGJ43" s="819"/>
      <c r="RGK43" s="819"/>
      <c r="RGL43" s="819"/>
      <c r="RGM43" s="819"/>
      <c r="RGN43" s="819"/>
      <c r="RGO43" s="819"/>
      <c r="RGP43" s="819"/>
      <c r="RGQ43" s="819"/>
      <c r="RGR43" s="819"/>
      <c r="RGS43" s="819"/>
      <c r="RGT43" s="819"/>
      <c r="RGU43" s="819"/>
      <c r="RGV43" s="819"/>
      <c r="RGW43" s="819"/>
      <c r="RGX43" s="819"/>
      <c r="RGY43" s="819"/>
      <c r="RGZ43" s="819"/>
      <c r="RHA43" s="819"/>
      <c r="RHB43" s="819"/>
      <c r="RHC43" s="819"/>
      <c r="RHD43" s="819"/>
      <c r="RHE43" s="819"/>
      <c r="RHF43" s="819"/>
      <c r="RHG43" s="819"/>
      <c r="RHH43" s="819"/>
      <c r="RHI43" s="819"/>
      <c r="RHJ43" s="819"/>
      <c r="RHK43" s="819"/>
      <c r="RHL43" s="819"/>
      <c r="RHM43" s="819"/>
      <c r="RHN43" s="819"/>
      <c r="RHO43" s="819"/>
      <c r="RHP43" s="819"/>
      <c r="RHQ43" s="819"/>
      <c r="RHR43" s="819"/>
      <c r="RHS43" s="819"/>
      <c r="RHT43" s="819"/>
      <c r="RHU43" s="819"/>
      <c r="RHV43" s="819"/>
      <c r="RHW43" s="819"/>
      <c r="RHX43" s="819"/>
      <c r="RHY43" s="819"/>
      <c r="RHZ43" s="819"/>
      <c r="RIA43" s="819"/>
      <c r="RIB43" s="819"/>
      <c r="RIC43" s="819"/>
      <c r="RID43" s="819"/>
      <c r="RIE43" s="819"/>
      <c r="RIF43" s="819"/>
      <c r="RIG43" s="819"/>
      <c r="RIH43" s="819"/>
      <c r="RII43" s="819"/>
      <c r="RIJ43" s="819"/>
      <c r="RIK43" s="819"/>
      <c r="RIL43" s="819"/>
      <c r="RIM43" s="819"/>
      <c r="RIN43" s="819"/>
      <c r="RIO43" s="819"/>
      <c r="RIP43" s="819"/>
      <c r="RIQ43" s="819"/>
      <c r="RIR43" s="819"/>
      <c r="RIS43" s="819"/>
      <c r="RIT43" s="819"/>
      <c r="RIU43" s="819"/>
      <c r="RIV43" s="819"/>
      <c r="RIW43" s="819"/>
      <c r="RIX43" s="819"/>
      <c r="RIY43" s="819"/>
      <c r="RIZ43" s="819"/>
      <c r="RJA43" s="819"/>
      <c r="RJB43" s="819"/>
      <c r="RJC43" s="819"/>
      <c r="RJD43" s="819"/>
      <c r="RJE43" s="819"/>
      <c r="RJF43" s="819"/>
      <c r="RJG43" s="819"/>
      <c r="RJH43" s="819"/>
      <c r="RJI43" s="819"/>
      <c r="RJJ43" s="819"/>
      <c r="RJK43" s="819"/>
      <c r="RJL43" s="819"/>
      <c r="RJM43" s="819"/>
      <c r="RJN43" s="819"/>
      <c r="RJO43" s="819"/>
      <c r="RJP43" s="819"/>
      <c r="RJQ43" s="819"/>
      <c r="RJR43" s="819"/>
      <c r="RJS43" s="819"/>
      <c r="RJT43" s="819"/>
      <c r="RJU43" s="819"/>
      <c r="RJV43" s="819"/>
      <c r="RJW43" s="819"/>
      <c r="RJX43" s="819"/>
      <c r="RJY43" s="819"/>
      <c r="RJZ43" s="819"/>
      <c r="RKA43" s="819"/>
      <c r="RKB43" s="819"/>
      <c r="RKC43" s="819"/>
      <c r="RKD43" s="819"/>
      <c r="RKE43" s="819"/>
      <c r="RKF43" s="819"/>
      <c r="RKG43" s="819"/>
      <c r="RKH43" s="819"/>
      <c r="RKI43" s="819"/>
      <c r="RKJ43" s="819"/>
      <c r="RKK43" s="819"/>
      <c r="RKL43" s="819"/>
      <c r="RKM43" s="819"/>
      <c r="RKN43" s="819"/>
      <c r="RKO43" s="819"/>
      <c r="RKP43" s="819"/>
      <c r="RKQ43" s="819"/>
      <c r="RKR43" s="819"/>
      <c r="RKS43" s="819"/>
      <c r="RKT43" s="819"/>
      <c r="RKU43" s="819"/>
      <c r="RKV43" s="819"/>
      <c r="RKW43" s="819"/>
      <c r="RKX43" s="819"/>
      <c r="RKY43" s="819"/>
      <c r="RKZ43" s="819"/>
      <c r="RLA43" s="819"/>
      <c r="RLB43" s="819"/>
      <c r="RLC43" s="819"/>
      <c r="RLD43" s="819"/>
      <c r="RLE43" s="819"/>
      <c r="RLF43" s="819"/>
      <c r="RLG43" s="819"/>
      <c r="RLH43" s="819"/>
      <c r="RLI43" s="819"/>
      <c r="RLJ43" s="819"/>
      <c r="RLK43" s="819"/>
      <c r="RLL43" s="819"/>
      <c r="RLM43" s="819"/>
      <c r="RLN43" s="819"/>
      <c r="RLO43" s="819"/>
      <c r="RLP43" s="819"/>
      <c r="RLQ43" s="819"/>
      <c r="RLR43" s="819"/>
      <c r="RLS43" s="819"/>
      <c r="RLT43" s="819"/>
      <c r="RLU43" s="819"/>
      <c r="RLV43" s="819"/>
      <c r="RLW43" s="819"/>
      <c r="RLX43" s="819"/>
      <c r="RLY43" s="819"/>
      <c r="RLZ43" s="819"/>
      <c r="RMA43" s="819"/>
      <c r="RMB43" s="819"/>
      <c r="RMC43" s="819"/>
      <c r="RMD43" s="819"/>
      <c r="RME43" s="819"/>
      <c r="RMF43" s="819"/>
      <c r="RMG43" s="819"/>
      <c r="RMH43" s="819"/>
      <c r="RMI43" s="819"/>
      <c r="RMJ43" s="819"/>
      <c r="RMK43" s="819"/>
      <c r="RML43" s="819"/>
      <c r="RMM43" s="819"/>
      <c r="RMN43" s="819"/>
      <c r="RMO43" s="819"/>
      <c r="RMP43" s="819"/>
      <c r="RMQ43" s="819"/>
      <c r="RMR43" s="819"/>
      <c r="RMS43" s="819"/>
      <c r="RMT43" s="819"/>
      <c r="RMU43" s="819"/>
      <c r="RMV43" s="819"/>
      <c r="RMW43" s="819"/>
      <c r="RMX43" s="819"/>
      <c r="RMY43" s="819"/>
      <c r="RMZ43" s="819"/>
      <c r="RNA43" s="819"/>
      <c r="RNB43" s="819"/>
      <c r="RNC43" s="819"/>
      <c r="RND43" s="819"/>
      <c r="RNE43" s="819"/>
      <c r="RNF43" s="819"/>
      <c r="RNG43" s="819"/>
      <c r="RNH43" s="819"/>
      <c r="RNI43" s="819"/>
      <c r="RNJ43" s="819"/>
      <c r="RNK43" s="819"/>
      <c r="RNL43" s="819"/>
      <c r="RNM43" s="819"/>
      <c r="RNN43" s="819"/>
      <c r="RNO43" s="819"/>
      <c r="RNP43" s="819"/>
      <c r="RNQ43" s="819"/>
      <c r="RNR43" s="819"/>
      <c r="RNS43" s="819"/>
      <c r="RNT43" s="819"/>
      <c r="RNU43" s="819"/>
      <c r="RNV43" s="819"/>
      <c r="RNW43" s="819"/>
      <c r="RNX43" s="819"/>
      <c r="RNY43" s="819"/>
      <c r="RNZ43" s="819"/>
      <c r="ROA43" s="819"/>
      <c r="ROB43" s="819"/>
      <c r="ROC43" s="819"/>
      <c r="ROD43" s="819"/>
      <c r="ROE43" s="819"/>
      <c r="ROF43" s="819"/>
      <c r="ROG43" s="819"/>
      <c r="ROH43" s="819"/>
      <c r="ROI43" s="819"/>
      <c r="ROJ43" s="819"/>
      <c r="ROK43" s="819"/>
      <c r="ROL43" s="819"/>
      <c r="ROM43" s="819"/>
      <c r="RON43" s="819"/>
      <c r="ROO43" s="819"/>
      <c r="ROP43" s="819"/>
      <c r="ROQ43" s="819"/>
      <c r="ROR43" s="819"/>
      <c r="ROS43" s="819"/>
      <c r="ROT43" s="819"/>
      <c r="ROU43" s="819"/>
      <c r="ROV43" s="819"/>
      <c r="ROW43" s="819"/>
      <c r="ROX43" s="819"/>
      <c r="ROY43" s="819"/>
      <c r="ROZ43" s="819"/>
      <c r="RPA43" s="819"/>
      <c r="RPB43" s="819"/>
      <c r="RPC43" s="819"/>
      <c r="RPD43" s="819"/>
      <c r="RPE43" s="819"/>
      <c r="RPF43" s="819"/>
      <c r="RPG43" s="819"/>
      <c r="RPH43" s="819"/>
      <c r="RPI43" s="819"/>
      <c r="RPJ43" s="819"/>
      <c r="RPK43" s="819"/>
      <c r="RPL43" s="819"/>
      <c r="RPM43" s="819"/>
      <c r="RPN43" s="819"/>
      <c r="RPO43" s="819"/>
      <c r="RPP43" s="819"/>
      <c r="RPQ43" s="819"/>
      <c r="RPR43" s="819"/>
      <c r="RPS43" s="819"/>
      <c r="RPT43" s="819"/>
      <c r="RPU43" s="819"/>
      <c r="RPV43" s="819"/>
      <c r="RPW43" s="819"/>
      <c r="RPX43" s="819"/>
      <c r="RPY43" s="819"/>
      <c r="RPZ43" s="819"/>
      <c r="RQA43" s="819"/>
      <c r="RQB43" s="819"/>
      <c r="RQC43" s="819"/>
      <c r="RQD43" s="819"/>
      <c r="RQE43" s="819"/>
      <c r="RQF43" s="819"/>
      <c r="RQG43" s="819"/>
      <c r="RQH43" s="819"/>
      <c r="RQI43" s="819"/>
      <c r="RQJ43" s="819"/>
      <c r="RQK43" s="819"/>
      <c r="RQL43" s="819"/>
      <c r="RQM43" s="819"/>
      <c r="RQN43" s="819"/>
      <c r="RQO43" s="819"/>
      <c r="RQP43" s="819"/>
      <c r="RQQ43" s="819"/>
      <c r="RQR43" s="819"/>
      <c r="RQS43" s="819"/>
      <c r="RQT43" s="819"/>
      <c r="RQU43" s="819"/>
      <c r="RQV43" s="819"/>
      <c r="RQW43" s="819"/>
      <c r="RQX43" s="819"/>
      <c r="RQY43" s="819"/>
      <c r="RQZ43" s="819"/>
      <c r="RRA43" s="819"/>
      <c r="RRB43" s="819"/>
      <c r="RRC43" s="819"/>
      <c r="RRD43" s="819"/>
      <c r="RRE43" s="819"/>
      <c r="RRF43" s="819"/>
      <c r="RRG43" s="819"/>
      <c r="RRH43" s="819"/>
      <c r="RRI43" s="819"/>
      <c r="RRJ43" s="819"/>
      <c r="RRK43" s="819"/>
      <c r="RRL43" s="819"/>
      <c r="RRM43" s="819"/>
      <c r="RRN43" s="819"/>
      <c r="RRO43" s="819"/>
      <c r="RRP43" s="819"/>
      <c r="RRQ43" s="819"/>
      <c r="RRR43" s="819"/>
      <c r="RRS43" s="819"/>
      <c r="RRT43" s="819"/>
      <c r="RRU43" s="819"/>
      <c r="RRV43" s="819"/>
      <c r="RRW43" s="819"/>
      <c r="RRX43" s="819"/>
      <c r="RRY43" s="819"/>
      <c r="RRZ43" s="819"/>
      <c r="RSA43" s="819"/>
      <c r="RSB43" s="819"/>
      <c r="RSC43" s="819"/>
      <c r="RSD43" s="819"/>
      <c r="RSE43" s="819"/>
      <c r="RSF43" s="819"/>
      <c r="RSG43" s="819"/>
      <c r="RSH43" s="819"/>
      <c r="RSI43" s="819"/>
      <c r="RSJ43" s="819"/>
      <c r="RSK43" s="819"/>
      <c r="RSL43" s="819"/>
      <c r="RSM43" s="819"/>
      <c r="RSN43" s="819"/>
      <c r="RSO43" s="819"/>
      <c r="RSP43" s="819"/>
      <c r="RSQ43" s="819"/>
      <c r="RSR43" s="819"/>
      <c r="RSS43" s="819"/>
      <c r="RST43" s="819"/>
      <c r="RSU43" s="819"/>
      <c r="RSV43" s="819"/>
      <c r="RSW43" s="819"/>
      <c r="RSX43" s="819"/>
      <c r="RSY43" s="819"/>
      <c r="RSZ43" s="819"/>
      <c r="RTA43" s="819"/>
      <c r="RTB43" s="819"/>
      <c r="RTC43" s="819"/>
      <c r="RTD43" s="819"/>
      <c r="RTE43" s="819"/>
      <c r="RTF43" s="819"/>
      <c r="RTG43" s="819"/>
      <c r="RTH43" s="819"/>
      <c r="RTI43" s="819"/>
      <c r="RTJ43" s="819"/>
      <c r="RTK43" s="819"/>
      <c r="RTL43" s="819"/>
      <c r="RTM43" s="819"/>
      <c r="RTN43" s="819"/>
      <c r="RTO43" s="819"/>
      <c r="RTP43" s="819"/>
      <c r="RTQ43" s="819"/>
      <c r="RTR43" s="819"/>
      <c r="RTS43" s="819"/>
      <c r="RTT43" s="819"/>
      <c r="RTU43" s="819"/>
      <c r="RTV43" s="819"/>
      <c r="RTW43" s="819"/>
      <c r="RTX43" s="819"/>
      <c r="RTY43" s="819"/>
      <c r="RTZ43" s="819"/>
      <c r="RUA43" s="819"/>
      <c r="RUB43" s="819"/>
      <c r="RUC43" s="819"/>
      <c r="RUD43" s="819"/>
      <c r="RUE43" s="819"/>
      <c r="RUF43" s="819"/>
      <c r="RUG43" s="819"/>
      <c r="RUH43" s="819"/>
      <c r="RUI43" s="819"/>
      <c r="RUJ43" s="819"/>
      <c r="RUK43" s="819"/>
      <c r="RUL43" s="819"/>
      <c r="RUM43" s="819"/>
      <c r="RUN43" s="819"/>
      <c r="RUO43" s="819"/>
      <c r="RUP43" s="819"/>
      <c r="RUQ43" s="819"/>
      <c r="RUR43" s="819"/>
      <c r="RUS43" s="819"/>
      <c r="RUT43" s="819"/>
      <c r="RUU43" s="819"/>
      <c r="RUV43" s="819"/>
      <c r="RUW43" s="819"/>
      <c r="RUX43" s="819"/>
      <c r="RUY43" s="819"/>
      <c r="RUZ43" s="819"/>
      <c r="RVA43" s="819"/>
      <c r="RVB43" s="819"/>
      <c r="RVC43" s="819"/>
      <c r="RVD43" s="819"/>
      <c r="RVE43" s="819"/>
      <c r="RVF43" s="819"/>
      <c r="RVG43" s="819"/>
      <c r="RVH43" s="819"/>
      <c r="RVI43" s="819"/>
      <c r="RVJ43" s="819"/>
      <c r="RVK43" s="819"/>
      <c r="RVL43" s="819"/>
      <c r="RVM43" s="819"/>
      <c r="RVN43" s="819"/>
      <c r="RVO43" s="819"/>
      <c r="RVP43" s="819"/>
      <c r="RVQ43" s="819"/>
      <c r="RVR43" s="819"/>
      <c r="RVS43" s="819"/>
      <c r="RVT43" s="819"/>
      <c r="RVU43" s="819"/>
      <c r="RVV43" s="819"/>
      <c r="RVW43" s="819"/>
      <c r="RVX43" s="819"/>
      <c r="RVY43" s="819"/>
      <c r="RVZ43" s="819"/>
      <c r="RWA43" s="819"/>
      <c r="RWB43" s="819"/>
      <c r="RWC43" s="819"/>
      <c r="RWD43" s="819"/>
      <c r="RWE43" s="819"/>
      <c r="RWF43" s="819"/>
      <c r="RWG43" s="819"/>
      <c r="RWH43" s="819"/>
      <c r="RWI43" s="819"/>
      <c r="RWJ43" s="819"/>
      <c r="RWK43" s="819"/>
      <c r="RWL43" s="819"/>
      <c r="RWM43" s="819"/>
      <c r="RWN43" s="819"/>
      <c r="RWO43" s="819"/>
      <c r="RWP43" s="819"/>
      <c r="RWQ43" s="819"/>
      <c r="RWR43" s="819"/>
      <c r="RWS43" s="819"/>
      <c r="RWT43" s="819"/>
      <c r="RWU43" s="819"/>
      <c r="RWV43" s="819"/>
      <c r="RWW43" s="819"/>
      <c r="RWX43" s="819"/>
      <c r="RWY43" s="819"/>
      <c r="RWZ43" s="819"/>
      <c r="RXA43" s="819"/>
      <c r="RXB43" s="819"/>
      <c r="RXC43" s="819"/>
      <c r="RXD43" s="819"/>
      <c r="RXE43" s="819"/>
      <c r="RXF43" s="819"/>
      <c r="RXG43" s="819"/>
      <c r="RXH43" s="819"/>
      <c r="RXI43" s="819"/>
      <c r="RXJ43" s="819"/>
      <c r="RXK43" s="819"/>
      <c r="RXL43" s="819"/>
      <c r="RXM43" s="819"/>
      <c r="RXN43" s="819"/>
      <c r="RXO43" s="819"/>
      <c r="RXP43" s="819"/>
      <c r="RXQ43" s="819"/>
      <c r="RXR43" s="819"/>
      <c r="RXS43" s="819"/>
      <c r="RXT43" s="819"/>
      <c r="RXU43" s="819"/>
      <c r="RXV43" s="819"/>
      <c r="RXW43" s="819"/>
      <c r="RXX43" s="819"/>
      <c r="RXY43" s="819"/>
      <c r="RXZ43" s="819"/>
      <c r="RYA43" s="819"/>
      <c r="RYB43" s="819"/>
      <c r="RYC43" s="819"/>
      <c r="RYD43" s="819"/>
      <c r="RYE43" s="819"/>
      <c r="RYF43" s="819"/>
      <c r="RYG43" s="819"/>
      <c r="RYH43" s="819"/>
      <c r="RYI43" s="819"/>
      <c r="RYJ43" s="819"/>
      <c r="RYK43" s="819"/>
      <c r="RYL43" s="819"/>
      <c r="RYM43" s="819"/>
      <c r="RYN43" s="819"/>
      <c r="RYO43" s="819"/>
      <c r="RYP43" s="819"/>
      <c r="RYQ43" s="819"/>
      <c r="RYR43" s="819"/>
      <c r="RYS43" s="819"/>
      <c r="RYT43" s="819"/>
      <c r="RYU43" s="819"/>
      <c r="RYV43" s="819"/>
      <c r="RYW43" s="819"/>
      <c r="RYX43" s="819"/>
      <c r="RYY43" s="819"/>
      <c r="RYZ43" s="819"/>
      <c r="RZA43" s="819"/>
      <c r="RZB43" s="819"/>
      <c r="RZC43" s="819"/>
      <c r="RZD43" s="819"/>
      <c r="RZE43" s="819"/>
      <c r="RZF43" s="819"/>
      <c r="RZG43" s="819"/>
      <c r="RZH43" s="819"/>
      <c r="RZI43" s="819"/>
      <c r="RZJ43" s="819"/>
      <c r="RZK43" s="819"/>
      <c r="RZL43" s="819"/>
      <c r="RZM43" s="819"/>
      <c r="RZN43" s="819"/>
      <c r="RZO43" s="819"/>
      <c r="RZP43" s="819"/>
      <c r="RZQ43" s="819"/>
      <c r="RZR43" s="819"/>
      <c r="RZS43" s="819"/>
      <c r="RZT43" s="819"/>
      <c r="RZU43" s="819"/>
      <c r="RZV43" s="819"/>
      <c r="RZW43" s="819"/>
      <c r="RZX43" s="819"/>
      <c r="RZY43" s="819"/>
      <c r="RZZ43" s="819"/>
      <c r="SAA43" s="819"/>
      <c r="SAB43" s="819"/>
      <c r="SAC43" s="819"/>
      <c r="SAD43" s="819"/>
      <c r="SAE43" s="819"/>
      <c r="SAF43" s="819"/>
      <c r="SAG43" s="819"/>
      <c r="SAH43" s="819"/>
      <c r="SAI43" s="819"/>
      <c r="SAJ43" s="819"/>
      <c r="SAK43" s="819"/>
      <c r="SAL43" s="819"/>
      <c r="SAM43" s="819"/>
      <c r="SAN43" s="819"/>
      <c r="SAO43" s="819"/>
      <c r="SAP43" s="819"/>
      <c r="SAQ43" s="819"/>
      <c r="SAR43" s="819"/>
      <c r="SAS43" s="819"/>
      <c r="SAT43" s="819"/>
      <c r="SAU43" s="819"/>
      <c r="SAV43" s="819"/>
      <c r="SAW43" s="819"/>
      <c r="SAX43" s="819"/>
      <c r="SAY43" s="819"/>
      <c r="SAZ43" s="819"/>
      <c r="SBA43" s="819"/>
      <c r="SBB43" s="819"/>
      <c r="SBC43" s="819"/>
      <c r="SBD43" s="819"/>
      <c r="SBE43" s="819"/>
      <c r="SBF43" s="819"/>
      <c r="SBG43" s="819"/>
      <c r="SBH43" s="819"/>
      <c r="SBI43" s="819"/>
      <c r="SBJ43" s="819"/>
      <c r="SBK43" s="819"/>
      <c r="SBL43" s="819"/>
      <c r="SBM43" s="819"/>
      <c r="SBN43" s="819"/>
      <c r="SBO43" s="819"/>
      <c r="SBP43" s="819"/>
      <c r="SBQ43" s="819"/>
      <c r="SBR43" s="819"/>
      <c r="SBS43" s="819"/>
      <c r="SBT43" s="819"/>
      <c r="SBU43" s="819"/>
      <c r="SBV43" s="819"/>
      <c r="SBW43" s="819"/>
      <c r="SBX43" s="819"/>
      <c r="SBY43" s="819"/>
      <c r="SBZ43" s="819"/>
      <c r="SCA43" s="819"/>
      <c r="SCB43" s="819"/>
      <c r="SCC43" s="819"/>
      <c r="SCD43" s="819"/>
      <c r="SCE43" s="819"/>
      <c r="SCF43" s="819"/>
      <c r="SCG43" s="819"/>
      <c r="SCH43" s="819"/>
      <c r="SCI43" s="819"/>
      <c r="SCJ43" s="819"/>
      <c r="SCK43" s="819"/>
      <c r="SCL43" s="819"/>
      <c r="SCM43" s="819"/>
      <c r="SCN43" s="819"/>
      <c r="SCO43" s="819"/>
      <c r="SCP43" s="819"/>
      <c r="SCQ43" s="819"/>
      <c r="SCR43" s="819"/>
      <c r="SCS43" s="819"/>
      <c r="SCT43" s="819"/>
      <c r="SCU43" s="819"/>
      <c r="SCV43" s="819"/>
      <c r="SCW43" s="819"/>
      <c r="SCX43" s="819"/>
      <c r="SCY43" s="819"/>
      <c r="SCZ43" s="819"/>
      <c r="SDA43" s="819"/>
      <c r="SDB43" s="819"/>
      <c r="SDC43" s="819"/>
      <c r="SDD43" s="819"/>
      <c r="SDE43" s="819"/>
      <c r="SDF43" s="819"/>
      <c r="SDG43" s="819"/>
      <c r="SDH43" s="819"/>
      <c r="SDI43" s="819"/>
      <c r="SDJ43" s="819"/>
      <c r="SDK43" s="819"/>
      <c r="SDL43" s="819"/>
      <c r="SDM43" s="819"/>
      <c r="SDN43" s="819"/>
      <c r="SDO43" s="819"/>
      <c r="SDP43" s="819"/>
      <c r="SDQ43" s="819"/>
      <c r="SDR43" s="819"/>
      <c r="SDS43" s="819"/>
      <c r="SDT43" s="819"/>
      <c r="SDU43" s="819"/>
      <c r="SDV43" s="819"/>
      <c r="SDW43" s="819"/>
      <c r="SDX43" s="819"/>
      <c r="SDY43" s="819"/>
      <c r="SDZ43" s="819"/>
      <c r="SEA43" s="819"/>
      <c r="SEB43" s="819"/>
      <c r="SEC43" s="819"/>
      <c r="SED43" s="819"/>
      <c r="SEE43" s="819"/>
      <c r="SEF43" s="819"/>
      <c r="SEG43" s="819"/>
      <c r="SEH43" s="819"/>
      <c r="SEI43" s="819"/>
      <c r="SEJ43" s="819"/>
      <c r="SEK43" s="819"/>
      <c r="SEL43" s="819"/>
      <c r="SEM43" s="819"/>
      <c r="SEN43" s="819"/>
      <c r="SEO43" s="819"/>
      <c r="SEP43" s="819"/>
      <c r="SEQ43" s="819"/>
      <c r="SER43" s="819"/>
      <c r="SES43" s="819"/>
      <c r="SET43" s="819"/>
      <c r="SEU43" s="819"/>
      <c r="SEV43" s="819"/>
      <c r="SEW43" s="819"/>
      <c r="SEX43" s="819"/>
      <c r="SEY43" s="819"/>
      <c r="SEZ43" s="819"/>
      <c r="SFA43" s="819"/>
      <c r="SFB43" s="819"/>
      <c r="SFC43" s="819"/>
      <c r="SFD43" s="819"/>
      <c r="SFE43" s="819"/>
      <c r="SFF43" s="819"/>
      <c r="SFG43" s="819"/>
      <c r="SFH43" s="819"/>
      <c r="SFI43" s="819"/>
      <c r="SFJ43" s="819"/>
      <c r="SFK43" s="819"/>
      <c r="SFL43" s="819"/>
      <c r="SFM43" s="819"/>
      <c r="SFN43" s="819"/>
      <c r="SFO43" s="819"/>
      <c r="SFP43" s="819"/>
      <c r="SFQ43" s="819"/>
      <c r="SFR43" s="819"/>
      <c r="SFS43" s="819"/>
      <c r="SFT43" s="819"/>
      <c r="SFU43" s="819"/>
      <c r="SFV43" s="819"/>
      <c r="SFW43" s="819"/>
      <c r="SFX43" s="819"/>
      <c r="SFY43" s="819"/>
      <c r="SFZ43" s="819"/>
      <c r="SGA43" s="819"/>
      <c r="SGB43" s="819"/>
      <c r="SGC43" s="819"/>
      <c r="SGD43" s="819"/>
      <c r="SGE43" s="819"/>
      <c r="SGF43" s="819"/>
      <c r="SGG43" s="819"/>
      <c r="SGH43" s="819"/>
      <c r="SGI43" s="819"/>
      <c r="SGJ43" s="819"/>
      <c r="SGK43" s="819"/>
      <c r="SGL43" s="819"/>
      <c r="SGM43" s="819"/>
      <c r="SGN43" s="819"/>
      <c r="SGO43" s="819"/>
      <c r="SGP43" s="819"/>
      <c r="SGQ43" s="819"/>
      <c r="SGR43" s="819"/>
      <c r="SGS43" s="819"/>
      <c r="SGT43" s="819"/>
      <c r="SGU43" s="819"/>
      <c r="SGV43" s="819"/>
      <c r="SGW43" s="819"/>
      <c r="SGX43" s="819"/>
      <c r="SGY43" s="819"/>
      <c r="SGZ43" s="819"/>
      <c r="SHA43" s="819"/>
      <c r="SHB43" s="819"/>
      <c r="SHC43" s="819"/>
      <c r="SHD43" s="819"/>
      <c r="SHE43" s="819"/>
      <c r="SHF43" s="819"/>
      <c r="SHG43" s="819"/>
      <c r="SHH43" s="819"/>
      <c r="SHI43" s="819"/>
      <c r="SHJ43" s="819"/>
      <c r="SHK43" s="819"/>
      <c r="SHL43" s="819"/>
      <c r="SHM43" s="819"/>
      <c r="SHN43" s="819"/>
      <c r="SHO43" s="819"/>
      <c r="SHP43" s="819"/>
      <c r="SHQ43" s="819"/>
      <c r="SHR43" s="819"/>
      <c r="SHS43" s="819"/>
      <c r="SHT43" s="819"/>
      <c r="SHU43" s="819"/>
      <c r="SHV43" s="819"/>
      <c r="SHW43" s="819"/>
      <c r="SHX43" s="819"/>
      <c r="SHY43" s="819"/>
      <c r="SHZ43" s="819"/>
      <c r="SIA43" s="819"/>
      <c r="SIB43" s="819"/>
      <c r="SIC43" s="819"/>
      <c r="SID43" s="819"/>
      <c r="SIE43" s="819"/>
      <c r="SIF43" s="819"/>
      <c r="SIG43" s="819"/>
      <c r="SIH43" s="819"/>
      <c r="SII43" s="819"/>
      <c r="SIJ43" s="819"/>
      <c r="SIK43" s="819"/>
      <c r="SIL43" s="819"/>
      <c r="SIM43" s="819"/>
      <c r="SIN43" s="819"/>
      <c r="SIO43" s="819"/>
      <c r="SIP43" s="819"/>
      <c r="SIQ43" s="819"/>
      <c r="SIR43" s="819"/>
      <c r="SIS43" s="819"/>
      <c r="SIT43" s="819"/>
      <c r="SIU43" s="819"/>
      <c r="SIV43" s="819"/>
      <c r="SIW43" s="819"/>
      <c r="SIX43" s="819"/>
      <c r="SIY43" s="819"/>
      <c r="SIZ43" s="819"/>
      <c r="SJA43" s="819"/>
      <c r="SJB43" s="819"/>
      <c r="SJC43" s="819"/>
      <c r="SJD43" s="819"/>
      <c r="SJE43" s="819"/>
      <c r="SJF43" s="819"/>
      <c r="SJG43" s="819"/>
      <c r="SJH43" s="819"/>
      <c r="SJI43" s="819"/>
      <c r="SJJ43" s="819"/>
      <c r="SJK43" s="819"/>
      <c r="SJL43" s="819"/>
      <c r="SJM43" s="819"/>
      <c r="SJN43" s="819"/>
      <c r="SJO43" s="819"/>
      <c r="SJP43" s="819"/>
      <c r="SJQ43" s="819"/>
      <c r="SJR43" s="819"/>
      <c r="SJS43" s="819"/>
      <c r="SJT43" s="819"/>
      <c r="SJU43" s="819"/>
      <c r="SJV43" s="819"/>
      <c r="SJW43" s="819"/>
      <c r="SJX43" s="819"/>
      <c r="SJY43" s="819"/>
      <c r="SJZ43" s="819"/>
      <c r="SKA43" s="819"/>
      <c r="SKB43" s="819"/>
      <c r="SKC43" s="819"/>
      <c r="SKD43" s="819"/>
      <c r="SKE43" s="819"/>
      <c r="SKF43" s="819"/>
      <c r="SKG43" s="819"/>
      <c r="SKH43" s="819"/>
      <c r="SKI43" s="819"/>
      <c r="SKJ43" s="819"/>
      <c r="SKK43" s="819"/>
      <c r="SKL43" s="819"/>
      <c r="SKM43" s="819"/>
      <c r="SKN43" s="819"/>
      <c r="SKO43" s="819"/>
      <c r="SKP43" s="819"/>
      <c r="SKQ43" s="819"/>
      <c r="SKR43" s="819"/>
      <c r="SKS43" s="819"/>
      <c r="SKT43" s="819"/>
      <c r="SKU43" s="819"/>
      <c r="SKV43" s="819"/>
      <c r="SKW43" s="819"/>
      <c r="SKX43" s="819"/>
      <c r="SKY43" s="819"/>
      <c r="SKZ43" s="819"/>
      <c r="SLA43" s="819"/>
      <c r="SLB43" s="819"/>
      <c r="SLC43" s="819"/>
      <c r="SLD43" s="819"/>
      <c r="SLE43" s="819"/>
      <c r="SLF43" s="819"/>
      <c r="SLG43" s="819"/>
      <c r="SLH43" s="819"/>
      <c r="SLI43" s="819"/>
      <c r="SLJ43" s="819"/>
      <c r="SLK43" s="819"/>
      <c r="SLL43" s="819"/>
      <c r="SLM43" s="819"/>
      <c r="SLN43" s="819"/>
      <c r="SLO43" s="819"/>
      <c r="SLP43" s="819"/>
      <c r="SLQ43" s="819"/>
      <c r="SLR43" s="819"/>
      <c r="SLS43" s="819"/>
      <c r="SLT43" s="819"/>
      <c r="SLU43" s="819"/>
      <c r="SLV43" s="819"/>
      <c r="SLW43" s="819"/>
      <c r="SLX43" s="819"/>
      <c r="SLY43" s="819"/>
      <c r="SLZ43" s="819"/>
      <c r="SMA43" s="819"/>
      <c r="SMB43" s="819"/>
      <c r="SMC43" s="819"/>
      <c r="SMD43" s="819"/>
      <c r="SME43" s="819"/>
      <c r="SMF43" s="819"/>
      <c r="SMG43" s="819"/>
      <c r="SMH43" s="819"/>
      <c r="SMI43" s="819"/>
      <c r="SMJ43" s="819"/>
      <c r="SMK43" s="819"/>
      <c r="SML43" s="819"/>
      <c r="SMM43" s="819"/>
      <c r="SMN43" s="819"/>
      <c r="SMO43" s="819"/>
      <c r="SMP43" s="819"/>
      <c r="SMQ43" s="819"/>
      <c r="SMR43" s="819"/>
      <c r="SMS43" s="819"/>
      <c r="SMT43" s="819"/>
      <c r="SMU43" s="819"/>
      <c r="SMV43" s="819"/>
      <c r="SMW43" s="819"/>
      <c r="SMX43" s="819"/>
      <c r="SMY43" s="819"/>
      <c r="SMZ43" s="819"/>
      <c r="SNA43" s="819"/>
      <c r="SNB43" s="819"/>
      <c r="SNC43" s="819"/>
      <c r="SND43" s="819"/>
      <c r="SNE43" s="819"/>
      <c r="SNF43" s="819"/>
      <c r="SNG43" s="819"/>
      <c r="SNH43" s="819"/>
      <c r="SNI43" s="819"/>
      <c r="SNJ43" s="819"/>
      <c r="SNK43" s="819"/>
      <c r="SNL43" s="819"/>
      <c r="SNM43" s="819"/>
      <c r="SNN43" s="819"/>
      <c r="SNO43" s="819"/>
      <c r="SNP43" s="819"/>
      <c r="SNQ43" s="819"/>
      <c r="SNR43" s="819"/>
      <c r="SNS43" s="819"/>
      <c r="SNT43" s="819"/>
      <c r="SNU43" s="819"/>
      <c r="SNV43" s="819"/>
      <c r="SNW43" s="819"/>
      <c r="SNX43" s="819"/>
      <c r="SNY43" s="819"/>
      <c r="SNZ43" s="819"/>
      <c r="SOA43" s="819"/>
      <c r="SOB43" s="819"/>
      <c r="SOC43" s="819"/>
      <c r="SOD43" s="819"/>
      <c r="SOE43" s="819"/>
      <c r="SOF43" s="819"/>
      <c r="SOG43" s="819"/>
      <c r="SOH43" s="819"/>
      <c r="SOI43" s="819"/>
      <c r="SOJ43" s="819"/>
      <c r="SOK43" s="819"/>
      <c r="SOL43" s="819"/>
      <c r="SOM43" s="819"/>
      <c r="SON43" s="819"/>
      <c r="SOO43" s="819"/>
      <c r="SOP43" s="819"/>
      <c r="SOQ43" s="819"/>
      <c r="SOR43" s="819"/>
      <c r="SOS43" s="819"/>
      <c r="SOT43" s="819"/>
      <c r="SOU43" s="819"/>
      <c r="SOV43" s="819"/>
      <c r="SOW43" s="819"/>
      <c r="SOX43" s="819"/>
      <c r="SOY43" s="819"/>
      <c r="SOZ43" s="819"/>
      <c r="SPA43" s="819"/>
      <c r="SPB43" s="819"/>
      <c r="SPC43" s="819"/>
      <c r="SPD43" s="819"/>
      <c r="SPE43" s="819"/>
      <c r="SPF43" s="819"/>
      <c r="SPG43" s="819"/>
      <c r="SPH43" s="819"/>
      <c r="SPI43" s="819"/>
      <c r="SPJ43" s="819"/>
      <c r="SPK43" s="819"/>
      <c r="SPL43" s="819"/>
      <c r="SPM43" s="819"/>
      <c r="SPN43" s="819"/>
      <c r="SPO43" s="819"/>
      <c r="SPP43" s="819"/>
      <c r="SPQ43" s="819"/>
      <c r="SPR43" s="819"/>
      <c r="SPS43" s="819"/>
      <c r="SPT43" s="819"/>
      <c r="SPU43" s="819"/>
      <c r="SPV43" s="819"/>
      <c r="SPW43" s="819"/>
      <c r="SPX43" s="819"/>
      <c r="SPY43" s="819"/>
      <c r="SPZ43" s="819"/>
      <c r="SQA43" s="819"/>
      <c r="SQB43" s="819"/>
      <c r="SQC43" s="819"/>
      <c r="SQD43" s="819"/>
      <c r="SQE43" s="819"/>
      <c r="SQF43" s="819"/>
      <c r="SQG43" s="819"/>
      <c r="SQH43" s="819"/>
      <c r="SQI43" s="819"/>
      <c r="SQJ43" s="819"/>
      <c r="SQK43" s="819"/>
      <c r="SQL43" s="819"/>
      <c r="SQM43" s="819"/>
      <c r="SQN43" s="819"/>
      <c r="SQO43" s="819"/>
      <c r="SQP43" s="819"/>
      <c r="SQQ43" s="819"/>
      <c r="SQR43" s="819"/>
      <c r="SQS43" s="819"/>
      <c r="SQT43" s="819"/>
      <c r="SQU43" s="819"/>
      <c r="SQV43" s="819"/>
      <c r="SQW43" s="819"/>
      <c r="SQX43" s="819"/>
      <c r="SQY43" s="819"/>
      <c r="SQZ43" s="819"/>
      <c r="SRA43" s="819"/>
      <c r="SRB43" s="819"/>
      <c r="SRC43" s="819"/>
      <c r="SRD43" s="819"/>
      <c r="SRE43" s="819"/>
      <c r="SRF43" s="819"/>
      <c r="SRG43" s="819"/>
      <c r="SRH43" s="819"/>
      <c r="SRI43" s="819"/>
      <c r="SRJ43" s="819"/>
      <c r="SRK43" s="819"/>
      <c r="SRL43" s="819"/>
      <c r="SRM43" s="819"/>
      <c r="SRN43" s="819"/>
      <c r="SRO43" s="819"/>
      <c r="SRP43" s="819"/>
      <c r="SRQ43" s="819"/>
      <c r="SRR43" s="819"/>
      <c r="SRS43" s="819"/>
      <c r="SRT43" s="819"/>
      <c r="SRU43" s="819"/>
      <c r="SRV43" s="819"/>
      <c r="SRW43" s="819"/>
      <c r="SRX43" s="819"/>
      <c r="SRY43" s="819"/>
      <c r="SRZ43" s="819"/>
      <c r="SSA43" s="819"/>
      <c r="SSB43" s="819"/>
      <c r="SSC43" s="819"/>
      <c r="SSD43" s="819"/>
      <c r="SSE43" s="819"/>
      <c r="SSF43" s="819"/>
      <c r="SSG43" s="819"/>
      <c r="SSH43" s="819"/>
      <c r="SSI43" s="819"/>
      <c r="SSJ43" s="819"/>
      <c r="SSK43" s="819"/>
      <c r="SSL43" s="819"/>
      <c r="SSM43" s="819"/>
      <c r="SSN43" s="819"/>
      <c r="SSO43" s="819"/>
      <c r="SSP43" s="819"/>
      <c r="SSQ43" s="819"/>
      <c r="SSR43" s="819"/>
      <c r="SSS43" s="819"/>
      <c r="SST43" s="819"/>
      <c r="SSU43" s="819"/>
      <c r="SSV43" s="819"/>
      <c r="SSW43" s="819"/>
      <c r="SSX43" s="819"/>
      <c r="SSY43" s="819"/>
      <c r="SSZ43" s="819"/>
      <c r="STA43" s="819"/>
      <c r="STB43" s="819"/>
      <c r="STC43" s="819"/>
      <c r="STD43" s="819"/>
      <c r="STE43" s="819"/>
      <c r="STF43" s="819"/>
      <c r="STG43" s="819"/>
      <c r="STH43" s="819"/>
      <c r="STI43" s="819"/>
      <c r="STJ43" s="819"/>
      <c r="STK43" s="819"/>
      <c r="STL43" s="819"/>
      <c r="STM43" s="819"/>
      <c r="STN43" s="819"/>
      <c r="STO43" s="819"/>
      <c r="STP43" s="819"/>
      <c r="STQ43" s="819"/>
      <c r="STR43" s="819"/>
      <c r="STS43" s="819"/>
      <c r="STT43" s="819"/>
      <c r="STU43" s="819"/>
      <c r="STV43" s="819"/>
      <c r="STW43" s="819"/>
      <c r="STX43" s="819"/>
      <c r="STY43" s="819"/>
      <c r="STZ43" s="819"/>
      <c r="SUA43" s="819"/>
      <c r="SUB43" s="819"/>
      <c r="SUC43" s="819"/>
      <c r="SUD43" s="819"/>
      <c r="SUE43" s="819"/>
      <c r="SUF43" s="819"/>
      <c r="SUG43" s="819"/>
      <c r="SUH43" s="819"/>
      <c r="SUI43" s="819"/>
      <c r="SUJ43" s="819"/>
      <c r="SUK43" s="819"/>
      <c r="SUL43" s="819"/>
      <c r="SUM43" s="819"/>
      <c r="SUN43" s="819"/>
      <c r="SUO43" s="819"/>
      <c r="SUP43" s="819"/>
      <c r="SUQ43" s="819"/>
      <c r="SUR43" s="819"/>
      <c r="SUS43" s="819"/>
      <c r="SUT43" s="819"/>
      <c r="SUU43" s="819"/>
      <c r="SUV43" s="819"/>
      <c r="SUW43" s="819"/>
      <c r="SUX43" s="819"/>
      <c r="SUY43" s="819"/>
      <c r="SUZ43" s="819"/>
      <c r="SVA43" s="819"/>
      <c r="SVB43" s="819"/>
      <c r="SVC43" s="819"/>
      <c r="SVD43" s="819"/>
      <c r="SVE43" s="819"/>
      <c r="SVF43" s="819"/>
      <c r="SVG43" s="819"/>
      <c r="SVH43" s="819"/>
      <c r="SVI43" s="819"/>
      <c r="SVJ43" s="819"/>
      <c r="SVK43" s="819"/>
      <c r="SVL43" s="819"/>
      <c r="SVM43" s="819"/>
      <c r="SVN43" s="819"/>
      <c r="SVO43" s="819"/>
      <c r="SVP43" s="819"/>
      <c r="SVQ43" s="819"/>
      <c r="SVR43" s="819"/>
      <c r="SVS43" s="819"/>
      <c r="SVT43" s="819"/>
      <c r="SVU43" s="819"/>
      <c r="SVV43" s="819"/>
      <c r="SVW43" s="819"/>
      <c r="SVX43" s="819"/>
      <c r="SVY43" s="819"/>
      <c r="SVZ43" s="819"/>
      <c r="SWA43" s="819"/>
      <c r="SWB43" s="819"/>
      <c r="SWC43" s="819"/>
      <c r="SWD43" s="819"/>
      <c r="SWE43" s="819"/>
      <c r="SWF43" s="819"/>
      <c r="SWG43" s="819"/>
      <c r="SWH43" s="819"/>
      <c r="SWI43" s="819"/>
      <c r="SWJ43" s="819"/>
      <c r="SWK43" s="819"/>
      <c r="SWL43" s="819"/>
      <c r="SWM43" s="819"/>
      <c r="SWN43" s="819"/>
      <c r="SWO43" s="819"/>
      <c r="SWP43" s="819"/>
      <c r="SWQ43" s="819"/>
      <c r="SWR43" s="819"/>
      <c r="SWS43" s="819"/>
      <c r="SWT43" s="819"/>
      <c r="SWU43" s="819"/>
      <c r="SWV43" s="819"/>
      <c r="SWW43" s="819"/>
      <c r="SWX43" s="819"/>
      <c r="SWY43" s="819"/>
      <c r="SWZ43" s="819"/>
      <c r="SXA43" s="819"/>
      <c r="SXB43" s="819"/>
      <c r="SXC43" s="819"/>
      <c r="SXD43" s="819"/>
      <c r="SXE43" s="819"/>
      <c r="SXF43" s="819"/>
      <c r="SXG43" s="819"/>
      <c r="SXH43" s="819"/>
      <c r="SXI43" s="819"/>
      <c r="SXJ43" s="819"/>
      <c r="SXK43" s="819"/>
      <c r="SXL43" s="819"/>
      <c r="SXM43" s="819"/>
      <c r="SXN43" s="819"/>
      <c r="SXO43" s="819"/>
      <c r="SXP43" s="819"/>
      <c r="SXQ43" s="819"/>
      <c r="SXR43" s="819"/>
      <c r="SXS43" s="819"/>
      <c r="SXT43" s="819"/>
      <c r="SXU43" s="819"/>
      <c r="SXV43" s="819"/>
      <c r="SXW43" s="819"/>
      <c r="SXX43" s="819"/>
      <c r="SXY43" s="819"/>
      <c r="SXZ43" s="819"/>
      <c r="SYA43" s="819"/>
      <c r="SYB43" s="819"/>
      <c r="SYC43" s="819"/>
      <c r="SYD43" s="819"/>
      <c r="SYE43" s="819"/>
      <c r="SYF43" s="819"/>
      <c r="SYG43" s="819"/>
      <c r="SYH43" s="819"/>
      <c r="SYI43" s="819"/>
      <c r="SYJ43" s="819"/>
      <c r="SYK43" s="819"/>
      <c r="SYL43" s="819"/>
      <c r="SYM43" s="819"/>
      <c r="SYN43" s="819"/>
      <c r="SYO43" s="819"/>
      <c r="SYP43" s="819"/>
      <c r="SYQ43" s="819"/>
      <c r="SYR43" s="819"/>
      <c r="SYS43" s="819"/>
      <c r="SYT43" s="819"/>
      <c r="SYU43" s="819"/>
      <c r="SYV43" s="819"/>
      <c r="SYW43" s="819"/>
      <c r="SYX43" s="819"/>
      <c r="SYY43" s="819"/>
      <c r="SYZ43" s="819"/>
      <c r="SZA43" s="819"/>
      <c r="SZB43" s="819"/>
      <c r="SZC43" s="819"/>
      <c r="SZD43" s="819"/>
      <c r="SZE43" s="819"/>
      <c r="SZF43" s="819"/>
      <c r="SZG43" s="819"/>
      <c r="SZH43" s="819"/>
      <c r="SZI43" s="819"/>
      <c r="SZJ43" s="819"/>
      <c r="SZK43" s="819"/>
      <c r="SZL43" s="819"/>
      <c r="SZM43" s="819"/>
      <c r="SZN43" s="819"/>
      <c r="SZO43" s="819"/>
      <c r="SZP43" s="819"/>
      <c r="SZQ43" s="819"/>
      <c r="SZR43" s="819"/>
      <c r="SZS43" s="819"/>
      <c r="SZT43" s="819"/>
      <c r="SZU43" s="819"/>
      <c r="SZV43" s="819"/>
      <c r="SZW43" s="819"/>
      <c r="SZX43" s="819"/>
      <c r="SZY43" s="819"/>
      <c r="SZZ43" s="819"/>
      <c r="TAA43" s="819"/>
      <c r="TAB43" s="819"/>
      <c r="TAC43" s="819"/>
      <c r="TAD43" s="819"/>
      <c r="TAE43" s="819"/>
      <c r="TAF43" s="819"/>
      <c r="TAG43" s="819"/>
      <c r="TAH43" s="819"/>
      <c r="TAI43" s="819"/>
      <c r="TAJ43" s="819"/>
      <c r="TAK43" s="819"/>
      <c r="TAL43" s="819"/>
      <c r="TAM43" s="819"/>
      <c r="TAN43" s="819"/>
      <c r="TAO43" s="819"/>
      <c r="TAP43" s="819"/>
      <c r="TAQ43" s="819"/>
      <c r="TAR43" s="819"/>
      <c r="TAS43" s="819"/>
      <c r="TAT43" s="819"/>
      <c r="TAU43" s="819"/>
      <c r="TAV43" s="819"/>
      <c r="TAW43" s="819"/>
      <c r="TAX43" s="819"/>
      <c r="TAY43" s="819"/>
      <c r="TAZ43" s="819"/>
      <c r="TBA43" s="819"/>
      <c r="TBB43" s="819"/>
      <c r="TBC43" s="819"/>
      <c r="TBD43" s="819"/>
      <c r="TBE43" s="819"/>
      <c r="TBF43" s="819"/>
      <c r="TBG43" s="819"/>
      <c r="TBH43" s="819"/>
      <c r="TBI43" s="819"/>
      <c r="TBJ43" s="819"/>
      <c r="TBK43" s="819"/>
      <c r="TBL43" s="819"/>
      <c r="TBM43" s="819"/>
      <c r="TBN43" s="819"/>
      <c r="TBO43" s="819"/>
      <c r="TBP43" s="819"/>
      <c r="TBQ43" s="819"/>
      <c r="TBR43" s="819"/>
      <c r="TBS43" s="819"/>
      <c r="TBT43" s="819"/>
      <c r="TBU43" s="819"/>
      <c r="TBV43" s="819"/>
      <c r="TBW43" s="819"/>
      <c r="TBX43" s="819"/>
      <c r="TBY43" s="819"/>
      <c r="TBZ43" s="819"/>
      <c r="TCA43" s="819"/>
      <c r="TCB43" s="819"/>
      <c r="TCC43" s="819"/>
      <c r="TCD43" s="819"/>
      <c r="TCE43" s="819"/>
      <c r="TCF43" s="819"/>
      <c r="TCG43" s="819"/>
      <c r="TCH43" s="819"/>
      <c r="TCI43" s="819"/>
      <c r="TCJ43" s="819"/>
      <c r="TCK43" s="819"/>
      <c r="TCL43" s="819"/>
      <c r="TCM43" s="819"/>
      <c r="TCN43" s="819"/>
      <c r="TCO43" s="819"/>
      <c r="TCP43" s="819"/>
      <c r="TCQ43" s="819"/>
      <c r="TCR43" s="819"/>
      <c r="TCS43" s="819"/>
      <c r="TCT43" s="819"/>
      <c r="TCU43" s="819"/>
      <c r="TCV43" s="819"/>
      <c r="TCW43" s="819"/>
      <c r="TCX43" s="819"/>
      <c r="TCY43" s="819"/>
      <c r="TCZ43" s="819"/>
      <c r="TDA43" s="819"/>
      <c r="TDB43" s="819"/>
      <c r="TDC43" s="819"/>
      <c r="TDD43" s="819"/>
      <c r="TDE43" s="819"/>
      <c r="TDF43" s="819"/>
      <c r="TDG43" s="819"/>
      <c r="TDH43" s="819"/>
      <c r="TDI43" s="819"/>
      <c r="TDJ43" s="819"/>
      <c r="TDK43" s="819"/>
      <c r="TDL43" s="819"/>
      <c r="TDM43" s="819"/>
      <c r="TDN43" s="819"/>
      <c r="TDO43" s="819"/>
      <c r="TDP43" s="819"/>
      <c r="TDQ43" s="819"/>
      <c r="TDR43" s="819"/>
      <c r="TDS43" s="819"/>
      <c r="TDT43" s="819"/>
      <c r="TDU43" s="819"/>
      <c r="TDV43" s="819"/>
      <c r="TDW43" s="819"/>
      <c r="TDX43" s="819"/>
      <c r="TDY43" s="819"/>
      <c r="TDZ43" s="819"/>
      <c r="TEA43" s="819"/>
      <c r="TEB43" s="819"/>
      <c r="TEC43" s="819"/>
      <c r="TED43" s="819"/>
      <c r="TEE43" s="819"/>
      <c r="TEF43" s="819"/>
      <c r="TEG43" s="819"/>
      <c r="TEH43" s="819"/>
      <c r="TEI43" s="819"/>
      <c r="TEJ43" s="819"/>
      <c r="TEK43" s="819"/>
      <c r="TEL43" s="819"/>
      <c r="TEM43" s="819"/>
      <c r="TEN43" s="819"/>
      <c r="TEO43" s="819"/>
      <c r="TEP43" s="819"/>
      <c r="TEQ43" s="819"/>
      <c r="TER43" s="819"/>
      <c r="TES43" s="819"/>
      <c r="TET43" s="819"/>
      <c r="TEU43" s="819"/>
      <c r="TEV43" s="819"/>
      <c r="TEW43" s="819"/>
      <c r="TEX43" s="819"/>
      <c r="TEY43" s="819"/>
      <c r="TEZ43" s="819"/>
      <c r="TFA43" s="819"/>
      <c r="TFB43" s="819"/>
      <c r="TFC43" s="819"/>
      <c r="TFD43" s="819"/>
      <c r="TFE43" s="819"/>
      <c r="TFF43" s="819"/>
      <c r="TFG43" s="819"/>
      <c r="TFH43" s="819"/>
      <c r="TFI43" s="819"/>
      <c r="TFJ43" s="819"/>
      <c r="TFK43" s="819"/>
      <c r="TFL43" s="819"/>
      <c r="TFM43" s="819"/>
      <c r="TFN43" s="819"/>
      <c r="TFO43" s="819"/>
      <c r="TFP43" s="819"/>
      <c r="TFQ43" s="819"/>
      <c r="TFR43" s="819"/>
      <c r="TFS43" s="819"/>
      <c r="TFT43" s="819"/>
      <c r="TFU43" s="819"/>
      <c r="TFV43" s="819"/>
      <c r="TFW43" s="819"/>
      <c r="TFX43" s="819"/>
      <c r="TFY43" s="819"/>
      <c r="TFZ43" s="819"/>
      <c r="TGA43" s="819"/>
      <c r="TGB43" s="819"/>
      <c r="TGC43" s="819"/>
      <c r="TGD43" s="819"/>
      <c r="TGE43" s="819"/>
      <c r="TGF43" s="819"/>
      <c r="TGG43" s="819"/>
      <c r="TGH43" s="819"/>
      <c r="TGI43" s="819"/>
      <c r="TGJ43" s="819"/>
      <c r="TGK43" s="819"/>
      <c r="TGL43" s="819"/>
      <c r="TGM43" s="819"/>
      <c r="TGN43" s="819"/>
      <c r="TGO43" s="819"/>
      <c r="TGP43" s="819"/>
      <c r="TGQ43" s="819"/>
      <c r="TGR43" s="819"/>
      <c r="TGS43" s="819"/>
      <c r="TGT43" s="819"/>
      <c r="TGU43" s="819"/>
      <c r="TGV43" s="819"/>
      <c r="TGW43" s="819"/>
      <c r="TGX43" s="819"/>
      <c r="TGY43" s="819"/>
      <c r="TGZ43" s="819"/>
      <c r="THA43" s="819"/>
      <c r="THB43" s="819"/>
      <c r="THC43" s="819"/>
      <c r="THD43" s="819"/>
      <c r="THE43" s="819"/>
      <c r="THF43" s="819"/>
      <c r="THG43" s="819"/>
      <c r="THH43" s="819"/>
      <c r="THI43" s="819"/>
      <c r="THJ43" s="819"/>
      <c r="THK43" s="819"/>
      <c r="THL43" s="819"/>
      <c r="THM43" s="819"/>
      <c r="THN43" s="819"/>
      <c r="THO43" s="819"/>
      <c r="THP43" s="819"/>
      <c r="THQ43" s="819"/>
      <c r="THR43" s="819"/>
      <c r="THS43" s="819"/>
      <c r="THT43" s="819"/>
      <c r="THU43" s="819"/>
      <c r="THV43" s="819"/>
      <c r="THW43" s="819"/>
      <c r="THX43" s="819"/>
      <c r="THY43" s="819"/>
      <c r="THZ43" s="819"/>
      <c r="TIA43" s="819"/>
      <c r="TIB43" s="819"/>
      <c r="TIC43" s="819"/>
      <c r="TID43" s="819"/>
      <c r="TIE43" s="819"/>
      <c r="TIF43" s="819"/>
      <c r="TIG43" s="819"/>
      <c r="TIH43" s="819"/>
      <c r="TII43" s="819"/>
      <c r="TIJ43" s="819"/>
      <c r="TIK43" s="819"/>
      <c r="TIL43" s="819"/>
      <c r="TIM43" s="819"/>
      <c r="TIN43" s="819"/>
      <c r="TIO43" s="819"/>
      <c r="TIP43" s="819"/>
      <c r="TIQ43" s="819"/>
      <c r="TIR43" s="819"/>
      <c r="TIS43" s="819"/>
      <c r="TIT43" s="819"/>
      <c r="TIU43" s="819"/>
      <c r="TIV43" s="819"/>
      <c r="TIW43" s="819"/>
      <c r="TIX43" s="819"/>
      <c r="TIY43" s="819"/>
      <c r="TIZ43" s="819"/>
      <c r="TJA43" s="819"/>
      <c r="TJB43" s="819"/>
      <c r="TJC43" s="819"/>
      <c r="TJD43" s="819"/>
      <c r="TJE43" s="819"/>
      <c r="TJF43" s="819"/>
      <c r="TJG43" s="819"/>
      <c r="TJH43" s="819"/>
      <c r="TJI43" s="819"/>
      <c r="TJJ43" s="819"/>
      <c r="TJK43" s="819"/>
      <c r="TJL43" s="819"/>
      <c r="TJM43" s="819"/>
      <c r="TJN43" s="819"/>
      <c r="TJO43" s="819"/>
      <c r="TJP43" s="819"/>
      <c r="TJQ43" s="819"/>
      <c r="TJR43" s="819"/>
      <c r="TJS43" s="819"/>
      <c r="TJT43" s="819"/>
      <c r="TJU43" s="819"/>
      <c r="TJV43" s="819"/>
      <c r="TJW43" s="819"/>
      <c r="TJX43" s="819"/>
      <c r="TJY43" s="819"/>
      <c r="TJZ43" s="819"/>
      <c r="TKA43" s="819"/>
      <c r="TKB43" s="819"/>
      <c r="TKC43" s="819"/>
      <c r="TKD43" s="819"/>
      <c r="TKE43" s="819"/>
      <c r="TKF43" s="819"/>
      <c r="TKG43" s="819"/>
      <c r="TKH43" s="819"/>
      <c r="TKI43" s="819"/>
      <c r="TKJ43" s="819"/>
      <c r="TKK43" s="819"/>
      <c r="TKL43" s="819"/>
      <c r="TKM43" s="819"/>
      <c r="TKN43" s="819"/>
      <c r="TKO43" s="819"/>
      <c r="TKP43" s="819"/>
      <c r="TKQ43" s="819"/>
      <c r="TKR43" s="819"/>
      <c r="TKS43" s="819"/>
      <c r="TKT43" s="819"/>
      <c r="TKU43" s="819"/>
      <c r="TKV43" s="819"/>
      <c r="TKW43" s="819"/>
      <c r="TKX43" s="819"/>
      <c r="TKY43" s="819"/>
      <c r="TKZ43" s="819"/>
      <c r="TLA43" s="819"/>
      <c r="TLB43" s="819"/>
      <c r="TLC43" s="819"/>
      <c r="TLD43" s="819"/>
      <c r="TLE43" s="819"/>
      <c r="TLF43" s="819"/>
      <c r="TLG43" s="819"/>
      <c r="TLH43" s="819"/>
      <c r="TLI43" s="819"/>
      <c r="TLJ43" s="819"/>
      <c r="TLK43" s="819"/>
      <c r="TLL43" s="819"/>
      <c r="TLM43" s="819"/>
      <c r="TLN43" s="819"/>
      <c r="TLO43" s="819"/>
      <c r="TLP43" s="819"/>
      <c r="TLQ43" s="819"/>
      <c r="TLR43" s="819"/>
      <c r="TLS43" s="819"/>
      <c r="TLT43" s="819"/>
      <c r="TLU43" s="819"/>
      <c r="TLV43" s="819"/>
      <c r="TLW43" s="819"/>
      <c r="TLX43" s="819"/>
      <c r="TLY43" s="819"/>
      <c r="TLZ43" s="819"/>
      <c r="TMA43" s="819"/>
      <c r="TMB43" s="819"/>
      <c r="TMC43" s="819"/>
      <c r="TMD43" s="819"/>
      <c r="TME43" s="819"/>
      <c r="TMF43" s="819"/>
      <c r="TMG43" s="819"/>
      <c r="TMH43" s="819"/>
      <c r="TMI43" s="819"/>
      <c r="TMJ43" s="819"/>
      <c r="TMK43" s="819"/>
      <c r="TML43" s="819"/>
      <c r="TMM43" s="819"/>
      <c r="TMN43" s="819"/>
      <c r="TMO43" s="819"/>
      <c r="TMP43" s="819"/>
      <c r="TMQ43" s="819"/>
      <c r="TMR43" s="819"/>
      <c r="TMS43" s="819"/>
      <c r="TMT43" s="819"/>
      <c r="TMU43" s="819"/>
      <c r="TMV43" s="819"/>
      <c r="TMW43" s="819"/>
      <c r="TMX43" s="819"/>
      <c r="TMY43" s="819"/>
      <c r="TMZ43" s="819"/>
      <c r="TNA43" s="819"/>
      <c r="TNB43" s="819"/>
      <c r="TNC43" s="819"/>
      <c r="TND43" s="819"/>
      <c r="TNE43" s="819"/>
      <c r="TNF43" s="819"/>
      <c r="TNG43" s="819"/>
      <c r="TNH43" s="819"/>
      <c r="TNI43" s="819"/>
      <c r="TNJ43" s="819"/>
      <c r="TNK43" s="819"/>
      <c r="TNL43" s="819"/>
      <c r="TNM43" s="819"/>
      <c r="TNN43" s="819"/>
      <c r="TNO43" s="819"/>
      <c r="TNP43" s="819"/>
      <c r="TNQ43" s="819"/>
      <c r="TNR43" s="819"/>
      <c r="TNS43" s="819"/>
      <c r="TNT43" s="819"/>
      <c r="TNU43" s="819"/>
      <c r="TNV43" s="819"/>
      <c r="TNW43" s="819"/>
      <c r="TNX43" s="819"/>
      <c r="TNY43" s="819"/>
      <c r="TNZ43" s="819"/>
      <c r="TOA43" s="819"/>
      <c r="TOB43" s="819"/>
      <c r="TOC43" s="819"/>
      <c r="TOD43" s="819"/>
      <c r="TOE43" s="819"/>
      <c r="TOF43" s="819"/>
      <c r="TOG43" s="819"/>
      <c r="TOH43" s="819"/>
      <c r="TOI43" s="819"/>
      <c r="TOJ43" s="819"/>
      <c r="TOK43" s="819"/>
      <c r="TOL43" s="819"/>
      <c r="TOM43" s="819"/>
      <c r="TON43" s="819"/>
      <c r="TOO43" s="819"/>
      <c r="TOP43" s="819"/>
      <c r="TOQ43" s="819"/>
      <c r="TOR43" s="819"/>
      <c r="TOS43" s="819"/>
      <c r="TOT43" s="819"/>
      <c r="TOU43" s="819"/>
      <c r="TOV43" s="819"/>
      <c r="TOW43" s="819"/>
      <c r="TOX43" s="819"/>
      <c r="TOY43" s="819"/>
      <c r="TOZ43" s="819"/>
      <c r="TPA43" s="819"/>
      <c r="TPB43" s="819"/>
      <c r="TPC43" s="819"/>
      <c r="TPD43" s="819"/>
      <c r="TPE43" s="819"/>
      <c r="TPF43" s="819"/>
      <c r="TPG43" s="819"/>
      <c r="TPH43" s="819"/>
      <c r="TPI43" s="819"/>
      <c r="TPJ43" s="819"/>
      <c r="TPK43" s="819"/>
      <c r="TPL43" s="819"/>
      <c r="TPM43" s="819"/>
      <c r="TPN43" s="819"/>
      <c r="TPO43" s="819"/>
      <c r="TPP43" s="819"/>
      <c r="TPQ43" s="819"/>
      <c r="TPR43" s="819"/>
      <c r="TPS43" s="819"/>
      <c r="TPT43" s="819"/>
      <c r="TPU43" s="819"/>
      <c r="TPV43" s="819"/>
      <c r="TPW43" s="819"/>
      <c r="TPX43" s="819"/>
      <c r="TPY43" s="819"/>
      <c r="TPZ43" s="819"/>
      <c r="TQA43" s="819"/>
      <c r="TQB43" s="819"/>
      <c r="TQC43" s="819"/>
      <c r="TQD43" s="819"/>
      <c r="TQE43" s="819"/>
      <c r="TQF43" s="819"/>
      <c r="TQG43" s="819"/>
      <c r="TQH43" s="819"/>
      <c r="TQI43" s="819"/>
      <c r="TQJ43" s="819"/>
      <c r="TQK43" s="819"/>
      <c r="TQL43" s="819"/>
      <c r="TQM43" s="819"/>
      <c r="TQN43" s="819"/>
      <c r="TQO43" s="819"/>
      <c r="TQP43" s="819"/>
      <c r="TQQ43" s="819"/>
      <c r="TQR43" s="819"/>
      <c r="TQS43" s="819"/>
      <c r="TQT43" s="819"/>
      <c r="TQU43" s="819"/>
      <c r="TQV43" s="819"/>
      <c r="TQW43" s="819"/>
      <c r="TQX43" s="819"/>
      <c r="TQY43" s="819"/>
      <c r="TQZ43" s="819"/>
      <c r="TRA43" s="819"/>
      <c r="TRB43" s="819"/>
      <c r="TRC43" s="819"/>
      <c r="TRD43" s="819"/>
      <c r="TRE43" s="819"/>
      <c r="TRF43" s="819"/>
      <c r="TRG43" s="819"/>
      <c r="TRH43" s="819"/>
      <c r="TRI43" s="819"/>
      <c r="TRJ43" s="819"/>
      <c r="TRK43" s="819"/>
      <c r="TRL43" s="819"/>
      <c r="TRM43" s="819"/>
      <c r="TRN43" s="819"/>
      <c r="TRO43" s="819"/>
      <c r="TRP43" s="819"/>
      <c r="TRQ43" s="819"/>
      <c r="TRR43" s="819"/>
      <c r="TRS43" s="819"/>
      <c r="TRT43" s="819"/>
      <c r="TRU43" s="819"/>
      <c r="TRV43" s="819"/>
      <c r="TRW43" s="819"/>
      <c r="TRX43" s="819"/>
      <c r="TRY43" s="819"/>
      <c r="TRZ43" s="819"/>
      <c r="TSA43" s="819"/>
      <c r="TSB43" s="819"/>
      <c r="TSC43" s="819"/>
      <c r="TSD43" s="819"/>
      <c r="TSE43" s="819"/>
      <c r="TSF43" s="819"/>
      <c r="TSG43" s="819"/>
      <c r="TSH43" s="819"/>
      <c r="TSI43" s="819"/>
      <c r="TSJ43" s="819"/>
      <c r="TSK43" s="819"/>
      <c r="TSL43" s="819"/>
      <c r="TSM43" s="819"/>
      <c r="TSN43" s="819"/>
      <c r="TSO43" s="819"/>
      <c r="TSP43" s="819"/>
      <c r="TSQ43" s="819"/>
      <c r="TSR43" s="819"/>
      <c r="TSS43" s="819"/>
      <c r="TST43" s="819"/>
      <c r="TSU43" s="819"/>
      <c r="TSV43" s="819"/>
      <c r="TSW43" s="819"/>
      <c r="TSX43" s="819"/>
      <c r="TSY43" s="819"/>
      <c r="TSZ43" s="819"/>
      <c r="TTA43" s="819"/>
      <c r="TTB43" s="819"/>
      <c r="TTC43" s="819"/>
      <c r="TTD43" s="819"/>
      <c r="TTE43" s="819"/>
      <c r="TTF43" s="819"/>
      <c r="TTG43" s="819"/>
      <c r="TTH43" s="819"/>
      <c r="TTI43" s="819"/>
      <c r="TTJ43" s="819"/>
      <c r="TTK43" s="819"/>
      <c r="TTL43" s="819"/>
      <c r="TTM43" s="819"/>
      <c r="TTN43" s="819"/>
      <c r="TTO43" s="819"/>
      <c r="TTP43" s="819"/>
      <c r="TTQ43" s="819"/>
      <c r="TTR43" s="819"/>
      <c r="TTS43" s="819"/>
      <c r="TTT43" s="819"/>
      <c r="TTU43" s="819"/>
      <c r="TTV43" s="819"/>
      <c r="TTW43" s="819"/>
      <c r="TTX43" s="819"/>
      <c r="TTY43" s="819"/>
      <c r="TTZ43" s="819"/>
      <c r="TUA43" s="819"/>
      <c r="TUB43" s="819"/>
      <c r="TUC43" s="819"/>
      <c r="TUD43" s="819"/>
      <c r="TUE43" s="819"/>
      <c r="TUF43" s="819"/>
      <c r="TUG43" s="819"/>
      <c r="TUH43" s="819"/>
      <c r="TUI43" s="819"/>
      <c r="TUJ43" s="819"/>
      <c r="TUK43" s="819"/>
      <c r="TUL43" s="819"/>
      <c r="TUM43" s="819"/>
      <c r="TUN43" s="819"/>
      <c r="TUO43" s="819"/>
      <c r="TUP43" s="819"/>
      <c r="TUQ43" s="819"/>
      <c r="TUR43" s="819"/>
      <c r="TUS43" s="819"/>
      <c r="TUT43" s="819"/>
      <c r="TUU43" s="819"/>
      <c r="TUV43" s="819"/>
      <c r="TUW43" s="819"/>
      <c r="TUX43" s="819"/>
      <c r="TUY43" s="819"/>
      <c r="TUZ43" s="819"/>
      <c r="TVA43" s="819"/>
      <c r="TVB43" s="819"/>
      <c r="TVC43" s="819"/>
      <c r="TVD43" s="819"/>
      <c r="TVE43" s="819"/>
      <c r="TVF43" s="819"/>
      <c r="TVG43" s="819"/>
      <c r="TVH43" s="819"/>
      <c r="TVI43" s="819"/>
      <c r="TVJ43" s="819"/>
      <c r="TVK43" s="819"/>
      <c r="TVL43" s="819"/>
      <c r="TVM43" s="819"/>
      <c r="TVN43" s="819"/>
      <c r="TVO43" s="819"/>
      <c r="TVP43" s="819"/>
      <c r="TVQ43" s="819"/>
      <c r="TVR43" s="819"/>
      <c r="TVS43" s="819"/>
      <c r="TVT43" s="819"/>
      <c r="TVU43" s="819"/>
      <c r="TVV43" s="819"/>
      <c r="TVW43" s="819"/>
      <c r="TVX43" s="819"/>
      <c r="TVY43" s="819"/>
      <c r="TVZ43" s="819"/>
      <c r="TWA43" s="819"/>
      <c r="TWB43" s="819"/>
      <c r="TWC43" s="819"/>
      <c r="TWD43" s="819"/>
      <c r="TWE43" s="819"/>
      <c r="TWF43" s="819"/>
      <c r="TWG43" s="819"/>
      <c r="TWH43" s="819"/>
      <c r="TWI43" s="819"/>
      <c r="TWJ43" s="819"/>
      <c r="TWK43" s="819"/>
      <c r="TWL43" s="819"/>
      <c r="TWM43" s="819"/>
      <c r="TWN43" s="819"/>
      <c r="TWO43" s="819"/>
      <c r="TWP43" s="819"/>
      <c r="TWQ43" s="819"/>
      <c r="TWR43" s="819"/>
      <c r="TWS43" s="819"/>
      <c r="TWT43" s="819"/>
      <c r="TWU43" s="819"/>
      <c r="TWV43" s="819"/>
      <c r="TWW43" s="819"/>
      <c r="TWX43" s="819"/>
      <c r="TWY43" s="819"/>
      <c r="TWZ43" s="819"/>
      <c r="TXA43" s="819"/>
      <c r="TXB43" s="819"/>
      <c r="TXC43" s="819"/>
      <c r="TXD43" s="819"/>
      <c r="TXE43" s="819"/>
      <c r="TXF43" s="819"/>
      <c r="TXG43" s="819"/>
      <c r="TXH43" s="819"/>
      <c r="TXI43" s="819"/>
      <c r="TXJ43" s="819"/>
      <c r="TXK43" s="819"/>
      <c r="TXL43" s="819"/>
      <c r="TXM43" s="819"/>
      <c r="TXN43" s="819"/>
      <c r="TXO43" s="819"/>
      <c r="TXP43" s="819"/>
      <c r="TXQ43" s="819"/>
      <c r="TXR43" s="819"/>
      <c r="TXS43" s="819"/>
      <c r="TXT43" s="819"/>
      <c r="TXU43" s="819"/>
      <c r="TXV43" s="819"/>
      <c r="TXW43" s="819"/>
      <c r="TXX43" s="819"/>
      <c r="TXY43" s="819"/>
      <c r="TXZ43" s="819"/>
      <c r="TYA43" s="819"/>
      <c r="TYB43" s="819"/>
      <c r="TYC43" s="819"/>
      <c r="TYD43" s="819"/>
      <c r="TYE43" s="819"/>
      <c r="TYF43" s="819"/>
      <c r="TYG43" s="819"/>
      <c r="TYH43" s="819"/>
      <c r="TYI43" s="819"/>
      <c r="TYJ43" s="819"/>
      <c r="TYK43" s="819"/>
      <c r="TYL43" s="819"/>
      <c r="TYM43" s="819"/>
      <c r="TYN43" s="819"/>
      <c r="TYO43" s="819"/>
      <c r="TYP43" s="819"/>
      <c r="TYQ43" s="819"/>
      <c r="TYR43" s="819"/>
      <c r="TYS43" s="819"/>
      <c r="TYT43" s="819"/>
      <c r="TYU43" s="819"/>
      <c r="TYV43" s="819"/>
      <c r="TYW43" s="819"/>
      <c r="TYX43" s="819"/>
      <c r="TYY43" s="819"/>
      <c r="TYZ43" s="819"/>
      <c r="TZA43" s="819"/>
      <c r="TZB43" s="819"/>
      <c r="TZC43" s="819"/>
      <c r="TZD43" s="819"/>
      <c r="TZE43" s="819"/>
      <c r="TZF43" s="819"/>
      <c r="TZG43" s="819"/>
      <c r="TZH43" s="819"/>
      <c r="TZI43" s="819"/>
      <c r="TZJ43" s="819"/>
      <c r="TZK43" s="819"/>
      <c r="TZL43" s="819"/>
      <c r="TZM43" s="819"/>
      <c r="TZN43" s="819"/>
      <c r="TZO43" s="819"/>
      <c r="TZP43" s="819"/>
      <c r="TZQ43" s="819"/>
      <c r="TZR43" s="819"/>
      <c r="TZS43" s="819"/>
      <c r="TZT43" s="819"/>
      <c r="TZU43" s="819"/>
      <c r="TZV43" s="819"/>
      <c r="TZW43" s="819"/>
      <c r="TZX43" s="819"/>
      <c r="TZY43" s="819"/>
      <c r="TZZ43" s="819"/>
      <c r="UAA43" s="819"/>
      <c r="UAB43" s="819"/>
      <c r="UAC43" s="819"/>
      <c r="UAD43" s="819"/>
      <c r="UAE43" s="819"/>
      <c r="UAF43" s="819"/>
      <c r="UAG43" s="819"/>
      <c r="UAH43" s="819"/>
      <c r="UAI43" s="819"/>
      <c r="UAJ43" s="819"/>
      <c r="UAK43" s="819"/>
      <c r="UAL43" s="819"/>
      <c r="UAM43" s="819"/>
      <c r="UAN43" s="819"/>
      <c r="UAO43" s="819"/>
      <c r="UAP43" s="819"/>
      <c r="UAQ43" s="819"/>
      <c r="UAR43" s="819"/>
      <c r="UAS43" s="819"/>
      <c r="UAT43" s="819"/>
      <c r="UAU43" s="819"/>
      <c r="UAV43" s="819"/>
      <c r="UAW43" s="819"/>
      <c r="UAX43" s="819"/>
      <c r="UAY43" s="819"/>
      <c r="UAZ43" s="819"/>
      <c r="UBA43" s="819"/>
      <c r="UBB43" s="819"/>
      <c r="UBC43" s="819"/>
      <c r="UBD43" s="819"/>
      <c r="UBE43" s="819"/>
      <c r="UBF43" s="819"/>
      <c r="UBG43" s="819"/>
      <c r="UBH43" s="819"/>
      <c r="UBI43" s="819"/>
      <c r="UBJ43" s="819"/>
      <c r="UBK43" s="819"/>
      <c r="UBL43" s="819"/>
      <c r="UBM43" s="819"/>
      <c r="UBN43" s="819"/>
      <c r="UBO43" s="819"/>
      <c r="UBP43" s="819"/>
      <c r="UBQ43" s="819"/>
      <c r="UBR43" s="819"/>
      <c r="UBS43" s="819"/>
      <c r="UBT43" s="819"/>
      <c r="UBU43" s="819"/>
      <c r="UBV43" s="819"/>
      <c r="UBW43" s="819"/>
      <c r="UBX43" s="819"/>
      <c r="UBY43" s="819"/>
      <c r="UBZ43" s="819"/>
      <c r="UCA43" s="819"/>
      <c r="UCB43" s="819"/>
      <c r="UCC43" s="819"/>
      <c r="UCD43" s="819"/>
      <c r="UCE43" s="819"/>
      <c r="UCF43" s="819"/>
      <c r="UCG43" s="819"/>
      <c r="UCH43" s="819"/>
      <c r="UCI43" s="819"/>
      <c r="UCJ43" s="819"/>
      <c r="UCK43" s="819"/>
      <c r="UCL43" s="819"/>
      <c r="UCM43" s="819"/>
      <c r="UCN43" s="819"/>
      <c r="UCO43" s="819"/>
      <c r="UCP43" s="819"/>
      <c r="UCQ43" s="819"/>
      <c r="UCR43" s="819"/>
      <c r="UCS43" s="819"/>
      <c r="UCT43" s="819"/>
      <c r="UCU43" s="819"/>
      <c r="UCV43" s="819"/>
      <c r="UCW43" s="819"/>
      <c r="UCX43" s="819"/>
      <c r="UCY43" s="819"/>
      <c r="UCZ43" s="819"/>
      <c r="UDA43" s="819"/>
      <c r="UDB43" s="819"/>
      <c r="UDC43" s="819"/>
      <c r="UDD43" s="819"/>
      <c r="UDE43" s="819"/>
      <c r="UDF43" s="819"/>
      <c r="UDG43" s="819"/>
      <c r="UDH43" s="819"/>
      <c r="UDI43" s="819"/>
      <c r="UDJ43" s="819"/>
      <c r="UDK43" s="819"/>
      <c r="UDL43" s="819"/>
      <c r="UDM43" s="819"/>
      <c r="UDN43" s="819"/>
      <c r="UDO43" s="819"/>
      <c r="UDP43" s="819"/>
      <c r="UDQ43" s="819"/>
      <c r="UDR43" s="819"/>
      <c r="UDS43" s="819"/>
      <c r="UDT43" s="819"/>
      <c r="UDU43" s="819"/>
      <c r="UDV43" s="819"/>
      <c r="UDW43" s="819"/>
      <c r="UDX43" s="819"/>
      <c r="UDY43" s="819"/>
      <c r="UDZ43" s="819"/>
      <c r="UEA43" s="819"/>
      <c r="UEB43" s="819"/>
      <c r="UEC43" s="819"/>
      <c r="UED43" s="819"/>
      <c r="UEE43" s="819"/>
      <c r="UEF43" s="819"/>
      <c r="UEG43" s="819"/>
      <c r="UEH43" s="819"/>
      <c r="UEI43" s="819"/>
      <c r="UEJ43" s="819"/>
      <c r="UEK43" s="819"/>
      <c r="UEL43" s="819"/>
      <c r="UEM43" s="819"/>
      <c r="UEN43" s="819"/>
      <c r="UEO43" s="819"/>
      <c r="UEP43" s="819"/>
      <c r="UEQ43" s="819"/>
      <c r="UER43" s="819"/>
      <c r="UES43" s="819"/>
      <c r="UET43" s="819"/>
      <c r="UEU43" s="819"/>
      <c r="UEV43" s="819"/>
      <c r="UEW43" s="819"/>
      <c r="UEX43" s="819"/>
      <c r="UEY43" s="819"/>
      <c r="UEZ43" s="819"/>
      <c r="UFA43" s="819"/>
      <c r="UFB43" s="819"/>
      <c r="UFC43" s="819"/>
      <c r="UFD43" s="819"/>
      <c r="UFE43" s="819"/>
      <c r="UFF43" s="819"/>
      <c r="UFG43" s="819"/>
      <c r="UFH43" s="819"/>
      <c r="UFI43" s="819"/>
      <c r="UFJ43" s="819"/>
      <c r="UFK43" s="819"/>
      <c r="UFL43" s="819"/>
      <c r="UFM43" s="819"/>
      <c r="UFN43" s="819"/>
      <c r="UFO43" s="819"/>
      <c r="UFP43" s="819"/>
      <c r="UFQ43" s="819"/>
      <c r="UFR43" s="819"/>
      <c r="UFS43" s="819"/>
      <c r="UFT43" s="819"/>
      <c r="UFU43" s="819"/>
      <c r="UFV43" s="819"/>
      <c r="UFW43" s="819"/>
      <c r="UFX43" s="819"/>
      <c r="UFY43" s="819"/>
      <c r="UFZ43" s="819"/>
      <c r="UGA43" s="819"/>
      <c r="UGB43" s="819"/>
      <c r="UGC43" s="819"/>
      <c r="UGD43" s="819"/>
      <c r="UGE43" s="819"/>
      <c r="UGF43" s="819"/>
      <c r="UGG43" s="819"/>
      <c r="UGH43" s="819"/>
      <c r="UGI43" s="819"/>
      <c r="UGJ43" s="819"/>
      <c r="UGK43" s="819"/>
      <c r="UGL43" s="819"/>
      <c r="UGM43" s="819"/>
      <c r="UGN43" s="819"/>
      <c r="UGO43" s="819"/>
      <c r="UGP43" s="819"/>
      <c r="UGQ43" s="819"/>
      <c r="UGR43" s="819"/>
      <c r="UGS43" s="819"/>
      <c r="UGT43" s="819"/>
      <c r="UGU43" s="819"/>
      <c r="UGV43" s="819"/>
      <c r="UGW43" s="819"/>
      <c r="UGX43" s="819"/>
      <c r="UGY43" s="819"/>
      <c r="UGZ43" s="819"/>
      <c r="UHA43" s="819"/>
      <c r="UHB43" s="819"/>
      <c r="UHC43" s="819"/>
      <c r="UHD43" s="819"/>
      <c r="UHE43" s="819"/>
      <c r="UHF43" s="819"/>
      <c r="UHG43" s="819"/>
      <c r="UHH43" s="819"/>
      <c r="UHI43" s="819"/>
      <c r="UHJ43" s="819"/>
      <c r="UHK43" s="819"/>
      <c r="UHL43" s="819"/>
      <c r="UHM43" s="819"/>
      <c r="UHN43" s="819"/>
      <c r="UHO43" s="819"/>
      <c r="UHP43" s="819"/>
      <c r="UHQ43" s="819"/>
      <c r="UHR43" s="819"/>
      <c r="UHS43" s="819"/>
      <c r="UHT43" s="819"/>
      <c r="UHU43" s="819"/>
      <c r="UHV43" s="819"/>
      <c r="UHW43" s="819"/>
      <c r="UHX43" s="819"/>
      <c r="UHY43" s="819"/>
      <c r="UHZ43" s="819"/>
      <c r="UIA43" s="819"/>
      <c r="UIB43" s="819"/>
      <c r="UIC43" s="819"/>
      <c r="UID43" s="819"/>
      <c r="UIE43" s="819"/>
      <c r="UIF43" s="819"/>
      <c r="UIG43" s="819"/>
      <c r="UIH43" s="819"/>
      <c r="UII43" s="819"/>
      <c r="UIJ43" s="819"/>
      <c r="UIK43" s="819"/>
      <c r="UIL43" s="819"/>
      <c r="UIM43" s="819"/>
      <c r="UIN43" s="819"/>
      <c r="UIO43" s="819"/>
      <c r="UIP43" s="819"/>
      <c r="UIQ43" s="819"/>
      <c r="UIR43" s="819"/>
      <c r="UIS43" s="819"/>
      <c r="UIT43" s="819"/>
      <c r="UIU43" s="819"/>
      <c r="UIV43" s="819"/>
      <c r="UIW43" s="819"/>
      <c r="UIX43" s="819"/>
      <c r="UIY43" s="819"/>
      <c r="UIZ43" s="819"/>
      <c r="UJA43" s="819"/>
      <c r="UJB43" s="819"/>
      <c r="UJC43" s="819"/>
      <c r="UJD43" s="819"/>
      <c r="UJE43" s="819"/>
      <c r="UJF43" s="819"/>
      <c r="UJG43" s="819"/>
      <c r="UJH43" s="819"/>
      <c r="UJI43" s="819"/>
      <c r="UJJ43" s="819"/>
      <c r="UJK43" s="819"/>
      <c r="UJL43" s="819"/>
      <c r="UJM43" s="819"/>
      <c r="UJN43" s="819"/>
      <c r="UJO43" s="819"/>
      <c r="UJP43" s="819"/>
      <c r="UJQ43" s="819"/>
      <c r="UJR43" s="819"/>
      <c r="UJS43" s="819"/>
      <c r="UJT43" s="819"/>
      <c r="UJU43" s="819"/>
      <c r="UJV43" s="819"/>
      <c r="UJW43" s="819"/>
      <c r="UJX43" s="819"/>
      <c r="UJY43" s="819"/>
      <c r="UJZ43" s="819"/>
      <c r="UKA43" s="819"/>
      <c r="UKB43" s="819"/>
      <c r="UKC43" s="819"/>
      <c r="UKD43" s="819"/>
      <c r="UKE43" s="819"/>
      <c r="UKF43" s="819"/>
      <c r="UKG43" s="819"/>
      <c r="UKH43" s="819"/>
      <c r="UKI43" s="819"/>
      <c r="UKJ43" s="819"/>
      <c r="UKK43" s="819"/>
      <c r="UKL43" s="819"/>
      <c r="UKM43" s="819"/>
      <c r="UKN43" s="819"/>
      <c r="UKO43" s="819"/>
      <c r="UKP43" s="819"/>
      <c r="UKQ43" s="819"/>
      <c r="UKR43" s="819"/>
      <c r="UKS43" s="819"/>
      <c r="UKT43" s="819"/>
      <c r="UKU43" s="819"/>
      <c r="UKV43" s="819"/>
      <c r="UKW43" s="819"/>
      <c r="UKX43" s="819"/>
      <c r="UKY43" s="819"/>
      <c r="UKZ43" s="819"/>
      <c r="ULA43" s="819"/>
      <c r="ULB43" s="819"/>
      <c r="ULC43" s="819"/>
      <c r="ULD43" s="819"/>
      <c r="ULE43" s="819"/>
      <c r="ULF43" s="819"/>
      <c r="ULG43" s="819"/>
      <c r="ULH43" s="819"/>
      <c r="ULI43" s="819"/>
      <c r="ULJ43" s="819"/>
      <c r="ULK43" s="819"/>
      <c r="ULL43" s="819"/>
      <c r="ULM43" s="819"/>
      <c r="ULN43" s="819"/>
      <c r="ULO43" s="819"/>
      <c r="ULP43" s="819"/>
      <c r="ULQ43" s="819"/>
      <c r="ULR43" s="819"/>
      <c r="ULS43" s="819"/>
      <c r="ULT43" s="819"/>
      <c r="ULU43" s="819"/>
      <c r="ULV43" s="819"/>
      <c r="ULW43" s="819"/>
      <c r="ULX43" s="819"/>
      <c r="ULY43" s="819"/>
      <c r="ULZ43" s="819"/>
      <c r="UMA43" s="819"/>
      <c r="UMB43" s="819"/>
      <c r="UMC43" s="819"/>
      <c r="UMD43" s="819"/>
      <c r="UME43" s="819"/>
      <c r="UMF43" s="819"/>
      <c r="UMG43" s="819"/>
      <c r="UMH43" s="819"/>
      <c r="UMI43" s="819"/>
      <c r="UMJ43" s="819"/>
      <c r="UMK43" s="819"/>
      <c r="UML43" s="819"/>
      <c r="UMM43" s="819"/>
      <c r="UMN43" s="819"/>
      <c r="UMO43" s="819"/>
      <c r="UMP43" s="819"/>
      <c r="UMQ43" s="819"/>
      <c r="UMR43" s="819"/>
      <c r="UMS43" s="819"/>
      <c r="UMT43" s="819"/>
      <c r="UMU43" s="819"/>
      <c r="UMV43" s="819"/>
      <c r="UMW43" s="819"/>
      <c r="UMX43" s="819"/>
      <c r="UMY43" s="819"/>
      <c r="UMZ43" s="819"/>
      <c r="UNA43" s="819"/>
      <c r="UNB43" s="819"/>
      <c r="UNC43" s="819"/>
      <c r="UND43" s="819"/>
      <c r="UNE43" s="819"/>
      <c r="UNF43" s="819"/>
      <c r="UNG43" s="819"/>
      <c r="UNH43" s="819"/>
      <c r="UNI43" s="819"/>
      <c r="UNJ43" s="819"/>
      <c r="UNK43" s="819"/>
      <c r="UNL43" s="819"/>
      <c r="UNM43" s="819"/>
      <c r="UNN43" s="819"/>
      <c r="UNO43" s="819"/>
      <c r="UNP43" s="819"/>
      <c r="UNQ43" s="819"/>
      <c r="UNR43" s="819"/>
      <c r="UNS43" s="819"/>
      <c r="UNT43" s="819"/>
      <c r="UNU43" s="819"/>
      <c r="UNV43" s="819"/>
      <c r="UNW43" s="819"/>
      <c r="UNX43" s="819"/>
      <c r="UNY43" s="819"/>
      <c r="UNZ43" s="819"/>
      <c r="UOA43" s="819"/>
      <c r="UOB43" s="819"/>
      <c r="UOC43" s="819"/>
      <c r="UOD43" s="819"/>
      <c r="UOE43" s="819"/>
      <c r="UOF43" s="819"/>
      <c r="UOG43" s="819"/>
      <c r="UOH43" s="819"/>
      <c r="UOI43" s="819"/>
      <c r="UOJ43" s="819"/>
      <c r="UOK43" s="819"/>
      <c r="UOL43" s="819"/>
      <c r="UOM43" s="819"/>
      <c r="UON43" s="819"/>
      <c r="UOO43" s="819"/>
      <c r="UOP43" s="819"/>
      <c r="UOQ43" s="819"/>
      <c r="UOR43" s="819"/>
      <c r="UOS43" s="819"/>
      <c r="UOT43" s="819"/>
      <c r="UOU43" s="819"/>
      <c r="UOV43" s="819"/>
      <c r="UOW43" s="819"/>
      <c r="UOX43" s="819"/>
      <c r="UOY43" s="819"/>
      <c r="UOZ43" s="819"/>
      <c r="UPA43" s="819"/>
      <c r="UPB43" s="819"/>
      <c r="UPC43" s="819"/>
      <c r="UPD43" s="819"/>
      <c r="UPE43" s="819"/>
      <c r="UPF43" s="819"/>
      <c r="UPG43" s="819"/>
      <c r="UPH43" s="819"/>
      <c r="UPI43" s="819"/>
      <c r="UPJ43" s="819"/>
      <c r="UPK43" s="819"/>
      <c r="UPL43" s="819"/>
      <c r="UPM43" s="819"/>
      <c r="UPN43" s="819"/>
      <c r="UPO43" s="819"/>
      <c r="UPP43" s="819"/>
      <c r="UPQ43" s="819"/>
      <c r="UPR43" s="819"/>
      <c r="UPS43" s="819"/>
      <c r="UPT43" s="819"/>
      <c r="UPU43" s="819"/>
      <c r="UPV43" s="819"/>
      <c r="UPW43" s="819"/>
      <c r="UPX43" s="819"/>
      <c r="UPY43" s="819"/>
      <c r="UPZ43" s="819"/>
      <c r="UQA43" s="819"/>
      <c r="UQB43" s="819"/>
      <c r="UQC43" s="819"/>
      <c r="UQD43" s="819"/>
      <c r="UQE43" s="819"/>
      <c r="UQF43" s="819"/>
      <c r="UQG43" s="819"/>
      <c r="UQH43" s="819"/>
      <c r="UQI43" s="819"/>
      <c r="UQJ43" s="819"/>
      <c r="UQK43" s="819"/>
      <c r="UQL43" s="819"/>
      <c r="UQM43" s="819"/>
      <c r="UQN43" s="819"/>
      <c r="UQO43" s="819"/>
      <c r="UQP43" s="819"/>
      <c r="UQQ43" s="819"/>
      <c r="UQR43" s="819"/>
      <c r="UQS43" s="819"/>
      <c r="UQT43" s="819"/>
      <c r="UQU43" s="819"/>
      <c r="UQV43" s="819"/>
      <c r="UQW43" s="819"/>
      <c r="UQX43" s="819"/>
      <c r="UQY43" s="819"/>
      <c r="UQZ43" s="819"/>
      <c r="URA43" s="819"/>
      <c r="URB43" s="819"/>
      <c r="URC43" s="819"/>
      <c r="URD43" s="819"/>
      <c r="URE43" s="819"/>
      <c r="URF43" s="819"/>
      <c r="URG43" s="819"/>
      <c r="URH43" s="819"/>
      <c r="URI43" s="819"/>
      <c r="URJ43" s="819"/>
      <c r="URK43" s="819"/>
      <c r="URL43" s="819"/>
      <c r="URM43" s="819"/>
      <c r="URN43" s="819"/>
      <c r="URO43" s="819"/>
      <c r="URP43" s="819"/>
      <c r="URQ43" s="819"/>
      <c r="URR43" s="819"/>
      <c r="URS43" s="819"/>
      <c r="URT43" s="819"/>
      <c r="URU43" s="819"/>
      <c r="URV43" s="819"/>
      <c r="URW43" s="819"/>
      <c r="URX43" s="819"/>
      <c r="URY43" s="819"/>
      <c r="URZ43" s="819"/>
      <c r="USA43" s="819"/>
      <c r="USB43" s="819"/>
      <c r="USC43" s="819"/>
      <c r="USD43" s="819"/>
      <c r="USE43" s="819"/>
      <c r="USF43" s="819"/>
      <c r="USG43" s="819"/>
      <c r="USH43" s="819"/>
      <c r="USI43" s="819"/>
      <c r="USJ43" s="819"/>
      <c r="USK43" s="819"/>
      <c r="USL43" s="819"/>
      <c r="USM43" s="819"/>
      <c r="USN43" s="819"/>
      <c r="USO43" s="819"/>
      <c r="USP43" s="819"/>
      <c r="USQ43" s="819"/>
      <c r="USR43" s="819"/>
      <c r="USS43" s="819"/>
      <c r="UST43" s="819"/>
      <c r="USU43" s="819"/>
      <c r="USV43" s="819"/>
      <c r="USW43" s="819"/>
      <c r="USX43" s="819"/>
      <c r="USY43" s="819"/>
      <c r="USZ43" s="819"/>
      <c r="UTA43" s="819"/>
      <c r="UTB43" s="819"/>
      <c r="UTC43" s="819"/>
      <c r="UTD43" s="819"/>
      <c r="UTE43" s="819"/>
      <c r="UTF43" s="819"/>
      <c r="UTG43" s="819"/>
      <c r="UTH43" s="819"/>
      <c r="UTI43" s="819"/>
      <c r="UTJ43" s="819"/>
      <c r="UTK43" s="819"/>
      <c r="UTL43" s="819"/>
      <c r="UTM43" s="819"/>
      <c r="UTN43" s="819"/>
      <c r="UTO43" s="819"/>
      <c r="UTP43" s="819"/>
      <c r="UTQ43" s="819"/>
      <c r="UTR43" s="819"/>
      <c r="UTS43" s="819"/>
      <c r="UTT43" s="819"/>
      <c r="UTU43" s="819"/>
      <c r="UTV43" s="819"/>
      <c r="UTW43" s="819"/>
      <c r="UTX43" s="819"/>
      <c r="UTY43" s="819"/>
      <c r="UTZ43" s="819"/>
      <c r="UUA43" s="819"/>
      <c r="UUB43" s="819"/>
      <c r="UUC43" s="819"/>
      <c r="UUD43" s="819"/>
      <c r="UUE43" s="819"/>
      <c r="UUF43" s="819"/>
      <c r="UUG43" s="819"/>
      <c r="UUH43" s="819"/>
      <c r="UUI43" s="819"/>
      <c r="UUJ43" s="819"/>
      <c r="UUK43" s="819"/>
      <c r="UUL43" s="819"/>
      <c r="UUM43" s="819"/>
      <c r="UUN43" s="819"/>
      <c r="UUO43" s="819"/>
      <c r="UUP43" s="819"/>
      <c r="UUQ43" s="819"/>
      <c r="UUR43" s="819"/>
      <c r="UUS43" s="819"/>
      <c r="UUT43" s="819"/>
      <c r="UUU43" s="819"/>
      <c r="UUV43" s="819"/>
      <c r="UUW43" s="819"/>
      <c r="UUX43" s="819"/>
      <c r="UUY43" s="819"/>
      <c r="UUZ43" s="819"/>
      <c r="UVA43" s="819"/>
      <c r="UVB43" s="819"/>
      <c r="UVC43" s="819"/>
      <c r="UVD43" s="819"/>
      <c r="UVE43" s="819"/>
      <c r="UVF43" s="819"/>
      <c r="UVG43" s="819"/>
      <c r="UVH43" s="819"/>
      <c r="UVI43" s="819"/>
      <c r="UVJ43" s="819"/>
      <c r="UVK43" s="819"/>
      <c r="UVL43" s="819"/>
      <c r="UVM43" s="819"/>
      <c r="UVN43" s="819"/>
      <c r="UVO43" s="819"/>
      <c r="UVP43" s="819"/>
      <c r="UVQ43" s="819"/>
      <c r="UVR43" s="819"/>
      <c r="UVS43" s="819"/>
      <c r="UVT43" s="819"/>
      <c r="UVU43" s="819"/>
      <c r="UVV43" s="819"/>
      <c r="UVW43" s="819"/>
      <c r="UVX43" s="819"/>
      <c r="UVY43" s="819"/>
      <c r="UVZ43" s="819"/>
      <c r="UWA43" s="819"/>
      <c r="UWB43" s="819"/>
      <c r="UWC43" s="819"/>
      <c r="UWD43" s="819"/>
      <c r="UWE43" s="819"/>
      <c r="UWF43" s="819"/>
      <c r="UWG43" s="819"/>
      <c r="UWH43" s="819"/>
      <c r="UWI43" s="819"/>
      <c r="UWJ43" s="819"/>
      <c r="UWK43" s="819"/>
      <c r="UWL43" s="819"/>
      <c r="UWM43" s="819"/>
      <c r="UWN43" s="819"/>
      <c r="UWO43" s="819"/>
      <c r="UWP43" s="819"/>
      <c r="UWQ43" s="819"/>
      <c r="UWR43" s="819"/>
      <c r="UWS43" s="819"/>
      <c r="UWT43" s="819"/>
      <c r="UWU43" s="819"/>
      <c r="UWV43" s="819"/>
      <c r="UWW43" s="819"/>
      <c r="UWX43" s="819"/>
      <c r="UWY43" s="819"/>
      <c r="UWZ43" s="819"/>
      <c r="UXA43" s="819"/>
      <c r="UXB43" s="819"/>
      <c r="UXC43" s="819"/>
      <c r="UXD43" s="819"/>
      <c r="UXE43" s="819"/>
      <c r="UXF43" s="819"/>
      <c r="UXG43" s="819"/>
      <c r="UXH43" s="819"/>
      <c r="UXI43" s="819"/>
      <c r="UXJ43" s="819"/>
      <c r="UXK43" s="819"/>
      <c r="UXL43" s="819"/>
      <c r="UXM43" s="819"/>
      <c r="UXN43" s="819"/>
      <c r="UXO43" s="819"/>
      <c r="UXP43" s="819"/>
      <c r="UXQ43" s="819"/>
      <c r="UXR43" s="819"/>
      <c r="UXS43" s="819"/>
      <c r="UXT43" s="819"/>
      <c r="UXU43" s="819"/>
      <c r="UXV43" s="819"/>
      <c r="UXW43" s="819"/>
      <c r="UXX43" s="819"/>
      <c r="UXY43" s="819"/>
      <c r="UXZ43" s="819"/>
      <c r="UYA43" s="819"/>
      <c r="UYB43" s="819"/>
      <c r="UYC43" s="819"/>
      <c r="UYD43" s="819"/>
      <c r="UYE43" s="819"/>
      <c r="UYF43" s="819"/>
      <c r="UYG43" s="819"/>
      <c r="UYH43" s="819"/>
      <c r="UYI43" s="819"/>
      <c r="UYJ43" s="819"/>
      <c r="UYK43" s="819"/>
      <c r="UYL43" s="819"/>
      <c r="UYM43" s="819"/>
      <c r="UYN43" s="819"/>
      <c r="UYO43" s="819"/>
      <c r="UYP43" s="819"/>
      <c r="UYQ43" s="819"/>
      <c r="UYR43" s="819"/>
      <c r="UYS43" s="819"/>
      <c r="UYT43" s="819"/>
      <c r="UYU43" s="819"/>
      <c r="UYV43" s="819"/>
      <c r="UYW43" s="819"/>
      <c r="UYX43" s="819"/>
      <c r="UYY43" s="819"/>
      <c r="UYZ43" s="819"/>
      <c r="UZA43" s="819"/>
      <c r="UZB43" s="819"/>
      <c r="UZC43" s="819"/>
      <c r="UZD43" s="819"/>
      <c r="UZE43" s="819"/>
      <c r="UZF43" s="819"/>
      <c r="UZG43" s="819"/>
      <c r="UZH43" s="819"/>
      <c r="UZI43" s="819"/>
      <c r="UZJ43" s="819"/>
      <c r="UZK43" s="819"/>
      <c r="UZL43" s="819"/>
      <c r="UZM43" s="819"/>
      <c r="UZN43" s="819"/>
      <c r="UZO43" s="819"/>
      <c r="UZP43" s="819"/>
      <c r="UZQ43" s="819"/>
      <c r="UZR43" s="819"/>
      <c r="UZS43" s="819"/>
      <c r="UZT43" s="819"/>
      <c r="UZU43" s="819"/>
      <c r="UZV43" s="819"/>
      <c r="UZW43" s="819"/>
      <c r="UZX43" s="819"/>
      <c r="UZY43" s="819"/>
      <c r="UZZ43" s="819"/>
      <c r="VAA43" s="819"/>
      <c r="VAB43" s="819"/>
      <c r="VAC43" s="819"/>
      <c r="VAD43" s="819"/>
      <c r="VAE43" s="819"/>
      <c r="VAF43" s="819"/>
      <c r="VAG43" s="819"/>
      <c r="VAH43" s="819"/>
      <c r="VAI43" s="819"/>
      <c r="VAJ43" s="819"/>
      <c r="VAK43" s="819"/>
      <c r="VAL43" s="819"/>
      <c r="VAM43" s="819"/>
      <c r="VAN43" s="819"/>
      <c r="VAO43" s="819"/>
      <c r="VAP43" s="819"/>
      <c r="VAQ43" s="819"/>
      <c r="VAR43" s="819"/>
      <c r="VAS43" s="819"/>
      <c r="VAT43" s="819"/>
      <c r="VAU43" s="819"/>
      <c r="VAV43" s="819"/>
      <c r="VAW43" s="819"/>
      <c r="VAX43" s="819"/>
      <c r="VAY43" s="819"/>
      <c r="VAZ43" s="819"/>
      <c r="VBA43" s="819"/>
      <c r="VBB43" s="819"/>
      <c r="VBC43" s="819"/>
      <c r="VBD43" s="819"/>
      <c r="VBE43" s="819"/>
      <c r="VBF43" s="819"/>
      <c r="VBG43" s="819"/>
      <c r="VBH43" s="819"/>
      <c r="VBI43" s="819"/>
      <c r="VBJ43" s="819"/>
      <c r="VBK43" s="819"/>
      <c r="VBL43" s="819"/>
      <c r="VBM43" s="819"/>
      <c r="VBN43" s="819"/>
      <c r="VBO43" s="819"/>
      <c r="VBP43" s="819"/>
      <c r="VBQ43" s="819"/>
      <c r="VBR43" s="819"/>
      <c r="VBS43" s="819"/>
      <c r="VBT43" s="819"/>
      <c r="VBU43" s="819"/>
      <c r="VBV43" s="819"/>
      <c r="VBW43" s="819"/>
      <c r="VBX43" s="819"/>
      <c r="VBY43" s="819"/>
      <c r="VBZ43" s="819"/>
      <c r="VCA43" s="819"/>
      <c r="VCB43" s="819"/>
      <c r="VCC43" s="819"/>
      <c r="VCD43" s="819"/>
      <c r="VCE43" s="819"/>
      <c r="VCF43" s="819"/>
      <c r="VCG43" s="819"/>
      <c r="VCH43" s="819"/>
      <c r="VCI43" s="819"/>
      <c r="VCJ43" s="819"/>
      <c r="VCK43" s="819"/>
      <c r="VCL43" s="819"/>
      <c r="VCM43" s="819"/>
      <c r="VCN43" s="819"/>
      <c r="VCO43" s="819"/>
      <c r="VCP43" s="819"/>
      <c r="VCQ43" s="819"/>
      <c r="VCR43" s="819"/>
      <c r="VCS43" s="819"/>
      <c r="VCT43" s="819"/>
      <c r="VCU43" s="819"/>
      <c r="VCV43" s="819"/>
      <c r="VCW43" s="819"/>
      <c r="VCX43" s="819"/>
      <c r="VCY43" s="819"/>
      <c r="VCZ43" s="819"/>
      <c r="VDA43" s="819"/>
      <c r="VDB43" s="819"/>
      <c r="VDC43" s="819"/>
      <c r="VDD43" s="819"/>
      <c r="VDE43" s="819"/>
      <c r="VDF43" s="819"/>
      <c r="VDG43" s="819"/>
      <c r="VDH43" s="819"/>
      <c r="VDI43" s="819"/>
      <c r="VDJ43" s="819"/>
      <c r="VDK43" s="819"/>
      <c r="VDL43" s="819"/>
      <c r="VDM43" s="819"/>
      <c r="VDN43" s="819"/>
      <c r="VDO43" s="819"/>
      <c r="VDP43" s="819"/>
      <c r="VDQ43" s="819"/>
      <c r="VDR43" s="819"/>
      <c r="VDS43" s="819"/>
      <c r="VDT43" s="819"/>
      <c r="VDU43" s="819"/>
      <c r="VDV43" s="819"/>
      <c r="VDW43" s="819"/>
      <c r="VDX43" s="819"/>
      <c r="VDY43" s="819"/>
      <c r="VDZ43" s="819"/>
      <c r="VEA43" s="819"/>
      <c r="VEB43" s="819"/>
      <c r="VEC43" s="819"/>
      <c r="VED43" s="819"/>
      <c r="VEE43" s="819"/>
      <c r="VEF43" s="819"/>
      <c r="VEG43" s="819"/>
      <c r="VEH43" s="819"/>
      <c r="VEI43" s="819"/>
      <c r="VEJ43" s="819"/>
      <c r="VEK43" s="819"/>
      <c r="VEL43" s="819"/>
      <c r="VEM43" s="819"/>
      <c r="VEN43" s="819"/>
      <c r="VEO43" s="819"/>
      <c r="VEP43" s="819"/>
      <c r="VEQ43" s="819"/>
      <c r="VER43" s="819"/>
      <c r="VES43" s="819"/>
      <c r="VET43" s="819"/>
      <c r="VEU43" s="819"/>
      <c r="VEV43" s="819"/>
      <c r="VEW43" s="819"/>
      <c r="VEX43" s="819"/>
      <c r="VEY43" s="819"/>
      <c r="VEZ43" s="819"/>
      <c r="VFA43" s="819"/>
      <c r="VFB43" s="819"/>
      <c r="VFC43" s="819"/>
      <c r="VFD43" s="819"/>
      <c r="VFE43" s="819"/>
      <c r="VFF43" s="819"/>
      <c r="VFG43" s="819"/>
      <c r="VFH43" s="819"/>
      <c r="VFI43" s="819"/>
      <c r="VFJ43" s="819"/>
      <c r="VFK43" s="819"/>
      <c r="VFL43" s="819"/>
      <c r="VFM43" s="819"/>
      <c r="VFN43" s="819"/>
      <c r="VFO43" s="819"/>
      <c r="VFP43" s="819"/>
      <c r="VFQ43" s="819"/>
      <c r="VFR43" s="819"/>
      <c r="VFS43" s="819"/>
      <c r="VFT43" s="819"/>
      <c r="VFU43" s="819"/>
      <c r="VFV43" s="819"/>
      <c r="VFW43" s="819"/>
      <c r="VFX43" s="819"/>
      <c r="VFY43" s="819"/>
      <c r="VFZ43" s="819"/>
      <c r="VGA43" s="819"/>
      <c r="VGB43" s="819"/>
      <c r="VGC43" s="819"/>
      <c r="VGD43" s="819"/>
      <c r="VGE43" s="819"/>
      <c r="VGF43" s="819"/>
      <c r="VGG43" s="819"/>
      <c r="VGH43" s="819"/>
      <c r="VGI43" s="819"/>
      <c r="VGJ43" s="819"/>
      <c r="VGK43" s="819"/>
      <c r="VGL43" s="819"/>
      <c r="VGM43" s="819"/>
      <c r="VGN43" s="819"/>
      <c r="VGO43" s="819"/>
      <c r="VGP43" s="819"/>
      <c r="VGQ43" s="819"/>
      <c r="VGR43" s="819"/>
      <c r="VGS43" s="819"/>
      <c r="VGT43" s="819"/>
      <c r="VGU43" s="819"/>
      <c r="VGV43" s="819"/>
      <c r="VGW43" s="819"/>
      <c r="VGX43" s="819"/>
      <c r="VGY43" s="819"/>
      <c r="VGZ43" s="819"/>
      <c r="VHA43" s="819"/>
      <c r="VHB43" s="819"/>
      <c r="VHC43" s="819"/>
      <c r="VHD43" s="819"/>
      <c r="VHE43" s="819"/>
      <c r="VHF43" s="819"/>
      <c r="VHG43" s="819"/>
      <c r="VHH43" s="819"/>
      <c r="VHI43" s="819"/>
      <c r="VHJ43" s="819"/>
      <c r="VHK43" s="819"/>
      <c r="VHL43" s="819"/>
      <c r="VHM43" s="819"/>
      <c r="VHN43" s="819"/>
      <c r="VHO43" s="819"/>
      <c r="VHP43" s="819"/>
      <c r="VHQ43" s="819"/>
      <c r="VHR43" s="819"/>
      <c r="VHS43" s="819"/>
      <c r="VHT43" s="819"/>
      <c r="VHU43" s="819"/>
      <c r="VHV43" s="819"/>
      <c r="VHW43" s="819"/>
      <c r="VHX43" s="819"/>
      <c r="VHY43" s="819"/>
      <c r="VHZ43" s="819"/>
      <c r="VIA43" s="819"/>
      <c r="VIB43" s="819"/>
      <c r="VIC43" s="819"/>
      <c r="VID43" s="819"/>
      <c r="VIE43" s="819"/>
      <c r="VIF43" s="819"/>
      <c r="VIG43" s="819"/>
      <c r="VIH43" s="819"/>
      <c r="VII43" s="819"/>
      <c r="VIJ43" s="819"/>
      <c r="VIK43" s="819"/>
      <c r="VIL43" s="819"/>
      <c r="VIM43" s="819"/>
      <c r="VIN43" s="819"/>
      <c r="VIO43" s="819"/>
      <c r="VIP43" s="819"/>
      <c r="VIQ43" s="819"/>
      <c r="VIR43" s="819"/>
      <c r="VIS43" s="819"/>
      <c r="VIT43" s="819"/>
      <c r="VIU43" s="819"/>
      <c r="VIV43" s="819"/>
      <c r="VIW43" s="819"/>
      <c r="VIX43" s="819"/>
      <c r="VIY43" s="819"/>
      <c r="VIZ43" s="819"/>
      <c r="VJA43" s="819"/>
      <c r="VJB43" s="819"/>
      <c r="VJC43" s="819"/>
      <c r="VJD43" s="819"/>
      <c r="VJE43" s="819"/>
      <c r="VJF43" s="819"/>
      <c r="VJG43" s="819"/>
      <c r="VJH43" s="819"/>
      <c r="VJI43" s="819"/>
      <c r="VJJ43" s="819"/>
      <c r="VJK43" s="819"/>
      <c r="VJL43" s="819"/>
      <c r="VJM43" s="819"/>
      <c r="VJN43" s="819"/>
      <c r="VJO43" s="819"/>
      <c r="VJP43" s="819"/>
      <c r="VJQ43" s="819"/>
      <c r="VJR43" s="819"/>
      <c r="VJS43" s="819"/>
      <c r="VJT43" s="819"/>
      <c r="VJU43" s="819"/>
      <c r="VJV43" s="819"/>
      <c r="VJW43" s="819"/>
      <c r="VJX43" s="819"/>
      <c r="VJY43" s="819"/>
      <c r="VJZ43" s="819"/>
      <c r="VKA43" s="819"/>
      <c r="VKB43" s="819"/>
      <c r="VKC43" s="819"/>
      <c r="VKD43" s="819"/>
      <c r="VKE43" s="819"/>
      <c r="VKF43" s="819"/>
      <c r="VKG43" s="819"/>
      <c r="VKH43" s="819"/>
      <c r="VKI43" s="819"/>
      <c r="VKJ43" s="819"/>
      <c r="VKK43" s="819"/>
      <c r="VKL43" s="819"/>
      <c r="VKM43" s="819"/>
      <c r="VKN43" s="819"/>
      <c r="VKO43" s="819"/>
      <c r="VKP43" s="819"/>
      <c r="VKQ43" s="819"/>
      <c r="VKR43" s="819"/>
      <c r="VKS43" s="819"/>
      <c r="VKT43" s="819"/>
      <c r="VKU43" s="819"/>
      <c r="VKV43" s="819"/>
      <c r="VKW43" s="819"/>
      <c r="VKX43" s="819"/>
      <c r="VKY43" s="819"/>
      <c r="VKZ43" s="819"/>
      <c r="VLA43" s="819"/>
      <c r="VLB43" s="819"/>
      <c r="VLC43" s="819"/>
      <c r="VLD43" s="819"/>
      <c r="VLE43" s="819"/>
      <c r="VLF43" s="819"/>
      <c r="VLG43" s="819"/>
      <c r="VLH43" s="819"/>
      <c r="VLI43" s="819"/>
      <c r="VLJ43" s="819"/>
      <c r="VLK43" s="819"/>
      <c r="VLL43" s="819"/>
      <c r="VLM43" s="819"/>
      <c r="VLN43" s="819"/>
      <c r="VLO43" s="819"/>
      <c r="VLP43" s="819"/>
      <c r="VLQ43" s="819"/>
      <c r="VLR43" s="819"/>
      <c r="VLS43" s="819"/>
      <c r="VLT43" s="819"/>
      <c r="VLU43" s="819"/>
      <c r="VLV43" s="819"/>
      <c r="VLW43" s="819"/>
      <c r="VLX43" s="819"/>
      <c r="VLY43" s="819"/>
      <c r="VLZ43" s="819"/>
      <c r="VMA43" s="819"/>
      <c r="VMB43" s="819"/>
      <c r="VMC43" s="819"/>
      <c r="VMD43" s="819"/>
      <c r="VME43" s="819"/>
      <c r="VMF43" s="819"/>
      <c r="VMG43" s="819"/>
      <c r="VMH43" s="819"/>
      <c r="VMI43" s="819"/>
      <c r="VMJ43" s="819"/>
      <c r="VMK43" s="819"/>
      <c r="VML43" s="819"/>
      <c r="VMM43" s="819"/>
      <c r="VMN43" s="819"/>
      <c r="VMO43" s="819"/>
      <c r="VMP43" s="819"/>
      <c r="VMQ43" s="819"/>
      <c r="VMR43" s="819"/>
      <c r="VMS43" s="819"/>
      <c r="VMT43" s="819"/>
      <c r="VMU43" s="819"/>
      <c r="VMV43" s="819"/>
      <c r="VMW43" s="819"/>
      <c r="VMX43" s="819"/>
      <c r="VMY43" s="819"/>
      <c r="VMZ43" s="819"/>
      <c r="VNA43" s="819"/>
      <c r="VNB43" s="819"/>
      <c r="VNC43" s="819"/>
      <c r="VND43" s="819"/>
      <c r="VNE43" s="819"/>
      <c r="VNF43" s="819"/>
      <c r="VNG43" s="819"/>
      <c r="VNH43" s="819"/>
      <c r="VNI43" s="819"/>
      <c r="VNJ43" s="819"/>
      <c r="VNK43" s="819"/>
      <c r="VNL43" s="819"/>
      <c r="VNM43" s="819"/>
      <c r="VNN43" s="819"/>
      <c r="VNO43" s="819"/>
      <c r="VNP43" s="819"/>
      <c r="VNQ43" s="819"/>
      <c r="VNR43" s="819"/>
      <c r="VNS43" s="819"/>
      <c r="VNT43" s="819"/>
      <c r="VNU43" s="819"/>
      <c r="VNV43" s="819"/>
      <c r="VNW43" s="819"/>
      <c r="VNX43" s="819"/>
      <c r="VNY43" s="819"/>
      <c r="VNZ43" s="819"/>
      <c r="VOA43" s="819"/>
      <c r="VOB43" s="819"/>
      <c r="VOC43" s="819"/>
      <c r="VOD43" s="819"/>
      <c r="VOE43" s="819"/>
      <c r="VOF43" s="819"/>
      <c r="VOG43" s="819"/>
      <c r="VOH43" s="819"/>
      <c r="VOI43" s="819"/>
      <c r="VOJ43" s="819"/>
      <c r="VOK43" s="819"/>
      <c r="VOL43" s="819"/>
      <c r="VOM43" s="819"/>
      <c r="VON43" s="819"/>
      <c r="VOO43" s="819"/>
      <c r="VOP43" s="819"/>
      <c r="VOQ43" s="819"/>
      <c r="VOR43" s="819"/>
      <c r="VOS43" s="819"/>
      <c r="VOT43" s="819"/>
      <c r="VOU43" s="819"/>
      <c r="VOV43" s="819"/>
      <c r="VOW43" s="819"/>
      <c r="VOX43" s="819"/>
      <c r="VOY43" s="819"/>
      <c r="VOZ43" s="819"/>
      <c r="VPA43" s="819"/>
      <c r="VPB43" s="819"/>
      <c r="VPC43" s="819"/>
      <c r="VPD43" s="819"/>
      <c r="VPE43" s="819"/>
      <c r="VPF43" s="819"/>
      <c r="VPG43" s="819"/>
      <c r="VPH43" s="819"/>
      <c r="VPI43" s="819"/>
      <c r="VPJ43" s="819"/>
      <c r="VPK43" s="819"/>
      <c r="VPL43" s="819"/>
      <c r="VPM43" s="819"/>
      <c r="VPN43" s="819"/>
      <c r="VPO43" s="819"/>
      <c r="VPP43" s="819"/>
      <c r="VPQ43" s="819"/>
      <c r="VPR43" s="819"/>
      <c r="VPS43" s="819"/>
      <c r="VPT43" s="819"/>
      <c r="VPU43" s="819"/>
      <c r="VPV43" s="819"/>
      <c r="VPW43" s="819"/>
      <c r="VPX43" s="819"/>
      <c r="VPY43" s="819"/>
      <c r="VPZ43" s="819"/>
      <c r="VQA43" s="819"/>
      <c r="VQB43" s="819"/>
      <c r="VQC43" s="819"/>
      <c r="VQD43" s="819"/>
      <c r="VQE43" s="819"/>
      <c r="VQF43" s="819"/>
      <c r="VQG43" s="819"/>
      <c r="VQH43" s="819"/>
      <c r="VQI43" s="819"/>
      <c r="VQJ43" s="819"/>
      <c r="VQK43" s="819"/>
      <c r="VQL43" s="819"/>
      <c r="VQM43" s="819"/>
      <c r="VQN43" s="819"/>
      <c r="VQO43" s="819"/>
      <c r="VQP43" s="819"/>
      <c r="VQQ43" s="819"/>
      <c r="VQR43" s="819"/>
      <c r="VQS43" s="819"/>
      <c r="VQT43" s="819"/>
      <c r="VQU43" s="819"/>
      <c r="VQV43" s="819"/>
      <c r="VQW43" s="819"/>
      <c r="VQX43" s="819"/>
      <c r="VQY43" s="819"/>
      <c r="VQZ43" s="819"/>
      <c r="VRA43" s="819"/>
      <c r="VRB43" s="819"/>
      <c r="VRC43" s="819"/>
      <c r="VRD43" s="819"/>
      <c r="VRE43" s="819"/>
      <c r="VRF43" s="819"/>
      <c r="VRG43" s="819"/>
      <c r="VRH43" s="819"/>
      <c r="VRI43" s="819"/>
      <c r="VRJ43" s="819"/>
      <c r="VRK43" s="819"/>
      <c r="VRL43" s="819"/>
      <c r="VRM43" s="819"/>
      <c r="VRN43" s="819"/>
      <c r="VRO43" s="819"/>
      <c r="VRP43" s="819"/>
      <c r="VRQ43" s="819"/>
      <c r="VRR43" s="819"/>
      <c r="VRS43" s="819"/>
      <c r="VRT43" s="819"/>
      <c r="VRU43" s="819"/>
      <c r="VRV43" s="819"/>
      <c r="VRW43" s="819"/>
      <c r="VRX43" s="819"/>
      <c r="VRY43" s="819"/>
      <c r="VRZ43" s="819"/>
      <c r="VSA43" s="819"/>
      <c r="VSB43" s="819"/>
      <c r="VSC43" s="819"/>
      <c r="VSD43" s="819"/>
      <c r="VSE43" s="819"/>
      <c r="VSF43" s="819"/>
      <c r="VSG43" s="819"/>
      <c r="VSH43" s="819"/>
      <c r="VSI43" s="819"/>
      <c r="VSJ43" s="819"/>
      <c r="VSK43" s="819"/>
      <c r="VSL43" s="819"/>
      <c r="VSM43" s="819"/>
      <c r="VSN43" s="819"/>
      <c r="VSO43" s="819"/>
      <c r="VSP43" s="819"/>
      <c r="VSQ43" s="819"/>
      <c r="VSR43" s="819"/>
      <c r="VSS43" s="819"/>
      <c r="VST43" s="819"/>
      <c r="VSU43" s="819"/>
      <c r="VSV43" s="819"/>
      <c r="VSW43" s="819"/>
      <c r="VSX43" s="819"/>
      <c r="VSY43" s="819"/>
      <c r="VSZ43" s="819"/>
      <c r="VTA43" s="819"/>
      <c r="VTB43" s="819"/>
      <c r="VTC43" s="819"/>
      <c r="VTD43" s="819"/>
      <c r="VTE43" s="819"/>
      <c r="VTF43" s="819"/>
      <c r="VTG43" s="819"/>
      <c r="VTH43" s="819"/>
      <c r="VTI43" s="819"/>
      <c r="VTJ43" s="819"/>
      <c r="VTK43" s="819"/>
      <c r="VTL43" s="819"/>
      <c r="VTM43" s="819"/>
      <c r="VTN43" s="819"/>
      <c r="VTO43" s="819"/>
      <c r="VTP43" s="819"/>
      <c r="VTQ43" s="819"/>
      <c r="VTR43" s="819"/>
      <c r="VTS43" s="819"/>
      <c r="VTT43" s="819"/>
      <c r="VTU43" s="819"/>
      <c r="VTV43" s="819"/>
      <c r="VTW43" s="819"/>
      <c r="VTX43" s="819"/>
      <c r="VTY43" s="819"/>
      <c r="VTZ43" s="819"/>
      <c r="VUA43" s="819"/>
      <c r="VUB43" s="819"/>
      <c r="VUC43" s="819"/>
      <c r="VUD43" s="819"/>
      <c r="VUE43" s="819"/>
      <c r="VUF43" s="819"/>
      <c r="VUG43" s="819"/>
      <c r="VUH43" s="819"/>
      <c r="VUI43" s="819"/>
      <c r="VUJ43" s="819"/>
      <c r="VUK43" s="819"/>
      <c r="VUL43" s="819"/>
      <c r="VUM43" s="819"/>
      <c r="VUN43" s="819"/>
      <c r="VUO43" s="819"/>
      <c r="VUP43" s="819"/>
      <c r="VUQ43" s="819"/>
      <c r="VUR43" s="819"/>
      <c r="VUS43" s="819"/>
      <c r="VUT43" s="819"/>
      <c r="VUU43" s="819"/>
      <c r="VUV43" s="819"/>
      <c r="VUW43" s="819"/>
      <c r="VUX43" s="819"/>
      <c r="VUY43" s="819"/>
      <c r="VUZ43" s="819"/>
      <c r="VVA43" s="819"/>
      <c r="VVB43" s="819"/>
      <c r="VVC43" s="819"/>
      <c r="VVD43" s="819"/>
      <c r="VVE43" s="819"/>
      <c r="VVF43" s="819"/>
      <c r="VVG43" s="819"/>
      <c r="VVH43" s="819"/>
      <c r="VVI43" s="819"/>
      <c r="VVJ43" s="819"/>
      <c r="VVK43" s="819"/>
      <c r="VVL43" s="819"/>
      <c r="VVM43" s="819"/>
      <c r="VVN43" s="819"/>
      <c r="VVO43" s="819"/>
      <c r="VVP43" s="819"/>
      <c r="VVQ43" s="819"/>
      <c r="VVR43" s="819"/>
      <c r="VVS43" s="819"/>
      <c r="VVT43" s="819"/>
      <c r="VVU43" s="819"/>
      <c r="VVV43" s="819"/>
      <c r="VVW43" s="819"/>
      <c r="VVX43" s="819"/>
      <c r="VVY43" s="819"/>
      <c r="VVZ43" s="819"/>
      <c r="VWA43" s="819"/>
      <c r="VWB43" s="819"/>
      <c r="VWC43" s="819"/>
      <c r="VWD43" s="819"/>
      <c r="VWE43" s="819"/>
      <c r="VWF43" s="819"/>
      <c r="VWG43" s="819"/>
      <c r="VWH43" s="819"/>
      <c r="VWI43" s="819"/>
      <c r="VWJ43" s="819"/>
      <c r="VWK43" s="819"/>
      <c r="VWL43" s="819"/>
      <c r="VWM43" s="819"/>
      <c r="VWN43" s="819"/>
      <c r="VWO43" s="819"/>
      <c r="VWP43" s="819"/>
      <c r="VWQ43" s="819"/>
      <c r="VWR43" s="819"/>
      <c r="VWS43" s="819"/>
      <c r="VWT43" s="819"/>
      <c r="VWU43" s="819"/>
      <c r="VWV43" s="819"/>
      <c r="VWW43" s="819"/>
      <c r="VWX43" s="819"/>
      <c r="VWY43" s="819"/>
      <c r="VWZ43" s="819"/>
      <c r="VXA43" s="819"/>
      <c r="VXB43" s="819"/>
      <c r="VXC43" s="819"/>
      <c r="VXD43" s="819"/>
      <c r="VXE43" s="819"/>
      <c r="VXF43" s="819"/>
      <c r="VXG43" s="819"/>
      <c r="VXH43" s="819"/>
      <c r="VXI43" s="819"/>
      <c r="VXJ43" s="819"/>
      <c r="VXK43" s="819"/>
      <c r="VXL43" s="819"/>
      <c r="VXM43" s="819"/>
      <c r="VXN43" s="819"/>
      <c r="VXO43" s="819"/>
      <c r="VXP43" s="819"/>
      <c r="VXQ43" s="819"/>
      <c r="VXR43" s="819"/>
      <c r="VXS43" s="819"/>
      <c r="VXT43" s="819"/>
      <c r="VXU43" s="819"/>
      <c r="VXV43" s="819"/>
      <c r="VXW43" s="819"/>
      <c r="VXX43" s="819"/>
      <c r="VXY43" s="819"/>
      <c r="VXZ43" s="819"/>
      <c r="VYA43" s="819"/>
      <c r="VYB43" s="819"/>
      <c r="VYC43" s="819"/>
      <c r="VYD43" s="819"/>
      <c r="VYE43" s="819"/>
      <c r="VYF43" s="819"/>
      <c r="VYG43" s="819"/>
      <c r="VYH43" s="819"/>
      <c r="VYI43" s="819"/>
      <c r="VYJ43" s="819"/>
      <c r="VYK43" s="819"/>
      <c r="VYL43" s="819"/>
      <c r="VYM43" s="819"/>
      <c r="VYN43" s="819"/>
      <c r="VYO43" s="819"/>
      <c r="VYP43" s="819"/>
      <c r="VYQ43" s="819"/>
      <c r="VYR43" s="819"/>
      <c r="VYS43" s="819"/>
      <c r="VYT43" s="819"/>
      <c r="VYU43" s="819"/>
      <c r="VYV43" s="819"/>
      <c r="VYW43" s="819"/>
      <c r="VYX43" s="819"/>
      <c r="VYY43" s="819"/>
      <c r="VYZ43" s="819"/>
      <c r="VZA43" s="819"/>
      <c r="VZB43" s="819"/>
      <c r="VZC43" s="819"/>
      <c r="VZD43" s="819"/>
      <c r="VZE43" s="819"/>
      <c r="VZF43" s="819"/>
      <c r="VZG43" s="819"/>
      <c r="VZH43" s="819"/>
      <c r="VZI43" s="819"/>
      <c r="VZJ43" s="819"/>
      <c r="VZK43" s="819"/>
      <c r="VZL43" s="819"/>
      <c r="VZM43" s="819"/>
      <c r="VZN43" s="819"/>
      <c r="VZO43" s="819"/>
      <c r="VZP43" s="819"/>
      <c r="VZQ43" s="819"/>
      <c r="VZR43" s="819"/>
      <c r="VZS43" s="819"/>
      <c r="VZT43" s="819"/>
      <c r="VZU43" s="819"/>
      <c r="VZV43" s="819"/>
      <c r="VZW43" s="819"/>
      <c r="VZX43" s="819"/>
      <c r="VZY43" s="819"/>
      <c r="VZZ43" s="819"/>
      <c r="WAA43" s="819"/>
      <c r="WAB43" s="819"/>
      <c r="WAC43" s="819"/>
      <c r="WAD43" s="819"/>
      <c r="WAE43" s="819"/>
      <c r="WAF43" s="819"/>
      <c r="WAG43" s="819"/>
      <c r="WAH43" s="819"/>
      <c r="WAI43" s="819"/>
      <c r="WAJ43" s="819"/>
      <c r="WAK43" s="819"/>
      <c r="WAL43" s="819"/>
      <c r="WAM43" s="819"/>
      <c r="WAN43" s="819"/>
      <c r="WAO43" s="819"/>
      <c r="WAP43" s="819"/>
      <c r="WAQ43" s="819"/>
      <c r="WAR43" s="819"/>
      <c r="WAS43" s="819"/>
      <c r="WAT43" s="819"/>
      <c r="WAU43" s="819"/>
      <c r="WAV43" s="819"/>
      <c r="WAW43" s="819"/>
      <c r="WAX43" s="819"/>
      <c r="WAY43" s="819"/>
      <c r="WAZ43" s="819"/>
      <c r="WBA43" s="819"/>
      <c r="WBB43" s="819"/>
      <c r="WBC43" s="819"/>
      <c r="WBD43" s="819"/>
      <c r="WBE43" s="819"/>
      <c r="WBF43" s="819"/>
      <c r="WBG43" s="819"/>
      <c r="WBH43" s="819"/>
      <c r="WBI43" s="819"/>
      <c r="WBJ43" s="819"/>
      <c r="WBK43" s="819"/>
      <c r="WBL43" s="819"/>
      <c r="WBM43" s="819"/>
      <c r="WBN43" s="819"/>
      <c r="WBO43" s="819"/>
      <c r="WBP43" s="819"/>
      <c r="WBQ43" s="819"/>
      <c r="WBR43" s="819"/>
      <c r="WBS43" s="819"/>
      <c r="WBT43" s="819"/>
      <c r="WBU43" s="819"/>
      <c r="WBV43" s="819"/>
      <c r="WBW43" s="819"/>
      <c r="WBX43" s="819"/>
      <c r="WBY43" s="819"/>
      <c r="WBZ43" s="819"/>
      <c r="WCA43" s="819"/>
      <c r="WCB43" s="819"/>
      <c r="WCC43" s="819"/>
      <c r="WCD43" s="819"/>
      <c r="WCE43" s="819"/>
      <c r="WCF43" s="819"/>
      <c r="WCG43" s="819"/>
      <c r="WCH43" s="819"/>
      <c r="WCI43" s="819"/>
      <c r="WCJ43" s="819"/>
      <c r="WCK43" s="819"/>
      <c r="WCL43" s="819"/>
      <c r="WCM43" s="819"/>
      <c r="WCN43" s="819"/>
      <c r="WCO43" s="819"/>
      <c r="WCP43" s="819"/>
      <c r="WCQ43" s="819"/>
      <c r="WCR43" s="819"/>
      <c r="WCS43" s="819"/>
      <c r="WCT43" s="819"/>
      <c r="WCU43" s="819"/>
      <c r="WCV43" s="819"/>
      <c r="WCW43" s="819"/>
      <c r="WCX43" s="819"/>
      <c r="WCY43" s="819"/>
      <c r="WCZ43" s="819"/>
      <c r="WDA43" s="819"/>
      <c r="WDB43" s="819"/>
      <c r="WDC43" s="819"/>
      <c r="WDD43" s="819"/>
      <c r="WDE43" s="819"/>
      <c r="WDF43" s="819"/>
      <c r="WDG43" s="819"/>
      <c r="WDH43" s="819"/>
      <c r="WDI43" s="819"/>
      <c r="WDJ43" s="819"/>
      <c r="WDK43" s="819"/>
      <c r="WDL43" s="819"/>
      <c r="WDM43" s="819"/>
      <c r="WDN43" s="819"/>
      <c r="WDO43" s="819"/>
      <c r="WDP43" s="819"/>
      <c r="WDQ43" s="819"/>
      <c r="WDR43" s="819"/>
      <c r="WDS43" s="819"/>
      <c r="WDT43" s="819"/>
      <c r="WDU43" s="819"/>
      <c r="WDV43" s="819"/>
      <c r="WDW43" s="819"/>
      <c r="WDX43" s="819"/>
      <c r="WDY43" s="819"/>
      <c r="WDZ43" s="819"/>
      <c r="WEA43" s="819"/>
      <c r="WEB43" s="819"/>
      <c r="WEC43" s="819"/>
      <c r="WED43" s="819"/>
      <c r="WEE43" s="819"/>
      <c r="WEF43" s="819"/>
      <c r="WEG43" s="819"/>
      <c r="WEH43" s="819"/>
      <c r="WEI43" s="819"/>
      <c r="WEJ43" s="819"/>
      <c r="WEK43" s="819"/>
      <c r="WEL43" s="819"/>
      <c r="WEM43" s="819"/>
      <c r="WEN43" s="819"/>
      <c r="WEO43" s="819"/>
      <c r="WEP43" s="819"/>
      <c r="WEQ43" s="819"/>
      <c r="WER43" s="819"/>
      <c r="WES43" s="819"/>
      <c r="WET43" s="819"/>
      <c r="WEU43" s="819"/>
      <c r="WEV43" s="819"/>
      <c r="WEW43" s="819"/>
      <c r="WEX43" s="819"/>
      <c r="WEY43" s="819"/>
      <c r="WEZ43" s="819"/>
      <c r="WFA43" s="819"/>
      <c r="WFB43" s="819"/>
      <c r="WFC43" s="819"/>
      <c r="WFD43" s="819"/>
      <c r="WFE43" s="819"/>
      <c r="WFF43" s="819"/>
      <c r="WFG43" s="819"/>
      <c r="WFH43" s="819"/>
      <c r="WFI43" s="819"/>
      <c r="WFJ43" s="819"/>
      <c r="WFK43" s="819"/>
      <c r="WFL43" s="819"/>
      <c r="WFM43" s="819"/>
      <c r="WFN43" s="819"/>
      <c r="WFO43" s="819"/>
      <c r="WFP43" s="819"/>
      <c r="WFQ43" s="819"/>
      <c r="WFR43" s="819"/>
      <c r="WFS43" s="819"/>
      <c r="WFT43" s="819"/>
      <c r="WFU43" s="819"/>
      <c r="WFV43" s="819"/>
      <c r="WFW43" s="819"/>
      <c r="WFX43" s="819"/>
      <c r="WFY43" s="819"/>
      <c r="WFZ43" s="819"/>
      <c r="WGA43" s="819"/>
      <c r="WGB43" s="819"/>
      <c r="WGC43" s="819"/>
      <c r="WGD43" s="819"/>
      <c r="WGE43" s="819"/>
      <c r="WGF43" s="819"/>
      <c r="WGG43" s="819"/>
      <c r="WGH43" s="819"/>
      <c r="WGI43" s="819"/>
      <c r="WGJ43" s="819"/>
      <c r="WGK43" s="819"/>
      <c r="WGL43" s="819"/>
      <c r="WGM43" s="819"/>
      <c r="WGN43" s="819"/>
      <c r="WGO43" s="819"/>
      <c r="WGP43" s="819"/>
      <c r="WGQ43" s="819"/>
      <c r="WGR43" s="819"/>
      <c r="WGS43" s="819"/>
      <c r="WGT43" s="819"/>
      <c r="WGU43" s="819"/>
      <c r="WGV43" s="819"/>
      <c r="WGW43" s="819"/>
      <c r="WGX43" s="819"/>
      <c r="WGY43" s="819"/>
      <c r="WGZ43" s="819"/>
      <c r="WHA43" s="819"/>
      <c r="WHB43" s="819"/>
      <c r="WHC43" s="819"/>
      <c r="WHD43" s="819"/>
      <c r="WHE43" s="819"/>
      <c r="WHF43" s="819"/>
      <c r="WHG43" s="819"/>
      <c r="WHH43" s="819"/>
      <c r="WHI43" s="819"/>
      <c r="WHJ43" s="819"/>
      <c r="WHK43" s="819"/>
      <c r="WHL43" s="819"/>
      <c r="WHM43" s="819"/>
      <c r="WHN43" s="819"/>
      <c r="WHO43" s="819"/>
      <c r="WHP43" s="819"/>
      <c r="WHQ43" s="819"/>
      <c r="WHR43" s="819"/>
      <c r="WHS43" s="819"/>
      <c r="WHT43" s="819"/>
      <c r="WHU43" s="819"/>
      <c r="WHV43" s="819"/>
      <c r="WHW43" s="819"/>
      <c r="WHX43" s="819"/>
      <c r="WHY43" s="819"/>
      <c r="WHZ43" s="819"/>
      <c r="WIA43" s="819"/>
      <c r="WIB43" s="819"/>
      <c r="WIC43" s="819"/>
      <c r="WID43" s="819"/>
      <c r="WIE43" s="819"/>
      <c r="WIF43" s="819"/>
      <c r="WIG43" s="819"/>
      <c r="WIH43" s="819"/>
      <c r="WII43" s="819"/>
      <c r="WIJ43" s="819"/>
      <c r="WIK43" s="819"/>
      <c r="WIL43" s="819"/>
      <c r="WIM43" s="819"/>
      <c r="WIN43" s="819"/>
      <c r="WIO43" s="819"/>
      <c r="WIP43" s="819"/>
      <c r="WIQ43" s="819"/>
      <c r="WIR43" s="819"/>
      <c r="WIS43" s="819"/>
      <c r="WIT43" s="819"/>
      <c r="WIU43" s="819"/>
      <c r="WIV43" s="819"/>
      <c r="WIW43" s="819"/>
      <c r="WIX43" s="819"/>
      <c r="WIY43" s="819"/>
      <c r="WIZ43" s="819"/>
      <c r="WJA43" s="819"/>
      <c r="WJB43" s="819"/>
      <c r="WJC43" s="819"/>
      <c r="WJD43" s="819"/>
      <c r="WJE43" s="819"/>
      <c r="WJF43" s="819"/>
      <c r="WJG43" s="819"/>
      <c r="WJH43" s="819"/>
      <c r="WJI43" s="819"/>
      <c r="WJJ43" s="819"/>
      <c r="WJK43" s="819"/>
      <c r="WJL43" s="819"/>
      <c r="WJM43" s="819"/>
      <c r="WJN43" s="819"/>
      <c r="WJO43" s="819"/>
      <c r="WJP43" s="819"/>
      <c r="WJQ43" s="819"/>
      <c r="WJR43" s="819"/>
      <c r="WJS43" s="819"/>
      <c r="WJT43" s="819"/>
      <c r="WJU43" s="819"/>
      <c r="WJV43" s="819"/>
      <c r="WJW43" s="819"/>
      <c r="WJX43" s="819"/>
      <c r="WJY43" s="819"/>
      <c r="WJZ43" s="819"/>
      <c r="WKA43" s="819"/>
      <c r="WKB43" s="819"/>
      <c r="WKC43" s="819"/>
      <c r="WKD43" s="819"/>
      <c r="WKE43" s="819"/>
      <c r="WKF43" s="819"/>
      <c r="WKG43" s="819"/>
      <c r="WKH43" s="819"/>
      <c r="WKI43" s="819"/>
      <c r="WKJ43" s="819"/>
      <c r="WKK43" s="819"/>
      <c r="WKL43" s="819"/>
      <c r="WKM43" s="819"/>
      <c r="WKN43" s="819"/>
      <c r="WKO43" s="819"/>
      <c r="WKP43" s="819"/>
      <c r="WKQ43" s="819"/>
      <c r="WKR43" s="819"/>
      <c r="WKS43" s="819"/>
      <c r="WKT43" s="819"/>
      <c r="WKU43" s="819"/>
      <c r="WKV43" s="819"/>
      <c r="WKW43" s="819"/>
      <c r="WKX43" s="819"/>
      <c r="WKY43" s="819"/>
      <c r="WKZ43" s="819"/>
      <c r="WLA43" s="819"/>
      <c r="WLB43" s="819"/>
      <c r="WLC43" s="819"/>
      <c r="WLD43" s="819"/>
      <c r="WLE43" s="819"/>
      <c r="WLF43" s="819"/>
      <c r="WLG43" s="819"/>
      <c r="WLH43" s="819"/>
      <c r="WLI43" s="819"/>
      <c r="WLJ43" s="819"/>
      <c r="WLK43" s="819"/>
      <c r="WLL43" s="819"/>
      <c r="WLM43" s="819"/>
      <c r="WLN43" s="819"/>
      <c r="WLO43" s="819"/>
      <c r="WLP43" s="819"/>
      <c r="WLQ43" s="819"/>
      <c r="WLR43" s="819"/>
      <c r="WLS43" s="819"/>
      <c r="WLT43" s="819"/>
      <c r="WLU43" s="819"/>
      <c r="WLV43" s="819"/>
      <c r="WLW43" s="819"/>
      <c r="WLX43" s="819"/>
      <c r="WLY43" s="819"/>
      <c r="WLZ43" s="819"/>
      <c r="WMA43" s="819"/>
      <c r="WMB43" s="819"/>
      <c r="WMC43" s="819"/>
      <c r="WMD43" s="819"/>
      <c r="WME43" s="819"/>
      <c r="WMF43" s="819"/>
      <c r="WMG43" s="819"/>
      <c r="WMH43" s="819"/>
      <c r="WMI43" s="819"/>
      <c r="WMJ43" s="819"/>
      <c r="WMK43" s="819"/>
      <c r="WML43" s="819"/>
      <c r="WMM43" s="819"/>
      <c r="WMN43" s="819"/>
      <c r="WMO43" s="819"/>
      <c r="WMP43" s="819"/>
      <c r="WMQ43" s="819"/>
      <c r="WMR43" s="819"/>
      <c r="WMS43" s="819"/>
      <c r="WMT43" s="819"/>
      <c r="WMU43" s="819"/>
      <c r="WMV43" s="819"/>
      <c r="WMW43" s="819"/>
      <c r="WMX43" s="819"/>
      <c r="WMY43" s="819"/>
      <c r="WMZ43" s="819"/>
      <c r="WNA43" s="819"/>
      <c r="WNB43" s="819"/>
      <c r="WNC43" s="819"/>
      <c r="WND43" s="819"/>
      <c r="WNE43" s="819"/>
      <c r="WNF43" s="819"/>
      <c r="WNG43" s="819"/>
      <c r="WNH43" s="819"/>
      <c r="WNI43" s="819"/>
      <c r="WNJ43" s="819"/>
      <c r="WNK43" s="819"/>
      <c r="WNL43" s="819"/>
      <c r="WNM43" s="819"/>
      <c r="WNN43" s="819"/>
      <c r="WNO43" s="819"/>
      <c r="WNP43" s="819"/>
      <c r="WNQ43" s="819"/>
      <c r="WNR43" s="819"/>
      <c r="WNS43" s="819"/>
      <c r="WNT43" s="819"/>
      <c r="WNU43" s="819"/>
      <c r="WNV43" s="819"/>
      <c r="WNW43" s="819"/>
      <c r="WNX43" s="819"/>
      <c r="WNY43" s="819"/>
      <c r="WNZ43" s="819"/>
      <c r="WOA43" s="819"/>
      <c r="WOB43" s="819"/>
      <c r="WOC43" s="819"/>
      <c r="WOD43" s="819"/>
      <c r="WOE43" s="819"/>
      <c r="WOF43" s="819"/>
      <c r="WOG43" s="819"/>
      <c r="WOH43" s="819"/>
      <c r="WOI43" s="819"/>
      <c r="WOJ43" s="819"/>
      <c r="WOK43" s="819"/>
      <c r="WOL43" s="819"/>
      <c r="WOM43" s="819"/>
      <c r="WON43" s="819"/>
      <c r="WOO43" s="819"/>
      <c r="WOP43" s="819"/>
      <c r="WOQ43" s="819"/>
      <c r="WOR43" s="819"/>
      <c r="WOS43" s="819"/>
      <c r="WOT43" s="819"/>
      <c r="WOU43" s="819"/>
      <c r="WOV43" s="819"/>
      <c r="WOW43" s="819"/>
      <c r="WOX43" s="819"/>
      <c r="WOY43" s="819"/>
      <c r="WOZ43" s="819"/>
      <c r="WPA43" s="819"/>
      <c r="WPB43" s="819"/>
      <c r="WPC43" s="819"/>
      <c r="WPD43" s="819"/>
      <c r="WPE43" s="819"/>
      <c r="WPF43" s="819"/>
      <c r="WPG43" s="819"/>
      <c r="WPH43" s="819"/>
      <c r="WPI43" s="819"/>
      <c r="WPJ43" s="819"/>
      <c r="WPK43" s="819"/>
      <c r="WPL43" s="819"/>
      <c r="WPM43" s="819"/>
      <c r="WPN43" s="819"/>
      <c r="WPO43" s="819"/>
      <c r="WPP43" s="819"/>
      <c r="WPQ43" s="819"/>
      <c r="WPR43" s="819"/>
      <c r="WPS43" s="819"/>
      <c r="WPT43" s="819"/>
      <c r="WPU43" s="819"/>
      <c r="WPV43" s="819"/>
      <c r="WPW43" s="819"/>
      <c r="WPX43" s="819"/>
      <c r="WPY43" s="819"/>
      <c r="WPZ43" s="819"/>
      <c r="WQA43" s="819"/>
      <c r="WQB43" s="819"/>
      <c r="WQC43" s="819"/>
      <c r="WQD43" s="819"/>
      <c r="WQE43" s="819"/>
      <c r="WQF43" s="819"/>
      <c r="WQG43" s="819"/>
      <c r="WQH43" s="819"/>
      <c r="WQI43" s="819"/>
      <c r="WQJ43" s="819"/>
      <c r="WQK43" s="819"/>
      <c r="WQL43" s="819"/>
      <c r="WQM43" s="819"/>
      <c r="WQN43" s="819"/>
      <c r="WQO43" s="819"/>
      <c r="WQP43" s="819"/>
      <c r="WQQ43" s="819"/>
      <c r="WQR43" s="819"/>
      <c r="WQS43" s="819"/>
      <c r="WQT43" s="819"/>
      <c r="WQU43" s="819"/>
      <c r="WQV43" s="819"/>
      <c r="WQW43" s="819"/>
      <c r="WQX43" s="819"/>
      <c r="WQY43" s="819"/>
      <c r="WQZ43" s="819"/>
      <c r="WRA43" s="819"/>
      <c r="WRB43" s="819"/>
      <c r="WRC43" s="819"/>
      <c r="WRD43" s="819"/>
      <c r="WRE43" s="819"/>
      <c r="WRF43" s="819"/>
      <c r="WRG43" s="819"/>
      <c r="WRH43" s="819"/>
      <c r="WRI43" s="819"/>
      <c r="WRJ43" s="819"/>
      <c r="WRK43" s="819"/>
      <c r="WRL43" s="819"/>
      <c r="WRM43" s="819"/>
      <c r="WRN43" s="819"/>
      <c r="WRO43" s="819"/>
      <c r="WRP43" s="819"/>
      <c r="WRQ43" s="819"/>
      <c r="WRR43" s="819"/>
      <c r="WRS43" s="819"/>
      <c r="WRT43" s="819"/>
      <c r="WRU43" s="819"/>
      <c r="WRV43" s="819"/>
      <c r="WRW43" s="819"/>
      <c r="WRX43" s="819"/>
      <c r="WRY43" s="819"/>
      <c r="WRZ43" s="819"/>
      <c r="WSA43" s="819"/>
      <c r="WSB43" s="819"/>
      <c r="WSC43" s="819"/>
      <c r="WSD43" s="819"/>
      <c r="WSE43" s="819"/>
      <c r="WSF43" s="819"/>
      <c r="WSG43" s="819"/>
      <c r="WSH43" s="819"/>
      <c r="WSI43" s="819"/>
      <c r="WSJ43" s="819"/>
      <c r="WSK43" s="819"/>
      <c r="WSL43" s="819"/>
      <c r="WSM43" s="819"/>
      <c r="WSN43" s="819"/>
      <c r="WSO43" s="819"/>
      <c r="WSP43" s="819"/>
      <c r="WSQ43" s="819"/>
      <c r="WSR43" s="819"/>
      <c r="WSS43" s="819"/>
      <c r="WST43" s="819"/>
      <c r="WSU43" s="819"/>
      <c r="WSV43" s="819"/>
      <c r="WSW43" s="819"/>
      <c r="WSX43" s="819"/>
      <c r="WSY43" s="819"/>
      <c r="WSZ43" s="819"/>
      <c r="WTA43" s="819"/>
      <c r="WTB43" s="819"/>
      <c r="WTC43" s="819"/>
      <c r="WTD43" s="819"/>
      <c r="WTE43" s="819"/>
      <c r="WTF43" s="819"/>
      <c r="WTG43" s="819"/>
      <c r="WTH43" s="819"/>
      <c r="WTI43" s="819"/>
      <c r="WTJ43" s="819"/>
      <c r="WTK43" s="819"/>
      <c r="WTL43" s="819"/>
      <c r="WTM43" s="819"/>
      <c r="WTN43" s="819"/>
      <c r="WTO43" s="819"/>
      <c r="WTP43" s="819"/>
      <c r="WTQ43" s="819"/>
      <c r="WTR43" s="819"/>
      <c r="WTS43" s="819"/>
      <c r="WTT43" s="819"/>
      <c r="WTU43" s="819"/>
      <c r="WTV43" s="819"/>
      <c r="WTW43" s="819"/>
      <c r="WTX43" s="819"/>
      <c r="WTY43" s="819"/>
      <c r="WTZ43" s="819"/>
      <c r="WUA43" s="819"/>
      <c r="WUB43" s="819"/>
      <c r="WUC43" s="819"/>
      <c r="WUD43" s="819"/>
      <c r="WUE43" s="819"/>
      <c r="WUF43" s="819"/>
      <c r="WUG43" s="819"/>
      <c r="WUH43" s="819"/>
      <c r="WUI43" s="819"/>
      <c r="WUJ43" s="819"/>
      <c r="WUK43" s="819"/>
      <c r="WUL43" s="819"/>
      <c r="WUM43" s="819"/>
      <c r="WUN43" s="819"/>
      <c r="WUO43" s="819"/>
      <c r="WUP43" s="819"/>
      <c r="WUQ43" s="819"/>
      <c r="WUR43" s="819"/>
      <c r="WUS43" s="819"/>
      <c r="WUT43" s="819"/>
      <c r="WUU43" s="819"/>
      <c r="WUV43" s="819"/>
      <c r="WUW43" s="819"/>
      <c r="WUX43" s="819"/>
      <c r="WUY43" s="819"/>
      <c r="WUZ43" s="819"/>
      <c r="WVA43" s="819"/>
      <c r="WVB43" s="819"/>
      <c r="WVC43" s="819"/>
      <c r="WVD43" s="819"/>
      <c r="WVE43" s="819"/>
      <c r="WVF43" s="819"/>
      <c r="WVG43" s="819"/>
      <c r="WVH43" s="819"/>
      <c r="WVI43" s="819"/>
      <c r="WVJ43" s="819"/>
      <c r="WVK43" s="819"/>
      <c r="WVL43" s="819"/>
      <c r="WVM43" s="819"/>
      <c r="WVN43" s="819"/>
      <c r="WVO43" s="819"/>
      <c r="WVP43" s="819"/>
      <c r="WVQ43" s="819"/>
      <c r="WVR43" s="819"/>
      <c r="WVS43" s="819"/>
      <c r="WVT43" s="819"/>
      <c r="WVU43" s="819"/>
      <c r="WVV43" s="819"/>
      <c r="WVW43" s="819"/>
      <c r="WVX43" s="819"/>
      <c r="WVY43" s="819"/>
      <c r="WVZ43" s="819"/>
      <c r="WWA43" s="819"/>
      <c r="WWB43" s="819"/>
      <c r="WWC43" s="819"/>
      <c r="WWD43" s="819"/>
      <c r="WWE43" s="819"/>
      <c r="WWF43" s="819"/>
      <c r="WWG43" s="819"/>
      <c r="WWH43" s="819"/>
      <c r="WWI43" s="819"/>
      <c r="WWJ43" s="819"/>
      <c r="WWK43" s="819"/>
      <c r="WWL43" s="819"/>
      <c r="WWM43" s="819"/>
      <c r="WWN43" s="819"/>
      <c r="WWO43" s="819"/>
      <c r="WWP43" s="819"/>
      <c r="WWQ43" s="819"/>
      <c r="WWR43" s="819"/>
      <c r="WWS43" s="819"/>
      <c r="WWT43" s="819"/>
      <c r="WWU43" s="819"/>
      <c r="WWV43" s="819"/>
      <c r="WWW43" s="819"/>
      <c r="WWX43" s="819"/>
      <c r="WWY43" s="819"/>
      <c r="WWZ43" s="819"/>
      <c r="WXA43" s="819"/>
      <c r="WXB43" s="819"/>
      <c r="WXC43" s="819"/>
      <c r="WXD43" s="819"/>
      <c r="WXE43" s="819"/>
      <c r="WXF43" s="819"/>
      <c r="WXG43" s="819"/>
      <c r="WXH43" s="819"/>
      <c r="WXI43" s="819"/>
      <c r="WXJ43" s="819"/>
      <c r="WXK43" s="819"/>
      <c r="WXL43" s="819"/>
      <c r="WXM43" s="819"/>
      <c r="WXN43" s="819"/>
      <c r="WXO43" s="819"/>
      <c r="WXP43" s="819"/>
      <c r="WXQ43" s="819"/>
      <c r="WXR43" s="819"/>
      <c r="WXS43" s="819"/>
      <c r="WXT43" s="819"/>
      <c r="WXU43" s="819"/>
      <c r="WXV43" s="819"/>
      <c r="WXW43" s="819"/>
      <c r="WXX43" s="819"/>
      <c r="WXY43" s="819"/>
      <c r="WXZ43" s="819"/>
      <c r="WYA43" s="819"/>
      <c r="WYB43" s="819"/>
      <c r="WYC43" s="819"/>
      <c r="WYD43" s="819"/>
      <c r="WYE43" s="819"/>
      <c r="WYF43" s="819"/>
      <c r="WYG43" s="819"/>
      <c r="WYH43" s="819"/>
      <c r="WYI43" s="819"/>
      <c r="WYJ43" s="819"/>
      <c r="WYK43" s="819"/>
      <c r="WYL43" s="819"/>
      <c r="WYM43" s="819"/>
      <c r="WYN43" s="819"/>
      <c r="WYO43" s="819"/>
      <c r="WYP43" s="819"/>
      <c r="WYQ43" s="819"/>
      <c r="WYR43" s="819"/>
      <c r="WYS43" s="819"/>
      <c r="WYT43" s="819"/>
      <c r="WYU43" s="819"/>
      <c r="WYV43" s="819"/>
      <c r="WYW43" s="819"/>
      <c r="WYX43" s="819"/>
      <c r="WYY43" s="819"/>
      <c r="WYZ43" s="819"/>
      <c r="WZA43" s="819"/>
      <c r="WZB43" s="819"/>
      <c r="WZC43" s="819"/>
      <c r="WZD43" s="819"/>
      <c r="WZE43" s="819"/>
      <c r="WZF43" s="819"/>
      <c r="WZG43" s="819"/>
      <c r="WZH43" s="819"/>
      <c r="WZI43" s="819"/>
      <c r="WZJ43" s="819"/>
      <c r="WZK43" s="819"/>
      <c r="WZL43" s="819"/>
      <c r="WZM43" s="819"/>
      <c r="WZN43" s="819"/>
      <c r="WZO43" s="819"/>
      <c r="WZP43" s="819"/>
      <c r="WZQ43" s="819"/>
      <c r="WZR43" s="819"/>
      <c r="WZS43" s="819"/>
      <c r="WZT43" s="819"/>
      <c r="WZU43" s="819"/>
      <c r="WZV43" s="819"/>
      <c r="WZW43" s="819"/>
      <c r="WZX43" s="819"/>
      <c r="WZY43" s="819"/>
      <c r="WZZ43" s="819"/>
      <c r="XAA43" s="819"/>
      <c r="XAB43" s="819"/>
      <c r="XAC43" s="819"/>
      <c r="XAD43" s="819"/>
      <c r="XAE43" s="819"/>
      <c r="XAF43" s="819"/>
      <c r="XAG43" s="819"/>
      <c r="XAH43" s="819"/>
      <c r="XAI43" s="819"/>
      <c r="XAJ43" s="819"/>
      <c r="XAK43" s="819"/>
      <c r="XAL43" s="819"/>
      <c r="XAM43" s="819"/>
      <c r="XAN43" s="819"/>
      <c r="XAO43" s="819"/>
      <c r="XAP43" s="819"/>
      <c r="XAQ43" s="819"/>
      <c r="XAR43" s="819"/>
      <c r="XAS43" s="819"/>
      <c r="XAT43" s="819"/>
      <c r="XAU43" s="819"/>
      <c r="XAV43" s="819"/>
      <c r="XAW43" s="819"/>
      <c r="XAX43" s="819"/>
      <c r="XAY43" s="819"/>
      <c r="XAZ43" s="819"/>
      <c r="XBA43" s="819"/>
      <c r="XBB43" s="819"/>
      <c r="XBC43" s="819"/>
      <c r="XBD43" s="819"/>
      <c r="XBE43" s="819"/>
      <c r="XBF43" s="819"/>
      <c r="XBG43" s="819"/>
      <c r="XBH43" s="819"/>
      <c r="XBI43" s="819"/>
      <c r="XBJ43" s="819"/>
      <c r="XBK43" s="819"/>
      <c r="XBL43" s="819"/>
      <c r="XBM43" s="819"/>
      <c r="XBN43" s="819"/>
      <c r="XBO43" s="819"/>
      <c r="XBP43" s="819"/>
      <c r="XBQ43" s="819"/>
      <c r="XBR43" s="819"/>
      <c r="XBS43" s="819"/>
      <c r="XBT43" s="819"/>
      <c r="XBU43" s="819"/>
      <c r="XBV43" s="819"/>
      <c r="XBW43" s="819"/>
      <c r="XBX43" s="819"/>
      <c r="XBY43" s="819"/>
      <c r="XBZ43" s="819"/>
      <c r="XCA43" s="819"/>
      <c r="XCB43" s="819"/>
      <c r="XCC43" s="819"/>
      <c r="XCD43" s="819"/>
      <c r="XCE43" s="819"/>
      <c r="XCF43" s="819"/>
      <c r="XCG43" s="819"/>
      <c r="XCH43" s="819"/>
      <c r="XCI43" s="819"/>
      <c r="XCJ43" s="819"/>
      <c r="XCK43" s="819"/>
      <c r="XCL43" s="819"/>
      <c r="XCM43" s="819"/>
      <c r="XCN43" s="819"/>
      <c r="XCO43" s="819"/>
      <c r="XCP43" s="819"/>
      <c r="XCQ43" s="819"/>
      <c r="XCR43" s="819"/>
      <c r="XCS43" s="819"/>
      <c r="XCT43" s="819"/>
      <c r="XCU43" s="819"/>
      <c r="XCV43" s="819"/>
      <c r="XCW43" s="819"/>
      <c r="XCX43" s="819"/>
      <c r="XCY43" s="819"/>
      <c r="XCZ43" s="819"/>
      <c r="XDA43" s="819"/>
      <c r="XDB43" s="819"/>
      <c r="XDC43" s="819"/>
      <c r="XDD43" s="819"/>
      <c r="XDE43" s="819"/>
      <c r="XDF43" s="819"/>
      <c r="XDG43" s="819"/>
      <c r="XDH43" s="819"/>
      <c r="XDI43" s="819"/>
      <c r="XDJ43" s="819"/>
      <c r="XDK43" s="819"/>
      <c r="XDL43" s="819"/>
      <c r="XDM43" s="819"/>
      <c r="XDN43" s="819"/>
      <c r="XDO43" s="819"/>
      <c r="XDP43" s="819"/>
      <c r="XDQ43" s="819"/>
      <c r="XDR43" s="819"/>
      <c r="XDS43" s="819"/>
      <c r="XDT43" s="819"/>
      <c r="XDU43" s="819"/>
      <c r="XDV43" s="819"/>
      <c r="XDW43" s="819"/>
      <c r="XDX43" s="819"/>
      <c r="XDY43" s="819"/>
      <c r="XDZ43" s="819"/>
    </row>
    <row r="44" spans="1:16354" s="819" customFormat="1">
      <c r="A44" s="806"/>
      <c r="B44" s="959"/>
      <c r="C44" s="806" t="s">
        <v>304</v>
      </c>
      <c r="D44"/>
      <c r="E44" s="856">
        <f t="shared" ref="E44:H48" si="12">+O20/O9</f>
        <v>0.17348429510591673</v>
      </c>
      <c r="F44" s="856">
        <f t="shared" si="12"/>
        <v>0.16109579600275672</v>
      </c>
      <c r="G44" s="856">
        <f t="shared" si="12"/>
        <v>0.16515770003691096</v>
      </c>
      <c r="H44" s="856">
        <f t="shared" si="12"/>
        <v>0.16750000000000004</v>
      </c>
      <c r="I44" s="856">
        <f t="shared" ref="I44:J48" si="13">+S20/S9</f>
        <v>0.16750000000000001</v>
      </c>
      <c r="J44" s="856">
        <f t="shared" si="13"/>
        <v>0.16750000000000001</v>
      </c>
      <c r="L44" s="806"/>
      <c r="M44" s="806"/>
      <c r="N44" s="848"/>
      <c r="O44" s="960"/>
      <c r="P44" s="960"/>
      <c r="Q44" s="961"/>
      <c r="R44" s="961"/>
      <c r="S44" s="961"/>
      <c r="T44" s="961"/>
      <c r="U44" s="1039"/>
      <c r="V44" s="806"/>
      <c r="W44" s="806"/>
      <c r="X44" s="806"/>
      <c r="Y44" s="806"/>
      <c r="Z44" s="806"/>
      <c r="AA44" s="806"/>
      <c r="AB44" s="806"/>
      <c r="AC44" s="806"/>
      <c r="AD44" s="806"/>
      <c r="AE44" s="806"/>
      <c r="AF44" s="806"/>
      <c r="AG44" s="806"/>
      <c r="AH44" s="806"/>
      <c r="AI44" s="806"/>
      <c r="AJ44" s="806"/>
      <c r="AK44" s="806"/>
      <c r="AL44" s="806"/>
      <c r="AM44" s="806"/>
      <c r="AN44" s="806"/>
      <c r="AO44" s="806"/>
      <c r="AP44" s="806"/>
      <c r="AQ44" s="806"/>
      <c r="AR44" s="806"/>
      <c r="AS44" s="806"/>
      <c r="AT44" s="806"/>
      <c r="AU44" s="806"/>
      <c r="AV44" s="806"/>
      <c r="AW44" s="806"/>
      <c r="AX44" s="806"/>
      <c r="AY44" s="806"/>
      <c r="AZ44" s="806"/>
      <c r="BA44" s="806"/>
      <c r="BB44" s="806"/>
      <c r="BC44" s="806"/>
      <c r="BD44" s="806"/>
      <c r="BE44" s="806"/>
      <c r="BF44" s="806"/>
      <c r="BG44" s="806"/>
      <c r="BH44" s="806"/>
      <c r="BI44" s="806"/>
      <c r="BJ44" s="806"/>
      <c r="BK44" s="806"/>
      <c r="BL44" s="806"/>
      <c r="BM44" s="806"/>
      <c r="BN44" s="806"/>
      <c r="BO44" s="806"/>
      <c r="BP44" s="806"/>
      <c r="BQ44" s="806"/>
      <c r="BR44" s="806"/>
      <c r="BS44" s="806"/>
      <c r="BT44" s="806"/>
      <c r="BU44" s="806"/>
      <c r="BV44" s="806"/>
      <c r="BW44" s="806"/>
      <c r="BX44" s="806"/>
      <c r="BY44" s="806"/>
      <c r="BZ44" s="806"/>
      <c r="CA44" s="806"/>
      <c r="CB44" s="806"/>
      <c r="CC44" s="806"/>
      <c r="CD44" s="806"/>
      <c r="CE44" s="806"/>
      <c r="CF44" s="806"/>
      <c r="CG44" s="806"/>
      <c r="CH44" s="806"/>
      <c r="CI44" s="806"/>
      <c r="CJ44" s="806"/>
      <c r="CK44" s="806"/>
      <c r="CL44" s="806"/>
      <c r="CM44" s="806"/>
      <c r="CN44" s="806"/>
      <c r="CO44" s="806"/>
      <c r="CP44" s="806"/>
      <c r="CQ44" s="806"/>
      <c r="CR44" s="806"/>
      <c r="CS44" s="806"/>
      <c r="CT44" s="806"/>
      <c r="CU44" s="806"/>
      <c r="CV44" s="806"/>
      <c r="CW44" s="806"/>
      <c r="CX44" s="806"/>
      <c r="CY44" s="806"/>
      <c r="CZ44" s="806"/>
      <c r="DA44" s="806"/>
      <c r="DB44" s="806"/>
      <c r="DC44" s="806"/>
      <c r="DD44" s="806"/>
      <c r="DE44" s="806"/>
      <c r="DF44" s="806"/>
      <c r="DG44" s="806"/>
      <c r="DH44" s="806"/>
      <c r="DI44" s="806"/>
      <c r="DJ44" s="806"/>
      <c r="DK44" s="806"/>
      <c r="DL44" s="806"/>
      <c r="DM44" s="806"/>
      <c r="DN44" s="806"/>
      <c r="DO44" s="806"/>
      <c r="DP44" s="806"/>
      <c r="DQ44" s="806"/>
      <c r="DR44" s="806"/>
      <c r="DS44" s="806"/>
      <c r="DT44" s="806"/>
      <c r="DU44" s="806"/>
      <c r="DV44" s="806"/>
      <c r="DW44" s="806"/>
      <c r="DX44" s="806"/>
      <c r="DY44" s="806"/>
      <c r="DZ44" s="806"/>
      <c r="EA44" s="806"/>
      <c r="EB44" s="806"/>
      <c r="EC44" s="806"/>
      <c r="ED44" s="806"/>
      <c r="EE44" s="806"/>
      <c r="EF44" s="806"/>
      <c r="EG44" s="806"/>
      <c r="EH44" s="806"/>
      <c r="EI44" s="806"/>
      <c r="EJ44" s="806"/>
      <c r="EK44" s="806"/>
      <c r="EL44" s="806"/>
      <c r="EM44" s="806"/>
      <c r="EN44" s="806"/>
      <c r="EO44" s="806"/>
      <c r="EP44" s="806"/>
      <c r="EQ44" s="806"/>
      <c r="ER44" s="806"/>
      <c r="ES44" s="806"/>
      <c r="ET44" s="806"/>
      <c r="EU44" s="806"/>
      <c r="EV44" s="806"/>
      <c r="EW44" s="806"/>
      <c r="EX44" s="806"/>
      <c r="EY44" s="806"/>
      <c r="EZ44" s="806"/>
      <c r="FA44" s="806"/>
      <c r="FB44" s="806"/>
      <c r="FC44" s="806"/>
      <c r="FD44" s="806"/>
      <c r="FE44" s="806"/>
      <c r="FF44" s="806"/>
      <c r="FG44" s="806"/>
      <c r="FH44" s="806"/>
      <c r="FI44" s="806"/>
      <c r="FJ44" s="806"/>
      <c r="FK44" s="806"/>
      <c r="FL44" s="806"/>
      <c r="FM44" s="806"/>
      <c r="FN44" s="806"/>
      <c r="FO44" s="806"/>
      <c r="FP44" s="806"/>
      <c r="FQ44" s="806"/>
      <c r="FR44" s="806"/>
      <c r="FS44" s="806"/>
      <c r="FT44" s="806"/>
      <c r="FU44" s="806"/>
      <c r="FV44" s="806"/>
      <c r="FW44" s="806"/>
      <c r="FX44" s="806"/>
      <c r="FY44" s="806"/>
      <c r="FZ44" s="806"/>
      <c r="GA44" s="806"/>
      <c r="GB44" s="806"/>
      <c r="GC44" s="806"/>
      <c r="GD44" s="806"/>
      <c r="GE44" s="806"/>
      <c r="GF44" s="806"/>
      <c r="GG44" s="806"/>
      <c r="GH44" s="806"/>
      <c r="GI44" s="806"/>
      <c r="GJ44" s="806"/>
      <c r="GK44" s="806"/>
      <c r="GL44" s="806"/>
      <c r="GM44" s="806"/>
      <c r="GN44" s="806"/>
      <c r="GO44" s="806"/>
      <c r="GP44" s="806"/>
      <c r="GQ44" s="806"/>
      <c r="GR44" s="806"/>
      <c r="GS44" s="806"/>
      <c r="GT44" s="806"/>
      <c r="GU44" s="806"/>
      <c r="GV44" s="806"/>
      <c r="GW44" s="806"/>
      <c r="GX44" s="806"/>
      <c r="GY44" s="806"/>
      <c r="GZ44" s="806"/>
      <c r="HA44" s="806"/>
      <c r="HB44" s="806"/>
      <c r="HC44" s="806"/>
      <c r="HD44" s="806"/>
      <c r="HE44" s="806"/>
      <c r="HF44" s="806"/>
      <c r="HG44" s="806"/>
      <c r="HH44" s="806"/>
      <c r="HI44" s="806"/>
      <c r="HJ44" s="806"/>
      <c r="HK44" s="806"/>
      <c r="HL44" s="806"/>
      <c r="HM44" s="806"/>
      <c r="HN44" s="806"/>
      <c r="HO44" s="806"/>
      <c r="HP44" s="806"/>
      <c r="HQ44" s="806"/>
      <c r="HR44" s="806"/>
      <c r="HS44" s="806"/>
      <c r="HT44" s="806"/>
      <c r="HU44" s="806"/>
      <c r="HV44" s="806"/>
      <c r="HW44" s="806"/>
      <c r="HX44" s="806"/>
      <c r="HY44" s="806"/>
      <c r="HZ44" s="806"/>
      <c r="IA44" s="806"/>
      <c r="IB44" s="806"/>
      <c r="IC44" s="806"/>
      <c r="ID44" s="806"/>
      <c r="IE44" s="806"/>
      <c r="IF44" s="806"/>
      <c r="IG44" s="806"/>
      <c r="IH44" s="806"/>
      <c r="II44" s="806"/>
      <c r="IJ44" s="806"/>
      <c r="IK44" s="806"/>
      <c r="IL44" s="806"/>
      <c r="IM44" s="806"/>
      <c r="IN44" s="806"/>
      <c r="IO44" s="806"/>
      <c r="IP44" s="806"/>
      <c r="IQ44" s="806"/>
      <c r="IR44" s="806"/>
      <c r="IS44" s="806"/>
      <c r="IT44" s="806"/>
      <c r="IU44" s="806"/>
      <c r="IV44" s="806"/>
      <c r="IW44" s="806"/>
      <c r="IX44" s="806"/>
      <c r="IY44" s="806"/>
      <c r="IZ44" s="806"/>
      <c r="JA44" s="806"/>
      <c r="JB44" s="806"/>
      <c r="JC44" s="806"/>
      <c r="JD44" s="806"/>
      <c r="JE44" s="806"/>
      <c r="JF44" s="806"/>
      <c r="JG44" s="806"/>
      <c r="JH44" s="806"/>
      <c r="JI44" s="806"/>
      <c r="JJ44" s="806"/>
      <c r="JK44" s="806"/>
      <c r="JL44" s="806"/>
      <c r="JM44" s="806"/>
      <c r="JN44" s="806"/>
      <c r="JO44" s="806"/>
      <c r="JP44" s="806"/>
      <c r="JQ44" s="806"/>
      <c r="JR44" s="806"/>
      <c r="JS44" s="806"/>
      <c r="JT44" s="806"/>
      <c r="JU44" s="806"/>
      <c r="JV44" s="806"/>
      <c r="JW44" s="806"/>
      <c r="JX44" s="806"/>
      <c r="JY44" s="806"/>
      <c r="JZ44" s="806"/>
      <c r="KA44" s="806"/>
      <c r="KB44" s="806"/>
      <c r="KC44" s="806"/>
      <c r="KD44" s="806"/>
      <c r="KE44" s="806"/>
      <c r="KF44" s="806"/>
      <c r="KG44" s="806"/>
      <c r="KH44" s="806"/>
      <c r="KI44" s="806"/>
      <c r="KJ44" s="806"/>
      <c r="KK44" s="806"/>
      <c r="KL44" s="806"/>
      <c r="KM44" s="806"/>
      <c r="KN44" s="806"/>
      <c r="KO44" s="806"/>
      <c r="KP44" s="806"/>
      <c r="KQ44" s="806"/>
      <c r="KR44" s="806"/>
      <c r="KS44" s="806"/>
      <c r="KT44" s="806"/>
      <c r="KU44" s="806"/>
      <c r="KV44" s="806"/>
      <c r="KW44" s="806"/>
      <c r="KX44" s="806"/>
      <c r="KY44" s="806"/>
      <c r="KZ44" s="806"/>
      <c r="LA44" s="806"/>
      <c r="LB44" s="806"/>
      <c r="LC44" s="806"/>
      <c r="LD44" s="806"/>
      <c r="LE44" s="806"/>
      <c r="LF44" s="806"/>
      <c r="LG44" s="806"/>
      <c r="LH44" s="806"/>
      <c r="LI44" s="806"/>
      <c r="LJ44" s="806"/>
      <c r="LK44" s="806"/>
      <c r="LL44" s="806"/>
      <c r="LM44" s="806"/>
      <c r="LN44" s="806"/>
      <c r="LO44" s="806"/>
      <c r="LP44" s="806"/>
      <c r="LQ44" s="806"/>
      <c r="LR44" s="806"/>
      <c r="LS44" s="806"/>
      <c r="LT44" s="806"/>
      <c r="LU44" s="806"/>
      <c r="LV44" s="806"/>
      <c r="LW44" s="806"/>
      <c r="LX44" s="806"/>
      <c r="LY44" s="806"/>
      <c r="LZ44" s="806"/>
      <c r="MA44" s="806"/>
      <c r="MB44" s="806"/>
      <c r="MC44" s="806"/>
      <c r="MD44" s="806"/>
      <c r="ME44" s="806"/>
      <c r="MF44" s="806"/>
      <c r="MG44" s="806"/>
      <c r="MH44" s="806"/>
      <c r="MI44" s="806"/>
      <c r="MJ44" s="806"/>
      <c r="MK44" s="806"/>
      <c r="ML44" s="806"/>
      <c r="MM44" s="806"/>
      <c r="MN44" s="806"/>
      <c r="MO44" s="806"/>
      <c r="MP44" s="806"/>
      <c r="MQ44" s="806"/>
      <c r="MR44" s="806"/>
      <c r="MS44" s="806"/>
      <c r="MT44" s="806"/>
      <c r="MU44" s="806"/>
      <c r="MV44" s="806"/>
      <c r="MW44" s="806"/>
      <c r="MX44" s="806"/>
      <c r="MY44" s="806"/>
      <c r="MZ44" s="806"/>
      <c r="NA44" s="806"/>
      <c r="NB44" s="806"/>
      <c r="NC44" s="806"/>
      <c r="ND44" s="806"/>
      <c r="NE44" s="806"/>
      <c r="NF44" s="806"/>
      <c r="NG44" s="806"/>
      <c r="NH44" s="806"/>
      <c r="NI44" s="806"/>
      <c r="NJ44" s="806"/>
      <c r="NK44" s="806"/>
      <c r="NL44" s="806"/>
      <c r="NM44" s="806"/>
      <c r="NN44" s="806"/>
      <c r="NO44" s="806"/>
      <c r="NP44" s="806"/>
      <c r="NQ44" s="806"/>
      <c r="NR44" s="806"/>
      <c r="NS44" s="806"/>
      <c r="NT44" s="806"/>
      <c r="NU44" s="806"/>
      <c r="NV44" s="806"/>
      <c r="NW44" s="806"/>
      <c r="NX44" s="806"/>
      <c r="NY44" s="806"/>
      <c r="NZ44" s="806"/>
      <c r="OA44" s="806"/>
      <c r="OB44" s="806"/>
      <c r="OC44" s="806"/>
      <c r="OD44" s="806"/>
      <c r="OE44" s="806"/>
      <c r="OF44" s="806"/>
      <c r="OG44" s="806"/>
      <c r="OH44" s="806"/>
      <c r="OI44" s="806"/>
      <c r="OJ44" s="806"/>
      <c r="OK44" s="806"/>
      <c r="OL44" s="806"/>
      <c r="OM44" s="806"/>
      <c r="ON44" s="806"/>
      <c r="OO44" s="806"/>
      <c r="OP44" s="806"/>
      <c r="OQ44" s="806"/>
      <c r="OR44" s="806"/>
      <c r="OS44" s="806"/>
      <c r="OT44" s="806"/>
      <c r="OU44" s="806"/>
      <c r="OV44" s="806"/>
      <c r="OW44" s="806"/>
      <c r="OX44" s="806"/>
      <c r="OY44" s="806"/>
      <c r="OZ44" s="806"/>
      <c r="PA44" s="806"/>
      <c r="PB44" s="806"/>
      <c r="PC44" s="806"/>
      <c r="PD44" s="806"/>
      <c r="PE44" s="806"/>
      <c r="PF44" s="806"/>
      <c r="PG44" s="806"/>
      <c r="PH44" s="806"/>
      <c r="PI44" s="806"/>
      <c r="PJ44" s="806"/>
      <c r="PK44" s="806"/>
      <c r="PL44" s="806"/>
      <c r="PM44" s="806"/>
      <c r="PN44" s="806"/>
      <c r="PO44" s="806"/>
      <c r="PP44" s="806"/>
      <c r="PQ44" s="806"/>
      <c r="PR44" s="806"/>
      <c r="PS44" s="806"/>
      <c r="PT44" s="806"/>
      <c r="PU44" s="806"/>
      <c r="PV44" s="806"/>
      <c r="PW44" s="806"/>
      <c r="PX44" s="806"/>
      <c r="PY44" s="806"/>
      <c r="PZ44" s="806"/>
      <c r="QA44" s="806"/>
      <c r="QB44" s="806"/>
      <c r="QC44" s="806"/>
      <c r="QD44" s="806"/>
      <c r="QE44" s="806"/>
      <c r="QF44" s="806"/>
      <c r="QG44" s="806"/>
      <c r="QH44" s="806"/>
      <c r="QI44" s="806"/>
      <c r="QJ44" s="806"/>
      <c r="QK44" s="806"/>
      <c r="QL44" s="806"/>
      <c r="QM44" s="806"/>
      <c r="QN44" s="806"/>
      <c r="QO44" s="806"/>
      <c r="QP44" s="806"/>
      <c r="QQ44" s="806"/>
      <c r="QR44" s="806"/>
      <c r="QS44" s="806"/>
      <c r="QT44" s="806"/>
      <c r="QU44" s="806"/>
      <c r="QV44" s="806"/>
      <c r="QW44" s="806"/>
      <c r="QX44" s="806"/>
      <c r="QY44" s="806"/>
      <c r="QZ44" s="806"/>
      <c r="RA44" s="806"/>
      <c r="RB44" s="806"/>
      <c r="RC44" s="806"/>
      <c r="RD44" s="806"/>
      <c r="RE44" s="806"/>
      <c r="RF44" s="806"/>
      <c r="RG44" s="806"/>
      <c r="RH44" s="806"/>
      <c r="RI44" s="806"/>
      <c r="RJ44" s="806"/>
      <c r="RK44" s="806"/>
      <c r="RL44" s="806"/>
      <c r="RM44" s="806"/>
      <c r="RN44" s="806"/>
      <c r="RO44" s="806"/>
      <c r="RP44" s="806"/>
      <c r="RQ44" s="806"/>
      <c r="RR44" s="806"/>
      <c r="RS44" s="806"/>
      <c r="RT44" s="806"/>
      <c r="RU44" s="806"/>
      <c r="RV44" s="806"/>
      <c r="RW44" s="806"/>
      <c r="RX44" s="806"/>
      <c r="RY44" s="806"/>
      <c r="RZ44" s="806"/>
      <c r="SA44" s="806"/>
      <c r="SB44" s="806"/>
      <c r="SC44" s="806"/>
      <c r="SD44" s="806"/>
      <c r="SE44" s="806"/>
      <c r="SF44" s="806"/>
      <c r="SG44" s="806"/>
      <c r="SH44" s="806"/>
      <c r="SI44" s="806"/>
      <c r="SJ44" s="806"/>
      <c r="SK44" s="806"/>
      <c r="SL44" s="806"/>
      <c r="SM44" s="806"/>
      <c r="SN44" s="806"/>
      <c r="SO44" s="806"/>
      <c r="SP44" s="806"/>
      <c r="SQ44" s="806"/>
      <c r="SR44" s="806"/>
      <c r="SS44" s="806"/>
      <c r="ST44" s="806"/>
      <c r="SU44" s="806"/>
      <c r="SV44" s="806"/>
      <c r="SW44" s="806"/>
      <c r="SX44" s="806"/>
      <c r="SY44" s="806"/>
      <c r="SZ44" s="806"/>
      <c r="TA44" s="806"/>
      <c r="TB44" s="806"/>
      <c r="TC44" s="806"/>
      <c r="TD44" s="806"/>
      <c r="TE44" s="806"/>
      <c r="TF44" s="806"/>
      <c r="TG44" s="806"/>
      <c r="TH44" s="806"/>
      <c r="TI44" s="806"/>
      <c r="TJ44" s="806"/>
      <c r="TK44" s="806"/>
      <c r="TL44" s="806"/>
      <c r="TM44" s="806"/>
      <c r="TN44" s="806"/>
      <c r="TO44" s="806"/>
      <c r="TP44" s="806"/>
      <c r="TQ44" s="806"/>
      <c r="TR44" s="806"/>
      <c r="TS44" s="806"/>
      <c r="TT44" s="806"/>
      <c r="TU44" s="806"/>
      <c r="TV44" s="806"/>
      <c r="TW44" s="806"/>
      <c r="TX44" s="806"/>
      <c r="TY44" s="806"/>
      <c r="TZ44" s="806"/>
      <c r="UA44" s="806"/>
      <c r="UB44" s="806"/>
      <c r="UC44" s="806"/>
      <c r="UD44" s="806"/>
      <c r="UE44" s="806"/>
      <c r="UF44" s="806"/>
      <c r="UG44" s="806"/>
      <c r="UH44" s="806"/>
      <c r="UI44" s="806"/>
      <c r="UJ44" s="806"/>
      <c r="UK44" s="806"/>
      <c r="UL44" s="806"/>
      <c r="UM44" s="806"/>
      <c r="UN44" s="806"/>
      <c r="UO44" s="806"/>
      <c r="UP44" s="806"/>
      <c r="UQ44" s="806"/>
      <c r="UR44" s="806"/>
      <c r="US44" s="806"/>
      <c r="UT44" s="806"/>
      <c r="UU44" s="806"/>
      <c r="UV44" s="806"/>
      <c r="UW44" s="806"/>
      <c r="UX44" s="806"/>
      <c r="UY44" s="806"/>
      <c r="UZ44" s="806"/>
      <c r="VA44" s="806"/>
      <c r="VB44" s="806"/>
      <c r="VC44" s="806"/>
      <c r="VD44" s="806"/>
      <c r="VE44" s="806"/>
      <c r="VF44" s="806"/>
      <c r="VG44" s="806"/>
      <c r="VH44" s="806"/>
      <c r="VI44" s="806"/>
      <c r="VJ44" s="806"/>
      <c r="VK44" s="806"/>
      <c r="VL44" s="806"/>
      <c r="VM44" s="806"/>
      <c r="VN44" s="806"/>
      <c r="VO44" s="806"/>
      <c r="VP44" s="806"/>
      <c r="VQ44" s="806"/>
      <c r="VR44" s="806"/>
      <c r="VS44" s="806"/>
      <c r="VT44" s="806"/>
      <c r="VU44" s="806"/>
      <c r="VV44" s="806"/>
      <c r="VW44" s="806"/>
      <c r="VX44" s="806"/>
      <c r="VY44" s="806"/>
      <c r="VZ44" s="806"/>
      <c r="WA44" s="806"/>
      <c r="WB44" s="806"/>
      <c r="WC44" s="806"/>
      <c r="WD44" s="806"/>
      <c r="WE44" s="806"/>
      <c r="WF44" s="806"/>
      <c r="WG44" s="806"/>
      <c r="WH44" s="806"/>
      <c r="WI44" s="806"/>
      <c r="WJ44" s="806"/>
      <c r="WK44" s="806"/>
      <c r="WL44" s="806"/>
      <c r="WM44" s="806"/>
      <c r="WN44" s="806"/>
      <c r="WO44" s="806"/>
      <c r="WP44" s="806"/>
      <c r="WQ44" s="806"/>
      <c r="WR44" s="806"/>
      <c r="WS44" s="806"/>
      <c r="WT44" s="806"/>
      <c r="WU44" s="806"/>
      <c r="WV44" s="806"/>
      <c r="WW44" s="806"/>
      <c r="WX44" s="806"/>
      <c r="WY44" s="806"/>
      <c r="WZ44" s="806"/>
      <c r="XA44" s="806"/>
      <c r="XB44" s="806"/>
      <c r="XC44" s="806"/>
      <c r="XD44" s="806"/>
      <c r="XE44" s="806"/>
      <c r="XF44" s="806"/>
      <c r="XG44" s="806"/>
      <c r="XH44" s="806"/>
      <c r="XI44" s="806"/>
      <c r="XJ44" s="806"/>
      <c r="XK44" s="806"/>
      <c r="XL44" s="806"/>
      <c r="XM44" s="806"/>
      <c r="XN44" s="806"/>
      <c r="XO44" s="806"/>
      <c r="XP44" s="806"/>
      <c r="XQ44" s="806"/>
      <c r="XR44" s="806"/>
      <c r="XS44" s="806"/>
      <c r="XT44" s="806"/>
      <c r="XU44" s="806"/>
      <c r="XV44" s="806"/>
      <c r="XW44" s="806"/>
      <c r="XX44" s="806"/>
      <c r="XY44" s="806"/>
      <c r="XZ44" s="806"/>
      <c r="YA44" s="806"/>
      <c r="YB44" s="806"/>
      <c r="YC44" s="806"/>
      <c r="YD44" s="806"/>
      <c r="YE44" s="806"/>
      <c r="YF44" s="806"/>
      <c r="YG44" s="806"/>
      <c r="YH44" s="806"/>
      <c r="YI44" s="806"/>
      <c r="YJ44" s="806"/>
      <c r="YK44" s="806"/>
      <c r="YL44" s="806"/>
      <c r="YM44" s="806"/>
      <c r="YN44" s="806"/>
      <c r="YO44" s="806"/>
      <c r="YP44" s="806"/>
      <c r="YQ44" s="806"/>
      <c r="YR44" s="806"/>
      <c r="YS44" s="806"/>
      <c r="YT44" s="806"/>
      <c r="YU44" s="806"/>
      <c r="YV44" s="806"/>
      <c r="YW44" s="806"/>
      <c r="YX44" s="806"/>
      <c r="YY44" s="806"/>
      <c r="YZ44" s="806"/>
      <c r="ZA44" s="806"/>
      <c r="ZB44" s="806"/>
      <c r="ZC44" s="806"/>
      <c r="ZD44" s="806"/>
      <c r="ZE44" s="806"/>
      <c r="ZF44" s="806"/>
      <c r="ZG44" s="806"/>
      <c r="ZH44" s="806"/>
      <c r="ZI44" s="806"/>
      <c r="ZJ44" s="806"/>
      <c r="ZK44" s="806"/>
      <c r="ZL44" s="806"/>
      <c r="ZM44" s="806"/>
      <c r="ZN44" s="806"/>
      <c r="ZO44" s="806"/>
      <c r="ZP44" s="806"/>
      <c r="ZQ44" s="806"/>
      <c r="ZR44" s="806"/>
      <c r="ZS44" s="806"/>
      <c r="ZT44" s="806"/>
      <c r="ZU44" s="806"/>
      <c r="ZV44" s="806"/>
      <c r="ZW44" s="806"/>
      <c r="ZX44" s="806"/>
      <c r="ZY44" s="806"/>
      <c r="ZZ44" s="806"/>
      <c r="AAA44" s="806"/>
      <c r="AAB44" s="806"/>
      <c r="AAC44" s="806"/>
      <c r="AAD44" s="806"/>
      <c r="AAE44" s="806"/>
      <c r="AAF44" s="806"/>
      <c r="AAG44" s="806"/>
      <c r="AAH44" s="806"/>
      <c r="AAI44" s="806"/>
      <c r="AAJ44" s="806"/>
      <c r="AAK44" s="806"/>
      <c r="AAL44" s="806"/>
      <c r="AAM44" s="806"/>
      <c r="AAN44" s="806"/>
      <c r="AAO44" s="806"/>
      <c r="AAP44" s="806"/>
      <c r="AAQ44" s="806"/>
      <c r="AAR44" s="806"/>
      <c r="AAS44" s="806"/>
      <c r="AAT44" s="806"/>
      <c r="AAU44" s="806"/>
      <c r="AAV44" s="806"/>
      <c r="AAW44" s="806"/>
      <c r="AAX44" s="806"/>
      <c r="AAY44" s="806"/>
      <c r="AAZ44" s="806"/>
      <c r="ABA44" s="806"/>
      <c r="ABB44" s="806"/>
      <c r="ABC44" s="806"/>
      <c r="ABD44" s="806"/>
      <c r="ABE44" s="806"/>
      <c r="ABF44" s="806"/>
      <c r="ABG44" s="806"/>
      <c r="ABH44" s="806"/>
      <c r="ABI44" s="806"/>
      <c r="ABJ44" s="806"/>
      <c r="ABK44" s="806"/>
      <c r="ABL44" s="806"/>
      <c r="ABM44" s="806"/>
      <c r="ABN44" s="806"/>
      <c r="ABO44" s="806"/>
      <c r="ABP44" s="806"/>
      <c r="ABQ44" s="806"/>
      <c r="ABR44" s="806"/>
      <c r="ABS44" s="806"/>
      <c r="ABT44" s="806"/>
      <c r="ABU44" s="806"/>
      <c r="ABV44" s="806"/>
      <c r="ABW44" s="806"/>
      <c r="ABX44" s="806"/>
      <c r="ABY44" s="806"/>
      <c r="ABZ44" s="806"/>
      <c r="ACA44" s="806"/>
      <c r="ACB44" s="806"/>
      <c r="ACC44" s="806"/>
      <c r="ACD44" s="806"/>
      <c r="ACE44" s="806"/>
      <c r="ACF44" s="806"/>
      <c r="ACG44" s="806"/>
      <c r="ACH44" s="806"/>
      <c r="ACI44" s="806"/>
      <c r="ACJ44" s="806"/>
      <c r="ACK44" s="806"/>
      <c r="ACL44" s="806"/>
      <c r="ACM44" s="806"/>
      <c r="ACN44" s="806"/>
      <c r="ACO44" s="806"/>
      <c r="ACP44" s="806"/>
      <c r="ACQ44" s="806"/>
      <c r="ACR44" s="806"/>
      <c r="ACS44" s="806"/>
      <c r="ACT44" s="806"/>
      <c r="ACU44" s="806"/>
      <c r="ACV44" s="806"/>
      <c r="ACW44" s="806"/>
      <c r="ACX44" s="806"/>
      <c r="ACY44" s="806"/>
      <c r="ACZ44" s="806"/>
      <c r="ADA44" s="806"/>
      <c r="ADB44" s="806"/>
      <c r="ADC44" s="806"/>
      <c r="ADD44" s="806"/>
      <c r="ADE44" s="806"/>
      <c r="ADF44" s="806"/>
      <c r="ADG44" s="806"/>
      <c r="ADH44" s="806"/>
      <c r="ADI44" s="806"/>
      <c r="ADJ44" s="806"/>
      <c r="ADK44" s="806"/>
      <c r="ADL44" s="806"/>
      <c r="ADM44" s="806"/>
      <c r="ADN44" s="806"/>
      <c r="ADO44" s="806"/>
      <c r="ADP44" s="806"/>
      <c r="ADQ44" s="806"/>
      <c r="ADR44" s="806"/>
      <c r="ADS44" s="806"/>
      <c r="ADT44" s="806"/>
      <c r="ADU44" s="806"/>
      <c r="ADV44" s="806"/>
      <c r="ADW44" s="806"/>
      <c r="ADX44" s="806"/>
      <c r="ADY44" s="806"/>
      <c r="ADZ44" s="806"/>
      <c r="AEA44" s="806"/>
      <c r="AEB44" s="806"/>
      <c r="AEC44" s="806"/>
      <c r="AED44" s="806"/>
      <c r="AEE44" s="806"/>
      <c r="AEF44" s="806"/>
      <c r="AEG44" s="806"/>
      <c r="AEH44" s="806"/>
      <c r="AEI44" s="806"/>
      <c r="AEJ44" s="806"/>
      <c r="AEK44" s="806"/>
      <c r="AEL44" s="806"/>
      <c r="AEM44" s="806"/>
      <c r="AEN44" s="806"/>
      <c r="AEO44" s="806"/>
      <c r="AEP44" s="806"/>
      <c r="AEQ44" s="806"/>
      <c r="AER44" s="806"/>
      <c r="AES44" s="806"/>
      <c r="AET44" s="806"/>
      <c r="AEU44" s="806"/>
      <c r="AEV44" s="806"/>
      <c r="AEW44" s="806"/>
      <c r="AEX44" s="806"/>
      <c r="AEY44" s="806"/>
      <c r="AEZ44" s="806"/>
      <c r="AFA44" s="806"/>
      <c r="AFB44" s="806"/>
      <c r="AFC44" s="806"/>
      <c r="AFD44" s="806"/>
      <c r="AFE44" s="806"/>
      <c r="AFF44" s="806"/>
      <c r="AFG44" s="806"/>
      <c r="AFH44" s="806"/>
      <c r="AFI44" s="806"/>
      <c r="AFJ44" s="806"/>
      <c r="AFK44" s="806"/>
      <c r="AFL44" s="806"/>
      <c r="AFM44" s="806"/>
      <c r="AFN44" s="806"/>
      <c r="AFO44" s="806"/>
      <c r="AFP44" s="806"/>
      <c r="AFQ44" s="806"/>
      <c r="AFR44" s="806"/>
      <c r="AFS44" s="806"/>
      <c r="AFT44" s="806"/>
      <c r="AFU44" s="806"/>
      <c r="AFV44" s="806"/>
      <c r="AFW44" s="806"/>
      <c r="AFX44" s="806"/>
      <c r="AFY44" s="806"/>
      <c r="AFZ44" s="806"/>
      <c r="AGA44" s="806"/>
      <c r="AGB44" s="806"/>
      <c r="AGC44" s="806"/>
      <c r="AGD44" s="806"/>
      <c r="AGE44" s="806"/>
      <c r="AGF44" s="806"/>
      <c r="AGG44" s="806"/>
      <c r="AGH44" s="806"/>
      <c r="AGI44" s="806"/>
      <c r="AGJ44" s="806"/>
      <c r="AGK44" s="806"/>
      <c r="AGL44" s="806"/>
      <c r="AGM44" s="806"/>
      <c r="AGN44" s="806"/>
      <c r="AGO44" s="806"/>
      <c r="AGP44" s="806"/>
      <c r="AGQ44" s="806"/>
      <c r="AGR44" s="806"/>
      <c r="AGS44" s="806"/>
      <c r="AGT44" s="806"/>
      <c r="AGU44" s="806"/>
      <c r="AGV44" s="806"/>
      <c r="AGW44" s="806"/>
      <c r="AGX44" s="806"/>
      <c r="AGY44" s="806"/>
      <c r="AGZ44" s="806"/>
      <c r="AHA44" s="806"/>
      <c r="AHB44" s="806"/>
      <c r="AHC44" s="806"/>
      <c r="AHD44" s="806"/>
      <c r="AHE44" s="806"/>
      <c r="AHF44" s="806"/>
      <c r="AHG44" s="806"/>
      <c r="AHH44" s="806"/>
      <c r="AHI44" s="806"/>
      <c r="AHJ44" s="806"/>
      <c r="AHK44" s="806"/>
      <c r="AHL44" s="806"/>
      <c r="AHM44" s="806"/>
      <c r="AHN44" s="806"/>
      <c r="AHO44" s="806"/>
      <c r="AHP44" s="806"/>
      <c r="AHQ44" s="806"/>
      <c r="AHR44" s="806"/>
      <c r="AHS44" s="806"/>
      <c r="AHT44" s="806"/>
      <c r="AHU44" s="806"/>
      <c r="AHV44" s="806"/>
      <c r="AHW44" s="806"/>
      <c r="AHX44" s="806"/>
      <c r="AHY44" s="806"/>
      <c r="AHZ44" s="806"/>
      <c r="AIA44" s="806"/>
      <c r="AIB44" s="806"/>
      <c r="AIC44" s="806"/>
      <c r="AID44" s="806"/>
      <c r="AIE44" s="806"/>
      <c r="AIF44" s="806"/>
      <c r="AIG44" s="806"/>
      <c r="AIH44" s="806"/>
      <c r="AII44" s="806"/>
      <c r="AIJ44" s="806"/>
      <c r="AIK44" s="806"/>
      <c r="AIL44" s="806"/>
      <c r="AIM44" s="806"/>
      <c r="AIN44" s="806"/>
      <c r="AIO44" s="806"/>
      <c r="AIP44" s="806"/>
      <c r="AIQ44" s="806"/>
      <c r="AIR44" s="806"/>
      <c r="AIS44" s="806"/>
      <c r="AIT44" s="806"/>
      <c r="AIU44" s="806"/>
      <c r="AIV44" s="806"/>
      <c r="AIW44" s="806"/>
      <c r="AIX44" s="806"/>
      <c r="AIY44" s="806"/>
      <c r="AIZ44" s="806"/>
      <c r="AJA44" s="806"/>
      <c r="AJB44" s="806"/>
      <c r="AJC44" s="806"/>
      <c r="AJD44" s="806"/>
      <c r="AJE44" s="806"/>
      <c r="AJF44" s="806"/>
      <c r="AJG44" s="806"/>
      <c r="AJH44" s="806"/>
      <c r="AJI44" s="806"/>
      <c r="AJJ44" s="806"/>
      <c r="AJK44" s="806"/>
      <c r="AJL44" s="806"/>
      <c r="AJM44" s="806"/>
      <c r="AJN44" s="806"/>
      <c r="AJO44" s="806"/>
      <c r="AJP44" s="806"/>
      <c r="AJQ44" s="806"/>
      <c r="AJR44" s="806"/>
      <c r="AJS44" s="806"/>
      <c r="AJT44" s="806"/>
      <c r="AJU44" s="806"/>
      <c r="AJV44" s="806"/>
      <c r="AJW44" s="806"/>
      <c r="AJX44" s="806"/>
      <c r="AJY44" s="806"/>
      <c r="AJZ44" s="806"/>
      <c r="AKA44" s="806"/>
      <c r="AKB44" s="806"/>
      <c r="AKC44" s="806"/>
      <c r="AKD44" s="806"/>
      <c r="AKE44" s="806"/>
      <c r="AKF44" s="806"/>
      <c r="AKG44" s="806"/>
      <c r="AKH44" s="806"/>
      <c r="AKI44" s="806"/>
      <c r="AKJ44" s="806"/>
      <c r="AKK44" s="806"/>
      <c r="AKL44" s="806"/>
      <c r="AKM44" s="806"/>
      <c r="AKN44" s="806"/>
      <c r="AKO44" s="806"/>
      <c r="AKP44" s="806"/>
      <c r="AKQ44" s="806"/>
      <c r="AKR44" s="806"/>
      <c r="AKS44" s="806"/>
      <c r="AKT44" s="806"/>
      <c r="AKU44" s="806"/>
      <c r="AKV44" s="806"/>
      <c r="AKW44" s="806"/>
      <c r="AKX44" s="806"/>
      <c r="AKY44" s="806"/>
      <c r="AKZ44" s="806"/>
      <c r="ALA44" s="806"/>
      <c r="ALB44" s="806"/>
      <c r="ALC44" s="806"/>
      <c r="ALD44" s="806"/>
      <c r="ALE44" s="806"/>
      <c r="ALF44" s="806"/>
      <c r="ALG44" s="806"/>
      <c r="ALH44" s="806"/>
      <c r="ALI44" s="806"/>
      <c r="ALJ44" s="806"/>
      <c r="ALK44" s="806"/>
      <c r="ALL44" s="806"/>
      <c r="ALM44" s="806"/>
      <c r="ALN44" s="806"/>
      <c r="ALO44" s="806"/>
      <c r="ALP44" s="806"/>
      <c r="ALQ44" s="806"/>
      <c r="ALR44" s="806"/>
      <c r="ALS44" s="806"/>
      <c r="ALT44" s="806"/>
      <c r="ALU44" s="806"/>
      <c r="ALV44" s="806"/>
      <c r="ALW44" s="806"/>
      <c r="ALX44" s="806"/>
      <c r="ALY44" s="806"/>
      <c r="ALZ44" s="806"/>
      <c r="AMA44" s="806"/>
      <c r="AMB44" s="806"/>
      <c r="AMC44" s="806"/>
      <c r="AMD44" s="806"/>
      <c r="AME44" s="806"/>
      <c r="AMF44" s="806"/>
      <c r="AMG44" s="806"/>
      <c r="AMH44" s="806"/>
      <c r="AMI44" s="806"/>
      <c r="AMJ44" s="806"/>
      <c r="AMK44" s="806"/>
      <c r="AML44" s="806"/>
      <c r="AMM44" s="806"/>
      <c r="AMN44" s="806"/>
      <c r="AMO44" s="806"/>
      <c r="AMP44" s="806"/>
      <c r="AMQ44" s="806"/>
      <c r="AMR44" s="806"/>
      <c r="AMS44" s="806"/>
      <c r="AMT44" s="806"/>
      <c r="AMU44" s="806"/>
      <c r="AMV44" s="806"/>
      <c r="AMW44" s="806"/>
      <c r="AMX44" s="806"/>
      <c r="AMY44" s="806"/>
      <c r="AMZ44" s="806"/>
      <c r="ANA44" s="806"/>
      <c r="ANB44" s="806"/>
      <c r="ANC44" s="806"/>
      <c r="AND44" s="806"/>
      <c r="ANE44" s="806"/>
      <c r="ANF44" s="806"/>
      <c r="ANG44" s="806"/>
      <c r="ANH44" s="806"/>
      <c r="ANI44" s="806"/>
      <c r="ANJ44" s="806"/>
      <c r="ANK44" s="806"/>
      <c r="ANL44" s="806"/>
      <c r="ANM44" s="806"/>
      <c r="ANN44" s="806"/>
      <c r="ANO44" s="806"/>
      <c r="ANP44" s="806"/>
      <c r="ANQ44" s="806"/>
      <c r="ANR44" s="806"/>
      <c r="ANS44" s="806"/>
      <c r="ANT44" s="806"/>
      <c r="ANU44" s="806"/>
      <c r="ANV44" s="806"/>
      <c r="ANW44" s="806"/>
      <c r="ANX44" s="806"/>
      <c r="ANY44" s="806"/>
      <c r="ANZ44" s="806"/>
      <c r="AOA44" s="806"/>
      <c r="AOB44" s="806"/>
      <c r="AOC44" s="806"/>
      <c r="AOD44" s="806"/>
      <c r="AOE44" s="806"/>
      <c r="AOF44" s="806"/>
      <c r="AOG44" s="806"/>
      <c r="AOH44" s="806"/>
      <c r="AOI44" s="806"/>
      <c r="AOJ44" s="806"/>
      <c r="AOK44" s="806"/>
      <c r="AOL44" s="806"/>
      <c r="AOM44" s="806"/>
      <c r="AON44" s="806"/>
      <c r="AOO44" s="806"/>
      <c r="AOP44" s="806"/>
      <c r="AOQ44" s="806"/>
      <c r="AOR44" s="806"/>
      <c r="AOS44" s="806"/>
      <c r="AOT44" s="806"/>
      <c r="AOU44" s="806"/>
      <c r="AOV44" s="806"/>
      <c r="AOW44" s="806"/>
      <c r="AOX44" s="806"/>
      <c r="AOY44" s="806"/>
      <c r="AOZ44" s="806"/>
      <c r="APA44" s="806"/>
      <c r="APB44" s="806"/>
      <c r="APC44" s="806"/>
      <c r="APD44" s="806"/>
      <c r="APE44" s="806"/>
      <c r="APF44" s="806"/>
      <c r="APG44" s="806"/>
      <c r="APH44" s="806"/>
      <c r="API44" s="806"/>
      <c r="APJ44" s="806"/>
      <c r="APK44" s="806"/>
      <c r="APL44" s="806"/>
      <c r="APM44" s="806"/>
      <c r="APN44" s="806"/>
      <c r="APO44" s="806"/>
      <c r="APP44" s="806"/>
      <c r="APQ44" s="806"/>
      <c r="APR44" s="806"/>
      <c r="APS44" s="806"/>
      <c r="APT44" s="806"/>
      <c r="APU44" s="806"/>
      <c r="APV44" s="806"/>
      <c r="APW44" s="806"/>
      <c r="APX44" s="806"/>
      <c r="APY44" s="806"/>
      <c r="APZ44" s="806"/>
      <c r="AQA44" s="806"/>
      <c r="AQB44" s="806"/>
      <c r="AQC44" s="806"/>
      <c r="AQD44" s="806"/>
      <c r="AQE44" s="806"/>
      <c r="AQF44" s="806"/>
      <c r="AQG44" s="806"/>
      <c r="AQH44" s="806"/>
      <c r="AQI44" s="806"/>
      <c r="AQJ44" s="806"/>
      <c r="AQK44" s="806"/>
      <c r="AQL44" s="806"/>
      <c r="AQM44" s="806"/>
      <c r="AQN44" s="806"/>
      <c r="AQO44" s="806"/>
      <c r="AQP44" s="806"/>
      <c r="AQQ44" s="806"/>
      <c r="AQR44" s="806"/>
      <c r="AQS44" s="806"/>
      <c r="AQT44" s="806"/>
      <c r="AQU44" s="806"/>
      <c r="AQV44" s="806"/>
      <c r="AQW44" s="806"/>
      <c r="AQX44" s="806"/>
      <c r="AQY44" s="806"/>
      <c r="AQZ44" s="806"/>
      <c r="ARA44" s="806"/>
      <c r="ARB44" s="806"/>
      <c r="ARC44" s="806"/>
      <c r="ARD44" s="806"/>
      <c r="ARE44" s="806"/>
      <c r="ARF44" s="806"/>
      <c r="ARG44" s="806"/>
      <c r="ARH44" s="806"/>
      <c r="ARI44" s="806"/>
      <c r="ARJ44" s="806"/>
      <c r="ARK44" s="806"/>
      <c r="ARL44" s="806"/>
      <c r="ARM44" s="806"/>
      <c r="ARN44" s="806"/>
      <c r="ARO44" s="806"/>
      <c r="ARP44" s="806"/>
      <c r="ARQ44" s="806"/>
      <c r="ARR44" s="806"/>
      <c r="ARS44" s="806"/>
      <c r="ART44" s="806"/>
      <c r="ARU44" s="806"/>
      <c r="ARV44" s="806"/>
      <c r="ARW44" s="806"/>
      <c r="ARX44" s="806"/>
      <c r="ARY44" s="806"/>
      <c r="ARZ44" s="806"/>
      <c r="ASA44" s="806"/>
      <c r="ASB44" s="806"/>
      <c r="ASC44" s="806"/>
      <c r="ASD44" s="806"/>
      <c r="ASE44" s="806"/>
      <c r="ASF44" s="806"/>
      <c r="ASG44" s="806"/>
      <c r="ASH44" s="806"/>
      <c r="ASI44" s="806"/>
      <c r="ASJ44" s="806"/>
      <c r="ASK44" s="806"/>
      <c r="ASL44" s="806"/>
      <c r="ASM44" s="806"/>
      <c r="ASN44" s="806"/>
      <c r="ASO44" s="806"/>
      <c r="ASP44" s="806"/>
      <c r="ASQ44" s="806"/>
      <c r="ASR44" s="806"/>
      <c r="ASS44" s="806"/>
      <c r="AST44" s="806"/>
      <c r="ASU44" s="806"/>
      <c r="ASV44" s="806"/>
      <c r="ASW44" s="806"/>
      <c r="ASX44" s="806"/>
      <c r="ASY44" s="806"/>
      <c r="ASZ44" s="806"/>
      <c r="ATA44" s="806"/>
      <c r="ATB44" s="806"/>
      <c r="ATC44" s="806"/>
      <c r="ATD44" s="806"/>
      <c r="ATE44" s="806"/>
      <c r="ATF44" s="806"/>
      <c r="ATG44" s="806"/>
      <c r="ATH44" s="806"/>
      <c r="ATI44" s="806"/>
      <c r="ATJ44" s="806"/>
      <c r="ATK44" s="806"/>
      <c r="ATL44" s="806"/>
      <c r="ATM44" s="806"/>
      <c r="ATN44" s="806"/>
      <c r="ATO44" s="806"/>
      <c r="ATP44" s="806"/>
      <c r="ATQ44" s="806"/>
      <c r="ATR44" s="806"/>
      <c r="ATS44" s="806"/>
      <c r="ATT44" s="806"/>
      <c r="ATU44" s="806"/>
      <c r="ATV44" s="806"/>
      <c r="ATW44" s="806"/>
      <c r="ATX44" s="806"/>
      <c r="ATY44" s="806"/>
      <c r="ATZ44" s="806"/>
      <c r="AUA44" s="806"/>
      <c r="AUB44" s="806"/>
      <c r="AUC44" s="806"/>
      <c r="AUD44" s="806"/>
      <c r="AUE44" s="806"/>
      <c r="AUF44" s="806"/>
      <c r="AUG44" s="806"/>
      <c r="AUH44" s="806"/>
      <c r="AUI44" s="806"/>
      <c r="AUJ44" s="806"/>
      <c r="AUK44" s="806"/>
      <c r="AUL44" s="806"/>
      <c r="AUM44" s="806"/>
      <c r="AUN44" s="806"/>
      <c r="AUO44" s="806"/>
      <c r="AUP44" s="806"/>
      <c r="AUQ44" s="806"/>
      <c r="AUR44" s="806"/>
      <c r="AUS44" s="806"/>
      <c r="AUT44" s="806"/>
      <c r="AUU44" s="806"/>
      <c r="AUV44" s="806"/>
      <c r="AUW44" s="806"/>
      <c r="AUX44" s="806"/>
      <c r="AUY44" s="806"/>
      <c r="AUZ44" s="806"/>
      <c r="AVA44" s="806"/>
      <c r="AVB44" s="806"/>
      <c r="AVC44" s="806"/>
      <c r="AVD44" s="806"/>
      <c r="AVE44" s="806"/>
      <c r="AVF44" s="806"/>
      <c r="AVG44" s="806"/>
      <c r="AVH44" s="806"/>
      <c r="AVI44" s="806"/>
      <c r="AVJ44" s="806"/>
      <c r="AVK44" s="806"/>
      <c r="AVL44" s="806"/>
      <c r="AVM44" s="806"/>
      <c r="AVN44" s="806"/>
      <c r="AVO44" s="806"/>
      <c r="AVP44" s="806"/>
      <c r="AVQ44" s="806"/>
      <c r="AVR44" s="806"/>
      <c r="AVS44" s="806"/>
      <c r="AVT44" s="806"/>
      <c r="AVU44" s="806"/>
      <c r="AVV44" s="806"/>
      <c r="AVW44" s="806"/>
      <c r="AVX44" s="806"/>
      <c r="AVY44" s="806"/>
      <c r="AVZ44" s="806"/>
      <c r="AWA44" s="806"/>
      <c r="AWB44" s="806"/>
      <c r="AWC44" s="806"/>
      <c r="AWD44" s="806"/>
      <c r="AWE44" s="806"/>
      <c r="AWF44" s="806"/>
      <c r="AWG44" s="806"/>
      <c r="AWH44" s="806"/>
      <c r="AWI44" s="806"/>
      <c r="AWJ44" s="806"/>
      <c r="AWK44" s="806"/>
      <c r="AWL44" s="806"/>
      <c r="AWM44" s="806"/>
      <c r="AWN44" s="806"/>
      <c r="AWO44" s="806"/>
      <c r="AWP44" s="806"/>
      <c r="AWQ44" s="806"/>
      <c r="AWR44" s="806"/>
      <c r="AWS44" s="806"/>
      <c r="AWT44" s="806"/>
      <c r="AWU44" s="806"/>
      <c r="AWV44" s="806"/>
      <c r="AWW44" s="806"/>
      <c r="AWX44" s="806"/>
      <c r="AWY44" s="806"/>
      <c r="AWZ44" s="806"/>
      <c r="AXA44" s="806"/>
      <c r="AXB44" s="806"/>
      <c r="AXC44" s="806"/>
      <c r="AXD44" s="806"/>
      <c r="AXE44" s="806"/>
      <c r="AXF44" s="806"/>
      <c r="AXG44" s="806"/>
      <c r="AXH44" s="806"/>
      <c r="AXI44" s="806"/>
      <c r="AXJ44" s="806"/>
      <c r="AXK44" s="806"/>
      <c r="AXL44" s="806"/>
      <c r="AXM44" s="806"/>
      <c r="AXN44" s="806"/>
      <c r="AXO44" s="806"/>
      <c r="AXP44" s="806"/>
      <c r="AXQ44" s="806"/>
      <c r="AXR44" s="806"/>
      <c r="AXS44" s="806"/>
      <c r="AXT44" s="806"/>
      <c r="AXU44" s="806"/>
      <c r="AXV44" s="806"/>
      <c r="AXW44" s="806"/>
      <c r="AXX44" s="806"/>
      <c r="AXY44" s="806"/>
      <c r="AXZ44" s="806"/>
      <c r="AYA44" s="806"/>
      <c r="AYB44" s="806"/>
      <c r="AYC44" s="806"/>
      <c r="AYD44" s="806"/>
      <c r="AYE44" s="806"/>
      <c r="AYF44" s="806"/>
      <c r="AYG44" s="806"/>
      <c r="AYH44" s="806"/>
      <c r="AYI44" s="806"/>
      <c r="AYJ44" s="806"/>
      <c r="AYK44" s="806"/>
      <c r="AYL44" s="806"/>
      <c r="AYM44" s="806"/>
      <c r="AYN44" s="806"/>
      <c r="AYO44" s="806"/>
      <c r="AYP44" s="806"/>
      <c r="AYQ44" s="806"/>
      <c r="AYR44" s="806"/>
      <c r="AYS44" s="806"/>
      <c r="AYT44" s="806"/>
      <c r="AYU44" s="806"/>
      <c r="AYV44" s="806"/>
      <c r="AYW44" s="806"/>
      <c r="AYX44" s="806"/>
      <c r="AYY44" s="806"/>
      <c r="AYZ44" s="806"/>
      <c r="AZA44" s="806"/>
      <c r="AZB44" s="806"/>
      <c r="AZC44" s="806"/>
      <c r="AZD44" s="806"/>
      <c r="AZE44" s="806"/>
      <c r="AZF44" s="806"/>
      <c r="AZG44" s="806"/>
      <c r="AZH44" s="806"/>
      <c r="AZI44" s="806"/>
      <c r="AZJ44" s="806"/>
      <c r="AZK44" s="806"/>
      <c r="AZL44" s="806"/>
      <c r="AZM44" s="806"/>
      <c r="AZN44" s="806"/>
      <c r="AZO44" s="806"/>
      <c r="AZP44" s="806"/>
      <c r="AZQ44" s="806"/>
      <c r="AZR44" s="806"/>
      <c r="AZS44" s="806"/>
      <c r="AZT44" s="806"/>
      <c r="AZU44" s="806"/>
      <c r="AZV44" s="806"/>
      <c r="AZW44" s="806"/>
      <c r="AZX44" s="806"/>
      <c r="AZY44" s="806"/>
      <c r="AZZ44" s="806"/>
      <c r="BAA44" s="806"/>
      <c r="BAB44" s="806"/>
      <c r="BAC44" s="806"/>
      <c r="BAD44" s="806"/>
      <c r="BAE44" s="806"/>
      <c r="BAF44" s="806"/>
      <c r="BAG44" s="806"/>
      <c r="BAH44" s="806"/>
      <c r="BAI44" s="806"/>
      <c r="BAJ44" s="806"/>
      <c r="BAK44" s="806"/>
      <c r="BAL44" s="806"/>
      <c r="BAM44" s="806"/>
      <c r="BAN44" s="806"/>
      <c r="BAO44" s="806"/>
      <c r="BAP44" s="806"/>
      <c r="BAQ44" s="806"/>
      <c r="BAR44" s="806"/>
      <c r="BAS44" s="806"/>
      <c r="BAT44" s="806"/>
      <c r="BAU44" s="806"/>
      <c r="BAV44" s="806"/>
      <c r="BAW44" s="806"/>
      <c r="BAX44" s="806"/>
      <c r="BAY44" s="806"/>
      <c r="BAZ44" s="806"/>
      <c r="BBA44" s="806"/>
      <c r="BBB44" s="806"/>
      <c r="BBC44" s="806"/>
      <c r="BBD44" s="806"/>
      <c r="BBE44" s="806"/>
      <c r="BBF44" s="806"/>
      <c r="BBG44" s="806"/>
      <c r="BBH44" s="806"/>
      <c r="BBI44" s="806"/>
      <c r="BBJ44" s="806"/>
      <c r="BBK44" s="806"/>
      <c r="BBL44" s="806"/>
      <c r="BBM44" s="806"/>
      <c r="BBN44" s="806"/>
      <c r="BBO44" s="806"/>
      <c r="BBP44" s="806"/>
      <c r="BBQ44" s="806"/>
      <c r="BBR44" s="806"/>
      <c r="BBS44" s="806"/>
      <c r="BBT44" s="806"/>
      <c r="BBU44" s="806"/>
      <c r="BBV44" s="806"/>
      <c r="BBW44" s="806"/>
      <c r="BBX44" s="806"/>
      <c r="BBY44" s="806"/>
      <c r="BBZ44" s="806"/>
      <c r="BCA44" s="806"/>
      <c r="BCB44" s="806"/>
      <c r="BCC44" s="806"/>
      <c r="BCD44" s="806"/>
      <c r="BCE44" s="806"/>
      <c r="BCF44" s="806"/>
      <c r="BCG44" s="806"/>
      <c r="BCH44" s="806"/>
      <c r="BCI44" s="806"/>
      <c r="BCJ44" s="806"/>
      <c r="BCK44" s="806"/>
      <c r="BCL44" s="806"/>
      <c r="BCM44" s="806"/>
      <c r="BCN44" s="806"/>
      <c r="BCO44" s="806"/>
      <c r="BCP44" s="806"/>
      <c r="BCQ44" s="806"/>
      <c r="BCR44" s="806"/>
      <c r="BCS44" s="806"/>
      <c r="BCT44" s="806"/>
      <c r="BCU44" s="806"/>
      <c r="BCV44" s="806"/>
      <c r="BCW44" s="806"/>
      <c r="BCX44" s="806"/>
      <c r="BCY44" s="806"/>
      <c r="BCZ44" s="806"/>
      <c r="BDA44" s="806"/>
      <c r="BDB44" s="806"/>
      <c r="BDC44" s="806"/>
      <c r="BDD44" s="806"/>
      <c r="BDE44" s="806"/>
      <c r="BDF44" s="806"/>
      <c r="BDG44" s="806"/>
      <c r="BDH44" s="806"/>
      <c r="BDI44" s="806"/>
      <c r="BDJ44" s="806"/>
      <c r="BDK44" s="806"/>
      <c r="BDL44" s="806"/>
      <c r="BDM44" s="806"/>
      <c r="BDN44" s="806"/>
      <c r="BDO44" s="806"/>
      <c r="BDP44" s="806"/>
      <c r="BDQ44" s="806"/>
      <c r="BDR44" s="806"/>
      <c r="BDS44" s="806"/>
      <c r="BDT44" s="806"/>
      <c r="BDU44" s="806"/>
      <c r="BDV44" s="806"/>
      <c r="BDW44" s="806"/>
      <c r="BDX44" s="806"/>
      <c r="BDY44" s="806"/>
      <c r="BDZ44" s="806"/>
      <c r="BEA44" s="806"/>
      <c r="BEB44" s="806"/>
      <c r="BEC44" s="806"/>
      <c r="BED44" s="806"/>
      <c r="BEE44" s="806"/>
      <c r="BEF44" s="806"/>
      <c r="BEG44" s="806"/>
      <c r="BEH44" s="806"/>
      <c r="BEI44" s="806"/>
      <c r="BEJ44" s="806"/>
      <c r="BEK44" s="806"/>
      <c r="BEL44" s="806"/>
      <c r="BEM44" s="806"/>
      <c r="BEN44" s="806"/>
      <c r="BEO44" s="806"/>
      <c r="BEP44" s="806"/>
      <c r="BEQ44" s="806"/>
      <c r="BER44" s="806"/>
      <c r="BES44" s="806"/>
      <c r="BET44" s="806"/>
      <c r="BEU44" s="806"/>
      <c r="BEV44" s="806"/>
      <c r="BEW44" s="806"/>
      <c r="BEX44" s="806"/>
      <c r="BEY44" s="806"/>
      <c r="BEZ44" s="806"/>
      <c r="BFA44" s="806"/>
      <c r="BFB44" s="806"/>
      <c r="BFC44" s="806"/>
      <c r="BFD44" s="806"/>
      <c r="BFE44" s="806"/>
      <c r="BFF44" s="806"/>
      <c r="BFG44" s="806"/>
      <c r="BFH44" s="806"/>
      <c r="BFI44" s="806"/>
      <c r="BFJ44" s="806"/>
      <c r="BFK44" s="806"/>
      <c r="BFL44" s="806"/>
      <c r="BFM44" s="806"/>
      <c r="BFN44" s="806"/>
      <c r="BFO44" s="806"/>
      <c r="BFP44" s="806"/>
      <c r="BFQ44" s="806"/>
      <c r="BFR44" s="806"/>
      <c r="BFS44" s="806"/>
      <c r="BFT44" s="806"/>
      <c r="BFU44" s="806"/>
      <c r="BFV44" s="806"/>
      <c r="BFW44" s="806"/>
      <c r="BFX44" s="806"/>
      <c r="BFY44" s="806"/>
      <c r="BFZ44" s="806"/>
      <c r="BGA44" s="806"/>
      <c r="BGB44" s="806"/>
      <c r="BGC44" s="806"/>
      <c r="BGD44" s="806"/>
      <c r="BGE44" s="806"/>
      <c r="BGF44" s="806"/>
      <c r="BGG44" s="806"/>
      <c r="BGH44" s="806"/>
      <c r="BGI44" s="806"/>
      <c r="BGJ44" s="806"/>
      <c r="BGK44" s="806"/>
      <c r="BGL44" s="806"/>
      <c r="BGM44" s="806"/>
      <c r="BGN44" s="806"/>
      <c r="BGO44" s="806"/>
      <c r="BGP44" s="806"/>
      <c r="BGQ44" s="806"/>
      <c r="BGR44" s="806"/>
      <c r="BGS44" s="806"/>
      <c r="BGT44" s="806"/>
      <c r="BGU44" s="806"/>
      <c r="BGV44" s="806"/>
      <c r="BGW44" s="806"/>
      <c r="BGX44" s="806"/>
      <c r="BGY44" s="806"/>
      <c r="BGZ44" s="806"/>
      <c r="BHA44" s="806"/>
      <c r="BHB44" s="806"/>
      <c r="BHC44" s="806"/>
      <c r="BHD44" s="806"/>
      <c r="BHE44" s="806"/>
      <c r="BHF44" s="806"/>
      <c r="BHG44" s="806"/>
      <c r="BHH44" s="806"/>
      <c r="BHI44" s="806"/>
      <c r="BHJ44" s="806"/>
      <c r="BHK44" s="806"/>
      <c r="BHL44" s="806"/>
      <c r="BHM44" s="806"/>
      <c r="BHN44" s="806"/>
      <c r="BHO44" s="806"/>
      <c r="BHP44" s="806"/>
      <c r="BHQ44" s="806"/>
      <c r="BHR44" s="806"/>
      <c r="BHS44" s="806"/>
      <c r="BHT44" s="806"/>
      <c r="BHU44" s="806"/>
      <c r="BHV44" s="806"/>
      <c r="BHW44" s="806"/>
      <c r="BHX44" s="806"/>
      <c r="BHY44" s="806"/>
      <c r="BHZ44" s="806"/>
      <c r="BIA44" s="806"/>
      <c r="BIB44" s="806"/>
      <c r="BIC44" s="806"/>
      <c r="BID44" s="806"/>
      <c r="BIE44" s="806"/>
      <c r="BIF44" s="806"/>
      <c r="BIG44" s="806"/>
      <c r="BIH44" s="806"/>
      <c r="BII44" s="806"/>
      <c r="BIJ44" s="806"/>
      <c r="BIK44" s="806"/>
      <c r="BIL44" s="806"/>
      <c r="BIM44" s="806"/>
      <c r="BIN44" s="806"/>
      <c r="BIO44" s="806"/>
      <c r="BIP44" s="806"/>
      <c r="BIQ44" s="806"/>
      <c r="BIR44" s="806"/>
      <c r="BIS44" s="806"/>
      <c r="BIT44" s="806"/>
      <c r="BIU44" s="806"/>
      <c r="BIV44" s="806"/>
      <c r="BIW44" s="806"/>
      <c r="BIX44" s="806"/>
      <c r="BIY44" s="806"/>
      <c r="BIZ44" s="806"/>
      <c r="BJA44" s="806"/>
      <c r="BJB44" s="806"/>
      <c r="BJC44" s="806"/>
      <c r="BJD44" s="806"/>
      <c r="BJE44" s="806"/>
      <c r="BJF44" s="806"/>
      <c r="BJG44" s="806"/>
      <c r="BJH44" s="806"/>
      <c r="BJI44" s="806"/>
      <c r="BJJ44" s="806"/>
      <c r="BJK44" s="806"/>
      <c r="BJL44" s="806"/>
      <c r="BJM44" s="806"/>
      <c r="BJN44" s="806"/>
      <c r="BJO44" s="806"/>
      <c r="BJP44" s="806"/>
      <c r="BJQ44" s="806"/>
      <c r="BJR44" s="806"/>
      <c r="BJS44" s="806"/>
      <c r="BJT44" s="806"/>
      <c r="BJU44" s="806"/>
      <c r="BJV44" s="806"/>
      <c r="BJW44" s="806"/>
      <c r="BJX44" s="806"/>
      <c r="BJY44" s="806"/>
      <c r="BJZ44" s="806"/>
      <c r="BKA44" s="806"/>
      <c r="BKB44" s="806"/>
      <c r="BKC44" s="806"/>
      <c r="BKD44" s="806"/>
      <c r="BKE44" s="806"/>
      <c r="BKF44" s="806"/>
      <c r="BKG44" s="806"/>
      <c r="BKH44" s="806"/>
      <c r="BKI44" s="806"/>
      <c r="BKJ44" s="806"/>
      <c r="BKK44" s="806"/>
      <c r="BKL44" s="806"/>
      <c r="BKM44" s="806"/>
      <c r="BKN44" s="806"/>
      <c r="BKO44" s="806"/>
      <c r="BKP44" s="806"/>
      <c r="BKQ44" s="806"/>
      <c r="BKR44" s="806"/>
      <c r="BKS44" s="806"/>
      <c r="BKT44" s="806"/>
      <c r="BKU44" s="806"/>
      <c r="BKV44" s="806"/>
      <c r="BKW44" s="806"/>
      <c r="BKX44" s="806"/>
      <c r="BKY44" s="806"/>
      <c r="BKZ44" s="806"/>
      <c r="BLA44" s="806"/>
      <c r="BLB44" s="806"/>
      <c r="BLC44" s="806"/>
      <c r="BLD44" s="806"/>
      <c r="BLE44" s="806"/>
      <c r="BLF44" s="806"/>
      <c r="BLG44" s="806"/>
      <c r="BLH44" s="806"/>
      <c r="BLI44" s="806"/>
      <c r="BLJ44" s="806"/>
      <c r="BLK44" s="806"/>
      <c r="BLL44" s="806"/>
      <c r="BLM44" s="806"/>
      <c r="BLN44" s="806"/>
      <c r="BLO44" s="806"/>
      <c r="BLP44" s="806"/>
      <c r="BLQ44" s="806"/>
      <c r="BLR44" s="806"/>
      <c r="BLS44" s="806"/>
      <c r="BLT44" s="806"/>
      <c r="BLU44" s="806"/>
      <c r="BLV44" s="806"/>
      <c r="BLW44" s="806"/>
      <c r="BLX44" s="806"/>
      <c r="BLY44" s="806"/>
      <c r="BLZ44" s="806"/>
      <c r="BMA44" s="806"/>
      <c r="BMB44" s="806"/>
      <c r="BMC44" s="806"/>
      <c r="BMD44" s="806"/>
      <c r="BME44" s="806"/>
      <c r="BMF44" s="806"/>
      <c r="BMG44" s="806"/>
      <c r="BMH44" s="806"/>
      <c r="BMI44" s="806"/>
      <c r="BMJ44" s="806"/>
      <c r="BMK44" s="806"/>
      <c r="BML44" s="806"/>
      <c r="BMM44" s="806"/>
      <c r="BMN44" s="806"/>
      <c r="BMO44" s="806"/>
      <c r="BMP44" s="806"/>
      <c r="BMQ44" s="806"/>
      <c r="BMR44" s="806"/>
      <c r="BMS44" s="806"/>
      <c r="BMT44" s="806"/>
      <c r="BMU44" s="806"/>
      <c r="BMV44" s="806"/>
      <c r="BMW44" s="806"/>
      <c r="BMX44" s="806"/>
      <c r="BMY44" s="806"/>
      <c r="BMZ44" s="806"/>
      <c r="BNA44" s="806"/>
      <c r="BNB44" s="806"/>
      <c r="BNC44" s="806"/>
      <c r="BND44" s="806"/>
      <c r="BNE44" s="806"/>
      <c r="BNF44" s="806"/>
      <c r="BNG44" s="806"/>
      <c r="BNH44" s="806"/>
      <c r="BNI44" s="806"/>
      <c r="BNJ44" s="806"/>
      <c r="BNK44" s="806"/>
      <c r="BNL44" s="806"/>
      <c r="BNM44" s="806"/>
      <c r="BNN44" s="806"/>
      <c r="BNO44" s="806"/>
      <c r="BNP44" s="806"/>
      <c r="BNQ44" s="806"/>
      <c r="BNR44" s="806"/>
      <c r="BNS44" s="806"/>
      <c r="BNT44" s="806"/>
      <c r="BNU44" s="806"/>
      <c r="BNV44" s="806"/>
      <c r="BNW44" s="806"/>
      <c r="BNX44" s="806"/>
      <c r="BNY44" s="806"/>
      <c r="BNZ44" s="806"/>
      <c r="BOA44" s="806"/>
      <c r="BOB44" s="806"/>
      <c r="BOC44" s="806"/>
      <c r="BOD44" s="806"/>
      <c r="BOE44" s="806"/>
      <c r="BOF44" s="806"/>
      <c r="BOG44" s="806"/>
      <c r="BOH44" s="806"/>
      <c r="BOI44" s="806"/>
      <c r="BOJ44" s="806"/>
      <c r="BOK44" s="806"/>
      <c r="BOL44" s="806"/>
      <c r="BOM44" s="806"/>
      <c r="BON44" s="806"/>
      <c r="BOO44" s="806"/>
      <c r="BOP44" s="806"/>
      <c r="BOQ44" s="806"/>
      <c r="BOR44" s="806"/>
      <c r="BOS44" s="806"/>
      <c r="BOT44" s="806"/>
      <c r="BOU44" s="806"/>
      <c r="BOV44" s="806"/>
      <c r="BOW44" s="806"/>
      <c r="BOX44" s="806"/>
      <c r="BOY44" s="806"/>
      <c r="BOZ44" s="806"/>
      <c r="BPA44" s="806"/>
      <c r="BPB44" s="806"/>
      <c r="BPC44" s="806"/>
      <c r="BPD44" s="806"/>
      <c r="BPE44" s="806"/>
      <c r="BPF44" s="806"/>
      <c r="BPG44" s="806"/>
      <c r="BPH44" s="806"/>
      <c r="BPI44" s="806"/>
      <c r="BPJ44" s="806"/>
      <c r="BPK44" s="806"/>
      <c r="BPL44" s="806"/>
      <c r="BPM44" s="806"/>
      <c r="BPN44" s="806"/>
      <c r="BPO44" s="806"/>
      <c r="BPP44" s="806"/>
      <c r="BPQ44" s="806"/>
      <c r="BPR44" s="806"/>
      <c r="BPS44" s="806"/>
      <c r="BPT44" s="806"/>
      <c r="BPU44" s="806"/>
      <c r="BPV44" s="806"/>
      <c r="BPW44" s="806"/>
      <c r="BPX44" s="806"/>
      <c r="BPY44" s="806"/>
      <c r="BPZ44" s="806"/>
      <c r="BQA44" s="806"/>
      <c r="BQB44" s="806"/>
      <c r="BQC44" s="806"/>
      <c r="BQD44" s="806"/>
      <c r="BQE44" s="806"/>
      <c r="BQF44" s="806"/>
      <c r="BQG44" s="806"/>
      <c r="BQH44" s="806"/>
      <c r="BQI44" s="806"/>
      <c r="BQJ44" s="806"/>
      <c r="BQK44" s="806"/>
      <c r="BQL44" s="806"/>
      <c r="BQM44" s="806"/>
      <c r="BQN44" s="806"/>
      <c r="BQO44" s="806"/>
      <c r="BQP44" s="806"/>
      <c r="BQQ44" s="806"/>
      <c r="BQR44" s="806"/>
      <c r="BQS44" s="806"/>
      <c r="BQT44" s="806"/>
      <c r="BQU44" s="806"/>
      <c r="BQV44" s="806"/>
      <c r="BQW44" s="806"/>
      <c r="BQX44" s="806"/>
      <c r="BQY44" s="806"/>
      <c r="BQZ44" s="806"/>
      <c r="BRA44" s="806"/>
      <c r="BRB44" s="806"/>
      <c r="BRC44" s="806"/>
      <c r="BRD44" s="806"/>
      <c r="BRE44" s="806"/>
      <c r="BRF44" s="806"/>
      <c r="BRG44" s="806"/>
      <c r="BRH44" s="806"/>
      <c r="BRI44" s="806"/>
      <c r="BRJ44" s="806"/>
      <c r="BRK44" s="806"/>
      <c r="BRL44" s="806"/>
      <c r="BRM44" s="806"/>
      <c r="BRN44" s="806"/>
      <c r="BRO44" s="806"/>
      <c r="BRP44" s="806"/>
      <c r="BRQ44" s="806"/>
      <c r="BRR44" s="806"/>
      <c r="BRS44" s="806"/>
      <c r="BRT44" s="806"/>
      <c r="BRU44" s="806"/>
      <c r="BRV44" s="806"/>
      <c r="BRW44" s="806"/>
      <c r="BRX44" s="806"/>
      <c r="BRY44" s="806"/>
      <c r="BRZ44" s="806"/>
      <c r="BSA44" s="806"/>
      <c r="BSB44" s="806"/>
      <c r="BSC44" s="806"/>
      <c r="BSD44" s="806"/>
      <c r="BSE44" s="806"/>
      <c r="BSF44" s="806"/>
      <c r="BSG44" s="806"/>
      <c r="BSH44" s="806"/>
      <c r="BSI44" s="806"/>
      <c r="BSJ44" s="806"/>
      <c r="BSK44" s="806"/>
      <c r="BSL44" s="806"/>
      <c r="BSM44" s="806"/>
      <c r="BSN44" s="806"/>
      <c r="BSO44" s="806"/>
      <c r="BSP44" s="806"/>
      <c r="BSQ44" s="806"/>
      <c r="BSR44" s="806"/>
      <c r="BSS44" s="806"/>
      <c r="BST44" s="806"/>
      <c r="BSU44" s="806"/>
      <c r="BSV44" s="806"/>
      <c r="BSW44" s="806"/>
      <c r="BSX44" s="806"/>
      <c r="BSY44" s="806"/>
      <c r="BSZ44" s="806"/>
      <c r="BTA44" s="806"/>
      <c r="BTB44" s="806"/>
      <c r="BTC44" s="806"/>
      <c r="BTD44" s="806"/>
      <c r="BTE44" s="806"/>
      <c r="BTF44" s="806"/>
      <c r="BTG44" s="806"/>
      <c r="BTH44" s="806"/>
      <c r="BTI44" s="806"/>
      <c r="BTJ44" s="806"/>
      <c r="BTK44" s="806"/>
      <c r="BTL44" s="806"/>
      <c r="BTM44" s="806"/>
      <c r="BTN44" s="806"/>
      <c r="BTO44" s="806"/>
      <c r="BTP44" s="806"/>
      <c r="BTQ44" s="806"/>
      <c r="BTR44" s="806"/>
      <c r="BTS44" s="806"/>
      <c r="BTT44" s="806"/>
      <c r="BTU44" s="806"/>
      <c r="BTV44" s="806"/>
      <c r="BTW44" s="806"/>
      <c r="BTX44" s="806"/>
      <c r="BTY44" s="806"/>
      <c r="BTZ44" s="806"/>
      <c r="BUA44" s="806"/>
      <c r="BUB44" s="806"/>
      <c r="BUC44" s="806"/>
      <c r="BUD44" s="806"/>
      <c r="BUE44" s="806"/>
      <c r="BUF44" s="806"/>
      <c r="BUG44" s="806"/>
      <c r="BUH44" s="806"/>
      <c r="BUI44" s="806"/>
      <c r="BUJ44" s="806"/>
      <c r="BUK44" s="806"/>
      <c r="BUL44" s="806"/>
      <c r="BUM44" s="806"/>
      <c r="BUN44" s="806"/>
      <c r="BUO44" s="806"/>
      <c r="BUP44" s="806"/>
      <c r="BUQ44" s="806"/>
      <c r="BUR44" s="806"/>
      <c r="BUS44" s="806"/>
      <c r="BUT44" s="806"/>
      <c r="BUU44" s="806"/>
      <c r="BUV44" s="806"/>
      <c r="BUW44" s="806"/>
      <c r="BUX44" s="806"/>
      <c r="BUY44" s="806"/>
      <c r="BUZ44" s="806"/>
      <c r="BVA44" s="806"/>
      <c r="BVB44" s="806"/>
      <c r="BVC44" s="806"/>
      <c r="BVD44" s="806"/>
      <c r="BVE44" s="806"/>
      <c r="BVF44" s="806"/>
      <c r="BVG44" s="806"/>
      <c r="BVH44" s="806"/>
      <c r="BVI44" s="806"/>
      <c r="BVJ44" s="806"/>
      <c r="BVK44" s="806"/>
      <c r="BVL44" s="806"/>
      <c r="BVM44" s="806"/>
      <c r="BVN44" s="806"/>
      <c r="BVO44" s="806"/>
      <c r="BVP44" s="806"/>
      <c r="BVQ44" s="806"/>
      <c r="BVR44" s="806"/>
      <c r="BVS44" s="806"/>
      <c r="BVT44" s="806"/>
      <c r="BVU44" s="806"/>
      <c r="BVV44" s="806"/>
      <c r="BVW44" s="806"/>
      <c r="BVX44" s="806"/>
      <c r="BVY44" s="806"/>
      <c r="BVZ44" s="806"/>
      <c r="BWA44" s="806"/>
      <c r="BWB44" s="806"/>
      <c r="BWC44" s="806"/>
      <c r="BWD44" s="806"/>
      <c r="BWE44" s="806"/>
      <c r="BWF44" s="806"/>
      <c r="BWG44" s="806"/>
      <c r="BWH44" s="806"/>
      <c r="BWI44" s="806"/>
      <c r="BWJ44" s="806"/>
      <c r="BWK44" s="806"/>
      <c r="BWL44" s="806"/>
      <c r="BWM44" s="806"/>
      <c r="BWN44" s="806"/>
      <c r="BWO44" s="806"/>
      <c r="BWP44" s="806"/>
      <c r="BWQ44" s="806"/>
      <c r="BWR44" s="806"/>
      <c r="BWS44" s="806"/>
      <c r="BWT44" s="806"/>
      <c r="BWU44" s="806"/>
      <c r="BWV44" s="806"/>
      <c r="BWW44" s="806"/>
      <c r="BWX44" s="806"/>
      <c r="BWY44" s="806"/>
      <c r="BWZ44" s="806"/>
      <c r="BXA44" s="806"/>
      <c r="BXB44" s="806"/>
      <c r="BXC44" s="806"/>
      <c r="BXD44" s="806"/>
      <c r="BXE44" s="806"/>
      <c r="BXF44" s="806"/>
      <c r="BXG44" s="806"/>
      <c r="BXH44" s="806"/>
      <c r="BXI44" s="806"/>
      <c r="BXJ44" s="806"/>
      <c r="BXK44" s="806"/>
      <c r="BXL44" s="806"/>
      <c r="BXM44" s="806"/>
      <c r="BXN44" s="806"/>
      <c r="BXO44" s="806"/>
      <c r="BXP44" s="806"/>
      <c r="BXQ44" s="806"/>
      <c r="BXR44" s="806"/>
      <c r="BXS44" s="806"/>
      <c r="BXT44" s="806"/>
      <c r="BXU44" s="806"/>
      <c r="BXV44" s="806"/>
      <c r="BXW44" s="806"/>
      <c r="BXX44" s="806"/>
      <c r="BXY44" s="806"/>
      <c r="BXZ44" s="806"/>
      <c r="BYA44" s="806"/>
      <c r="BYB44" s="806"/>
      <c r="BYC44" s="806"/>
      <c r="BYD44" s="806"/>
      <c r="BYE44" s="806"/>
      <c r="BYF44" s="806"/>
      <c r="BYG44" s="806"/>
      <c r="BYH44" s="806"/>
      <c r="BYI44" s="806"/>
      <c r="BYJ44" s="806"/>
      <c r="BYK44" s="806"/>
      <c r="BYL44" s="806"/>
      <c r="BYM44" s="806"/>
      <c r="BYN44" s="806"/>
      <c r="BYO44" s="806"/>
      <c r="BYP44" s="806"/>
      <c r="BYQ44" s="806"/>
      <c r="BYR44" s="806"/>
      <c r="BYS44" s="806"/>
      <c r="BYT44" s="806"/>
      <c r="BYU44" s="806"/>
      <c r="BYV44" s="806"/>
      <c r="BYW44" s="806"/>
      <c r="BYX44" s="806"/>
      <c r="BYY44" s="806"/>
      <c r="BYZ44" s="806"/>
      <c r="BZA44" s="806"/>
      <c r="BZB44" s="806"/>
      <c r="BZC44" s="806"/>
      <c r="BZD44" s="806"/>
      <c r="BZE44" s="806"/>
      <c r="BZF44" s="806"/>
      <c r="BZG44" s="806"/>
      <c r="BZH44" s="806"/>
      <c r="BZI44" s="806"/>
      <c r="BZJ44" s="806"/>
      <c r="BZK44" s="806"/>
      <c r="BZL44" s="806"/>
      <c r="BZM44" s="806"/>
      <c r="BZN44" s="806"/>
      <c r="BZO44" s="806"/>
      <c r="BZP44" s="806"/>
      <c r="BZQ44" s="806"/>
      <c r="BZR44" s="806"/>
      <c r="BZS44" s="806"/>
      <c r="BZT44" s="806"/>
      <c r="BZU44" s="806"/>
      <c r="BZV44" s="806"/>
      <c r="BZW44" s="806"/>
      <c r="BZX44" s="806"/>
      <c r="BZY44" s="806"/>
      <c r="BZZ44" s="806"/>
      <c r="CAA44" s="806"/>
      <c r="CAB44" s="806"/>
      <c r="CAC44" s="806"/>
      <c r="CAD44" s="806"/>
      <c r="CAE44" s="806"/>
      <c r="CAF44" s="806"/>
      <c r="CAG44" s="806"/>
      <c r="CAH44" s="806"/>
      <c r="CAI44" s="806"/>
      <c r="CAJ44" s="806"/>
      <c r="CAK44" s="806"/>
      <c r="CAL44" s="806"/>
      <c r="CAM44" s="806"/>
      <c r="CAN44" s="806"/>
      <c r="CAO44" s="806"/>
      <c r="CAP44" s="806"/>
      <c r="CAQ44" s="806"/>
      <c r="CAR44" s="806"/>
      <c r="CAS44" s="806"/>
      <c r="CAT44" s="806"/>
      <c r="CAU44" s="806"/>
      <c r="CAV44" s="806"/>
      <c r="CAW44" s="806"/>
      <c r="CAX44" s="806"/>
      <c r="CAY44" s="806"/>
      <c r="CAZ44" s="806"/>
      <c r="CBA44" s="806"/>
      <c r="CBB44" s="806"/>
      <c r="CBC44" s="806"/>
      <c r="CBD44" s="806"/>
      <c r="CBE44" s="806"/>
      <c r="CBF44" s="806"/>
      <c r="CBG44" s="806"/>
      <c r="CBH44" s="806"/>
      <c r="CBI44" s="806"/>
      <c r="CBJ44" s="806"/>
      <c r="CBK44" s="806"/>
      <c r="CBL44" s="806"/>
      <c r="CBM44" s="806"/>
      <c r="CBN44" s="806"/>
      <c r="CBO44" s="806"/>
      <c r="CBP44" s="806"/>
      <c r="CBQ44" s="806"/>
      <c r="CBR44" s="806"/>
      <c r="CBS44" s="806"/>
      <c r="CBT44" s="806"/>
      <c r="CBU44" s="806"/>
      <c r="CBV44" s="806"/>
      <c r="CBW44" s="806"/>
      <c r="CBX44" s="806"/>
      <c r="CBY44" s="806"/>
      <c r="CBZ44" s="806"/>
      <c r="CCA44" s="806"/>
      <c r="CCB44" s="806"/>
      <c r="CCC44" s="806"/>
      <c r="CCD44" s="806"/>
      <c r="CCE44" s="806"/>
      <c r="CCF44" s="806"/>
      <c r="CCG44" s="806"/>
      <c r="CCH44" s="806"/>
      <c r="CCI44" s="806"/>
      <c r="CCJ44" s="806"/>
      <c r="CCK44" s="806"/>
      <c r="CCL44" s="806"/>
      <c r="CCM44" s="806"/>
      <c r="CCN44" s="806"/>
      <c r="CCO44" s="806"/>
      <c r="CCP44" s="806"/>
      <c r="CCQ44" s="806"/>
      <c r="CCR44" s="806"/>
      <c r="CCS44" s="806"/>
      <c r="CCT44" s="806"/>
      <c r="CCU44" s="806"/>
      <c r="CCV44" s="806"/>
      <c r="CCW44" s="806"/>
      <c r="CCX44" s="806"/>
      <c r="CCY44" s="806"/>
      <c r="CCZ44" s="806"/>
      <c r="CDA44" s="806"/>
      <c r="CDB44" s="806"/>
      <c r="CDC44" s="806"/>
      <c r="CDD44" s="806"/>
      <c r="CDE44" s="806"/>
      <c r="CDF44" s="806"/>
      <c r="CDG44" s="806"/>
      <c r="CDH44" s="806"/>
      <c r="CDI44" s="806"/>
      <c r="CDJ44" s="806"/>
      <c r="CDK44" s="806"/>
      <c r="CDL44" s="806"/>
      <c r="CDM44" s="806"/>
      <c r="CDN44" s="806"/>
      <c r="CDO44" s="806"/>
      <c r="CDP44" s="806"/>
      <c r="CDQ44" s="806"/>
      <c r="CDR44" s="806"/>
      <c r="CDS44" s="806"/>
      <c r="CDT44" s="806"/>
      <c r="CDU44" s="806"/>
      <c r="CDV44" s="806"/>
      <c r="CDW44" s="806"/>
      <c r="CDX44" s="806"/>
      <c r="CDY44" s="806"/>
      <c r="CDZ44" s="806"/>
      <c r="CEA44" s="806"/>
      <c r="CEB44" s="806"/>
      <c r="CEC44" s="806"/>
      <c r="CED44" s="806"/>
      <c r="CEE44" s="806"/>
      <c r="CEF44" s="806"/>
      <c r="CEG44" s="806"/>
      <c r="CEH44" s="806"/>
      <c r="CEI44" s="806"/>
      <c r="CEJ44" s="806"/>
      <c r="CEK44" s="806"/>
      <c r="CEL44" s="806"/>
      <c r="CEM44" s="806"/>
      <c r="CEN44" s="806"/>
      <c r="CEO44" s="806"/>
      <c r="CEP44" s="806"/>
      <c r="CEQ44" s="806"/>
      <c r="CER44" s="806"/>
      <c r="CES44" s="806"/>
      <c r="CET44" s="806"/>
      <c r="CEU44" s="806"/>
      <c r="CEV44" s="806"/>
      <c r="CEW44" s="806"/>
      <c r="CEX44" s="806"/>
      <c r="CEY44" s="806"/>
      <c r="CEZ44" s="806"/>
      <c r="CFA44" s="806"/>
      <c r="CFB44" s="806"/>
      <c r="CFC44" s="806"/>
      <c r="CFD44" s="806"/>
      <c r="CFE44" s="806"/>
      <c r="CFF44" s="806"/>
      <c r="CFG44" s="806"/>
      <c r="CFH44" s="806"/>
      <c r="CFI44" s="806"/>
      <c r="CFJ44" s="806"/>
      <c r="CFK44" s="806"/>
      <c r="CFL44" s="806"/>
      <c r="CFM44" s="806"/>
      <c r="CFN44" s="806"/>
      <c r="CFO44" s="806"/>
      <c r="CFP44" s="806"/>
      <c r="CFQ44" s="806"/>
      <c r="CFR44" s="806"/>
      <c r="CFS44" s="806"/>
      <c r="CFT44" s="806"/>
      <c r="CFU44" s="806"/>
      <c r="CFV44" s="806"/>
      <c r="CFW44" s="806"/>
      <c r="CFX44" s="806"/>
      <c r="CFY44" s="806"/>
      <c r="CFZ44" s="806"/>
      <c r="CGA44" s="806"/>
      <c r="CGB44" s="806"/>
      <c r="CGC44" s="806"/>
      <c r="CGD44" s="806"/>
      <c r="CGE44" s="806"/>
      <c r="CGF44" s="806"/>
      <c r="CGG44" s="806"/>
      <c r="CGH44" s="806"/>
      <c r="CGI44" s="806"/>
      <c r="CGJ44" s="806"/>
      <c r="CGK44" s="806"/>
      <c r="CGL44" s="806"/>
      <c r="CGM44" s="806"/>
      <c r="CGN44" s="806"/>
      <c r="CGO44" s="806"/>
      <c r="CGP44" s="806"/>
      <c r="CGQ44" s="806"/>
      <c r="CGR44" s="806"/>
      <c r="CGS44" s="806"/>
      <c r="CGT44" s="806"/>
      <c r="CGU44" s="806"/>
      <c r="CGV44" s="806"/>
      <c r="CGW44" s="806"/>
      <c r="CGX44" s="806"/>
      <c r="CGY44" s="806"/>
      <c r="CGZ44" s="806"/>
      <c r="CHA44" s="806"/>
      <c r="CHB44" s="806"/>
      <c r="CHC44" s="806"/>
      <c r="CHD44" s="806"/>
      <c r="CHE44" s="806"/>
      <c r="CHF44" s="806"/>
      <c r="CHG44" s="806"/>
      <c r="CHH44" s="806"/>
      <c r="CHI44" s="806"/>
      <c r="CHJ44" s="806"/>
      <c r="CHK44" s="806"/>
      <c r="CHL44" s="806"/>
      <c r="CHM44" s="806"/>
      <c r="CHN44" s="806"/>
      <c r="CHO44" s="806"/>
      <c r="CHP44" s="806"/>
      <c r="CHQ44" s="806"/>
      <c r="CHR44" s="806"/>
      <c r="CHS44" s="806"/>
      <c r="CHT44" s="806"/>
      <c r="CHU44" s="806"/>
      <c r="CHV44" s="806"/>
      <c r="CHW44" s="806"/>
      <c r="CHX44" s="806"/>
      <c r="CHY44" s="806"/>
      <c r="CHZ44" s="806"/>
      <c r="CIA44" s="806"/>
      <c r="CIB44" s="806"/>
      <c r="CIC44" s="806"/>
      <c r="CID44" s="806"/>
      <c r="CIE44" s="806"/>
      <c r="CIF44" s="806"/>
      <c r="CIG44" s="806"/>
      <c r="CIH44" s="806"/>
      <c r="CII44" s="806"/>
      <c r="CIJ44" s="806"/>
      <c r="CIK44" s="806"/>
      <c r="CIL44" s="806"/>
      <c r="CIM44" s="806"/>
      <c r="CIN44" s="806"/>
      <c r="CIO44" s="806"/>
      <c r="CIP44" s="806"/>
      <c r="CIQ44" s="806"/>
      <c r="CIR44" s="806"/>
      <c r="CIS44" s="806"/>
      <c r="CIT44" s="806"/>
      <c r="CIU44" s="806"/>
      <c r="CIV44" s="806"/>
      <c r="CIW44" s="806"/>
      <c r="CIX44" s="806"/>
      <c r="CIY44" s="806"/>
      <c r="CIZ44" s="806"/>
      <c r="CJA44" s="806"/>
      <c r="CJB44" s="806"/>
      <c r="CJC44" s="806"/>
      <c r="CJD44" s="806"/>
      <c r="CJE44" s="806"/>
      <c r="CJF44" s="806"/>
      <c r="CJG44" s="806"/>
      <c r="CJH44" s="806"/>
      <c r="CJI44" s="806"/>
      <c r="CJJ44" s="806"/>
      <c r="CJK44" s="806"/>
      <c r="CJL44" s="806"/>
      <c r="CJM44" s="806"/>
      <c r="CJN44" s="806"/>
      <c r="CJO44" s="806"/>
      <c r="CJP44" s="806"/>
      <c r="CJQ44" s="806"/>
      <c r="CJR44" s="806"/>
      <c r="CJS44" s="806"/>
      <c r="CJT44" s="806"/>
      <c r="CJU44" s="806"/>
      <c r="CJV44" s="806"/>
      <c r="CJW44" s="806"/>
      <c r="CJX44" s="806"/>
      <c r="CJY44" s="806"/>
      <c r="CJZ44" s="806"/>
      <c r="CKA44" s="806"/>
      <c r="CKB44" s="806"/>
      <c r="CKC44" s="806"/>
      <c r="CKD44" s="806"/>
      <c r="CKE44" s="806"/>
      <c r="CKF44" s="806"/>
      <c r="CKG44" s="806"/>
      <c r="CKH44" s="806"/>
      <c r="CKI44" s="806"/>
      <c r="CKJ44" s="806"/>
      <c r="CKK44" s="806"/>
      <c r="CKL44" s="806"/>
      <c r="CKM44" s="806"/>
      <c r="CKN44" s="806"/>
      <c r="CKO44" s="806"/>
      <c r="CKP44" s="806"/>
      <c r="CKQ44" s="806"/>
      <c r="CKR44" s="806"/>
      <c r="CKS44" s="806"/>
      <c r="CKT44" s="806"/>
      <c r="CKU44" s="806"/>
      <c r="CKV44" s="806"/>
      <c r="CKW44" s="806"/>
      <c r="CKX44" s="806"/>
      <c r="CKY44" s="806"/>
      <c r="CKZ44" s="806"/>
      <c r="CLA44" s="806"/>
      <c r="CLB44" s="806"/>
      <c r="CLC44" s="806"/>
      <c r="CLD44" s="806"/>
      <c r="CLE44" s="806"/>
      <c r="CLF44" s="806"/>
      <c r="CLG44" s="806"/>
      <c r="CLH44" s="806"/>
      <c r="CLI44" s="806"/>
      <c r="CLJ44" s="806"/>
      <c r="CLK44" s="806"/>
      <c r="CLL44" s="806"/>
      <c r="CLM44" s="806"/>
      <c r="CLN44" s="806"/>
      <c r="CLO44" s="806"/>
      <c r="CLP44" s="806"/>
      <c r="CLQ44" s="806"/>
      <c r="CLR44" s="806"/>
      <c r="CLS44" s="806"/>
      <c r="CLT44" s="806"/>
      <c r="CLU44" s="806"/>
      <c r="CLV44" s="806"/>
      <c r="CLW44" s="806"/>
      <c r="CLX44" s="806"/>
      <c r="CLY44" s="806"/>
      <c r="CLZ44" s="806"/>
      <c r="CMA44" s="806"/>
      <c r="CMB44" s="806"/>
      <c r="CMC44" s="806"/>
      <c r="CMD44" s="806"/>
      <c r="CME44" s="806"/>
      <c r="CMF44" s="806"/>
      <c r="CMG44" s="806"/>
      <c r="CMH44" s="806"/>
      <c r="CMI44" s="806"/>
      <c r="CMJ44" s="806"/>
      <c r="CMK44" s="806"/>
      <c r="CML44" s="806"/>
      <c r="CMM44" s="806"/>
      <c r="CMN44" s="806"/>
      <c r="CMO44" s="806"/>
      <c r="CMP44" s="806"/>
      <c r="CMQ44" s="806"/>
      <c r="CMR44" s="806"/>
      <c r="CMS44" s="806"/>
      <c r="CMT44" s="806"/>
      <c r="CMU44" s="806"/>
      <c r="CMV44" s="806"/>
      <c r="CMW44" s="806"/>
      <c r="CMX44" s="806"/>
      <c r="CMY44" s="806"/>
      <c r="CMZ44" s="806"/>
      <c r="CNA44" s="806"/>
      <c r="CNB44" s="806"/>
      <c r="CNC44" s="806"/>
      <c r="CND44" s="806"/>
      <c r="CNE44" s="806"/>
      <c r="CNF44" s="806"/>
      <c r="CNG44" s="806"/>
      <c r="CNH44" s="806"/>
      <c r="CNI44" s="806"/>
      <c r="CNJ44" s="806"/>
      <c r="CNK44" s="806"/>
      <c r="CNL44" s="806"/>
      <c r="CNM44" s="806"/>
      <c r="CNN44" s="806"/>
      <c r="CNO44" s="806"/>
      <c r="CNP44" s="806"/>
      <c r="CNQ44" s="806"/>
      <c r="CNR44" s="806"/>
      <c r="CNS44" s="806"/>
      <c r="CNT44" s="806"/>
      <c r="CNU44" s="806"/>
      <c r="CNV44" s="806"/>
      <c r="CNW44" s="806"/>
      <c r="CNX44" s="806"/>
      <c r="CNY44" s="806"/>
      <c r="CNZ44" s="806"/>
      <c r="COA44" s="806"/>
      <c r="COB44" s="806"/>
      <c r="COC44" s="806"/>
      <c r="COD44" s="806"/>
      <c r="COE44" s="806"/>
      <c r="COF44" s="806"/>
      <c r="COG44" s="806"/>
      <c r="COH44" s="806"/>
      <c r="COI44" s="806"/>
      <c r="COJ44" s="806"/>
      <c r="COK44" s="806"/>
      <c r="COL44" s="806"/>
      <c r="COM44" s="806"/>
      <c r="CON44" s="806"/>
      <c r="COO44" s="806"/>
      <c r="COP44" s="806"/>
      <c r="COQ44" s="806"/>
      <c r="COR44" s="806"/>
      <c r="COS44" s="806"/>
      <c r="COT44" s="806"/>
      <c r="COU44" s="806"/>
      <c r="COV44" s="806"/>
      <c r="COW44" s="806"/>
      <c r="COX44" s="806"/>
      <c r="COY44" s="806"/>
      <c r="COZ44" s="806"/>
      <c r="CPA44" s="806"/>
      <c r="CPB44" s="806"/>
      <c r="CPC44" s="806"/>
      <c r="CPD44" s="806"/>
      <c r="CPE44" s="806"/>
      <c r="CPF44" s="806"/>
      <c r="CPG44" s="806"/>
      <c r="CPH44" s="806"/>
      <c r="CPI44" s="806"/>
      <c r="CPJ44" s="806"/>
      <c r="CPK44" s="806"/>
      <c r="CPL44" s="806"/>
      <c r="CPM44" s="806"/>
      <c r="CPN44" s="806"/>
      <c r="CPO44" s="806"/>
      <c r="CPP44" s="806"/>
      <c r="CPQ44" s="806"/>
      <c r="CPR44" s="806"/>
      <c r="CPS44" s="806"/>
      <c r="CPT44" s="806"/>
      <c r="CPU44" s="806"/>
      <c r="CPV44" s="806"/>
      <c r="CPW44" s="806"/>
      <c r="CPX44" s="806"/>
      <c r="CPY44" s="806"/>
      <c r="CPZ44" s="806"/>
      <c r="CQA44" s="806"/>
      <c r="CQB44" s="806"/>
      <c r="CQC44" s="806"/>
      <c r="CQD44" s="806"/>
      <c r="CQE44" s="806"/>
      <c r="CQF44" s="806"/>
      <c r="CQG44" s="806"/>
      <c r="CQH44" s="806"/>
      <c r="CQI44" s="806"/>
      <c r="CQJ44" s="806"/>
      <c r="CQK44" s="806"/>
      <c r="CQL44" s="806"/>
      <c r="CQM44" s="806"/>
      <c r="CQN44" s="806"/>
      <c r="CQO44" s="806"/>
      <c r="CQP44" s="806"/>
      <c r="CQQ44" s="806"/>
      <c r="CQR44" s="806"/>
      <c r="CQS44" s="806"/>
      <c r="CQT44" s="806"/>
      <c r="CQU44" s="806"/>
      <c r="CQV44" s="806"/>
      <c r="CQW44" s="806"/>
      <c r="CQX44" s="806"/>
      <c r="CQY44" s="806"/>
      <c r="CQZ44" s="806"/>
      <c r="CRA44" s="806"/>
      <c r="CRB44" s="806"/>
      <c r="CRC44" s="806"/>
      <c r="CRD44" s="806"/>
      <c r="CRE44" s="806"/>
      <c r="CRF44" s="806"/>
      <c r="CRG44" s="806"/>
      <c r="CRH44" s="806"/>
      <c r="CRI44" s="806"/>
      <c r="CRJ44" s="806"/>
      <c r="CRK44" s="806"/>
      <c r="CRL44" s="806"/>
      <c r="CRM44" s="806"/>
      <c r="CRN44" s="806"/>
      <c r="CRO44" s="806"/>
      <c r="CRP44" s="806"/>
      <c r="CRQ44" s="806"/>
      <c r="CRR44" s="806"/>
      <c r="CRS44" s="806"/>
      <c r="CRT44" s="806"/>
      <c r="CRU44" s="806"/>
      <c r="CRV44" s="806"/>
      <c r="CRW44" s="806"/>
      <c r="CRX44" s="806"/>
      <c r="CRY44" s="806"/>
      <c r="CRZ44" s="806"/>
      <c r="CSA44" s="806"/>
      <c r="CSB44" s="806"/>
      <c r="CSC44" s="806"/>
      <c r="CSD44" s="806"/>
      <c r="CSE44" s="806"/>
      <c r="CSF44" s="806"/>
      <c r="CSG44" s="806"/>
      <c r="CSH44" s="806"/>
      <c r="CSI44" s="806"/>
      <c r="CSJ44" s="806"/>
      <c r="CSK44" s="806"/>
      <c r="CSL44" s="806"/>
      <c r="CSM44" s="806"/>
      <c r="CSN44" s="806"/>
      <c r="CSO44" s="806"/>
      <c r="CSP44" s="806"/>
      <c r="CSQ44" s="806"/>
      <c r="CSR44" s="806"/>
      <c r="CSS44" s="806"/>
      <c r="CST44" s="806"/>
      <c r="CSU44" s="806"/>
      <c r="CSV44" s="806"/>
      <c r="CSW44" s="806"/>
      <c r="CSX44" s="806"/>
      <c r="CSY44" s="806"/>
      <c r="CSZ44" s="806"/>
      <c r="CTA44" s="806"/>
      <c r="CTB44" s="806"/>
      <c r="CTC44" s="806"/>
      <c r="CTD44" s="806"/>
      <c r="CTE44" s="806"/>
      <c r="CTF44" s="806"/>
      <c r="CTG44" s="806"/>
      <c r="CTH44" s="806"/>
      <c r="CTI44" s="806"/>
      <c r="CTJ44" s="806"/>
      <c r="CTK44" s="806"/>
      <c r="CTL44" s="806"/>
      <c r="CTM44" s="806"/>
      <c r="CTN44" s="806"/>
      <c r="CTO44" s="806"/>
      <c r="CTP44" s="806"/>
      <c r="CTQ44" s="806"/>
      <c r="CTR44" s="806"/>
      <c r="CTS44" s="806"/>
      <c r="CTT44" s="806"/>
      <c r="CTU44" s="806"/>
      <c r="CTV44" s="806"/>
      <c r="CTW44" s="806"/>
      <c r="CTX44" s="806"/>
      <c r="CTY44" s="806"/>
      <c r="CTZ44" s="806"/>
      <c r="CUA44" s="806"/>
      <c r="CUB44" s="806"/>
      <c r="CUC44" s="806"/>
      <c r="CUD44" s="806"/>
      <c r="CUE44" s="806"/>
      <c r="CUF44" s="806"/>
      <c r="CUG44" s="806"/>
      <c r="CUH44" s="806"/>
      <c r="CUI44" s="806"/>
      <c r="CUJ44" s="806"/>
      <c r="CUK44" s="806"/>
      <c r="CUL44" s="806"/>
      <c r="CUM44" s="806"/>
      <c r="CUN44" s="806"/>
      <c r="CUO44" s="806"/>
      <c r="CUP44" s="806"/>
      <c r="CUQ44" s="806"/>
      <c r="CUR44" s="806"/>
      <c r="CUS44" s="806"/>
      <c r="CUT44" s="806"/>
      <c r="CUU44" s="806"/>
      <c r="CUV44" s="806"/>
      <c r="CUW44" s="806"/>
      <c r="CUX44" s="806"/>
      <c r="CUY44" s="806"/>
      <c r="CUZ44" s="806"/>
      <c r="CVA44" s="806"/>
      <c r="CVB44" s="806"/>
      <c r="CVC44" s="806"/>
      <c r="CVD44" s="806"/>
      <c r="CVE44" s="806"/>
      <c r="CVF44" s="806"/>
      <c r="CVG44" s="806"/>
      <c r="CVH44" s="806"/>
      <c r="CVI44" s="806"/>
      <c r="CVJ44" s="806"/>
      <c r="CVK44" s="806"/>
      <c r="CVL44" s="806"/>
      <c r="CVM44" s="806"/>
      <c r="CVN44" s="806"/>
      <c r="CVO44" s="806"/>
      <c r="CVP44" s="806"/>
      <c r="CVQ44" s="806"/>
      <c r="CVR44" s="806"/>
      <c r="CVS44" s="806"/>
      <c r="CVT44" s="806"/>
      <c r="CVU44" s="806"/>
      <c r="CVV44" s="806"/>
      <c r="CVW44" s="806"/>
      <c r="CVX44" s="806"/>
      <c r="CVY44" s="806"/>
      <c r="CVZ44" s="806"/>
      <c r="CWA44" s="806"/>
      <c r="CWB44" s="806"/>
      <c r="CWC44" s="806"/>
      <c r="CWD44" s="806"/>
      <c r="CWE44" s="806"/>
      <c r="CWF44" s="806"/>
      <c r="CWG44" s="806"/>
      <c r="CWH44" s="806"/>
      <c r="CWI44" s="806"/>
      <c r="CWJ44" s="806"/>
      <c r="CWK44" s="806"/>
      <c r="CWL44" s="806"/>
      <c r="CWM44" s="806"/>
      <c r="CWN44" s="806"/>
      <c r="CWO44" s="806"/>
      <c r="CWP44" s="806"/>
      <c r="CWQ44" s="806"/>
      <c r="CWR44" s="806"/>
      <c r="CWS44" s="806"/>
      <c r="CWT44" s="806"/>
      <c r="CWU44" s="806"/>
      <c r="CWV44" s="806"/>
      <c r="CWW44" s="806"/>
      <c r="CWX44" s="806"/>
      <c r="CWY44" s="806"/>
      <c r="CWZ44" s="806"/>
      <c r="CXA44" s="806"/>
      <c r="CXB44" s="806"/>
      <c r="CXC44" s="806"/>
      <c r="CXD44" s="806"/>
      <c r="CXE44" s="806"/>
      <c r="CXF44" s="806"/>
      <c r="CXG44" s="806"/>
      <c r="CXH44" s="806"/>
      <c r="CXI44" s="806"/>
      <c r="CXJ44" s="806"/>
      <c r="CXK44" s="806"/>
      <c r="CXL44" s="806"/>
      <c r="CXM44" s="806"/>
      <c r="CXN44" s="806"/>
      <c r="CXO44" s="806"/>
      <c r="CXP44" s="806"/>
      <c r="CXQ44" s="806"/>
      <c r="CXR44" s="806"/>
      <c r="CXS44" s="806"/>
      <c r="CXT44" s="806"/>
      <c r="CXU44" s="806"/>
      <c r="CXV44" s="806"/>
      <c r="CXW44" s="806"/>
      <c r="CXX44" s="806"/>
      <c r="CXY44" s="806"/>
      <c r="CXZ44" s="806"/>
      <c r="CYA44" s="806"/>
      <c r="CYB44" s="806"/>
      <c r="CYC44" s="806"/>
      <c r="CYD44" s="806"/>
      <c r="CYE44" s="806"/>
      <c r="CYF44" s="806"/>
      <c r="CYG44" s="806"/>
      <c r="CYH44" s="806"/>
      <c r="CYI44" s="806"/>
      <c r="CYJ44" s="806"/>
      <c r="CYK44" s="806"/>
      <c r="CYL44" s="806"/>
      <c r="CYM44" s="806"/>
      <c r="CYN44" s="806"/>
      <c r="CYO44" s="806"/>
      <c r="CYP44" s="806"/>
      <c r="CYQ44" s="806"/>
      <c r="CYR44" s="806"/>
      <c r="CYS44" s="806"/>
      <c r="CYT44" s="806"/>
      <c r="CYU44" s="806"/>
      <c r="CYV44" s="806"/>
      <c r="CYW44" s="806"/>
      <c r="CYX44" s="806"/>
      <c r="CYY44" s="806"/>
      <c r="CYZ44" s="806"/>
      <c r="CZA44" s="806"/>
      <c r="CZB44" s="806"/>
      <c r="CZC44" s="806"/>
      <c r="CZD44" s="806"/>
      <c r="CZE44" s="806"/>
      <c r="CZF44" s="806"/>
      <c r="CZG44" s="806"/>
      <c r="CZH44" s="806"/>
      <c r="CZI44" s="806"/>
      <c r="CZJ44" s="806"/>
      <c r="CZK44" s="806"/>
      <c r="CZL44" s="806"/>
      <c r="CZM44" s="806"/>
      <c r="CZN44" s="806"/>
      <c r="CZO44" s="806"/>
      <c r="CZP44" s="806"/>
      <c r="CZQ44" s="806"/>
      <c r="CZR44" s="806"/>
      <c r="CZS44" s="806"/>
      <c r="CZT44" s="806"/>
      <c r="CZU44" s="806"/>
      <c r="CZV44" s="806"/>
      <c r="CZW44" s="806"/>
      <c r="CZX44" s="806"/>
      <c r="CZY44" s="806"/>
      <c r="CZZ44" s="806"/>
      <c r="DAA44" s="806"/>
      <c r="DAB44" s="806"/>
      <c r="DAC44" s="806"/>
      <c r="DAD44" s="806"/>
      <c r="DAE44" s="806"/>
      <c r="DAF44" s="806"/>
      <c r="DAG44" s="806"/>
      <c r="DAH44" s="806"/>
      <c r="DAI44" s="806"/>
      <c r="DAJ44" s="806"/>
      <c r="DAK44" s="806"/>
      <c r="DAL44" s="806"/>
      <c r="DAM44" s="806"/>
      <c r="DAN44" s="806"/>
      <c r="DAO44" s="806"/>
      <c r="DAP44" s="806"/>
      <c r="DAQ44" s="806"/>
      <c r="DAR44" s="806"/>
      <c r="DAS44" s="806"/>
      <c r="DAT44" s="806"/>
      <c r="DAU44" s="806"/>
      <c r="DAV44" s="806"/>
      <c r="DAW44" s="806"/>
      <c r="DAX44" s="806"/>
      <c r="DAY44" s="806"/>
      <c r="DAZ44" s="806"/>
      <c r="DBA44" s="806"/>
      <c r="DBB44" s="806"/>
      <c r="DBC44" s="806"/>
      <c r="DBD44" s="806"/>
      <c r="DBE44" s="806"/>
      <c r="DBF44" s="806"/>
      <c r="DBG44" s="806"/>
      <c r="DBH44" s="806"/>
      <c r="DBI44" s="806"/>
      <c r="DBJ44" s="806"/>
      <c r="DBK44" s="806"/>
      <c r="DBL44" s="806"/>
      <c r="DBM44" s="806"/>
      <c r="DBN44" s="806"/>
      <c r="DBO44" s="806"/>
      <c r="DBP44" s="806"/>
      <c r="DBQ44" s="806"/>
      <c r="DBR44" s="806"/>
      <c r="DBS44" s="806"/>
      <c r="DBT44" s="806"/>
      <c r="DBU44" s="806"/>
      <c r="DBV44" s="806"/>
      <c r="DBW44" s="806"/>
      <c r="DBX44" s="806"/>
      <c r="DBY44" s="806"/>
      <c r="DBZ44" s="806"/>
      <c r="DCA44" s="806"/>
      <c r="DCB44" s="806"/>
      <c r="DCC44" s="806"/>
      <c r="DCD44" s="806"/>
      <c r="DCE44" s="806"/>
      <c r="DCF44" s="806"/>
      <c r="DCG44" s="806"/>
      <c r="DCH44" s="806"/>
      <c r="DCI44" s="806"/>
      <c r="DCJ44" s="806"/>
      <c r="DCK44" s="806"/>
      <c r="DCL44" s="806"/>
      <c r="DCM44" s="806"/>
      <c r="DCN44" s="806"/>
      <c r="DCO44" s="806"/>
      <c r="DCP44" s="806"/>
      <c r="DCQ44" s="806"/>
      <c r="DCR44" s="806"/>
      <c r="DCS44" s="806"/>
      <c r="DCT44" s="806"/>
      <c r="DCU44" s="806"/>
      <c r="DCV44" s="806"/>
      <c r="DCW44" s="806"/>
      <c r="DCX44" s="806"/>
      <c r="DCY44" s="806"/>
      <c r="DCZ44" s="806"/>
      <c r="DDA44" s="806"/>
      <c r="DDB44" s="806"/>
      <c r="DDC44" s="806"/>
      <c r="DDD44" s="806"/>
      <c r="DDE44" s="806"/>
      <c r="DDF44" s="806"/>
      <c r="DDG44" s="806"/>
      <c r="DDH44" s="806"/>
      <c r="DDI44" s="806"/>
      <c r="DDJ44" s="806"/>
      <c r="DDK44" s="806"/>
      <c r="DDL44" s="806"/>
      <c r="DDM44" s="806"/>
      <c r="DDN44" s="806"/>
      <c r="DDO44" s="806"/>
      <c r="DDP44" s="806"/>
      <c r="DDQ44" s="806"/>
      <c r="DDR44" s="806"/>
      <c r="DDS44" s="806"/>
      <c r="DDT44" s="806"/>
      <c r="DDU44" s="806"/>
      <c r="DDV44" s="806"/>
      <c r="DDW44" s="806"/>
      <c r="DDX44" s="806"/>
      <c r="DDY44" s="806"/>
      <c r="DDZ44" s="806"/>
      <c r="DEA44" s="806"/>
      <c r="DEB44" s="806"/>
      <c r="DEC44" s="806"/>
      <c r="DED44" s="806"/>
      <c r="DEE44" s="806"/>
      <c r="DEF44" s="806"/>
      <c r="DEG44" s="806"/>
      <c r="DEH44" s="806"/>
      <c r="DEI44" s="806"/>
      <c r="DEJ44" s="806"/>
      <c r="DEK44" s="806"/>
      <c r="DEL44" s="806"/>
      <c r="DEM44" s="806"/>
      <c r="DEN44" s="806"/>
      <c r="DEO44" s="806"/>
      <c r="DEP44" s="806"/>
      <c r="DEQ44" s="806"/>
      <c r="DER44" s="806"/>
      <c r="DES44" s="806"/>
      <c r="DET44" s="806"/>
      <c r="DEU44" s="806"/>
      <c r="DEV44" s="806"/>
      <c r="DEW44" s="806"/>
      <c r="DEX44" s="806"/>
      <c r="DEY44" s="806"/>
      <c r="DEZ44" s="806"/>
      <c r="DFA44" s="806"/>
      <c r="DFB44" s="806"/>
      <c r="DFC44" s="806"/>
      <c r="DFD44" s="806"/>
      <c r="DFE44" s="806"/>
      <c r="DFF44" s="806"/>
      <c r="DFG44" s="806"/>
      <c r="DFH44" s="806"/>
      <c r="DFI44" s="806"/>
      <c r="DFJ44" s="806"/>
      <c r="DFK44" s="806"/>
      <c r="DFL44" s="806"/>
      <c r="DFM44" s="806"/>
      <c r="DFN44" s="806"/>
      <c r="DFO44" s="806"/>
      <c r="DFP44" s="806"/>
      <c r="DFQ44" s="806"/>
      <c r="DFR44" s="806"/>
      <c r="DFS44" s="806"/>
      <c r="DFT44" s="806"/>
      <c r="DFU44" s="806"/>
      <c r="DFV44" s="806"/>
      <c r="DFW44" s="806"/>
      <c r="DFX44" s="806"/>
      <c r="DFY44" s="806"/>
      <c r="DFZ44" s="806"/>
      <c r="DGA44" s="806"/>
      <c r="DGB44" s="806"/>
      <c r="DGC44" s="806"/>
      <c r="DGD44" s="806"/>
      <c r="DGE44" s="806"/>
      <c r="DGF44" s="806"/>
      <c r="DGG44" s="806"/>
      <c r="DGH44" s="806"/>
      <c r="DGI44" s="806"/>
      <c r="DGJ44" s="806"/>
      <c r="DGK44" s="806"/>
      <c r="DGL44" s="806"/>
      <c r="DGM44" s="806"/>
      <c r="DGN44" s="806"/>
      <c r="DGO44" s="806"/>
      <c r="DGP44" s="806"/>
      <c r="DGQ44" s="806"/>
      <c r="DGR44" s="806"/>
      <c r="DGS44" s="806"/>
      <c r="DGT44" s="806"/>
      <c r="DGU44" s="806"/>
      <c r="DGV44" s="806"/>
      <c r="DGW44" s="806"/>
      <c r="DGX44" s="806"/>
      <c r="DGY44" s="806"/>
      <c r="DGZ44" s="806"/>
      <c r="DHA44" s="806"/>
      <c r="DHB44" s="806"/>
      <c r="DHC44" s="806"/>
      <c r="DHD44" s="806"/>
      <c r="DHE44" s="806"/>
      <c r="DHF44" s="806"/>
      <c r="DHG44" s="806"/>
      <c r="DHH44" s="806"/>
      <c r="DHI44" s="806"/>
      <c r="DHJ44" s="806"/>
      <c r="DHK44" s="806"/>
      <c r="DHL44" s="806"/>
      <c r="DHM44" s="806"/>
      <c r="DHN44" s="806"/>
      <c r="DHO44" s="806"/>
      <c r="DHP44" s="806"/>
      <c r="DHQ44" s="806"/>
      <c r="DHR44" s="806"/>
      <c r="DHS44" s="806"/>
      <c r="DHT44" s="806"/>
      <c r="DHU44" s="806"/>
      <c r="DHV44" s="806"/>
      <c r="DHW44" s="806"/>
      <c r="DHX44" s="806"/>
      <c r="DHY44" s="806"/>
      <c r="DHZ44" s="806"/>
      <c r="DIA44" s="806"/>
      <c r="DIB44" s="806"/>
      <c r="DIC44" s="806"/>
      <c r="DID44" s="806"/>
      <c r="DIE44" s="806"/>
      <c r="DIF44" s="806"/>
      <c r="DIG44" s="806"/>
      <c r="DIH44" s="806"/>
      <c r="DII44" s="806"/>
      <c r="DIJ44" s="806"/>
      <c r="DIK44" s="806"/>
      <c r="DIL44" s="806"/>
      <c r="DIM44" s="806"/>
      <c r="DIN44" s="806"/>
      <c r="DIO44" s="806"/>
      <c r="DIP44" s="806"/>
      <c r="DIQ44" s="806"/>
      <c r="DIR44" s="806"/>
      <c r="DIS44" s="806"/>
      <c r="DIT44" s="806"/>
      <c r="DIU44" s="806"/>
      <c r="DIV44" s="806"/>
      <c r="DIW44" s="806"/>
      <c r="DIX44" s="806"/>
      <c r="DIY44" s="806"/>
      <c r="DIZ44" s="806"/>
      <c r="DJA44" s="806"/>
      <c r="DJB44" s="806"/>
      <c r="DJC44" s="806"/>
      <c r="DJD44" s="806"/>
      <c r="DJE44" s="806"/>
      <c r="DJF44" s="806"/>
      <c r="DJG44" s="806"/>
      <c r="DJH44" s="806"/>
      <c r="DJI44" s="806"/>
      <c r="DJJ44" s="806"/>
      <c r="DJK44" s="806"/>
      <c r="DJL44" s="806"/>
      <c r="DJM44" s="806"/>
      <c r="DJN44" s="806"/>
      <c r="DJO44" s="806"/>
      <c r="DJP44" s="806"/>
      <c r="DJQ44" s="806"/>
      <c r="DJR44" s="806"/>
      <c r="DJS44" s="806"/>
      <c r="DJT44" s="806"/>
      <c r="DJU44" s="806"/>
      <c r="DJV44" s="806"/>
      <c r="DJW44" s="806"/>
      <c r="DJX44" s="806"/>
      <c r="DJY44" s="806"/>
      <c r="DJZ44" s="806"/>
      <c r="DKA44" s="806"/>
      <c r="DKB44" s="806"/>
      <c r="DKC44" s="806"/>
      <c r="DKD44" s="806"/>
      <c r="DKE44" s="806"/>
      <c r="DKF44" s="806"/>
      <c r="DKG44" s="806"/>
      <c r="DKH44" s="806"/>
      <c r="DKI44" s="806"/>
      <c r="DKJ44" s="806"/>
      <c r="DKK44" s="806"/>
      <c r="DKL44" s="806"/>
      <c r="DKM44" s="806"/>
      <c r="DKN44" s="806"/>
      <c r="DKO44" s="806"/>
      <c r="DKP44" s="806"/>
      <c r="DKQ44" s="806"/>
      <c r="DKR44" s="806"/>
      <c r="DKS44" s="806"/>
      <c r="DKT44" s="806"/>
      <c r="DKU44" s="806"/>
      <c r="DKV44" s="806"/>
      <c r="DKW44" s="806"/>
      <c r="DKX44" s="806"/>
      <c r="DKY44" s="806"/>
      <c r="DKZ44" s="806"/>
      <c r="DLA44" s="806"/>
      <c r="DLB44" s="806"/>
      <c r="DLC44" s="806"/>
      <c r="DLD44" s="806"/>
      <c r="DLE44" s="806"/>
      <c r="DLF44" s="806"/>
      <c r="DLG44" s="806"/>
      <c r="DLH44" s="806"/>
      <c r="DLI44" s="806"/>
      <c r="DLJ44" s="806"/>
      <c r="DLK44" s="806"/>
      <c r="DLL44" s="806"/>
      <c r="DLM44" s="806"/>
      <c r="DLN44" s="806"/>
      <c r="DLO44" s="806"/>
      <c r="DLP44" s="806"/>
      <c r="DLQ44" s="806"/>
      <c r="DLR44" s="806"/>
      <c r="DLS44" s="806"/>
      <c r="DLT44" s="806"/>
      <c r="DLU44" s="806"/>
      <c r="DLV44" s="806"/>
      <c r="DLW44" s="806"/>
      <c r="DLX44" s="806"/>
      <c r="DLY44" s="806"/>
      <c r="DLZ44" s="806"/>
      <c r="DMA44" s="806"/>
      <c r="DMB44" s="806"/>
      <c r="DMC44" s="806"/>
      <c r="DMD44" s="806"/>
      <c r="DME44" s="806"/>
      <c r="DMF44" s="806"/>
      <c r="DMG44" s="806"/>
      <c r="DMH44" s="806"/>
      <c r="DMI44" s="806"/>
      <c r="DMJ44" s="806"/>
      <c r="DMK44" s="806"/>
      <c r="DML44" s="806"/>
      <c r="DMM44" s="806"/>
      <c r="DMN44" s="806"/>
      <c r="DMO44" s="806"/>
      <c r="DMP44" s="806"/>
      <c r="DMQ44" s="806"/>
      <c r="DMR44" s="806"/>
      <c r="DMS44" s="806"/>
      <c r="DMT44" s="806"/>
      <c r="DMU44" s="806"/>
      <c r="DMV44" s="806"/>
      <c r="DMW44" s="806"/>
      <c r="DMX44" s="806"/>
      <c r="DMY44" s="806"/>
      <c r="DMZ44" s="806"/>
      <c r="DNA44" s="806"/>
      <c r="DNB44" s="806"/>
      <c r="DNC44" s="806"/>
      <c r="DND44" s="806"/>
      <c r="DNE44" s="806"/>
      <c r="DNF44" s="806"/>
      <c r="DNG44" s="806"/>
      <c r="DNH44" s="806"/>
      <c r="DNI44" s="806"/>
      <c r="DNJ44" s="806"/>
      <c r="DNK44" s="806"/>
      <c r="DNL44" s="806"/>
      <c r="DNM44" s="806"/>
      <c r="DNN44" s="806"/>
      <c r="DNO44" s="806"/>
      <c r="DNP44" s="806"/>
      <c r="DNQ44" s="806"/>
      <c r="DNR44" s="806"/>
      <c r="DNS44" s="806"/>
      <c r="DNT44" s="806"/>
      <c r="DNU44" s="806"/>
      <c r="DNV44" s="806"/>
      <c r="DNW44" s="806"/>
      <c r="DNX44" s="806"/>
      <c r="DNY44" s="806"/>
      <c r="DNZ44" s="806"/>
      <c r="DOA44" s="806"/>
      <c r="DOB44" s="806"/>
      <c r="DOC44" s="806"/>
      <c r="DOD44" s="806"/>
      <c r="DOE44" s="806"/>
      <c r="DOF44" s="806"/>
      <c r="DOG44" s="806"/>
      <c r="DOH44" s="806"/>
      <c r="DOI44" s="806"/>
      <c r="DOJ44" s="806"/>
      <c r="DOK44" s="806"/>
      <c r="DOL44" s="806"/>
      <c r="DOM44" s="806"/>
      <c r="DON44" s="806"/>
      <c r="DOO44" s="806"/>
      <c r="DOP44" s="806"/>
      <c r="DOQ44" s="806"/>
      <c r="DOR44" s="806"/>
      <c r="DOS44" s="806"/>
      <c r="DOT44" s="806"/>
      <c r="DOU44" s="806"/>
      <c r="DOV44" s="806"/>
      <c r="DOW44" s="806"/>
      <c r="DOX44" s="806"/>
      <c r="DOY44" s="806"/>
      <c r="DOZ44" s="806"/>
      <c r="DPA44" s="806"/>
      <c r="DPB44" s="806"/>
      <c r="DPC44" s="806"/>
      <c r="DPD44" s="806"/>
      <c r="DPE44" s="806"/>
      <c r="DPF44" s="806"/>
      <c r="DPG44" s="806"/>
      <c r="DPH44" s="806"/>
      <c r="DPI44" s="806"/>
      <c r="DPJ44" s="806"/>
      <c r="DPK44" s="806"/>
      <c r="DPL44" s="806"/>
      <c r="DPM44" s="806"/>
      <c r="DPN44" s="806"/>
      <c r="DPO44" s="806"/>
      <c r="DPP44" s="806"/>
      <c r="DPQ44" s="806"/>
      <c r="DPR44" s="806"/>
      <c r="DPS44" s="806"/>
      <c r="DPT44" s="806"/>
      <c r="DPU44" s="806"/>
      <c r="DPV44" s="806"/>
      <c r="DPW44" s="806"/>
      <c r="DPX44" s="806"/>
      <c r="DPY44" s="806"/>
      <c r="DPZ44" s="806"/>
      <c r="DQA44" s="806"/>
      <c r="DQB44" s="806"/>
      <c r="DQC44" s="806"/>
      <c r="DQD44" s="806"/>
      <c r="DQE44" s="806"/>
      <c r="DQF44" s="806"/>
      <c r="DQG44" s="806"/>
      <c r="DQH44" s="806"/>
      <c r="DQI44" s="806"/>
      <c r="DQJ44" s="806"/>
      <c r="DQK44" s="806"/>
      <c r="DQL44" s="806"/>
      <c r="DQM44" s="806"/>
      <c r="DQN44" s="806"/>
      <c r="DQO44" s="806"/>
      <c r="DQP44" s="806"/>
      <c r="DQQ44" s="806"/>
      <c r="DQR44" s="806"/>
      <c r="DQS44" s="806"/>
      <c r="DQT44" s="806"/>
      <c r="DQU44" s="806"/>
      <c r="DQV44" s="806"/>
      <c r="DQW44" s="806"/>
      <c r="DQX44" s="806"/>
      <c r="DQY44" s="806"/>
      <c r="DQZ44" s="806"/>
      <c r="DRA44" s="806"/>
      <c r="DRB44" s="806"/>
      <c r="DRC44" s="806"/>
      <c r="DRD44" s="806"/>
      <c r="DRE44" s="806"/>
      <c r="DRF44" s="806"/>
      <c r="DRG44" s="806"/>
      <c r="DRH44" s="806"/>
      <c r="DRI44" s="806"/>
      <c r="DRJ44" s="806"/>
      <c r="DRK44" s="806"/>
      <c r="DRL44" s="806"/>
      <c r="DRM44" s="806"/>
      <c r="DRN44" s="806"/>
      <c r="DRO44" s="806"/>
      <c r="DRP44" s="806"/>
      <c r="DRQ44" s="806"/>
      <c r="DRR44" s="806"/>
      <c r="DRS44" s="806"/>
      <c r="DRT44" s="806"/>
      <c r="DRU44" s="806"/>
      <c r="DRV44" s="806"/>
      <c r="DRW44" s="806"/>
      <c r="DRX44" s="806"/>
      <c r="DRY44" s="806"/>
      <c r="DRZ44" s="806"/>
      <c r="DSA44" s="806"/>
      <c r="DSB44" s="806"/>
      <c r="DSC44" s="806"/>
      <c r="DSD44" s="806"/>
      <c r="DSE44" s="806"/>
      <c r="DSF44" s="806"/>
      <c r="DSG44" s="806"/>
      <c r="DSH44" s="806"/>
      <c r="DSI44" s="806"/>
      <c r="DSJ44" s="806"/>
      <c r="DSK44" s="806"/>
      <c r="DSL44" s="806"/>
      <c r="DSM44" s="806"/>
      <c r="DSN44" s="806"/>
      <c r="DSO44" s="806"/>
      <c r="DSP44" s="806"/>
      <c r="DSQ44" s="806"/>
      <c r="DSR44" s="806"/>
      <c r="DSS44" s="806"/>
      <c r="DST44" s="806"/>
      <c r="DSU44" s="806"/>
      <c r="DSV44" s="806"/>
      <c r="DSW44" s="806"/>
      <c r="DSX44" s="806"/>
      <c r="DSY44" s="806"/>
      <c r="DSZ44" s="806"/>
      <c r="DTA44" s="806"/>
      <c r="DTB44" s="806"/>
      <c r="DTC44" s="806"/>
      <c r="DTD44" s="806"/>
      <c r="DTE44" s="806"/>
      <c r="DTF44" s="806"/>
      <c r="DTG44" s="806"/>
      <c r="DTH44" s="806"/>
      <c r="DTI44" s="806"/>
      <c r="DTJ44" s="806"/>
      <c r="DTK44" s="806"/>
      <c r="DTL44" s="806"/>
      <c r="DTM44" s="806"/>
      <c r="DTN44" s="806"/>
      <c r="DTO44" s="806"/>
      <c r="DTP44" s="806"/>
      <c r="DTQ44" s="806"/>
      <c r="DTR44" s="806"/>
      <c r="DTS44" s="806"/>
      <c r="DTT44" s="806"/>
      <c r="DTU44" s="806"/>
      <c r="DTV44" s="806"/>
      <c r="DTW44" s="806"/>
      <c r="DTX44" s="806"/>
      <c r="DTY44" s="806"/>
      <c r="DTZ44" s="806"/>
      <c r="DUA44" s="806"/>
      <c r="DUB44" s="806"/>
      <c r="DUC44" s="806"/>
      <c r="DUD44" s="806"/>
      <c r="DUE44" s="806"/>
      <c r="DUF44" s="806"/>
      <c r="DUG44" s="806"/>
      <c r="DUH44" s="806"/>
      <c r="DUI44" s="806"/>
      <c r="DUJ44" s="806"/>
      <c r="DUK44" s="806"/>
      <c r="DUL44" s="806"/>
      <c r="DUM44" s="806"/>
      <c r="DUN44" s="806"/>
      <c r="DUO44" s="806"/>
      <c r="DUP44" s="806"/>
      <c r="DUQ44" s="806"/>
      <c r="DUR44" s="806"/>
      <c r="DUS44" s="806"/>
      <c r="DUT44" s="806"/>
      <c r="DUU44" s="806"/>
      <c r="DUV44" s="806"/>
      <c r="DUW44" s="806"/>
      <c r="DUX44" s="806"/>
      <c r="DUY44" s="806"/>
      <c r="DUZ44" s="806"/>
      <c r="DVA44" s="806"/>
      <c r="DVB44" s="806"/>
      <c r="DVC44" s="806"/>
      <c r="DVD44" s="806"/>
      <c r="DVE44" s="806"/>
      <c r="DVF44" s="806"/>
      <c r="DVG44" s="806"/>
      <c r="DVH44" s="806"/>
      <c r="DVI44" s="806"/>
      <c r="DVJ44" s="806"/>
      <c r="DVK44" s="806"/>
      <c r="DVL44" s="806"/>
      <c r="DVM44" s="806"/>
      <c r="DVN44" s="806"/>
      <c r="DVO44" s="806"/>
      <c r="DVP44" s="806"/>
      <c r="DVQ44" s="806"/>
      <c r="DVR44" s="806"/>
      <c r="DVS44" s="806"/>
      <c r="DVT44" s="806"/>
      <c r="DVU44" s="806"/>
      <c r="DVV44" s="806"/>
      <c r="DVW44" s="806"/>
      <c r="DVX44" s="806"/>
      <c r="DVY44" s="806"/>
      <c r="DVZ44" s="806"/>
      <c r="DWA44" s="806"/>
      <c r="DWB44" s="806"/>
      <c r="DWC44" s="806"/>
      <c r="DWD44" s="806"/>
      <c r="DWE44" s="806"/>
      <c r="DWF44" s="806"/>
      <c r="DWG44" s="806"/>
      <c r="DWH44" s="806"/>
      <c r="DWI44" s="806"/>
      <c r="DWJ44" s="806"/>
      <c r="DWK44" s="806"/>
      <c r="DWL44" s="806"/>
      <c r="DWM44" s="806"/>
      <c r="DWN44" s="806"/>
      <c r="DWO44" s="806"/>
      <c r="DWP44" s="806"/>
      <c r="DWQ44" s="806"/>
      <c r="DWR44" s="806"/>
      <c r="DWS44" s="806"/>
      <c r="DWT44" s="806"/>
      <c r="DWU44" s="806"/>
      <c r="DWV44" s="806"/>
      <c r="DWW44" s="806"/>
      <c r="DWX44" s="806"/>
      <c r="DWY44" s="806"/>
      <c r="DWZ44" s="806"/>
      <c r="DXA44" s="806"/>
      <c r="DXB44" s="806"/>
      <c r="DXC44" s="806"/>
      <c r="DXD44" s="806"/>
      <c r="DXE44" s="806"/>
      <c r="DXF44" s="806"/>
      <c r="DXG44" s="806"/>
      <c r="DXH44" s="806"/>
      <c r="DXI44" s="806"/>
      <c r="DXJ44" s="806"/>
      <c r="DXK44" s="806"/>
      <c r="DXL44" s="806"/>
      <c r="DXM44" s="806"/>
      <c r="DXN44" s="806"/>
      <c r="DXO44" s="806"/>
      <c r="DXP44" s="806"/>
      <c r="DXQ44" s="806"/>
      <c r="DXR44" s="806"/>
      <c r="DXS44" s="806"/>
      <c r="DXT44" s="806"/>
      <c r="DXU44" s="806"/>
      <c r="DXV44" s="806"/>
      <c r="DXW44" s="806"/>
      <c r="DXX44" s="806"/>
      <c r="DXY44" s="806"/>
      <c r="DXZ44" s="806"/>
      <c r="DYA44" s="806"/>
      <c r="DYB44" s="806"/>
      <c r="DYC44" s="806"/>
      <c r="DYD44" s="806"/>
      <c r="DYE44" s="806"/>
      <c r="DYF44" s="806"/>
      <c r="DYG44" s="806"/>
      <c r="DYH44" s="806"/>
      <c r="DYI44" s="806"/>
      <c r="DYJ44" s="806"/>
      <c r="DYK44" s="806"/>
      <c r="DYL44" s="806"/>
      <c r="DYM44" s="806"/>
      <c r="DYN44" s="806"/>
      <c r="DYO44" s="806"/>
      <c r="DYP44" s="806"/>
      <c r="DYQ44" s="806"/>
      <c r="DYR44" s="806"/>
      <c r="DYS44" s="806"/>
      <c r="DYT44" s="806"/>
      <c r="DYU44" s="806"/>
      <c r="DYV44" s="806"/>
      <c r="DYW44" s="806"/>
      <c r="DYX44" s="806"/>
      <c r="DYY44" s="806"/>
      <c r="DYZ44" s="806"/>
      <c r="DZA44" s="806"/>
      <c r="DZB44" s="806"/>
      <c r="DZC44" s="806"/>
      <c r="DZD44" s="806"/>
      <c r="DZE44" s="806"/>
      <c r="DZF44" s="806"/>
      <c r="DZG44" s="806"/>
      <c r="DZH44" s="806"/>
      <c r="DZI44" s="806"/>
      <c r="DZJ44" s="806"/>
      <c r="DZK44" s="806"/>
      <c r="DZL44" s="806"/>
      <c r="DZM44" s="806"/>
      <c r="DZN44" s="806"/>
      <c r="DZO44" s="806"/>
      <c r="DZP44" s="806"/>
      <c r="DZQ44" s="806"/>
      <c r="DZR44" s="806"/>
      <c r="DZS44" s="806"/>
      <c r="DZT44" s="806"/>
      <c r="DZU44" s="806"/>
      <c r="DZV44" s="806"/>
      <c r="DZW44" s="806"/>
      <c r="DZX44" s="806"/>
      <c r="DZY44" s="806"/>
      <c r="DZZ44" s="806"/>
      <c r="EAA44" s="806"/>
      <c r="EAB44" s="806"/>
      <c r="EAC44" s="806"/>
      <c r="EAD44" s="806"/>
      <c r="EAE44" s="806"/>
      <c r="EAF44" s="806"/>
      <c r="EAG44" s="806"/>
      <c r="EAH44" s="806"/>
      <c r="EAI44" s="806"/>
      <c r="EAJ44" s="806"/>
      <c r="EAK44" s="806"/>
      <c r="EAL44" s="806"/>
      <c r="EAM44" s="806"/>
      <c r="EAN44" s="806"/>
      <c r="EAO44" s="806"/>
      <c r="EAP44" s="806"/>
      <c r="EAQ44" s="806"/>
      <c r="EAR44" s="806"/>
      <c r="EAS44" s="806"/>
      <c r="EAT44" s="806"/>
      <c r="EAU44" s="806"/>
      <c r="EAV44" s="806"/>
      <c r="EAW44" s="806"/>
      <c r="EAX44" s="806"/>
      <c r="EAY44" s="806"/>
      <c r="EAZ44" s="806"/>
      <c r="EBA44" s="806"/>
      <c r="EBB44" s="806"/>
      <c r="EBC44" s="806"/>
      <c r="EBD44" s="806"/>
      <c r="EBE44" s="806"/>
      <c r="EBF44" s="806"/>
      <c r="EBG44" s="806"/>
      <c r="EBH44" s="806"/>
      <c r="EBI44" s="806"/>
      <c r="EBJ44" s="806"/>
      <c r="EBK44" s="806"/>
      <c r="EBL44" s="806"/>
      <c r="EBM44" s="806"/>
      <c r="EBN44" s="806"/>
      <c r="EBO44" s="806"/>
      <c r="EBP44" s="806"/>
      <c r="EBQ44" s="806"/>
      <c r="EBR44" s="806"/>
      <c r="EBS44" s="806"/>
      <c r="EBT44" s="806"/>
      <c r="EBU44" s="806"/>
      <c r="EBV44" s="806"/>
      <c r="EBW44" s="806"/>
      <c r="EBX44" s="806"/>
      <c r="EBY44" s="806"/>
      <c r="EBZ44" s="806"/>
      <c r="ECA44" s="806"/>
      <c r="ECB44" s="806"/>
      <c r="ECC44" s="806"/>
      <c r="ECD44" s="806"/>
      <c r="ECE44" s="806"/>
      <c r="ECF44" s="806"/>
      <c r="ECG44" s="806"/>
      <c r="ECH44" s="806"/>
      <c r="ECI44" s="806"/>
      <c r="ECJ44" s="806"/>
      <c r="ECK44" s="806"/>
      <c r="ECL44" s="806"/>
      <c r="ECM44" s="806"/>
      <c r="ECN44" s="806"/>
      <c r="ECO44" s="806"/>
      <c r="ECP44" s="806"/>
      <c r="ECQ44" s="806"/>
      <c r="ECR44" s="806"/>
      <c r="ECS44" s="806"/>
      <c r="ECT44" s="806"/>
      <c r="ECU44" s="806"/>
      <c r="ECV44" s="806"/>
      <c r="ECW44" s="806"/>
      <c r="ECX44" s="806"/>
      <c r="ECY44" s="806"/>
      <c r="ECZ44" s="806"/>
      <c r="EDA44" s="806"/>
      <c r="EDB44" s="806"/>
      <c r="EDC44" s="806"/>
      <c r="EDD44" s="806"/>
      <c r="EDE44" s="806"/>
      <c r="EDF44" s="806"/>
      <c r="EDG44" s="806"/>
      <c r="EDH44" s="806"/>
      <c r="EDI44" s="806"/>
      <c r="EDJ44" s="806"/>
      <c r="EDK44" s="806"/>
      <c r="EDL44" s="806"/>
      <c r="EDM44" s="806"/>
      <c r="EDN44" s="806"/>
      <c r="EDO44" s="806"/>
      <c r="EDP44" s="806"/>
      <c r="EDQ44" s="806"/>
      <c r="EDR44" s="806"/>
      <c r="EDS44" s="806"/>
      <c r="EDT44" s="806"/>
      <c r="EDU44" s="806"/>
      <c r="EDV44" s="806"/>
      <c r="EDW44" s="806"/>
      <c r="EDX44" s="806"/>
      <c r="EDY44" s="806"/>
      <c r="EDZ44" s="806"/>
      <c r="EEA44" s="806"/>
      <c r="EEB44" s="806"/>
      <c r="EEC44" s="806"/>
      <c r="EED44" s="806"/>
      <c r="EEE44" s="806"/>
      <c r="EEF44" s="806"/>
      <c r="EEG44" s="806"/>
      <c r="EEH44" s="806"/>
      <c r="EEI44" s="806"/>
      <c r="EEJ44" s="806"/>
      <c r="EEK44" s="806"/>
      <c r="EEL44" s="806"/>
      <c r="EEM44" s="806"/>
      <c r="EEN44" s="806"/>
      <c r="EEO44" s="806"/>
      <c r="EEP44" s="806"/>
      <c r="EEQ44" s="806"/>
      <c r="EER44" s="806"/>
      <c r="EES44" s="806"/>
      <c r="EET44" s="806"/>
      <c r="EEU44" s="806"/>
      <c r="EEV44" s="806"/>
      <c r="EEW44" s="806"/>
      <c r="EEX44" s="806"/>
      <c r="EEY44" s="806"/>
      <c r="EEZ44" s="806"/>
      <c r="EFA44" s="806"/>
      <c r="EFB44" s="806"/>
      <c r="EFC44" s="806"/>
      <c r="EFD44" s="806"/>
      <c r="EFE44" s="806"/>
      <c r="EFF44" s="806"/>
      <c r="EFG44" s="806"/>
      <c r="EFH44" s="806"/>
      <c r="EFI44" s="806"/>
      <c r="EFJ44" s="806"/>
      <c r="EFK44" s="806"/>
      <c r="EFL44" s="806"/>
      <c r="EFM44" s="806"/>
      <c r="EFN44" s="806"/>
      <c r="EFO44" s="806"/>
      <c r="EFP44" s="806"/>
      <c r="EFQ44" s="806"/>
      <c r="EFR44" s="806"/>
      <c r="EFS44" s="806"/>
      <c r="EFT44" s="806"/>
      <c r="EFU44" s="806"/>
      <c r="EFV44" s="806"/>
      <c r="EFW44" s="806"/>
      <c r="EFX44" s="806"/>
      <c r="EFY44" s="806"/>
      <c r="EFZ44" s="806"/>
      <c r="EGA44" s="806"/>
      <c r="EGB44" s="806"/>
      <c r="EGC44" s="806"/>
      <c r="EGD44" s="806"/>
      <c r="EGE44" s="806"/>
      <c r="EGF44" s="806"/>
      <c r="EGG44" s="806"/>
      <c r="EGH44" s="806"/>
      <c r="EGI44" s="806"/>
      <c r="EGJ44" s="806"/>
      <c r="EGK44" s="806"/>
      <c r="EGL44" s="806"/>
      <c r="EGM44" s="806"/>
      <c r="EGN44" s="806"/>
      <c r="EGO44" s="806"/>
      <c r="EGP44" s="806"/>
      <c r="EGQ44" s="806"/>
      <c r="EGR44" s="806"/>
      <c r="EGS44" s="806"/>
      <c r="EGT44" s="806"/>
      <c r="EGU44" s="806"/>
      <c r="EGV44" s="806"/>
      <c r="EGW44" s="806"/>
      <c r="EGX44" s="806"/>
      <c r="EGY44" s="806"/>
      <c r="EGZ44" s="806"/>
      <c r="EHA44" s="806"/>
      <c r="EHB44" s="806"/>
      <c r="EHC44" s="806"/>
      <c r="EHD44" s="806"/>
      <c r="EHE44" s="806"/>
      <c r="EHF44" s="806"/>
      <c r="EHG44" s="806"/>
      <c r="EHH44" s="806"/>
      <c r="EHI44" s="806"/>
      <c r="EHJ44" s="806"/>
      <c r="EHK44" s="806"/>
      <c r="EHL44" s="806"/>
      <c r="EHM44" s="806"/>
      <c r="EHN44" s="806"/>
      <c r="EHO44" s="806"/>
      <c r="EHP44" s="806"/>
      <c r="EHQ44" s="806"/>
      <c r="EHR44" s="806"/>
      <c r="EHS44" s="806"/>
      <c r="EHT44" s="806"/>
      <c r="EHU44" s="806"/>
      <c r="EHV44" s="806"/>
      <c r="EHW44" s="806"/>
      <c r="EHX44" s="806"/>
      <c r="EHY44" s="806"/>
      <c r="EHZ44" s="806"/>
      <c r="EIA44" s="806"/>
      <c r="EIB44" s="806"/>
      <c r="EIC44" s="806"/>
      <c r="EID44" s="806"/>
      <c r="EIE44" s="806"/>
      <c r="EIF44" s="806"/>
      <c r="EIG44" s="806"/>
      <c r="EIH44" s="806"/>
      <c r="EII44" s="806"/>
      <c r="EIJ44" s="806"/>
      <c r="EIK44" s="806"/>
      <c r="EIL44" s="806"/>
      <c r="EIM44" s="806"/>
      <c r="EIN44" s="806"/>
      <c r="EIO44" s="806"/>
      <c r="EIP44" s="806"/>
      <c r="EIQ44" s="806"/>
      <c r="EIR44" s="806"/>
      <c r="EIS44" s="806"/>
      <c r="EIT44" s="806"/>
      <c r="EIU44" s="806"/>
      <c r="EIV44" s="806"/>
      <c r="EIW44" s="806"/>
      <c r="EIX44" s="806"/>
      <c r="EIY44" s="806"/>
      <c r="EIZ44" s="806"/>
      <c r="EJA44" s="806"/>
      <c r="EJB44" s="806"/>
      <c r="EJC44" s="806"/>
      <c r="EJD44" s="806"/>
      <c r="EJE44" s="806"/>
      <c r="EJF44" s="806"/>
      <c r="EJG44" s="806"/>
      <c r="EJH44" s="806"/>
      <c r="EJI44" s="806"/>
      <c r="EJJ44" s="806"/>
      <c r="EJK44" s="806"/>
      <c r="EJL44" s="806"/>
      <c r="EJM44" s="806"/>
      <c r="EJN44" s="806"/>
      <c r="EJO44" s="806"/>
      <c r="EJP44" s="806"/>
      <c r="EJQ44" s="806"/>
      <c r="EJR44" s="806"/>
      <c r="EJS44" s="806"/>
      <c r="EJT44" s="806"/>
      <c r="EJU44" s="806"/>
      <c r="EJV44" s="806"/>
      <c r="EJW44" s="806"/>
      <c r="EJX44" s="806"/>
      <c r="EJY44" s="806"/>
      <c r="EJZ44" s="806"/>
      <c r="EKA44" s="806"/>
      <c r="EKB44" s="806"/>
      <c r="EKC44" s="806"/>
      <c r="EKD44" s="806"/>
      <c r="EKE44" s="806"/>
      <c r="EKF44" s="806"/>
      <c r="EKG44" s="806"/>
      <c r="EKH44" s="806"/>
      <c r="EKI44" s="806"/>
      <c r="EKJ44" s="806"/>
      <c r="EKK44" s="806"/>
      <c r="EKL44" s="806"/>
      <c r="EKM44" s="806"/>
      <c r="EKN44" s="806"/>
      <c r="EKO44" s="806"/>
      <c r="EKP44" s="806"/>
      <c r="EKQ44" s="806"/>
      <c r="EKR44" s="806"/>
      <c r="EKS44" s="806"/>
      <c r="EKT44" s="806"/>
      <c r="EKU44" s="806"/>
      <c r="EKV44" s="806"/>
      <c r="EKW44" s="806"/>
      <c r="EKX44" s="806"/>
      <c r="EKY44" s="806"/>
      <c r="EKZ44" s="806"/>
      <c r="ELA44" s="806"/>
      <c r="ELB44" s="806"/>
      <c r="ELC44" s="806"/>
      <c r="ELD44" s="806"/>
      <c r="ELE44" s="806"/>
      <c r="ELF44" s="806"/>
      <c r="ELG44" s="806"/>
      <c r="ELH44" s="806"/>
      <c r="ELI44" s="806"/>
      <c r="ELJ44" s="806"/>
      <c r="ELK44" s="806"/>
      <c r="ELL44" s="806"/>
      <c r="ELM44" s="806"/>
      <c r="ELN44" s="806"/>
      <c r="ELO44" s="806"/>
      <c r="ELP44" s="806"/>
      <c r="ELQ44" s="806"/>
      <c r="ELR44" s="806"/>
      <c r="ELS44" s="806"/>
      <c r="ELT44" s="806"/>
      <c r="ELU44" s="806"/>
      <c r="ELV44" s="806"/>
      <c r="ELW44" s="806"/>
      <c r="ELX44" s="806"/>
      <c r="ELY44" s="806"/>
      <c r="ELZ44" s="806"/>
      <c r="EMA44" s="806"/>
      <c r="EMB44" s="806"/>
      <c r="EMC44" s="806"/>
      <c r="EMD44" s="806"/>
      <c r="EME44" s="806"/>
      <c r="EMF44" s="806"/>
      <c r="EMG44" s="806"/>
      <c r="EMH44" s="806"/>
      <c r="EMI44" s="806"/>
      <c r="EMJ44" s="806"/>
      <c r="EMK44" s="806"/>
      <c r="EML44" s="806"/>
      <c r="EMM44" s="806"/>
      <c r="EMN44" s="806"/>
      <c r="EMO44" s="806"/>
      <c r="EMP44" s="806"/>
      <c r="EMQ44" s="806"/>
      <c r="EMR44" s="806"/>
      <c r="EMS44" s="806"/>
      <c r="EMT44" s="806"/>
      <c r="EMU44" s="806"/>
      <c r="EMV44" s="806"/>
      <c r="EMW44" s="806"/>
      <c r="EMX44" s="806"/>
      <c r="EMY44" s="806"/>
      <c r="EMZ44" s="806"/>
      <c r="ENA44" s="806"/>
      <c r="ENB44" s="806"/>
      <c r="ENC44" s="806"/>
      <c r="END44" s="806"/>
      <c r="ENE44" s="806"/>
      <c r="ENF44" s="806"/>
      <c r="ENG44" s="806"/>
      <c r="ENH44" s="806"/>
      <c r="ENI44" s="806"/>
      <c r="ENJ44" s="806"/>
      <c r="ENK44" s="806"/>
      <c r="ENL44" s="806"/>
      <c r="ENM44" s="806"/>
      <c r="ENN44" s="806"/>
      <c r="ENO44" s="806"/>
      <c r="ENP44" s="806"/>
      <c r="ENQ44" s="806"/>
      <c r="ENR44" s="806"/>
      <c r="ENS44" s="806"/>
      <c r="ENT44" s="806"/>
      <c r="ENU44" s="806"/>
      <c r="ENV44" s="806"/>
      <c r="ENW44" s="806"/>
      <c r="ENX44" s="806"/>
      <c r="ENY44" s="806"/>
      <c r="ENZ44" s="806"/>
      <c r="EOA44" s="806"/>
      <c r="EOB44" s="806"/>
      <c r="EOC44" s="806"/>
      <c r="EOD44" s="806"/>
      <c r="EOE44" s="806"/>
      <c r="EOF44" s="806"/>
      <c r="EOG44" s="806"/>
      <c r="EOH44" s="806"/>
      <c r="EOI44" s="806"/>
      <c r="EOJ44" s="806"/>
      <c r="EOK44" s="806"/>
      <c r="EOL44" s="806"/>
      <c r="EOM44" s="806"/>
      <c r="EON44" s="806"/>
      <c r="EOO44" s="806"/>
      <c r="EOP44" s="806"/>
      <c r="EOQ44" s="806"/>
      <c r="EOR44" s="806"/>
      <c r="EOS44" s="806"/>
      <c r="EOT44" s="806"/>
      <c r="EOU44" s="806"/>
      <c r="EOV44" s="806"/>
      <c r="EOW44" s="806"/>
      <c r="EOX44" s="806"/>
      <c r="EOY44" s="806"/>
      <c r="EOZ44" s="806"/>
      <c r="EPA44" s="806"/>
      <c r="EPB44" s="806"/>
      <c r="EPC44" s="806"/>
      <c r="EPD44" s="806"/>
      <c r="EPE44" s="806"/>
      <c r="EPF44" s="806"/>
      <c r="EPG44" s="806"/>
      <c r="EPH44" s="806"/>
      <c r="EPI44" s="806"/>
      <c r="EPJ44" s="806"/>
      <c r="EPK44" s="806"/>
      <c r="EPL44" s="806"/>
      <c r="EPM44" s="806"/>
      <c r="EPN44" s="806"/>
      <c r="EPO44" s="806"/>
      <c r="EPP44" s="806"/>
      <c r="EPQ44" s="806"/>
      <c r="EPR44" s="806"/>
      <c r="EPS44" s="806"/>
      <c r="EPT44" s="806"/>
      <c r="EPU44" s="806"/>
      <c r="EPV44" s="806"/>
      <c r="EPW44" s="806"/>
      <c r="EPX44" s="806"/>
      <c r="EPY44" s="806"/>
      <c r="EPZ44" s="806"/>
      <c r="EQA44" s="806"/>
      <c r="EQB44" s="806"/>
      <c r="EQC44" s="806"/>
      <c r="EQD44" s="806"/>
      <c r="EQE44" s="806"/>
      <c r="EQF44" s="806"/>
      <c r="EQG44" s="806"/>
      <c r="EQH44" s="806"/>
      <c r="EQI44" s="806"/>
      <c r="EQJ44" s="806"/>
      <c r="EQK44" s="806"/>
      <c r="EQL44" s="806"/>
      <c r="EQM44" s="806"/>
      <c r="EQN44" s="806"/>
      <c r="EQO44" s="806"/>
      <c r="EQP44" s="806"/>
      <c r="EQQ44" s="806"/>
      <c r="EQR44" s="806"/>
      <c r="EQS44" s="806"/>
      <c r="EQT44" s="806"/>
      <c r="EQU44" s="806"/>
      <c r="EQV44" s="806"/>
      <c r="EQW44" s="806"/>
      <c r="EQX44" s="806"/>
      <c r="EQY44" s="806"/>
      <c r="EQZ44" s="806"/>
      <c r="ERA44" s="806"/>
      <c r="ERB44" s="806"/>
      <c r="ERC44" s="806"/>
      <c r="ERD44" s="806"/>
      <c r="ERE44" s="806"/>
      <c r="ERF44" s="806"/>
      <c r="ERG44" s="806"/>
      <c r="ERH44" s="806"/>
      <c r="ERI44" s="806"/>
      <c r="ERJ44" s="806"/>
      <c r="ERK44" s="806"/>
      <c r="ERL44" s="806"/>
      <c r="ERM44" s="806"/>
      <c r="ERN44" s="806"/>
      <c r="ERO44" s="806"/>
      <c r="ERP44" s="806"/>
      <c r="ERQ44" s="806"/>
      <c r="ERR44" s="806"/>
      <c r="ERS44" s="806"/>
      <c r="ERT44" s="806"/>
      <c r="ERU44" s="806"/>
      <c r="ERV44" s="806"/>
      <c r="ERW44" s="806"/>
      <c r="ERX44" s="806"/>
      <c r="ERY44" s="806"/>
      <c r="ERZ44" s="806"/>
      <c r="ESA44" s="806"/>
      <c r="ESB44" s="806"/>
      <c r="ESC44" s="806"/>
      <c r="ESD44" s="806"/>
      <c r="ESE44" s="806"/>
      <c r="ESF44" s="806"/>
      <c r="ESG44" s="806"/>
      <c r="ESH44" s="806"/>
      <c r="ESI44" s="806"/>
      <c r="ESJ44" s="806"/>
      <c r="ESK44" s="806"/>
      <c r="ESL44" s="806"/>
      <c r="ESM44" s="806"/>
      <c r="ESN44" s="806"/>
      <c r="ESO44" s="806"/>
      <c r="ESP44" s="806"/>
      <c r="ESQ44" s="806"/>
      <c r="ESR44" s="806"/>
      <c r="ESS44" s="806"/>
      <c r="EST44" s="806"/>
      <c r="ESU44" s="806"/>
      <c r="ESV44" s="806"/>
      <c r="ESW44" s="806"/>
      <c r="ESX44" s="806"/>
      <c r="ESY44" s="806"/>
      <c r="ESZ44" s="806"/>
      <c r="ETA44" s="806"/>
      <c r="ETB44" s="806"/>
      <c r="ETC44" s="806"/>
      <c r="ETD44" s="806"/>
      <c r="ETE44" s="806"/>
      <c r="ETF44" s="806"/>
      <c r="ETG44" s="806"/>
      <c r="ETH44" s="806"/>
      <c r="ETI44" s="806"/>
      <c r="ETJ44" s="806"/>
      <c r="ETK44" s="806"/>
      <c r="ETL44" s="806"/>
      <c r="ETM44" s="806"/>
      <c r="ETN44" s="806"/>
      <c r="ETO44" s="806"/>
      <c r="ETP44" s="806"/>
      <c r="ETQ44" s="806"/>
      <c r="ETR44" s="806"/>
      <c r="ETS44" s="806"/>
      <c r="ETT44" s="806"/>
      <c r="ETU44" s="806"/>
      <c r="ETV44" s="806"/>
      <c r="ETW44" s="806"/>
      <c r="ETX44" s="806"/>
      <c r="ETY44" s="806"/>
      <c r="ETZ44" s="806"/>
      <c r="EUA44" s="806"/>
      <c r="EUB44" s="806"/>
      <c r="EUC44" s="806"/>
      <c r="EUD44" s="806"/>
      <c r="EUE44" s="806"/>
      <c r="EUF44" s="806"/>
      <c r="EUG44" s="806"/>
      <c r="EUH44" s="806"/>
      <c r="EUI44" s="806"/>
      <c r="EUJ44" s="806"/>
      <c r="EUK44" s="806"/>
      <c r="EUL44" s="806"/>
      <c r="EUM44" s="806"/>
      <c r="EUN44" s="806"/>
      <c r="EUO44" s="806"/>
      <c r="EUP44" s="806"/>
      <c r="EUQ44" s="806"/>
      <c r="EUR44" s="806"/>
      <c r="EUS44" s="806"/>
      <c r="EUT44" s="806"/>
      <c r="EUU44" s="806"/>
      <c r="EUV44" s="806"/>
      <c r="EUW44" s="806"/>
      <c r="EUX44" s="806"/>
      <c r="EUY44" s="806"/>
      <c r="EUZ44" s="806"/>
      <c r="EVA44" s="806"/>
      <c r="EVB44" s="806"/>
      <c r="EVC44" s="806"/>
      <c r="EVD44" s="806"/>
      <c r="EVE44" s="806"/>
      <c r="EVF44" s="806"/>
      <c r="EVG44" s="806"/>
      <c r="EVH44" s="806"/>
      <c r="EVI44" s="806"/>
      <c r="EVJ44" s="806"/>
      <c r="EVK44" s="806"/>
      <c r="EVL44" s="806"/>
      <c r="EVM44" s="806"/>
      <c r="EVN44" s="806"/>
      <c r="EVO44" s="806"/>
      <c r="EVP44" s="806"/>
      <c r="EVQ44" s="806"/>
      <c r="EVR44" s="806"/>
      <c r="EVS44" s="806"/>
      <c r="EVT44" s="806"/>
      <c r="EVU44" s="806"/>
      <c r="EVV44" s="806"/>
      <c r="EVW44" s="806"/>
      <c r="EVX44" s="806"/>
      <c r="EVY44" s="806"/>
      <c r="EVZ44" s="806"/>
      <c r="EWA44" s="806"/>
      <c r="EWB44" s="806"/>
      <c r="EWC44" s="806"/>
      <c r="EWD44" s="806"/>
      <c r="EWE44" s="806"/>
      <c r="EWF44" s="806"/>
      <c r="EWG44" s="806"/>
      <c r="EWH44" s="806"/>
      <c r="EWI44" s="806"/>
      <c r="EWJ44" s="806"/>
      <c r="EWK44" s="806"/>
      <c r="EWL44" s="806"/>
      <c r="EWM44" s="806"/>
      <c r="EWN44" s="806"/>
      <c r="EWO44" s="806"/>
      <c r="EWP44" s="806"/>
      <c r="EWQ44" s="806"/>
      <c r="EWR44" s="806"/>
      <c r="EWS44" s="806"/>
      <c r="EWT44" s="806"/>
      <c r="EWU44" s="806"/>
      <c r="EWV44" s="806"/>
      <c r="EWW44" s="806"/>
      <c r="EWX44" s="806"/>
      <c r="EWY44" s="806"/>
      <c r="EWZ44" s="806"/>
      <c r="EXA44" s="806"/>
      <c r="EXB44" s="806"/>
      <c r="EXC44" s="806"/>
      <c r="EXD44" s="806"/>
      <c r="EXE44" s="806"/>
      <c r="EXF44" s="806"/>
      <c r="EXG44" s="806"/>
      <c r="EXH44" s="806"/>
      <c r="EXI44" s="806"/>
      <c r="EXJ44" s="806"/>
      <c r="EXK44" s="806"/>
      <c r="EXL44" s="806"/>
      <c r="EXM44" s="806"/>
      <c r="EXN44" s="806"/>
      <c r="EXO44" s="806"/>
      <c r="EXP44" s="806"/>
      <c r="EXQ44" s="806"/>
      <c r="EXR44" s="806"/>
      <c r="EXS44" s="806"/>
      <c r="EXT44" s="806"/>
      <c r="EXU44" s="806"/>
      <c r="EXV44" s="806"/>
      <c r="EXW44" s="806"/>
      <c r="EXX44" s="806"/>
      <c r="EXY44" s="806"/>
      <c r="EXZ44" s="806"/>
      <c r="EYA44" s="806"/>
      <c r="EYB44" s="806"/>
      <c r="EYC44" s="806"/>
      <c r="EYD44" s="806"/>
      <c r="EYE44" s="806"/>
      <c r="EYF44" s="806"/>
      <c r="EYG44" s="806"/>
      <c r="EYH44" s="806"/>
      <c r="EYI44" s="806"/>
      <c r="EYJ44" s="806"/>
      <c r="EYK44" s="806"/>
      <c r="EYL44" s="806"/>
      <c r="EYM44" s="806"/>
      <c r="EYN44" s="806"/>
      <c r="EYO44" s="806"/>
      <c r="EYP44" s="806"/>
      <c r="EYQ44" s="806"/>
      <c r="EYR44" s="806"/>
      <c r="EYS44" s="806"/>
      <c r="EYT44" s="806"/>
      <c r="EYU44" s="806"/>
      <c r="EYV44" s="806"/>
      <c r="EYW44" s="806"/>
      <c r="EYX44" s="806"/>
      <c r="EYY44" s="806"/>
      <c r="EYZ44" s="806"/>
      <c r="EZA44" s="806"/>
      <c r="EZB44" s="806"/>
      <c r="EZC44" s="806"/>
      <c r="EZD44" s="806"/>
      <c r="EZE44" s="806"/>
      <c r="EZF44" s="806"/>
      <c r="EZG44" s="806"/>
      <c r="EZH44" s="806"/>
      <c r="EZI44" s="806"/>
      <c r="EZJ44" s="806"/>
      <c r="EZK44" s="806"/>
      <c r="EZL44" s="806"/>
      <c r="EZM44" s="806"/>
      <c r="EZN44" s="806"/>
      <c r="EZO44" s="806"/>
      <c r="EZP44" s="806"/>
      <c r="EZQ44" s="806"/>
      <c r="EZR44" s="806"/>
      <c r="EZS44" s="806"/>
      <c r="EZT44" s="806"/>
      <c r="EZU44" s="806"/>
      <c r="EZV44" s="806"/>
      <c r="EZW44" s="806"/>
      <c r="EZX44" s="806"/>
      <c r="EZY44" s="806"/>
      <c r="EZZ44" s="806"/>
      <c r="FAA44" s="806"/>
      <c r="FAB44" s="806"/>
      <c r="FAC44" s="806"/>
      <c r="FAD44" s="806"/>
      <c r="FAE44" s="806"/>
      <c r="FAF44" s="806"/>
      <c r="FAG44" s="806"/>
      <c r="FAH44" s="806"/>
      <c r="FAI44" s="806"/>
      <c r="FAJ44" s="806"/>
      <c r="FAK44" s="806"/>
      <c r="FAL44" s="806"/>
      <c r="FAM44" s="806"/>
      <c r="FAN44" s="806"/>
      <c r="FAO44" s="806"/>
      <c r="FAP44" s="806"/>
      <c r="FAQ44" s="806"/>
      <c r="FAR44" s="806"/>
      <c r="FAS44" s="806"/>
      <c r="FAT44" s="806"/>
      <c r="FAU44" s="806"/>
      <c r="FAV44" s="806"/>
      <c r="FAW44" s="806"/>
      <c r="FAX44" s="806"/>
      <c r="FAY44" s="806"/>
      <c r="FAZ44" s="806"/>
      <c r="FBA44" s="806"/>
      <c r="FBB44" s="806"/>
      <c r="FBC44" s="806"/>
      <c r="FBD44" s="806"/>
      <c r="FBE44" s="806"/>
      <c r="FBF44" s="806"/>
      <c r="FBG44" s="806"/>
      <c r="FBH44" s="806"/>
      <c r="FBI44" s="806"/>
      <c r="FBJ44" s="806"/>
      <c r="FBK44" s="806"/>
      <c r="FBL44" s="806"/>
      <c r="FBM44" s="806"/>
      <c r="FBN44" s="806"/>
      <c r="FBO44" s="806"/>
      <c r="FBP44" s="806"/>
      <c r="FBQ44" s="806"/>
      <c r="FBR44" s="806"/>
      <c r="FBS44" s="806"/>
      <c r="FBT44" s="806"/>
      <c r="FBU44" s="806"/>
      <c r="FBV44" s="806"/>
      <c r="FBW44" s="806"/>
      <c r="FBX44" s="806"/>
      <c r="FBY44" s="806"/>
      <c r="FBZ44" s="806"/>
      <c r="FCA44" s="806"/>
      <c r="FCB44" s="806"/>
      <c r="FCC44" s="806"/>
      <c r="FCD44" s="806"/>
      <c r="FCE44" s="806"/>
      <c r="FCF44" s="806"/>
      <c r="FCG44" s="806"/>
      <c r="FCH44" s="806"/>
      <c r="FCI44" s="806"/>
      <c r="FCJ44" s="806"/>
      <c r="FCK44" s="806"/>
      <c r="FCL44" s="806"/>
      <c r="FCM44" s="806"/>
      <c r="FCN44" s="806"/>
      <c r="FCO44" s="806"/>
      <c r="FCP44" s="806"/>
      <c r="FCQ44" s="806"/>
      <c r="FCR44" s="806"/>
      <c r="FCS44" s="806"/>
      <c r="FCT44" s="806"/>
      <c r="FCU44" s="806"/>
      <c r="FCV44" s="806"/>
      <c r="FCW44" s="806"/>
      <c r="FCX44" s="806"/>
      <c r="FCY44" s="806"/>
      <c r="FCZ44" s="806"/>
      <c r="FDA44" s="806"/>
      <c r="FDB44" s="806"/>
      <c r="FDC44" s="806"/>
      <c r="FDD44" s="806"/>
      <c r="FDE44" s="806"/>
      <c r="FDF44" s="806"/>
      <c r="FDG44" s="806"/>
      <c r="FDH44" s="806"/>
      <c r="FDI44" s="806"/>
      <c r="FDJ44" s="806"/>
      <c r="FDK44" s="806"/>
      <c r="FDL44" s="806"/>
      <c r="FDM44" s="806"/>
      <c r="FDN44" s="806"/>
      <c r="FDO44" s="806"/>
      <c r="FDP44" s="806"/>
      <c r="FDQ44" s="806"/>
      <c r="FDR44" s="806"/>
      <c r="FDS44" s="806"/>
      <c r="FDT44" s="806"/>
      <c r="FDU44" s="806"/>
      <c r="FDV44" s="806"/>
      <c r="FDW44" s="806"/>
      <c r="FDX44" s="806"/>
      <c r="FDY44" s="806"/>
      <c r="FDZ44" s="806"/>
      <c r="FEA44" s="806"/>
      <c r="FEB44" s="806"/>
      <c r="FEC44" s="806"/>
      <c r="FED44" s="806"/>
      <c r="FEE44" s="806"/>
      <c r="FEF44" s="806"/>
      <c r="FEG44" s="806"/>
      <c r="FEH44" s="806"/>
      <c r="FEI44" s="806"/>
      <c r="FEJ44" s="806"/>
      <c r="FEK44" s="806"/>
      <c r="FEL44" s="806"/>
      <c r="FEM44" s="806"/>
      <c r="FEN44" s="806"/>
      <c r="FEO44" s="806"/>
      <c r="FEP44" s="806"/>
      <c r="FEQ44" s="806"/>
      <c r="FER44" s="806"/>
      <c r="FES44" s="806"/>
      <c r="FET44" s="806"/>
      <c r="FEU44" s="806"/>
      <c r="FEV44" s="806"/>
      <c r="FEW44" s="806"/>
      <c r="FEX44" s="806"/>
      <c r="FEY44" s="806"/>
      <c r="FEZ44" s="806"/>
      <c r="FFA44" s="806"/>
      <c r="FFB44" s="806"/>
      <c r="FFC44" s="806"/>
      <c r="FFD44" s="806"/>
      <c r="FFE44" s="806"/>
      <c r="FFF44" s="806"/>
      <c r="FFG44" s="806"/>
      <c r="FFH44" s="806"/>
      <c r="FFI44" s="806"/>
      <c r="FFJ44" s="806"/>
      <c r="FFK44" s="806"/>
      <c r="FFL44" s="806"/>
      <c r="FFM44" s="806"/>
      <c r="FFN44" s="806"/>
      <c r="FFO44" s="806"/>
      <c r="FFP44" s="806"/>
      <c r="FFQ44" s="806"/>
      <c r="FFR44" s="806"/>
      <c r="FFS44" s="806"/>
      <c r="FFT44" s="806"/>
      <c r="FFU44" s="806"/>
      <c r="FFV44" s="806"/>
      <c r="FFW44" s="806"/>
      <c r="FFX44" s="806"/>
      <c r="FFY44" s="806"/>
      <c r="FFZ44" s="806"/>
      <c r="FGA44" s="806"/>
      <c r="FGB44" s="806"/>
      <c r="FGC44" s="806"/>
      <c r="FGD44" s="806"/>
      <c r="FGE44" s="806"/>
      <c r="FGF44" s="806"/>
      <c r="FGG44" s="806"/>
      <c r="FGH44" s="806"/>
      <c r="FGI44" s="806"/>
      <c r="FGJ44" s="806"/>
      <c r="FGK44" s="806"/>
      <c r="FGL44" s="806"/>
      <c r="FGM44" s="806"/>
      <c r="FGN44" s="806"/>
      <c r="FGO44" s="806"/>
      <c r="FGP44" s="806"/>
      <c r="FGQ44" s="806"/>
      <c r="FGR44" s="806"/>
      <c r="FGS44" s="806"/>
      <c r="FGT44" s="806"/>
      <c r="FGU44" s="806"/>
      <c r="FGV44" s="806"/>
      <c r="FGW44" s="806"/>
      <c r="FGX44" s="806"/>
      <c r="FGY44" s="806"/>
      <c r="FGZ44" s="806"/>
      <c r="FHA44" s="806"/>
      <c r="FHB44" s="806"/>
      <c r="FHC44" s="806"/>
      <c r="FHD44" s="806"/>
      <c r="FHE44" s="806"/>
      <c r="FHF44" s="806"/>
      <c r="FHG44" s="806"/>
      <c r="FHH44" s="806"/>
      <c r="FHI44" s="806"/>
      <c r="FHJ44" s="806"/>
      <c r="FHK44" s="806"/>
      <c r="FHL44" s="806"/>
      <c r="FHM44" s="806"/>
      <c r="FHN44" s="806"/>
      <c r="FHO44" s="806"/>
      <c r="FHP44" s="806"/>
      <c r="FHQ44" s="806"/>
      <c r="FHR44" s="806"/>
      <c r="FHS44" s="806"/>
      <c r="FHT44" s="806"/>
      <c r="FHU44" s="806"/>
      <c r="FHV44" s="806"/>
      <c r="FHW44" s="806"/>
      <c r="FHX44" s="806"/>
      <c r="FHY44" s="806"/>
      <c r="FHZ44" s="806"/>
      <c r="FIA44" s="806"/>
      <c r="FIB44" s="806"/>
      <c r="FIC44" s="806"/>
      <c r="FID44" s="806"/>
      <c r="FIE44" s="806"/>
      <c r="FIF44" s="806"/>
      <c r="FIG44" s="806"/>
      <c r="FIH44" s="806"/>
      <c r="FII44" s="806"/>
      <c r="FIJ44" s="806"/>
      <c r="FIK44" s="806"/>
      <c r="FIL44" s="806"/>
      <c r="FIM44" s="806"/>
      <c r="FIN44" s="806"/>
      <c r="FIO44" s="806"/>
      <c r="FIP44" s="806"/>
      <c r="FIQ44" s="806"/>
      <c r="FIR44" s="806"/>
      <c r="FIS44" s="806"/>
      <c r="FIT44" s="806"/>
      <c r="FIU44" s="806"/>
      <c r="FIV44" s="806"/>
      <c r="FIW44" s="806"/>
      <c r="FIX44" s="806"/>
      <c r="FIY44" s="806"/>
      <c r="FIZ44" s="806"/>
      <c r="FJA44" s="806"/>
      <c r="FJB44" s="806"/>
      <c r="FJC44" s="806"/>
      <c r="FJD44" s="806"/>
      <c r="FJE44" s="806"/>
      <c r="FJF44" s="806"/>
      <c r="FJG44" s="806"/>
      <c r="FJH44" s="806"/>
      <c r="FJI44" s="806"/>
      <c r="FJJ44" s="806"/>
      <c r="FJK44" s="806"/>
      <c r="FJL44" s="806"/>
      <c r="FJM44" s="806"/>
      <c r="FJN44" s="806"/>
      <c r="FJO44" s="806"/>
      <c r="FJP44" s="806"/>
      <c r="FJQ44" s="806"/>
      <c r="FJR44" s="806"/>
      <c r="FJS44" s="806"/>
      <c r="FJT44" s="806"/>
      <c r="FJU44" s="806"/>
      <c r="FJV44" s="806"/>
      <c r="FJW44" s="806"/>
      <c r="FJX44" s="806"/>
      <c r="FJY44" s="806"/>
      <c r="FJZ44" s="806"/>
      <c r="FKA44" s="806"/>
      <c r="FKB44" s="806"/>
      <c r="FKC44" s="806"/>
      <c r="FKD44" s="806"/>
      <c r="FKE44" s="806"/>
      <c r="FKF44" s="806"/>
      <c r="FKG44" s="806"/>
      <c r="FKH44" s="806"/>
      <c r="FKI44" s="806"/>
      <c r="FKJ44" s="806"/>
      <c r="FKK44" s="806"/>
      <c r="FKL44" s="806"/>
      <c r="FKM44" s="806"/>
      <c r="FKN44" s="806"/>
      <c r="FKO44" s="806"/>
      <c r="FKP44" s="806"/>
      <c r="FKQ44" s="806"/>
      <c r="FKR44" s="806"/>
      <c r="FKS44" s="806"/>
      <c r="FKT44" s="806"/>
      <c r="FKU44" s="806"/>
      <c r="FKV44" s="806"/>
      <c r="FKW44" s="806"/>
      <c r="FKX44" s="806"/>
      <c r="FKY44" s="806"/>
      <c r="FKZ44" s="806"/>
      <c r="FLA44" s="806"/>
      <c r="FLB44" s="806"/>
      <c r="FLC44" s="806"/>
      <c r="FLD44" s="806"/>
      <c r="FLE44" s="806"/>
      <c r="FLF44" s="806"/>
      <c r="FLG44" s="806"/>
      <c r="FLH44" s="806"/>
      <c r="FLI44" s="806"/>
      <c r="FLJ44" s="806"/>
      <c r="FLK44" s="806"/>
      <c r="FLL44" s="806"/>
      <c r="FLM44" s="806"/>
      <c r="FLN44" s="806"/>
      <c r="FLO44" s="806"/>
      <c r="FLP44" s="806"/>
      <c r="FLQ44" s="806"/>
      <c r="FLR44" s="806"/>
      <c r="FLS44" s="806"/>
      <c r="FLT44" s="806"/>
      <c r="FLU44" s="806"/>
      <c r="FLV44" s="806"/>
      <c r="FLW44" s="806"/>
      <c r="FLX44" s="806"/>
      <c r="FLY44" s="806"/>
      <c r="FLZ44" s="806"/>
      <c r="FMA44" s="806"/>
      <c r="FMB44" s="806"/>
      <c r="FMC44" s="806"/>
      <c r="FMD44" s="806"/>
      <c r="FME44" s="806"/>
      <c r="FMF44" s="806"/>
      <c r="FMG44" s="806"/>
      <c r="FMH44" s="806"/>
      <c r="FMI44" s="806"/>
      <c r="FMJ44" s="806"/>
      <c r="FMK44" s="806"/>
      <c r="FML44" s="806"/>
      <c r="FMM44" s="806"/>
      <c r="FMN44" s="806"/>
      <c r="FMO44" s="806"/>
      <c r="FMP44" s="806"/>
      <c r="FMQ44" s="806"/>
      <c r="FMR44" s="806"/>
      <c r="FMS44" s="806"/>
      <c r="FMT44" s="806"/>
      <c r="FMU44" s="806"/>
      <c r="FMV44" s="806"/>
      <c r="FMW44" s="806"/>
      <c r="FMX44" s="806"/>
      <c r="FMY44" s="806"/>
      <c r="FMZ44" s="806"/>
      <c r="FNA44" s="806"/>
      <c r="FNB44" s="806"/>
      <c r="FNC44" s="806"/>
      <c r="FND44" s="806"/>
      <c r="FNE44" s="806"/>
      <c r="FNF44" s="806"/>
      <c r="FNG44" s="806"/>
      <c r="FNH44" s="806"/>
      <c r="FNI44" s="806"/>
      <c r="FNJ44" s="806"/>
      <c r="FNK44" s="806"/>
      <c r="FNL44" s="806"/>
      <c r="FNM44" s="806"/>
      <c r="FNN44" s="806"/>
      <c r="FNO44" s="806"/>
      <c r="FNP44" s="806"/>
      <c r="FNQ44" s="806"/>
      <c r="FNR44" s="806"/>
      <c r="FNS44" s="806"/>
      <c r="FNT44" s="806"/>
      <c r="FNU44" s="806"/>
      <c r="FNV44" s="806"/>
      <c r="FNW44" s="806"/>
      <c r="FNX44" s="806"/>
      <c r="FNY44" s="806"/>
      <c r="FNZ44" s="806"/>
      <c r="FOA44" s="806"/>
      <c r="FOB44" s="806"/>
      <c r="FOC44" s="806"/>
      <c r="FOD44" s="806"/>
      <c r="FOE44" s="806"/>
      <c r="FOF44" s="806"/>
      <c r="FOG44" s="806"/>
      <c r="FOH44" s="806"/>
      <c r="FOI44" s="806"/>
      <c r="FOJ44" s="806"/>
      <c r="FOK44" s="806"/>
      <c r="FOL44" s="806"/>
      <c r="FOM44" s="806"/>
      <c r="FON44" s="806"/>
      <c r="FOO44" s="806"/>
      <c r="FOP44" s="806"/>
      <c r="FOQ44" s="806"/>
      <c r="FOR44" s="806"/>
      <c r="FOS44" s="806"/>
      <c r="FOT44" s="806"/>
      <c r="FOU44" s="806"/>
      <c r="FOV44" s="806"/>
      <c r="FOW44" s="806"/>
      <c r="FOX44" s="806"/>
      <c r="FOY44" s="806"/>
      <c r="FOZ44" s="806"/>
      <c r="FPA44" s="806"/>
      <c r="FPB44" s="806"/>
      <c r="FPC44" s="806"/>
      <c r="FPD44" s="806"/>
      <c r="FPE44" s="806"/>
      <c r="FPF44" s="806"/>
      <c r="FPG44" s="806"/>
      <c r="FPH44" s="806"/>
      <c r="FPI44" s="806"/>
      <c r="FPJ44" s="806"/>
      <c r="FPK44" s="806"/>
      <c r="FPL44" s="806"/>
      <c r="FPM44" s="806"/>
      <c r="FPN44" s="806"/>
      <c r="FPO44" s="806"/>
      <c r="FPP44" s="806"/>
      <c r="FPQ44" s="806"/>
      <c r="FPR44" s="806"/>
      <c r="FPS44" s="806"/>
      <c r="FPT44" s="806"/>
      <c r="FPU44" s="806"/>
      <c r="FPV44" s="806"/>
      <c r="FPW44" s="806"/>
      <c r="FPX44" s="806"/>
      <c r="FPY44" s="806"/>
      <c r="FPZ44" s="806"/>
      <c r="FQA44" s="806"/>
      <c r="FQB44" s="806"/>
      <c r="FQC44" s="806"/>
      <c r="FQD44" s="806"/>
      <c r="FQE44" s="806"/>
      <c r="FQF44" s="806"/>
      <c r="FQG44" s="806"/>
      <c r="FQH44" s="806"/>
      <c r="FQI44" s="806"/>
      <c r="FQJ44" s="806"/>
      <c r="FQK44" s="806"/>
      <c r="FQL44" s="806"/>
      <c r="FQM44" s="806"/>
      <c r="FQN44" s="806"/>
      <c r="FQO44" s="806"/>
      <c r="FQP44" s="806"/>
      <c r="FQQ44" s="806"/>
      <c r="FQR44" s="806"/>
      <c r="FQS44" s="806"/>
      <c r="FQT44" s="806"/>
      <c r="FQU44" s="806"/>
      <c r="FQV44" s="806"/>
      <c r="FQW44" s="806"/>
      <c r="FQX44" s="806"/>
      <c r="FQY44" s="806"/>
      <c r="FQZ44" s="806"/>
      <c r="FRA44" s="806"/>
      <c r="FRB44" s="806"/>
      <c r="FRC44" s="806"/>
      <c r="FRD44" s="806"/>
      <c r="FRE44" s="806"/>
      <c r="FRF44" s="806"/>
      <c r="FRG44" s="806"/>
      <c r="FRH44" s="806"/>
      <c r="FRI44" s="806"/>
      <c r="FRJ44" s="806"/>
      <c r="FRK44" s="806"/>
      <c r="FRL44" s="806"/>
      <c r="FRM44" s="806"/>
      <c r="FRN44" s="806"/>
      <c r="FRO44" s="806"/>
      <c r="FRP44" s="806"/>
      <c r="FRQ44" s="806"/>
      <c r="FRR44" s="806"/>
      <c r="FRS44" s="806"/>
      <c r="FRT44" s="806"/>
      <c r="FRU44" s="806"/>
      <c r="FRV44" s="806"/>
      <c r="FRW44" s="806"/>
      <c r="FRX44" s="806"/>
      <c r="FRY44" s="806"/>
      <c r="FRZ44" s="806"/>
      <c r="FSA44" s="806"/>
      <c r="FSB44" s="806"/>
      <c r="FSC44" s="806"/>
      <c r="FSD44" s="806"/>
      <c r="FSE44" s="806"/>
      <c r="FSF44" s="806"/>
      <c r="FSG44" s="806"/>
      <c r="FSH44" s="806"/>
      <c r="FSI44" s="806"/>
      <c r="FSJ44" s="806"/>
      <c r="FSK44" s="806"/>
      <c r="FSL44" s="806"/>
      <c r="FSM44" s="806"/>
      <c r="FSN44" s="806"/>
      <c r="FSO44" s="806"/>
      <c r="FSP44" s="806"/>
      <c r="FSQ44" s="806"/>
      <c r="FSR44" s="806"/>
      <c r="FSS44" s="806"/>
      <c r="FST44" s="806"/>
      <c r="FSU44" s="806"/>
      <c r="FSV44" s="806"/>
      <c r="FSW44" s="806"/>
      <c r="FSX44" s="806"/>
      <c r="FSY44" s="806"/>
      <c r="FSZ44" s="806"/>
      <c r="FTA44" s="806"/>
      <c r="FTB44" s="806"/>
      <c r="FTC44" s="806"/>
      <c r="FTD44" s="806"/>
      <c r="FTE44" s="806"/>
      <c r="FTF44" s="806"/>
      <c r="FTG44" s="806"/>
      <c r="FTH44" s="806"/>
      <c r="FTI44" s="806"/>
      <c r="FTJ44" s="806"/>
      <c r="FTK44" s="806"/>
      <c r="FTL44" s="806"/>
      <c r="FTM44" s="806"/>
      <c r="FTN44" s="806"/>
      <c r="FTO44" s="806"/>
      <c r="FTP44" s="806"/>
      <c r="FTQ44" s="806"/>
      <c r="FTR44" s="806"/>
      <c r="FTS44" s="806"/>
      <c r="FTT44" s="806"/>
      <c r="FTU44" s="806"/>
      <c r="FTV44" s="806"/>
      <c r="FTW44" s="806"/>
      <c r="FTX44" s="806"/>
      <c r="FTY44" s="806"/>
      <c r="FTZ44" s="806"/>
      <c r="FUA44" s="806"/>
      <c r="FUB44" s="806"/>
      <c r="FUC44" s="806"/>
      <c r="FUD44" s="806"/>
      <c r="FUE44" s="806"/>
      <c r="FUF44" s="806"/>
      <c r="FUG44" s="806"/>
      <c r="FUH44" s="806"/>
      <c r="FUI44" s="806"/>
      <c r="FUJ44" s="806"/>
      <c r="FUK44" s="806"/>
      <c r="FUL44" s="806"/>
      <c r="FUM44" s="806"/>
      <c r="FUN44" s="806"/>
      <c r="FUO44" s="806"/>
      <c r="FUP44" s="806"/>
      <c r="FUQ44" s="806"/>
      <c r="FUR44" s="806"/>
      <c r="FUS44" s="806"/>
      <c r="FUT44" s="806"/>
      <c r="FUU44" s="806"/>
      <c r="FUV44" s="806"/>
      <c r="FUW44" s="806"/>
      <c r="FUX44" s="806"/>
      <c r="FUY44" s="806"/>
      <c r="FUZ44" s="806"/>
      <c r="FVA44" s="806"/>
      <c r="FVB44" s="806"/>
      <c r="FVC44" s="806"/>
      <c r="FVD44" s="806"/>
      <c r="FVE44" s="806"/>
      <c r="FVF44" s="806"/>
      <c r="FVG44" s="806"/>
      <c r="FVH44" s="806"/>
      <c r="FVI44" s="806"/>
      <c r="FVJ44" s="806"/>
      <c r="FVK44" s="806"/>
      <c r="FVL44" s="806"/>
      <c r="FVM44" s="806"/>
      <c r="FVN44" s="806"/>
      <c r="FVO44" s="806"/>
      <c r="FVP44" s="806"/>
      <c r="FVQ44" s="806"/>
      <c r="FVR44" s="806"/>
      <c r="FVS44" s="806"/>
      <c r="FVT44" s="806"/>
      <c r="FVU44" s="806"/>
      <c r="FVV44" s="806"/>
      <c r="FVW44" s="806"/>
      <c r="FVX44" s="806"/>
      <c r="FVY44" s="806"/>
      <c r="FVZ44" s="806"/>
      <c r="FWA44" s="806"/>
      <c r="FWB44" s="806"/>
      <c r="FWC44" s="806"/>
      <c r="FWD44" s="806"/>
      <c r="FWE44" s="806"/>
      <c r="FWF44" s="806"/>
      <c r="FWG44" s="806"/>
      <c r="FWH44" s="806"/>
      <c r="FWI44" s="806"/>
      <c r="FWJ44" s="806"/>
      <c r="FWK44" s="806"/>
      <c r="FWL44" s="806"/>
      <c r="FWM44" s="806"/>
      <c r="FWN44" s="806"/>
      <c r="FWO44" s="806"/>
      <c r="FWP44" s="806"/>
      <c r="FWQ44" s="806"/>
      <c r="FWR44" s="806"/>
      <c r="FWS44" s="806"/>
      <c r="FWT44" s="806"/>
      <c r="FWU44" s="806"/>
      <c r="FWV44" s="806"/>
      <c r="FWW44" s="806"/>
      <c r="FWX44" s="806"/>
      <c r="FWY44" s="806"/>
      <c r="FWZ44" s="806"/>
      <c r="FXA44" s="806"/>
      <c r="FXB44" s="806"/>
      <c r="FXC44" s="806"/>
      <c r="FXD44" s="806"/>
      <c r="FXE44" s="806"/>
      <c r="FXF44" s="806"/>
      <c r="FXG44" s="806"/>
      <c r="FXH44" s="806"/>
      <c r="FXI44" s="806"/>
      <c r="FXJ44" s="806"/>
      <c r="FXK44" s="806"/>
      <c r="FXL44" s="806"/>
      <c r="FXM44" s="806"/>
      <c r="FXN44" s="806"/>
      <c r="FXO44" s="806"/>
      <c r="FXP44" s="806"/>
      <c r="FXQ44" s="806"/>
      <c r="FXR44" s="806"/>
      <c r="FXS44" s="806"/>
      <c r="FXT44" s="806"/>
      <c r="FXU44" s="806"/>
      <c r="FXV44" s="806"/>
      <c r="FXW44" s="806"/>
      <c r="FXX44" s="806"/>
      <c r="FXY44" s="806"/>
      <c r="FXZ44" s="806"/>
      <c r="FYA44" s="806"/>
      <c r="FYB44" s="806"/>
      <c r="FYC44" s="806"/>
      <c r="FYD44" s="806"/>
      <c r="FYE44" s="806"/>
      <c r="FYF44" s="806"/>
      <c r="FYG44" s="806"/>
      <c r="FYH44" s="806"/>
      <c r="FYI44" s="806"/>
      <c r="FYJ44" s="806"/>
      <c r="FYK44" s="806"/>
      <c r="FYL44" s="806"/>
      <c r="FYM44" s="806"/>
      <c r="FYN44" s="806"/>
      <c r="FYO44" s="806"/>
      <c r="FYP44" s="806"/>
      <c r="FYQ44" s="806"/>
      <c r="FYR44" s="806"/>
      <c r="FYS44" s="806"/>
      <c r="FYT44" s="806"/>
      <c r="FYU44" s="806"/>
      <c r="FYV44" s="806"/>
      <c r="FYW44" s="806"/>
      <c r="FYX44" s="806"/>
      <c r="FYY44" s="806"/>
      <c r="FYZ44" s="806"/>
      <c r="FZA44" s="806"/>
      <c r="FZB44" s="806"/>
      <c r="FZC44" s="806"/>
      <c r="FZD44" s="806"/>
      <c r="FZE44" s="806"/>
      <c r="FZF44" s="806"/>
      <c r="FZG44" s="806"/>
      <c r="FZH44" s="806"/>
      <c r="FZI44" s="806"/>
      <c r="FZJ44" s="806"/>
      <c r="FZK44" s="806"/>
      <c r="FZL44" s="806"/>
      <c r="FZM44" s="806"/>
      <c r="FZN44" s="806"/>
      <c r="FZO44" s="806"/>
      <c r="FZP44" s="806"/>
      <c r="FZQ44" s="806"/>
      <c r="FZR44" s="806"/>
      <c r="FZS44" s="806"/>
      <c r="FZT44" s="806"/>
      <c r="FZU44" s="806"/>
      <c r="FZV44" s="806"/>
      <c r="FZW44" s="806"/>
      <c r="FZX44" s="806"/>
      <c r="FZY44" s="806"/>
      <c r="FZZ44" s="806"/>
      <c r="GAA44" s="806"/>
      <c r="GAB44" s="806"/>
      <c r="GAC44" s="806"/>
      <c r="GAD44" s="806"/>
      <c r="GAE44" s="806"/>
      <c r="GAF44" s="806"/>
      <c r="GAG44" s="806"/>
      <c r="GAH44" s="806"/>
      <c r="GAI44" s="806"/>
      <c r="GAJ44" s="806"/>
      <c r="GAK44" s="806"/>
      <c r="GAL44" s="806"/>
      <c r="GAM44" s="806"/>
      <c r="GAN44" s="806"/>
      <c r="GAO44" s="806"/>
      <c r="GAP44" s="806"/>
      <c r="GAQ44" s="806"/>
      <c r="GAR44" s="806"/>
      <c r="GAS44" s="806"/>
      <c r="GAT44" s="806"/>
      <c r="GAU44" s="806"/>
      <c r="GAV44" s="806"/>
      <c r="GAW44" s="806"/>
      <c r="GAX44" s="806"/>
      <c r="GAY44" s="806"/>
      <c r="GAZ44" s="806"/>
      <c r="GBA44" s="806"/>
      <c r="GBB44" s="806"/>
      <c r="GBC44" s="806"/>
      <c r="GBD44" s="806"/>
      <c r="GBE44" s="806"/>
      <c r="GBF44" s="806"/>
      <c r="GBG44" s="806"/>
      <c r="GBH44" s="806"/>
      <c r="GBI44" s="806"/>
      <c r="GBJ44" s="806"/>
      <c r="GBK44" s="806"/>
      <c r="GBL44" s="806"/>
      <c r="GBM44" s="806"/>
      <c r="GBN44" s="806"/>
      <c r="GBO44" s="806"/>
      <c r="GBP44" s="806"/>
      <c r="GBQ44" s="806"/>
      <c r="GBR44" s="806"/>
      <c r="GBS44" s="806"/>
      <c r="GBT44" s="806"/>
      <c r="GBU44" s="806"/>
      <c r="GBV44" s="806"/>
      <c r="GBW44" s="806"/>
      <c r="GBX44" s="806"/>
      <c r="GBY44" s="806"/>
      <c r="GBZ44" s="806"/>
      <c r="GCA44" s="806"/>
      <c r="GCB44" s="806"/>
      <c r="GCC44" s="806"/>
      <c r="GCD44" s="806"/>
      <c r="GCE44" s="806"/>
      <c r="GCF44" s="806"/>
      <c r="GCG44" s="806"/>
      <c r="GCH44" s="806"/>
      <c r="GCI44" s="806"/>
      <c r="GCJ44" s="806"/>
      <c r="GCK44" s="806"/>
      <c r="GCL44" s="806"/>
      <c r="GCM44" s="806"/>
      <c r="GCN44" s="806"/>
      <c r="GCO44" s="806"/>
      <c r="GCP44" s="806"/>
      <c r="GCQ44" s="806"/>
      <c r="GCR44" s="806"/>
      <c r="GCS44" s="806"/>
      <c r="GCT44" s="806"/>
      <c r="GCU44" s="806"/>
      <c r="GCV44" s="806"/>
      <c r="GCW44" s="806"/>
      <c r="GCX44" s="806"/>
      <c r="GCY44" s="806"/>
      <c r="GCZ44" s="806"/>
      <c r="GDA44" s="806"/>
      <c r="GDB44" s="806"/>
      <c r="GDC44" s="806"/>
      <c r="GDD44" s="806"/>
      <c r="GDE44" s="806"/>
      <c r="GDF44" s="806"/>
      <c r="GDG44" s="806"/>
      <c r="GDH44" s="806"/>
      <c r="GDI44" s="806"/>
      <c r="GDJ44" s="806"/>
      <c r="GDK44" s="806"/>
      <c r="GDL44" s="806"/>
      <c r="GDM44" s="806"/>
      <c r="GDN44" s="806"/>
      <c r="GDO44" s="806"/>
      <c r="GDP44" s="806"/>
      <c r="GDQ44" s="806"/>
      <c r="GDR44" s="806"/>
      <c r="GDS44" s="806"/>
      <c r="GDT44" s="806"/>
      <c r="GDU44" s="806"/>
      <c r="GDV44" s="806"/>
      <c r="GDW44" s="806"/>
      <c r="GDX44" s="806"/>
      <c r="GDY44" s="806"/>
      <c r="GDZ44" s="806"/>
      <c r="GEA44" s="806"/>
      <c r="GEB44" s="806"/>
      <c r="GEC44" s="806"/>
      <c r="GED44" s="806"/>
      <c r="GEE44" s="806"/>
      <c r="GEF44" s="806"/>
      <c r="GEG44" s="806"/>
      <c r="GEH44" s="806"/>
      <c r="GEI44" s="806"/>
      <c r="GEJ44" s="806"/>
      <c r="GEK44" s="806"/>
      <c r="GEL44" s="806"/>
      <c r="GEM44" s="806"/>
      <c r="GEN44" s="806"/>
      <c r="GEO44" s="806"/>
      <c r="GEP44" s="806"/>
      <c r="GEQ44" s="806"/>
      <c r="GER44" s="806"/>
      <c r="GES44" s="806"/>
      <c r="GET44" s="806"/>
      <c r="GEU44" s="806"/>
      <c r="GEV44" s="806"/>
      <c r="GEW44" s="806"/>
      <c r="GEX44" s="806"/>
      <c r="GEY44" s="806"/>
      <c r="GEZ44" s="806"/>
      <c r="GFA44" s="806"/>
      <c r="GFB44" s="806"/>
      <c r="GFC44" s="806"/>
      <c r="GFD44" s="806"/>
      <c r="GFE44" s="806"/>
      <c r="GFF44" s="806"/>
      <c r="GFG44" s="806"/>
      <c r="GFH44" s="806"/>
      <c r="GFI44" s="806"/>
      <c r="GFJ44" s="806"/>
      <c r="GFK44" s="806"/>
      <c r="GFL44" s="806"/>
      <c r="GFM44" s="806"/>
      <c r="GFN44" s="806"/>
      <c r="GFO44" s="806"/>
      <c r="GFP44" s="806"/>
      <c r="GFQ44" s="806"/>
      <c r="GFR44" s="806"/>
      <c r="GFS44" s="806"/>
      <c r="GFT44" s="806"/>
      <c r="GFU44" s="806"/>
      <c r="GFV44" s="806"/>
      <c r="GFW44" s="806"/>
      <c r="GFX44" s="806"/>
      <c r="GFY44" s="806"/>
      <c r="GFZ44" s="806"/>
      <c r="GGA44" s="806"/>
      <c r="GGB44" s="806"/>
      <c r="GGC44" s="806"/>
      <c r="GGD44" s="806"/>
      <c r="GGE44" s="806"/>
      <c r="GGF44" s="806"/>
      <c r="GGG44" s="806"/>
      <c r="GGH44" s="806"/>
      <c r="GGI44" s="806"/>
      <c r="GGJ44" s="806"/>
      <c r="GGK44" s="806"/>
      <c r="GGL44" s="806"/>
      <c r="GGM44" s="806"/>
      <c r="GGN44" s="806"/>
      <c r="GGO44" s="806"/>
      <c r="GGP44" s="806"/>
      <c r="GGQ44" s="806"/>
      <c r="GGR44" s="806"/>
      <c r="GGS44" s="806"/>
      <c r="GGT44" s="806"/>
      <c r="GGU44" s="806"/>
      <c r="GGV44" s="806"/>
      <c r="GGW44" s="806"/>
      <c r="GGX44" s="806"/>
      <c r="GGY44" s="806"/>
      <c r="GGZ44" s="806"/>
      <c r="GHA44" s="806"/>
      <c r="GHB44" s="806"/>
      <c r="GHC44" s="806"/>
      <c r="GHD44" s="806"/>
      <c r="GHE44" s="806"/>
      <c r="GHF44" s="806"/>
      <c r="GHG44" s="806"/>
      <c r="GHH44" s="806"/>
      <c r="GHI44" s="806"/>
      <c r="GHJ44" s="806"/>
      <c r="GHK44" s="806"/>
      <c r="GHL44" s="806"/>
      <c r="GHM44" s="806"/>
      <c r="GHN44" s="806"/>
      <c r="GHO44" s="806"/>
      <c r="GHP44" s="806"/>
      <c r="GHQ44" s="806"/>
      <c r="GHR44" s="806"/>
      <c r="GHS44" s="806"/>
      <c r="GHT44" s="806"/>
      <c r="GHU44" s="806"/>
      <c r="GHV44" s="806"/>
      <c r="GHW44" s="806"/>
      <c r="GHX44" s="806"/>
      <c r="GHY44" s="806"/>
      <c r="GHZ44" s="806"/>
      <c r="GIA44" s="806"/>
      <c r="GIB44" s="806"/>
      <c r="GIC44" s="806"/>
      <c r="GID44" s="806"/>
      <c r="GIE44" s="806"/>
      <c r="GIF44" s="806"/>
      <c r="GIG44" s="806"/>
      <c r="GIH44" s="806"/>
      <c r="GII44" s="806"/>
      <c r="GIJ44" s="806"/>
      <c r="GIK44" s="806"/>
      <c r="GIL44" s="806"/>
      <c r="GIM44" s="806"/>
      <c r="GIN44" s="806"/>
      <c r="GIO44" s="806"/>
      <c r="GIP44" s="806"/>
      <c r="GIQ44" s="806"/>
      <c r="GIR44" s="806"/>
      <c r="GIS44" s="806"/>
      <c r="GIT44" s="806"/>
      <c r="GIU44" s="806"/>
      <c r="GIV44" s="806"/>
      <c r="GIW44" s="806"/>
      <c r="GIX44" s="806"/>
      <c r="GIY44" s="806"/>
      <c r="GIZ44" s="806"/>
      <c r="GJA44" s="806"/>
      <c r="GJB44" s="806"/>
      <c r="GJC44" s="806"/>
      <c r="GJD44" s="806"/>
      <c r="GJE44" s="806"/>
      <c r="GJF44" s="806"/>
      <c r="GJG44" s="806"/>
      <c r="GJH44" s="806"/>
      <c r="GJI44" s="806"/>
      <c r="GJJ44" s="806"/>
      <c r="GJK44" s="806"/>
      <c r="GJL44" s="806"/>
      <c r="GJM44" s="806"/>
      <c r="GJN44" s="806"/>
      <c r="GJO44" s="806"/>
      <c r="GJP44" s="806"/>
      <c r="GJQ44" s="806"/>
      <c r="GJR44" s="806"/>
      <c r="GJS44" s="806"/>
      <c r="GJT44" s="806"/>
      <c r="GJU44" s="806"/>
      <c r="GJV44" s="806"/>
      <c r="GJW44" s="806"/>
      <c r="GJX44" s="806"/>
      <c r="GJY44" s="806"/>
      <c r="GJZ44" s="806"/>
      <c r="GKA44" s="806"/>
      <c r="GKB44" s="806"/>
      <c r="GKC44" s="806"/>
      <c r="GKD44" s="806"/>
      <c r="GKE44" s="806"/>
      <c r="GKF44" s="806"/>
      <c r="GKG44" s="806"/>
      <c r="GKH44" s="806"/>
      <c r="GKI44" s="806"/>
      <c r="GKJ44" s="806"/>
      <c r="GKK44" s="806"/>
      <c r="GKL44" s="806"/>
      <c r="GKM44" s="806"/>
      <c r="GKN44" s="806"/>
      <c r="GKO44" s="806"/>
      <c r="GKP44" s="806"/>
      <c r="GKQ44" s="806"/>
      <c r="GKR44" s="806"/>
      <c r="GKS44" s="806"/>
      <c r="GKT44" s="806"/>
      <c r="GKU44" s="806"/>
      <c r="GKV44" s="806"/>
      <c r="GKW44" s="806"/>
      <c r="GKX44" s="806"/>
      <c r="GKY44" s="806"/>
      <c r="GKZ44" s="806"/>
      <c r="GLA44" s="806"/>
      <c r="GLB44" s="806"/>
      <c r="GLC44" s="806"/>
      <c r="GLD44" s="806"/>
      <c r="GLE44" s="806"/>
      <c r="GLF44" s="806"/>
      <c r="GLG44" s="806"/>
      <c r="GLH44" s="806"/>
      <c r="GLI44" s="806"/>
      <c r="GLJ44" s="806"/>
      <c r="GLK44" s="806"/>
      <c r="GLL44" s="806"/>
      <c r="GLM44" s="806"/>
      <c r="GLN44" s="806"/>
      <c r="GLO44" s="806"/>
      <c r="GLP44" s="806"/>
      <c r="GLQ44" s="806"/>
      <c r="GLR44" s="806"/>
      <c r="GLS44" s="806"/>
      <c r="GLT44" s="806"/>
      <c r="GLU44" s="806"/>
      <c r="GLV44" s="806"/>
      <c r="GLW44" s="806"/>
      <c r="GLX44" s="806"/>
      <c r="GLY44" s="806"/>
      <c r="GLZ44" s="806"/>
      <c r="GMA44" s="806"/>
      <c r="GMB44" s="806"/>
      <c r="GMC44" s="806"/>
      <c r="GMD44" s="806"/>
      <c r="GME44" s="806"/>
      <c r="GMF44" s="806"/>
      <c r="GMG44" s="806"/>
      <c r="GMH44" s="806"/>
      <c r="GMI44" s="806"/>
      <c r="GMJ44" s="806"/>
      <c r="GMK44" s="806"/>
      <c r="GML44" s="806"/>
      <c r="GMM44" s="806"/>
      <c r="GMN44" s="806"/>
      <c r="GMO44" s="806"/>
      <c r="GMP44" s="806"/>
      <c r="GMQ44" s="806"/>
      <c r="GMR44" s="806"/>
      <c r="GMS44" s="806"/>
      <c r="GMT44" s="806"/>
      <c r="GMU44" s="806"/>
      <c r="GMV44" s="806"/>
      <c r="GMW44" s="806"/>
      <c r="GMX44" s="806"/>
      <c r="GMY44" s="806"/>
      <c r="GMZ44" s="806"/>
      <c r="GNA44" s="806"/>
      <c r="GNB44" s="806"/>
      <c r="GNC44" s="806"/>
      <c r="GND44" s="806"/>
      <c r="GNE44" s="806"/>
      <c r="GNF44" s="806"/>
      <c r="GNG44" s="806"/>
      <c r="GNH44" s="806"/>
      <c r="GNI44" s="806"/>
      <c r="GNJ44" s="806"/>
      <c r="GNK44" s="806"/>
      <c r="GNL44" s="806"/>
      <c r="GNM44" s="806"/>
      <c r="GNN44" s="806"/>
      <c r="GNO44" s="806"/>
      <c r="GNP44" s="806"/>
      <c r="GNQ44" s="806"/>
      <c r="GNR44" s="806"/>
      <c r="GNS44" s="806"/>
      <c r="GNT44" s="806"/>
      <c r="GNU44" s="806"/>
      <c r="GNV44" s="806"/>
      <c r="GNW44" s="806"/>
      <c r="GNX44" s="806"/>
      <c r="GNY44" s="806"/>
      <c r="GNZ44" s="806"/>
      <c r="GOA44" s="806"/>
      <c r="GOB44" s="806"/>
      <c r="GOC44" s="806"/>
      <c r="GOD44" s="806"/>
      <c r="GOE44" s="806"/>
      <c r="GOF44" s="806"/>
      <c r="GOG44" s="806"/>
      <c r="GOH44" s="806"/>
      <c r="GOI44" s="806"/>
      <c r="GOJ44" s="806"/>
      <c r="GOK44" s="806"/>
      <c r="GOL44" s="806"/>
      <c r="GOM44" s="806"/>
      <c r="GON44" s="806"/>
      <c r="GOO44" s="806"/>
      <c r="GOP44" s="806"/>
      <c r="GOQ44" s="806"/>
      <c r="GOR44" s="806"/>
      <c r="GOS44" s="806"/>
      <c r="GOT44" s="806"/>
      <c r="GOU44" s="806"/>
      <c r="GOV44" s="806"/>
      <c r="GOW44" s="806"/>
      <c r="GOX44" s="806"/>
      <c r="GOY44" s="806"/>
      <c r="GOZ44" s="806"/>
      <c r="GPA44" s="806"/>
      <c r="GPB44" s="806"/>
      <c r="GPC44" s="806"/>
      <c r="GPD44" s="806"/>
      <c r="GPE44" s="806"/>
      <c r="GPF44" s="806"/>
      <c r="GPG44" s="806"/>
      <c r="GPH44" s="806"/>
      <c r="GPI44" s="806"/>
      <c r="GPJ44" s="806"/>
      <c r="GPK44" s="806"/>
      <c r="GPL44" s="806"/>
      <c r="GPM44" s="806"/>
      <c r="GPN44" s="806"/>
      <c r="GPO44" s="806"/>
      <c r="GPP44" s="806"/>
      <c r="GPQ44" s="806"/>
      <c r="GPR44" s="806"/>
      <c r="GPS44" s="806"/>
      <c r="GPT44" s="806"/>
      <c r="GPU44" s="806"/>
      <c r="GPV44" s="806"/>
      <c r="GPW44" s="806"/>
      <c r="GPX44" s="806"/>
      <c r="GPY44" s="806"/>
      <c r="GPZ44" s="806"/>
      <c r="GQA44" s="806"/>
      <c r="GQB44" s="806"/>
      <c r="GQC44" s="806"/>
      <c r="GQD44" s="806"/>
      <c r="GQE44" s="806"/>
      <c r="GQF44" s="806"/>
      <c r="GQG44" s="806"/>
      <c r="GQH44" s="806"/>
      <c r="GQI44" s="806"/>
      <c r="GQJ44" s="806"/>
      <c r="GQK44" s="806"/>
      <c r="GQL44" s="806"/>
      <c r="GQM44" s="806"/>
      <c r="GQN44" s="806"/>
      <c r="GQO44" s="806"/>
      <c r="GQP44" s="806"/>
      <c r="GQQ44" s="806"/>
      <c r="GQR44" s="806"/>
      <c r="GQS44" s="806"/>
      <c r="GQT44" s="806"/>
      <c r="GQU44" s="806"/>
      <c r="GQV44" s="806"/>
      <c r="GQW44" s="806"/>
      <c r="GQX44" s="806"/>
      <c r="GQY44" s="806"/>
      <c r="GQZ44" s="806"/>
      <c r="GRA44" s="806"/>
      <c r="GRB44" s="806"/>
      <c r="GRC44" s="806"/>
      <c r="GRD44" s="806"/>
      <c r="GRE44" s="806"/>
      <c r="GRF44" s="806"/>
      <c r="GRG44" s="806"/>
      <c r="GRH44" s="806"/>
      <c r="GRI44" s="806"/>
      <c r="GRJ44" s="806"/>
      <c r="GRK44" s="806"/>
      <c r="GRL44" s="806"/>
      <c r="GRM44" s="806"/>
      <c r="GRN44" s="806"/>
      <c r="GRO44" s="806"/>
      <c r="GRP44" s="806"/>
      <c r="GRQ44" s="806"/>
      <c r="GRR44" s="806"/>
      <c r="GRS44" s="806"/>
      <c r="GRT44" s="806"/>
      <c r="GRU44" s="806"/>
      <c r="GRV44" s="806"/>
      <c r="GRW44" s="806"/>
      <c r="GRX44" s="806"/>
      <c r="GRY44" s="806"/>
      <c r="GRZ44" s="806"/>
      <c r="GSA44" s="806"/>
      <c r="GSB44" s="806"/>
      <c r="GSC44" s="806"/>
      <c r="GSD44" s="806"/>
      <c r="GSE44" s="806"/>
      <c r="GSF44" s="806"/>
      <c r="GSG44" s="806"/>
      <c r="GSH44" s="806"/>
      <c r="GSI44" s="806"/>
      <c r="GSJ44" s="806"/>
      <c r="GSK44" s="806"/>
      <c r="GSL44" s="806"/>
      <c r="GSM44" s="806"/>
      <c r="GSN44" s="806"/>
      <c r="GSO44" s="806"/>
      <c r="GSP44" s="806"/>
      <c r="GSQ44" s="806"/>
      <c r="GSR44" s="806"/>
      <c r="GSS44" s="806"/>
      <c r="GST44" s="806"/>
      <c r="GSU44" s="806"/>
      <c r="GSV44" s="806"/>
      <c r="GSW44" s="806"/>
      <c r="GSX44" s="806"/>
      <c r="GSY44" s="806"/>
      <c r="GSZ44" s="806"/>
      <c r="GTA44" s="806"/>
      <c r="GTB44" s="806"/>
      <c r="GTC44" s="806"/>
      <c r="GTD44" s="806"/>
      <c r="GTE44" s="806"/>
      <c r="GTF44" s="806"/>
      <c r="GTG44" s="806"/>
      <c r="GTH44" s="806"/>
      <c r="GTI44" s="806"/>
      <c r="GTJ44" s="806"/>
      <c r="GTK44" s="806"/>
      <c r="GTL44" s="806"/>
      <c r="GTM44" s="806"/>
      <c r="GTN44" s="806"/>
      <c r="GTO44" s="806"/>
      <c r="GTP44" s="806"/>
      <c r="GTQ44" s="806"/>
      <c r="GTR44" s="806"/>
      <c r="GTS44" s="806"/>
      <c r="GTT44" s="806"/>
      <c r="GTU44" s="806"/>
      <c r="GTV44" s="806"/>
      <c r="GTW44" s="806"/>
      <c r="GTX44" s="806"/>
      <c r="GTY44" s="806"/>
      <c r="GTZ44" s="806"/>
      <c r="GUA44" s="806"/>
      <c r="GUB44" s="806"/>
      <c r="GUC44" s="806"/>
      <c r="GUD44" s="806"/>
      <c r="GUE44" s="806"/>
      <c r="GUF44" s="806"/>
      <c r="GUG44" s="806"/>
      <c r="GUH44" s="806"/>
      <c r="GUI44" s="806"/>
      <c r="GUJ44" s="806"/>
      <c r="GUK44" s="806"/>
      <c r="GUL44" s="806"/>
      <c r="GUM44" s="806"/>
      <c r="GUN44" s="806"/>
      <c r="GUO44" s="806"/>
      <c r="GUP44" s="806"/>
      <c r="GUQ44" s="806"/>
      <c r="GUR44" s="806"/>
      <c r="GUS44" s="806"/>
      <c r="GUT44" s="806"/>
      <c r="GUU44" s="806"/>
      <c r="GUV44" s="806"/>
      <c r="GUW44" s="806"/>
      <c r="GUX44" s="806"/>
      <c r="GUY44" s="806"/>
      <c r="GUZ44" s="806"/>
      <c r="GVA44" s="806"/>
      <c r="GVB44" s="806"/>
      <c r="GVC44" s="806"/>
      <c r="GVD44" s="806"/>
      <c r="GVE44" s="806"/>
      <c r="GVF44" s="806"/>
      <c r="GVG44" s="806"/>
      <c r="GVH44" s="806"/>
      <c r="GVI44" s="806"/>
      <c r="GVJ44" s="806"/>
      <c r="GVK44" s="806"/>
      <c r="GVL44" s="806"/>
      <c r="GVM44" s="806"/>
      <c r="GVN44" s="806"/>
      <c r="GVO44" s="806"/>
      <c r="GVP44" s="806"/>
      <c r="GVQ44" s="806"/>
      <c r="GVR44" s="806"/>
      <c r="GVS44" s="806"/>
      <c r="GVT44" s="806"/>
      <c r="GVU44" s="806"/>
      <c r="GVV44" s="806"/>
      <c r="GVW44" s="806"/>
      <c r="GVX44" s="806"/>
      <c r="GVY44" s="806"/>
      <c r="GVZ44" s="806"/>
      <c r="GWA44" s="806"/>
      <c r="GWB44" s="806"/>
      <c r="GWC44" s="806"/>
      <c r="GWD44" s="806"/>
      <c r="GWE44" s="806"/>
      <c r="GWF44" s="806"/>
      <c r="GWG44" s="806"/>
      <c r="GWH44" s="806"/>
      <c r="GWI44" s="806"/>
      <c r="GWJ44" s="806"/>
      <c r="GWK44" s="806"/>
      <c r="GWL44" s="806"/>
      <c r="GWM44" s="806"/>
      <c r="GWN44" s="806"/>
      <c r="GWO44" s="806"/>
      <c r="GWP44" s="806"/>
      <c r="GWQ44" s="806"/>
      <c r="GWR44" s="806"/>
      <c r="GWS44" s="806"/>
      <c r="GWT44" s="806"/>
      <c r="GWU44" s="806"/>
      <c r="GWV44" s="806"/>
      <c r="GWW44" s="806"/>
      <c r="GWX44" s="806"/>
      <c r="GWY44" s="806"/>
      <c r="GWZ44" s="806"/>
      <c r="GXA44" s="806"/>
      <c r="GXB44" s="806"/>
      <c r="GXC44" s="806"/>
      <c r="GXD44" s="806"/>
      <c r="GXE44" s="806"/>
      <c r="GXF44" s="806"/>
      <c r="GXG44" s="806"/>
      <c r="GXH44" s="806"/>
      <c r="GXI44" s="806"/>
      <c r="GXJ44" s="806"/>
      <c r="GXK44" s="806"/>
      <c r="GXL44" s="806"/>
      <c r="GXM44" s="806"/>
      <c r="GXN44" s="806"/>
      <c r="GXO44" s="806"/>
      <c r="GXP44" s="806"/>
      <c r="GXQ44" s="806"/>
      <c r="GXR44" s="806"/>
      <c r="GXS44" s="806"/>
      <c r="GXT44" s="806"/>
      <c r="GXU44" s="806"/>
      <c r="GXV44" s="806"/>
      <c r="GXW44" s="806"/>
      <c r="GXX44" s="806"/>
      <c r="GXY44" s="806"/>
      <c r="GXZ44" s="806"/>
      <c r="GYA44" s="806"/>
      <c r="GYB44" s="806"/>
      <c r="GYC44" s="806"/>
      <c r="GYD44" s="806"/>
      <c r="GYE44" s="806"/>
      <c r="GYF44" s="806"/>
      <c r="GYG44" s="806"/>
      <c r="GYH44" s="806"/>
      <c r="GYI44" s="806"/>
      <c r="GYJ44" s="806"/>
      <c r="GYK44" s="806"/>
      <c r="GYL44" s="806"/>
      <c r="GYM44" s="806"/>
      <c r="GYN44" s="806"/>
      <c r="GYO44" s="806"/>
      <c r="GYP44" s="806"/>
      <c r="GYQ44" s="806"/>
      <c r="GYR44" s="806"/>
      <c r="GYS44" s="806"/>
      <c r="GYT44" s="806"/>
      <c r="GYU44" s="806"/>
      <c r="GYV44" s="806"/>
      <c r="GYW44" s="806"/>
      <c r="GYX44" s="806"/>
      <c r="GYY44" s="806"/>
      <c r="GYZ44" s="806"/>
      <c r="GZA44" s="806"/>
      <c r="GZB44" s="806"/>
      <c r="GZC44" s="806"/>
      <c r="GZD44" s="806"/>
      <c r="GZE44" s="806"/>
      <c r="GZF44" s="806"/>
      <c r="GZG44" s="806"/>
      <c r="GZH44" s="806"/>
      <c r="GZI44" s="806"/>
      <c r="GZJ44" s="806"/>
      <c r="GZK44" s="806"/>
      <c r="GZL44" s="806"/>
      <c r="GZM44" s="806"/>
      <c r="GZN44" s="806"/>
      <c r="GZO44" s="806"/>
      <c r="GZP44" s="806"/>
      <c r="GZQ44" s="806"/>
      <c r="GZR44" s="806"/>
      <c r="GZS44" s="806"/>
      <c r="GZT44" s="806"/>
      <c r="GZU44" s="806"/>
      <c r="GZV44" s="806"/>
      <c r="GZW44" s="806"/>
      <c r="GZX44" s="806"/>
      <c r="GZY44" s="806"/>
      <c r="GZZ44" s="806"/>
      <c r="HAA44" s="806"/>
      <c r="HAB44" s="806"/>
      <c r="HAC44" s="806"/>
      <c r="HAD44" s="806"/>
      <c r="HAE44" s="806"/>
      <c r="HAF44" s="806"/>
      <c r="HAG44" s="806"/>
      <c r="HAH44" s="806"/>
      <c r="HAI44" s="806"/>
      <c r="HAJ44" s="806"/>
      <c r="HAK44" s="806"/>
      <c r="HAL44" s="806"/>
      <c r="HAM44" s="806"/>
      <c r="HAN44" s="806"/>
      <c r="HAO44" s="806"/>
      <c r="HAP44" s="806"/>
      <c r="HAQ44" s="806"/>
      <c r="HAR44" s="806"/>
      <c r="HAS44" s="806"/>
      <c r="HAT44" s="806"/>
      <c r="HAU44" s="806"/>
      <c r="HAV44" s="806"/>
      <c r="HAW44" s="806"/>
      <c r="HAX44" s="806"/>
      <c r="HAY44" s="806"/>
      <c r="HAZ44" s="806"/>
      <c r="HBA44" s="806"/>
      <c r="HBB44" s="806"/>
      <c r="HBC44" s="806"/>
      <c r="HBD44" s="806"/>
      <c r="HBE44" s="806"/>
      <c r="HBF44" s="806"/>
      <c r="HBG44" s="806"/>
      <c r="HBH44" s="806"/>
      <c r="HBI44" s="806"/>
      <c r="HBJ44" s="806"/>
      <c r="HBK44" s="806"/>
      <c r="HBL44" s="806"/>
      <c r="HBM44" s="806"/>
      <c r="HBN44" s="806"/>
      <c r="HBO44" s="806"/>
      <c r="HBP44" s="806"/>
      <c r="HBQ44" s="806"/>
      <c r="HBR44" s="806"/>
      <c r="HBS44" s="806"/>
      <c r="HBT44" s="806"/>
      <c r="HBU44" s="806"/>
      <c r="HBV44" s="806"/>
      <c r="HBW44" s="806"/>
      <c r="HBX44" s="806"/>
      <c r="HBY44" s="806"/>
      <c r="HBZ44" s="806"/>
      <c r="HCA44" s="806"/>
      <c r="HCB44" s="806"/>
      <c r="HCC44" s="806"/>
      <c r="HCD44" s="806"/>
      <c r="HCE44" s="806"/>
      <c r="HCF44" s="806"/>
      <c r="HCG44" s="806"/>
      <c r="HCH44" s="806"/>
      <c r="HCI44" s="806"/>
      <c r="HCJ44" s="806"/>
      <c r="HCK44" s="806"/>
      <c r="HCL44" s="806"/>
      <c r="HCM44" s="806"/>
      <c r="HCN44" s="806"/>
      <c r="HCO44" s="806"/>
      <c r="HCP44" s="806"/>
      <c r="HCQ44" s="806"/>
      <c r="HCR44" s="806"/>
      <c r="HCS44" s="806"/>
      <c r="HCT44" s="806"/>
      <c r="HCU44" s="806"/>
      <c r="HCV44" s="806"/>
      <c r="HCW44" s="806"/>
      <c r="HCX44" s="806"/>
      <c r="HCY44" s="806"/>
      <c r="HCZ44" s="806"/>
      <c r="HDA44" s="806"/>
      <c r="HDB44" s="806"/>
      <c r="HDC44" s="806"/>
      <c r="HDD44" s="806"/>
      <c r="HDE44" s="806"/>
      <c r="HDF44" s="806"/>
      <c r="HDG44" s="806"/>
      <c r="HDH44" s="806"/>
      <c r="HDI44" s="806"/>
      <c r="HDJ44" s="806"/>
      <c r="HDK44" s="806"/>
      <c r="HDL44" s="806"/>
      <c r="HDM44" s="806"/>
      <c r="HDN44" s="806"/>
      <c r="HDO44" s="806"/>
      <c r="HDP44" s="806"/>
      <c r="HDQ44" s="806"/>
      <c r="HDR44" s="806"/>
      <c r="HDS44" s="806"/>
      <c r="HDT44" s="806"/>
      <c r="HDU44" s="806"/>
      <c r="HDV44" s="806"/>
      <c r="HDW44" s="806"/>
      <c r="HDX44" s="806"/>
      <c r="HDY44" s="806"/>
      <c r="HDZ44" s="806"/>
      <c r="HEA44" s="806"/>
      <c r="HEB44" s="806"/>
      <c r="HEC44" s="806"/>
      <c r="HED44" s="806"/>
      <c r="HEE44" s="806"/>
      <c r="HEF44" s="806"/>
      <c r="HEG44" s="806"/>
      <c r="HEH44" s="806"/>
      <c r="HEI44" s="806"/>
      <c r="HEJ44" s="806"/>
      <c r="HEK44" s="806"/>
      <c r="HEL44" s="806"/>
      <c r="HEM44" s="806"/>
      <c r="HEN44" s="806"/>
      <c r="HEO44" s="806"/>
      <c r="HEP44" s="806"/>
      <c r="HEQ44" s="806"/>
      <c r="HER44" s="806"/>
      <c r="HES44" s="806"/>
      <c r="HET44" s="806"/>
      <c r="HEU44" s="806"/>
      <c r="HEV44" s="806"/>
      <c r="HEW44" s="806"/>
      <c r="HEX44" s="806"/>
      <c r="HEY44" s="806"/>
      <c r="HEZ44" s="806"/>
      <c r="HFA44" s="806"/>
      <c r="HFB44" s="806"/>
      <c r="HFC44" s="806"/>
      <c r="HFD44" s="806"/>
      <c r="HFE44" s="806"/>
      <c r="HFF44" s="806"/>
      <c r="HFG44" s="806"/>
      <c r="HFH44" s="806"/>
      <c r="HFI44" s="806"/>
      <c r="HFJ44" s="806"/>
      <c r="HFK44" s="806"/>
      <c r="HFL44" s="806"/>
      <c r="HFM44" s="806"/>
      <c r="HFN44" s="806"/>
      <c r="HFO44" s="806"/>
      <c r="HFP44" s="806"/>
      <c r="HFQ44" s="806"/>
      <c r="HFR44" s="806"/>
      <c r="HFS44" s="806"/>
      <c r="HFT44" s="806"/>
      <c r="HFU44" s="806"/>
      <c r="HFV44" s="806"/>
      <c r="HFW44" s="806"/>
      <c r="HFX44" s="806"/>
      <c r="HFY44" s="806"/>
      <c r="HFZ44" s="806"/>
      <c r="HGA44" s="806"/>
      <c r="HGB44" s="806"/>
      <c r="HGC44" s="806"/>
      <c r="HGD44" s="806"/>
      <c r="HGE44" s="806"/>
      <c r="HGF44" s="806"/>
      <c r="HGG44" s="806"/>
      <c r="HGH44" s="806"/>
      <c r="HGI44" s="806"/>
      <c r="HGJ44" s="806"/>
      <c r="HGK44" s="806"/>
      <c r="HGL44" s="806"/>
      <c r="HGM44" s="806"/>
      <c r="HGN44" s="806"/>
      <c r="HGO44" s="806"/>
      <c r="HGP44" s="806"/>
      <c r="HGQ44" s="806"/>
      <c r="HGR44" s="806"/>
      <c r="HGS44" s="806"/>
      <c r="HGT44" s="806"/>
      <c r="HGU44" s="806"/>
      <c r="HGV44" s="806"/>
      <c r="HGW44" s="806"/>
      <c r="HGX44" s="806"/>
      <c r="HGY44" s="806"/>
      <c r="HGZ44" s="806"/>
      <c r="HHA44" s="806"/>
      <c r="HHB44" s="806"/>
      <c r="HHC44" s="806"/>
      <c r="HHD44" s="806"/>
      <c r="HHE44" s="806"/>
      <c r="HHF44" s="806"/>
      <c r="HHG44" s="806"/>
      <c r="HHH44" s="806"/>
      <c r="HHI44" s="806"/>
      <c r="HHJ44" s="806"/>
      <c r="HHK44" s="806"/>
      <c r="HHL44" s="806"/>
      <c r="HHM44" s="806"/>
      <c r="HHN44" s="806"/>
      <c r="HHO44" s="806"/>
      <c r="HHP44" s="806"/>
      <c r="HHQ44" s="806"/>
      <c r="HHR44" s="806"/>
      <c r="HHS44" s="806"/>
      <c r="HHT44" s="806"/>
      <c r="HHU44" s="806"/>
      <c r="HHV44" s="806"/>
      <c r="HHW44" s="806"/>
      <c r="HHX44" s="806"/>
      <c r="HHY44" s="806"/>
      <c r="HHZ44" s="806"/>
      <c r="HIA44" s="806"/>
      <c r="HIB44" s="806"/>
      <c r="HIC44" s="806"/>
      <c r="HID44" s="806"/>
      <c r="HIE44" s="806"/>
      <c r="HIF44" s="806"/>
      <c r="HIG44" s="806"/>
      <c r="HIH44" s="806"/>
      <c r="HII44" s="806"/>
      <c r="HIJ44" s="806"/>
      <c r="HIK44" s="806"/>
      <c r="HIL44" s="806"/>
      <c r="HIM44" s="806"/>
      <c r="HIN44" s="806"/>
      <c r="HIO44" s="806"/>
      <c r="HIP44" s="806"/>
      <c r="HIQ44" s="806"/>
      <c r="HIR44" s="806"/>
      <c r="HIS44" s="806"/>
      <c r="HIT44" s="806"/>
      <c r="HIU44" s="806"/>
      <c r="HIV44" s="806"/>
      <c r="HIW44" s="806"/>
      <c r="HIX44" s="806"/>
      <c r="HIY44" s="806"/>
      <c r="HIZ44" s="806"/>
      <c r="HJA44" s="806"/>
      <c r="HJB44" s="806"/>
      <c r="HJC44" s="806"/>
      <c r="HJD44" s="806"/>
      <c r="HJE44" s="806"/>
      <c r="HJF44" s="806"/>
      <c r="HJG44" s="806"/>
      <c r="HJH44" s="806"/>
      <c r="HJI44" s="806"/>
      <c r="HJJ44" s="806"/>
      <c r="HJK44" s="806"/>
      <c r="HJL44" s="806"/>
      <c r="HJM44" s="806"/>
      <c r="HJN44" s="806"/>
      <c r="HJO44" s="806"/>
      <c r="HJP44" s="806"/>
      <c r="HJQ44" s="806"/>
      <c r="HJR44" s="806"/>
      <c r="HJS44" s="806"/>
      <c r="HJT44" s="806"/>
      <c r="HJU44" s="806"/>
      <c r="HJV44" s="806"/>
      <c r="HJW44" s="806"/>
      <c r="HJX44" s="806"/>
      <c r="HJY44" s="806"/>
      <c r="HJZ44" s="806"/>
      <c r="HKA44" s="806"/>
      <c r="HKB44" s="806"/>
      <c r="HKC44" s="806"/>
      <c r="HKD44" s="806"/>
      <c r="HKE44" s="806"/>
      <c r="HKF44" s="806"/>
      <c r="HKG44" s="806"/>
      <c r="HKH44" s="806"/>
      <c r="HKI44" s="806"/>
      <c r="HKJ44" s="806"/>
      <c r="HKK44" s="806"/>
      <c r="HKL44" s="806"/>
      <c r="HKM44" s="806"/>
      <c r="HKN44" s="806"/>
      <c r="HKO44" s="806"/>
      <c r="HKP44" s="806"/>
      <c r="HKQ44" s="806"/>
      <c r="HKR44" s="806"/>
      <c r="HKS44" s="806"/>
      <c r="HKT44" s="806"/>
      <c r="HKU44" s="806"/>
      <c r="HKV44" s="806"/>
      <c r="HKW44" s="806"/>
      <c r="HKX44" s="806"/>
      <c r="HKY44" s="806"/>
      <c r="HKZ44" s="806"/>
      <c r="HLA44" s="806"/>
      <c r="HLB44" s="806"/>
      <c r="HLC44" s="806"/>
      <c r="HLD44" s="806"/>
      <c r="HLE44" s="806"/>
      <c r="HLF44" s="806"/>
      <c r="HLG44" s="806"/>
      <c r="HLH44" s="806"/>
      <c r="HLI44" s="806"/>
      <c r="HLJ44" s="806"/>
      <c r="HLK44" s="806"/>
      <c r="HLL44" s="806"/>
      <c r="HLM44" s="806"/>
      <c r="HLN44" s="806"/>
      <c r="HLO44" s="806"/>
      <c r="HLP44" s="806"/>
      <c r="HLQ44" s="806"/>
      <c r="HLR44" s="806"/>
      <c r="HLS44" s="806"/>
      <c r="HLT44" s="806"/>
      <c r="HLU44" s="806"/>
      <c r="HLV44" s="806"/>
      <c r="HLW44" s="806"/>
      <c r="HLX44" s="806"/>
      <c r="HLY44" s="806"/>
      <c r="HLZ44" s="806"/>
      <c r="HMA44" s="806"/>
      <c r="HMB44" s="806"/>
      <c r="HMC44" s="806"/>
      <c r="HMD44" s="806"/>
      <c r="HME44" s="806"/>
      <c r="HMF44" s="806"/>
      <c r="HMG44" s="806"/>
      <c r="HMH44" s="806"/>
      <c r="HMI44" s="806"/>
      <c r="HMJ44" s="806"/>
      <c r="HMK44" s="806"/>
      <c r="HML44" s="806"/>
      <c r="HMM44" s="806"/>
      <c r="HMN44" s="806"/>
      <c r="HMO44" s="806"/>
      <c r="HMP44" s="806"/>
      <c r="HMQ44" s="806"/>
      <c r="HMR44" s="806"/>
      <c r="HMS44" s="806"/>
      <c r="HMT44" s="806"/>
      <c r="HMU44" s="806"/>
      <c r="HMV44" s="806"/>
      <c r="HMW44" s="806"/>
      <c r="HMX44" s="806"/>
      <c r="HMY44" s="806"/>
      <c r="HMZ44" s="806"/>
      <c r="HNA44" s="806"/>
      <c r="HNB44" s="806"/>
      <c r="HNC44" s="806"/>
      <c r="HND44" s="806"/>
      <c r="HNE44" s="806"/>
      <c r="HNF44" s="806"/>
      <c r="HNG44" s="806"/>
      <c r="HNH44" s="806"/>
      <c r="HNI44" s="806"/>
      <c r="HNJ44" s="806"/>
      <c r="HNK44" s="806"/>
      <c r="HNL44" s="806"/>
      <c r="HNM44" s="806"/>
      <c r="HNN44" s="806"/>
      <c r="HNO44" s="806"/>
      <c r="HNP44" s="806"/>
      <c r="HNQ44" s="806"/>
      <c r="HNR44" s="806"/>
      <c r="HNS44" s="806"/>
      <c r="HNT44" s="806"/>
      <c r="HNU44" s="806"/>
      <c r="HNV44" s="806"/>
      <c r="HNW44" s="806"/>
      <c r="HNX44" s="806"/>
      <c r="HNY44" s="806"/>
      <c r="HNZ44" s="806"/>
      <c r="HOA44" s="806"/>
      <c r="HOB44" s="806"/>
      <c r="HOC44" s="806"/>
      <c r="HOD44" s="806"/>
      <c r="HOE44" s="806"/>
      <c r="HOF44" s="806"/>
      <c r="HOG44" s="806"/>
      <c r="HOH44" s="806"/>
      <c r="HOI44" s="806"/>
      <c r="HOJ44" s="806"/>
      <c r="HOK44" s="806"/>
      <c r="HOL44" s="806"/>
      <c r="HOM44" s="806"/>
      <c r="HON44" s="806"/>
      <c r="HOO44" s="806"/>
      <c r="HOP44" s="806"/>
      <c r="HOQ44" s="806"/>
      <c r="HOR44" s="806"/>
      <c r="HOS44" s="806"/>
      <c r="HOT44" s="806"/>
      <c r="HOU44" s="806"/>
      <c r="HOV44" s="806"/>
      <c r="HOW44" s="806"/>
      <c r="HOX44" s="806"/>
      <c r="HOY44" s="806"/>
      <c r="HOZ44" s="806"/>
      <c r="HPA44" s="806"/>
      <c r="HPB44" s="806"/>
      <c r="HPC44" s="806"/>
      <c r="HPD44" s="806"/>
      <c r="HPE44" s="806"/>
      <c r="HPF44" s="806"/>
      <c r="HPG44" s="806"/>
      <c r="HPH44" s="806"/>
      <c r="HPI44" s="806"/>
      <c r="HPJ44" s="806"/>
      <c r="HPK44" s="806"/>
      <c r="HPL44" s="806"/>
      <c r="HPM44" s="806"/>
      <c r="HPN44" s="806"/>
      <c r="HPO44" s="806"/>
      <c r="HPP44" s="806"/>
      <c r="HPQ44" s="806"/>
      <c r="HPR44" s="806"/>
      <c r="HPS44" s="806"/>
      <c r="HPT44" s="806"/>
      <c r="HPU44" s="806"/>
      <c r="HPV44" s="806"/>
      <c r="HPW44" s="806"/>
      <c r="HPX44" s="806"/>
      <c r="HPY44" s="806"/>
      <c r="HPZ44" s="806"/>
      <c r="HQA44" s="806"/>
      <c r="HQB44" s="806"/>
      <c r="HQC44" s="806"/>
      <c r="HQD44" s="806"/>
      <c r="HQE44" s="806"/>
      <c r="HQF44" s="806"/>
      <c r="HQG44" s="806"/>
      <c r="HQH44" s="806"/>
      <c r="HQI44" s="806"/>
      <c r="HQJ44" s="806"/>
      <c r="HQK44" s="806"/>
      <c r="HQL44" s="806"/>
      <c r="HQM44" s="806"/>
      <c r="HQN44" s="806"/>
      <c r="HQO44" s="806"/>
      <c r="HQP44" s="806"/>
      <c r="HQQ44" s="806"/>
      <c r="HQR44" s="806"/>
      <c r="HQS44" s="806"/>
      <c r="HQT44" s="806"/>
      <c r="HQU44" s="806"/>
      <c r="HQV44" s="806"/>
      <c r="HQW44" s="806"/>
      <c r="HQX44" s="806"/>
      <c r="HQY44" s="806"/>
      <c r="HQZ44" s="806"/>
      <c r="HRA44" s="806"/>
      <c r="HRB44" s="806"/>
      <c r="HRC44" s="806"/>
      <c r="HRD44" s="806"/>
      <c r="HRE44" s="806"/>
      <c r="HRF44" s="806"/>
      <c r="HRG44" s="806"/>
      <c r="HRH44" s="806"/>
      <c r="HRI44" s="806"/>
      <c r="HRJ44" s="806"/>
      <c r="HRK44" s="806"/>
      <c r="HRL44" s="806"/>
      <c r="HRM44" s="806"/>
      <c r="HRN44" s="806"/>
      <c r="HRO44" s="806"/>
      <c r="HRP44" s="806"/>
      <c r="HRQ44" s="806"/>
      <c r="HRR44" s="806"/>
      <c r="HRS44" s="806"/>
      <c r="HRT44" s="806"/>
      <c r="HRU44" s="806"/>
      <c r="HRV44" s="806"/>
      <c r="HRW44" s="806"/>
      <c r="HRX44" s="806"/>
      <c r="HRY44" s="806"/>
      <c r="HRZ44" s="806"/>
      <c r="HSA44" s="806"/>
      <c r="HSB44" s="806"/>
      <c r="HSC44" s="806"/>
      <c r="HSD44" s="806"/>
      <c r="HSE44" s="806"/>
      <c r="HSF44" s="806"/>
      <c r="HSG44" s="806"/>
      <c r="HSH44" s="806"/>
      <c r="HSI44" s="806"/>
      <c r="HSJ44" s="806"/>
      <c r="HSK44" s="806"/>
      <c r="HSL44" s="806"/>
      <c r="HSM44" s="806"/>
      <c r="HSN44" s="806"/>
      <c r="HSO44" s="806"/>
      <c r="HSP44" s="806"/>
      <c r="HSQ44" s="806"/>
      <c r="HSR44" s="806"/>
      <c r="HSS44" s="806"/>
      <c r="HST44" s="806"/>
      <c r="HSU44" s="806"/>
      <c r="HSV44" s="806"/>
      <c r="HSW44" s="806"/>
      <c r="HSX44" s="806"/>
      <c r="HSY44" s="806"/>
      <c r="HSZ44" s="806"/>
      <c r="HTA44" s="806"/>
      <c r="HTB44" s="806"/>
      <c r="HTC44" s="806"/>
      <c r="HTD44" s="806"/>
      <c r="HTE44" s="806"/>
      <c r="HTF44" s="806"/>
      <c r="HTG44" s="806"/>
      <c r="HTH44" s="806"/>
      <c r="HTI44" s="806"/>
      <c r="HTJ44" s="806"/>
      <c r="HTK44" s="806"/>
      <c r="HTL44" s="806"/>
      <c r="HTM44" s="806"/>
      <c r="HTN44" s="806"/>
      <c r="HTO44" s="806"/>
      <c r="HTP44" s="806"/>
      <c r="HTQ44" s="806"/>
      <c r="HTR44" s="806"/>
      <c r="HTS44" s="806"/>
      <c r="HTT44" s="806"/>
      <c r="HTU44" s="806"/>
      <c r="HTV44" s="806"/>
      <c r="HTW44" s="806"/>
      <c r="HTX44" s="806"/>
      <c r="HTY44" s="806"/>
      <c r="HTZ44" s="806"/>
      <c r="HUA44" s="806"/>
      <c r="HUB44" s="806"/>
      <c r="HUC44" s="806"/>
      <c r="HUD44" s="806"/>
      <c r="HUE44" s="806"/>
      <c r="HUF44" s="806"/>
      <c r="HUG44" s="806"/>
      <c r="HUH44" s="806"/>
      <c r="HUI44" s="806"/>
      <c r="HUJ44" s="806"/>
      <c r="HUK44" s="806"/>
      <c r="HUL44" s="806"/>
      <c r="HUM44" s="806"/>
      <c r="HUN44" s="806"/>
      <c r="HUO44" s="806"/>
      <c r="HUP44" s="806"/>
      <c r="HUQ44" s="806"/>
      <c r="HUR44" s="806"/>
      <c r="HUS44" s="806"/>
      <c r="HUT44" s="806"/>
      <c r="HUU44" s="806"/>
      <c r="HUV44" s="806"/>
      <c r="HUW44" s="806"/>
      <c r="HUX44" s="806"/>
      <c r="HUY44" s="806"/>
      <c r="HUZ44" s="806"/>
      <c r="HVA44" s="806"/>
      <c r="HVB44" s="806"/>
      <c r="HVC44" s="806"/>
      <c r="HVD44" s="806"/>
      <c r="HVE44" s="806"/>
      <c r="HVF44" s="806"/>
      <c r="HVG44" s="806"/>
      <c r="HVH44" s="806"/>
      <c r="HVI44" s="806"/>
      <c r="HVJ44" s="806"/>
      <c r="HVK44" s="806"/>
      <c r="HVL44" s="806"/>
      <c r="HVM44" s="806"/>
      <c r="HVN44" s="806"/>
      <c r="HVO44" s="806"/>
      <c r="HVP44" s="806"/>
      <c r="HVQ44" s="806"/>
      <c r="HVR44" s="806"/>
      <c r="HVS44" s="806"/>
      <c r="HVT44" s="806"/>
      <c r="HVU44" s="806"/>
      <c r="HVV44" s="806"/>
      <c r="HVW44" s="806"/>
      <c r="HVX44" s="806"/>
      <c r="HVY44" s="806"/>
      <c r="HVZ44" s="806"/>
      <c r="HWA44" s="806"/>
      <c r="HWB44" s="806"/>
      <c r="HWC44" s="806"/>
      <c r="HWD44" s="806"/>
      <c r="HWE44" s="806"/>
      <c r="HWF44" s="806"/>
      <c r="HWG44" s="806"/>
      <c r="HWH44" s="806"/>
      <c r="HWI44" s="806"/>
      <c r="HWJ44" s="806"/>
      <c r="HWK44" s="806"/>
      <c r="HWL44" s="806"/>
      <c r="HWM44" s="806"/>
      <c r="HWN44" s="806"/>
      <c r="HWO44" s="806"/>
      <c r="HWP44" s="806"/>
      <c r="HWQ44" s="806"/>
      <c r="HWR44" s="806"/>
      <c r="HWS44" s="806"/>
      <c r="HWT44" s="806"/>
      <c r="HWU44" s="806"/>
      <c r="HWV44" s="806"/>
      <c r="HWW44" s="806"/>
      <c r="HWX44" s="806"/>
      <c r="HWY44" s="806"/>
      <c r="HWZ44" s="806"/>
      <c r="HXA44" s="806"/>
      <c r="HXB44" s="806"/>
      <c r="HXC44" s="806"/>
      <c r="HXD44" s="806"/>
      <c r="HXE44" s="806"/>
      <c r="HXF44" s="806"/>
      <c r="HXG44" s="806"/>
      <c r="HXH44" s="806"/>
      <c r="HXI44" s="806"/>
      <c r="HXJ44" s="806"/>
      <c r="HXK44" s="806"/>
      <c r="HXL44" s="806"/>
      <c r="HXM44" s="806"/>
      <c r="HXN44" s="806"/>
      <c r="HXO44" s="806"/>
      <c r="HXP44" s="806"/>
      <c r="HXQ44" s="806"/>
      <c r="HXR44" s="806"/>
      <c r="HXS44" s="806"/>
      <c r="HXT44" s="806"/>
      <c r="HXU44" s="806"/>
      <c r="HXV44" s="806"/>
      <c r="HXW44" s="806"/>
      <c r="HXX44" s="806"/>
      <c r="HXY44" s="806"/>
      <c r="HXZ44" s="806"/>
      <c r="HYA44" s="806"/>
      <c r="HYB44" s="806"/>
      <c r="HYC44" s="806"/>
      <c r="HYD44" s="806"/>
      <c r="HYE44" s="806"/>
      <c r="HYF44" s="806"/>
      <c r="HYG44" s="806"/>
      <c r="HYH44" s="806"/>
      <c r="HYI44" s="806"/>
      <c r="HYJ44" s="806"/>
      <c r="HYK44" s="806"/>
      <c r="HYL44" s="806"/>
      <c r="HYM44" s="806"/>
      <c r="HYN44" s="806"/>
      <c r="HYO44" s="806"/>
      <c r="HYP44" s="806"/>
      <c r="HYQ44" s="806"/>
      <c r="HYR44" s="806"/>
      <c r="HYS44" s="806"/>
      <c r="HYT44" s="806"/>
      <c r="HYU44" s="806"/>
      <c r="HYV44" s="806"/>
      <c r="HYW44" s="806"/>
      <c r="HYX44" s="806"/>
      <c r="HYY44" s="806"/>
      <c r="HYZ44" s="806"/>
      <c r="HZA44" s="806"/>
      <c r="HZB44" s="806"/>
      <c r="HZC44" s="806"/>
      <c r="HZD44" s="806"/>
      <c r="HZE44" s="806"/>
      <c r="HZF44" s="806"/>
      <c r="HZG44" s="806"/>
      <c r="HZH44" s="806"/>
      <c r="HZI44" s="806"/>
      <c r="HZJ44" s="806"/>
      <c r="HZK44" s="806"/>
      <c r="HZL44" s="806"/>
      <c r="HZM44" s="806"/>
      <c r="HZN44" s="806"/>
      <c r="HZO44" s="806"/>
      <c r="HZP44" s="806"/>
      <c r="HZQ44" s="806"/>
      <c r="HZR44" s="806"/>
      <c r="HZS44" s="806"/>
      <c r="HZT44" s="806"/>
      <c r="HZU44" s="806"/>
      <c r="HZV44" s="806"/>
      <c r="HZW44" s="806"/>
      <c r="HZX44" s="806"/>
      <c r="HZY44" s="806"/>
      <c r="HZZ44" s="806"/>
      <c r="IAA44" s="806"/>
      <c r="IAB44" s="806"/>
      <c r="IAC44" s="806"/>
      <c r="IAD44" s="806"/>
      <c r="IAE44" s="806"/>
      <c r="IAF44" s="806"/>
      <c r="IAG44" s="806"/>
      <c r="IAH44" s="806"/>
      <c r="IAI44" s="806"/>
      <c r="IAJ44" s="806"/>
      <c r="IAK44" s="806"/>
      <c r="IAL44" s="806"/>
      <c r="IAM44" s="806"/>
      <c r="IAN44" s="806"/>
      <c r="IAO44" s="806"/>
      <c r="IAP44" s="806"/>
      <c r="IAQ44" s="806"/>
      <c r="IAR44" s="806"/>
      <c r="IAS44" s="806"/>
      <c r="IAT44" s="806"/>
      <c r="IAU44" s="806"/>
      <c r="IAV44" s="806"/>
      <c r="IAW44" s="806"/>
      <c r="IAX44" s="806"/>
      <c r="IAY44" s="806"/>
      <c r="IAZ44" s="806"/>
      <c r="IBA44" s="806"/>
      <c r="IBB44" s="806"/>
      <c r="IBC44" s="806"/>
      <c r="IBD44" s="806"/>
      <c r="IBE44" s="806"/>
      <c r="IBF44" s="806"/>
      <c r="IBG44" s="806"/>
      <c r="IBH44" s="806"/>
      <c r="IBI44" s="806"/>
      <c r="IBJ44" s="806"/>
      <c r="IBK44" s="806"/>
      <c r="IBL44" s="806"/>
      <c r="IBM44" s="806"/>
      <c r="IBN44" s="806"/>
      <c r="IBO44" s="806"/>
      <c r="IBP44" s="806"/>
      <c r="IBQ44" s="806"/>
      <c r="IBR44" s="806"/>
      <c r="IBS44" s="806"/>
      <c r="IBT44" s="806"/>
      <c r="IBU44" s="806"/>
      <c r="IBV44" s="806"/>
      <c r="IBW44" s="806"/>
      <c r="IBX44" s="806"/>
      <c r="IBY44" s="806"/>
      <c r="IBZ44" s="806"/>
      <c r="ICA44" s="806"/>
      <c r="ICB44" s="806"/>
      <c r="ICC44" s="806"/>
      <c r="ICD44" s="806"/>
      <c r="ICE44" s="806"/>
      <c r="ICF44" s="806"/>
      <c r="ICG44" s="806"/>
      <c r="ICH44" s="806"/>
      <c r="ICI44" s="806"/>
      <c r="ICJ44" s="806"/>
      <c r="ICK44" s="806"/>
      <c r="ICL44" s="806"/>
      <c r="ICM44" s="806"/>
      <c r="ICN44" s="806"/>
      <c r="ICO44" s="806"/>
      <c r="ICP44" s="806"/>
      <c r="ICQ44" s="806"/>
      <c r="ICR44" s="806"/>
      <c r="ICS44" s="806"/>
      <c r="ICT44" s="806"/>
      <c r="ICU44" s="806"/>
      <c r="ICV44" s="806"/>
      <c r="ICW44" s="806"/>
      <c r="ICX44" s="806"/>
      <c r="ICY44" s="806"/>
      <c r="ICZ44" s="806"/>
      <c r="IDA44" s="806"/>
      <c r="IDB44" s="806"/>
      <c r="IDC44" s="806"/>
      <c r="IDD44" s="806"/>
      <c r="IDE44" s="806"/>
      <c r="IDF44" s="806"/>
      <c r="IDG44" s="806"/>
      <c r="IDH44" s="806"/>
      <c r="IDI44" s="806"/>
      <c r="IDJ44" s="806"/>
      <c r="IDK44" s="806"/>
      <c r="IDL44" s="806"/>
      <c r="IDM44" s="806"/>
      <c r="IDN44" s="806"/>
      <c r="IDO44" s="806"/>
      <c r="IDP44" s="806"/>
      <c r="IDQ44" s="806"/>
      <c r="IDR44" s="806"/>
      <c r="IDS44" s="806"/>
      <c r="IDT44" s="806"/>
      <c r="IDU44" s="806"/>
      <c r="IDV44" s="806"/>
      <c r="IDW44" s="806"/>
      <c r="IDX44" s="806"/>
      <c r="IDY44" s="806"/>
      <c r="IDZ44" s="806"/>
      <c r="IEA44" s="806"/>
      <c r="IEB44" s="806"/>
      <c r="IEC44" s="806"/>
      <c r="IED44" s="806"/>
      <c r="IEE44" s="806"/>
      <c r="IEF44" s="806"/>
      <c r="IEG44" s="806"/>
      <c r="IEH44" s="806"/>
      <c r="IEI44" s="806"/>
      <c r="IEJ44" s="806"/>
      <c r="IEK44" s="806"/>
      <c r="IEL44" s="806"/>
      <c r="IEM44" s="806"/>
      <c r="IEN44" s="806"/>
      <c r="IEO44" s="806"/>
      <c r="IEP44" s="806"/>
      <c r="IEQ44" s="806"/>
      <c r="IER44" s="806"/>
      <c r="IES44" s="806"/>
      <c r="IET44" s="806"/>
      <c r="IEU44" s="806"/>
      <c r="IEV44" s="806"/>
      <c r="IEW44" s="806"/>
      <c r="IEX44" s="806"/>
      <c r="IEY44" s="806"/>
      <c r="IEZ44" s="806"/>
      <c r="IFA44" s="806"/>
      <c r="IFB44" s="806"/>
      <c r="IFC44" s="806"/>
      <c r="IFD44" s="806"/>
      <c r="IFE44" s="806"/>
      <c r="IFF44" s="806"/>
      <c r="IFG44" s="806"/>
      <c r="IFH44" s="806"/>
      <c r="IFI44" s="806"/>
      <c r="IFJ44" s="806"/>
      <c r="IFK44" s="806"/>
      <c r="IFL44" s="806"/>
      <c r="IFM44" s="806"/>
      <c r="IFN44" s="806"/>
      <c r="IFO44" s="806"/>
      <c r="IFP44" s="806"/>
      <c r="IFQ44" s="806"/>
      <c r="IFR44" s="806"/>
      <c r="IFS44" s="806"/>
      <c r="IFT44" s="806"/>
      <c r="IFU44" s="806"/>
      <c r="IFV44" s="806"/>
      <c r="IFW44" s="806"/>
      <c r="IFX44" s="806"/>
      <c r="IFY44" s="806"/>
      <c r="IFZ44" s="806"/>
      <c r="IGA44" s="806"/>
      <c r="IGB44" s="806"/>
      <c r="IGC44" s="806"/>
      <c r="IGD44" s="806"/>
      <c r="IGE44" s="806"/>
      <c r="IGF44" s="806"/>
      <c r="IGG44" s="806"/>
      <c r="IGH44" s="806"/>
      <c r="IGI44" s="806"/>
      <c r="IGJ44" s="806"/>
      <c r="IGK44" s="806"/>
      <c r="IGL44" s="806"/>
      <c r="IGM44" s="806"/>
      <c r="IGN44" s="806"/>
      <c r="IGO44" s="806"/>
      <c r="IGP44" s="806"/>
      <c r="IGQ44" s="806"/>
      <c r="IGR44" s="806"/>
      <c r="IGS44" s="806"/>
      <c r="IGT44" s="806"/>
      <c r="IGU44" s="806"/>
      <c r="IGV44" s="806"/>
      <c r="IGW44" s="806"/>
      <c r="IGX44" s="806"/>
      <c r="IGY44" s="806"/>
      <c r="IGZ44" s="806"/>
      <c r="IHA44" s="806"/>
      <c r="IHB44" s="806"/>
      <c r="IHC44" s="806"/>
      <c r="IHD44" s="806"/>
      <c r="IHE44" s="806"/>
      <c r="IHF44" s="806"/>
      <c r="IHG44" s="806"/>
      <c r="IHH44" s="806"/>
      <c r="IHI44" s="806"/>
      <c r="IHJ44" s="806"/>
      <c r="IHK44" s="806"/>
      <c r="IHL44" s="806"/>
      <c r="IHM44" s="806"/>
      <c r="IHN44" s="806"/>
      <c r="IHO44" s="806"/>
      <c r="IHP44" s="806"/>
      <c r="IHQ44" s="806"/>
      <c r="IHR44" s="806"/>
      <c r="IHS44" s="806"/>
      <c r="IHT44" s="806"/>
      <c r="IHU44" s="806"/>
      <c r="IHV44" s="806"/>
      <c r="IHW44" s="806"/>
      <c r="IHX44" s="806"/>
      <c r="IHY44" s="806"/>
      <c r="IHZ44" s="806"/>
      <c r="IIA44" s="806"/>
      <c r="IIB44" s="806"/>
      <c r="IIC44" s="806"/>
      <c r="IID44" s="806"/>
      <c r="IIE44" s="806"/>
      <c r="IIF44" s="806"/>
      <c r="IIG44" s="806"/>
      <c r="IIH44" s="806"/>
      <c r="III44" s="806"/>
      <c r="IIJ44" s="806"/>
      <c r="IIK44" s="806"/>
      <c r="IIL44" s="806"/>
      <c r="IIM44" s="806"/>
      <c r="IIN44" s="806"/>
      <c r="IIO44" s="806"/>
      <c r="IIP44" s="806"/>
      <c r="IIQ44" s="806"/>
      <c r="IIR44" s="806"/>
      <c r="IIS44" s="806"/>
      <c r="IIT44" s="806"/>
      <c r="IIU44" s="806"/>
      <c r="IIV44" s="806"/>
      <c r="IIW44" s="806"/>
      <c r="IIX44" s="806"/>
      <c r="IIY44" s="806"/>
      <c r="IIZ44" s="806"/>
      <c r="IJA44" s="806"/>
      <c r="IJB44" s="806"/>
      <c r="IJC44" s="806"/>
      <c r="IJD44" s="806"/>
      <c r="IJE44" s="806"/>
      <c r="IJF44" s="806"/>
      <c r="IJG44" s="806"/>
      <c r="IJH44" s="806"/>
      <c r="IJI44" s="806"/>
      <c r="IJJ44" s="806"/>
      <c r="IJK44" s="806"/>
      <c r="IJL44" s="806"/>
      <c r="IJM44" s="806"/>
      <c r="IJN44" s="806"/>
      <c r="IJO44" s="806"/>
      <c r="IJP44" s="806"/>
      <c r="IJQ44" s="806"/>
      <c r="IJR44" s="806"/>
      <c r="IJS44" s="806"/>
      <c r="IJT44" s="806"/>
      <c r="IJU44" s="806"/>
      <c r="IJV44" s="806"/>
      <c r="IJW44" s="806"/>
      <c r="IJX44" s="806"/>
      <c r="IJY44" s="806"/>
      <c r="IJZ44" s="806"/>
      <c r="IKA44" s="806"/>
      <c r="IKB44" s="806"/>
      <c r="IKC44" s="806"/>
      <c r="IKD44" s="806"/>
      <c r="IKE44" s="806"/>
      <c r="IKF44" s="806"/>
      <c r="IKG44" s="806"/>
      <c r="IKH44" s="806"/>
      <c r="IKI44" s="806"/>
      <c r="IKJ44" s="806"/>
      <c r="IKK44" s="806"/>
      <c r="IKL44" s="806"/>
      <c r="IKM44" s="806"/>
      <c r="IKN44" s="806"/>
      <c r="IKO44" s="806"/>
      <c r="IKP44" s="806"/>
      <c r="IKQ44" s="806"/>
      <c r="IKR44" s="806"/>
      <c r="IKS44" s="806"/>
      <c r="IKT44" s="806"/>
      <c r="IKU44" s="806"/>
      <c r="IKV44" s="806"/>
      <c r="IKW44" s="806"/>
      <c r="IKX44" s="806"/>
      <c r="IKY44" s="806"/>
      <c r="IKZ44" s="806"/>
      <c r="ILA44" s="806"/>
      <c r="ILB44" s="806"/>
      <c r="ILC44" s="806"/>
      <c r="ILD44" s="806"/>
      <c r="ILE44" s="806"/>
      <c r="ILF44" s="806"/>
      <c r="ILG44" s="806"/>
      <c r="ILH44" s="806"/>
      <c r="ILI44" s="806"/>
      <c r="ILJ44" s="806"/>
      <c r="ILK44" s="806"/>
      <c r="ILL44" s="806"/>
      <c r="ILM44" s="806"/>
      <c r="ILN44" s="806"/>
      <c r="ILO44" s="806"/>
      <c r="ILP44" s="806"/>
      <c r="ILQ44" s="806"/>
      <c r="ILR44" s="806"/>
      <c r="ILS44" s="806"/>
      <c r="ILT44" s="806"/>
      <c r="ILU44" s="806"/>
      <c r="ILV44" s="806"/>
      <c r="ILW44" s="806"/>
      <c r="ILX44" s="806"/>
      <c r="ILY44" s="806"/>
      <c r="ILZ44" s="806"/>
      <c r="IMA44" s="806"/>
      <c r="IMB44" s="806"/>
      <c r="IMC44" s="806"/>
      <c r="IMD44" s="806"/>
      <c r="IME44" s="806"/>
      <c r="IMF44" s="806"/>
      <c r="IMG44" s="806"/>
      <c r="IMH44" s="806"/>
      <c r="IMI44" s="806"/>
      <c r="IMJ44" s="806"/>
      <c r="IMK44" s="806"/>
      <c r="IML44" s="806"/>
      <c r="IMM44" s="806"/>
      <c r="IMN44" s="806"/>
      <c r="IMO44" s="806"/>
      <c r="IMP44" s="806"/>
      <c r="IMQ44" s="806"/>
      <c r="IMR44" s="806"/>
      <c r="IMS44" s="806"/>
      <c r="IMT44" s="806"/>
      <c r="IMU44" s="806"/>
      <c r="IMV44" s="806"/>
      <c r="IMW44" s="806"/>
      <c r="IMX44" s="806"/>
      <c r="IMY44" s="806"/>
      <c r="IMZ44" s="806"/>
      <c r="INA44" s="806"/>
      <c r="INB44" s="806"/>
      <c r="INC44" s="806"/>
      <c r="IND44" s="806"/>
      <c r="INE44" s="806"/>
      <c r="INF44" s="806"/>
      <c r="ING44" s="806"/>
      <c r="INH44" s="806"/>
      <c r="INI44" s="806"/>
      <c r="INJ44" s="806"/>
      <c r="INK44" s="806"/>
      <c r="INL44" s="806"/>
      <c r="INM44" s="806"/>
      <c r="INN44" s="806"/>
      <c r="INO44" s="806"/>
      <c r="INP44" s="806"/>
      <c r="INQ44" s="806"/>
      <c r="INR44" s="806"/>
      <c r="INS44" s="806"/>
      <c r="INT44" s="806"/>
      <c r="INU44" s="806"/>
      <c r="INV44" s="806"/>
      <c r="INW44" s="806"/>
      <c r="INX44" s="806"/>
      <c r="INY44" s="806"/>
      <c r="INZ44" s="806"/>
      <c r="IOA44" s="806"/>
      <c r="IOB44" s="806"/>
      <c r="IOC44" s="806"/>
      <c r="IOD44" s="806"/>
      <c r="IOE44" s="806"/>
      <c r="IOF44" s="806"/>
      <c r="IOG44" s="806"/>
      <c r="IOH44" s="806"/>
      <c r="IOI44" s="806"/>
      <c r="IOJ44" s="806"/>
      <c r="IOK44" s="806"/>
      <c r="IOL44" s="806"/>
      <c r="IOM44" s="806"/>
      <c r="ION44" s="806"/>
      <c r="IOO44" s="806"/>
      <c r="IOP44" s="806"/>
      <c r="IOQ44" s="806"/>
      <c r="IOR44" s="806"/>
      <c r="IOS44" s="806"/>
      <c r="IOT44" s="806"/>
      <c r="IOU44" s="806"/>
      <c r="IOV44" s="806"/>
      <c r="IOW44" s="806"/>
      <c r="IOX44" s="806"/>
      <c r="IOY44" s="806"/>
      <c r="IOZ44" s="806"/>
      <c r="IPA44" s="806"/>
      <c r="IPB44" s="806"/>
      <c r="IPC44" s="806"/>
      <c r="IPD44" s="806"/>
      <c r="IPE44" s="806"/>
      <c r="IPF44" s="806"/>
      <c r="IPG44" s="806"/>
      <c r="IPH44" s="806"/>
      <c r="IPI44" s="806"/>
      <c r="IPJ44" s="806"/>
      <c r="IPK44" s="806"/>
      <c r="IPL44" s="806"/>
      <c r="IPM44" s="806"/>
      <c r="IPN44" s="806"/>
      <c r="IPO44" s="806"/>
      <c r="IPP44" s="806"/>
      <c r="IPQ44" s="806"/>
      <c r="IPR44" s="806"/>
      <c r="IPS44" s="806"/>
      <c r="IPT44" s="806"/>
      <c r="IPU44" s="806"/>
      <c r="IPV44" s="806"/>
      <c r="IPW44" s="806"/>
      <c r="IPX44" s="806"/>
      <c r="IPY44" s="806"/>
      <c r="IPZ44" s="806"/>
      <c r="IQA44" s="806"/>
      <c r="IQB44" s="806"/>
      <c r="IQC44" s="806"/>
      <c r="IQD44" s="806"/>
      <c r="IQE44" s="806"/>
      <c r="IQF44" s="806"/>
      <c r="IQG44" s="806"/>
      <c r="IQH44" s="806"/>
      <c r="IQI44" s="806"/>
      <c r="IQJ44" s="806"/>
      <c r="IQK44" s="806"/>
      <c r="IQL44" s="806"/>
      <c r="IQM44" s="806"/>
      <c r="IQN44" s="806"/>
      <c r="IQO44" s="806"/>
      <c r="IQP44" s="806"/>
      <c r="IQQ44" s="806"/>
      <c r="IQR44" s="806"/>
      <c r="IQS44" s="806"/>
      <c r="IQT44" s="806"/>
      <c r="IQU44" s="806"/>
      <c r="IQV44" s="806"/>
      <c r="IQW44" s="806"/>
      <c r="IQX44" s="806"/>
      <c r="IQY44" s="806"/>
      <c r="IQZ44" s="806"/>
      <c r="IRA44" s="806"/>
      <c r="IRB44" s="806"/>
      <c r="IRC44" s="806"/>
      <c r="IRD44" s="806"/>
      <c r="IRE44" s="806"/>
      <c r="IRF44" s="806"/>
      <c r="IRG44" s="806"/>
      <c r="IRH44" s="806"/>
      <c r="IRI44" s="806"/>
      <c r="IRJ44" s="806"/>
      <c r="IRK44" s="806"/>
      <c r="IRL44" s="806"/>
      <c r="IRM44" s="806"/>
      <c r="IRN44" s="806"/>
      <c r="IRO44" s="806"/>
      <c r="IRP44" s="806"/>
      <c r="IRQ44" s="806"/>
      <c r="IRR44" s="806"/>
      <c r="IRS44" s="806"/>
      <c r="IRT44" s="806"/>
      <c r="IRU44" s="806"/>
      <c r="IRV44" s="806"/>
      <c r="IRW44" s="806"/>
      <c r="IRX44" s="806"/>
      <c r="IRY44" s="806"/>
      <c r="IRZ44" s="806"/>
      <c r="ISA44" s="806"/>
      <c r="ISB44" s="806"/>
      <c r="ISC44" s="806"/>
      <c r="ISD44" s="806"/>
      <c r="ISE44" s="806"/>
      <c r="ISF44" s="806"/>
      <c r="ISG44" s="806"/>
      <c r="ISH44" s="806"/>
      <c r="ISI44" s="806"/>
      <c r="ISJ44" s="806"/>
      <c r="ISK44" s="806"/>
      <c r="ISL44" s="806"/>
      <c r="ISM44" s="806"/>
      <c r="ISN44" s="806"/>
      <c r="ISO44" s="806"/>
      <c r="ISP44" s="806"/>
      <c r="ISQ44" s="806"/>
      <c r="ISR44" s="806"/>
      <c r="ISS44" s="806"/>
      <c r="IST44" s="806"/>
      <c r="ISU44" s="806"/>
      <c r="ISV44" s="806"/>
      <c r="ISW44" s="806"/>
      <c r="ISX44" s="806"/>
      <c r="ISY44" s="806"/>
      <c r="ISZ44" s="806"/>
      <c r="ITA44" s="806"/>
      <c r="ITB44" s="806"/>
      <c r="ITC44" s="806"/>
      <c r="ITD44" s="806"/>
      <c r="ITE44" s="806"/>
      <c r="ITF44" s="806"/>
      <c r="ITG44" s="806"/>
      <c r="ITH44" s="806"/>
      <c r="ITI44" s="806"/>
      <c r="ITJ44" s="806"/>
      <c r="ITK44" s="806"/>
      <c r="ITL44" s="806"/>
      <c r="ITM44" s="806"/>
      <c r="ITN44" s="806"/>
      <c r="ITO44" s="806"/>
      <c r="ITP44" s="806"/>
      <c r="ITQ44" s="806"/>
      <c r="ITR44" s="806"/>
      <c r="ITS44" s="806"/>
      <c r="ITT44" s="806"/>
      <c r="ITU44" s="806"/>
      <c r="ITV44" s="806"/>
      <c r="ITW44" s="806"/>
      <c r="ITX44" s="806"/>
      <c r="ITY44" s="806"/>
      <c r="ITZ44" s="806"/>
      <c r="IUA44" s="806"/>
      <c r="IUB44" s="806"/>
      <c r="IUC44" s="806"/>
      <c r="IUD44" s="806"/>
      <c r="IUE44" s="806"/>
      <c r="IUF44" s="806"/>
      <c r="IUG44" s="806"/>
      <c r="IUH44" s="806"/>
      <c r="IUI44" s="806"/>
      <c r="IUJ44" s="806"/>
      <c r="IUK44" s="806"/>
      <c r="IUL44" s="806"/>
      <c r="IUM44" s="806"/>
      <c r="IUN44" s="806"/>
      <c r="IUO44" s="806"/>
      <c r="IUP44" s="806"/>
      <c r="IUQ44" s="806"/>
      <c r="IUR44" s="806"/>
      <c r="IUS44" s="806"/>
      <c r="IUT44" s="806"/>
      <c r="IUU44" s="806"/>
      <c r="IUV44" s="806"/>
      <c r="IUW44" s="806"/>
      <c r="IUX44" s="806"/>
      <c r="IUY44" s="806"/>
      <c r="IUZ44" s="806"/>
      <c r="IVA44" s="806"/>
      <c r="IVB44" s="806"/>
      <c r="IVC44" s="806"/>
      <c r="IVD44" s="806"/>
      <c r="IVE44" s="806"/>
      <c r="IVF44" s="806"/>
      <c r="IVG44" s="806"/>
      <c r="IVH44" s="806"/>
      <c r="IVI44" s="806"/>
      <c r="IVJ44" s="806"/>
      <c r="IVK44" s="806"/>
      <c r="IVL44" s="806"/>
      <c r="IVM44" s="806"/>
      <c r="IVN44" s="806"/>
      <c r="IVO44" s="806"/>
      <c r="IVP44" s="806"/>
      <c r="IVQ44" s="806"/>
      <c r="IVR44" s="806"/>
      <c r="IVS44" s="806"/>
      <c r="IVT44" s="806"/>
      <c r="IVU44" s="806"/>
      <c r="IVV44" s="806"/>
      <c r="IVW44" s="806"/>
      <c r="IVX44" s="806"/>
      <c r="IVY44" s="806"/>
      <c r="IVZ44" s="806"/>
      <c r="IWA44" s="806"/>
      <c r="IWB44" s="806"/>
      <c r="IWC44" s="806"/>
      <c r="IWD44" s="806"/>
      <c r="IWE44" s="806"/>
      <c r="IWF44" s="806"/>
      <c r="IWG44" s="806"/>
      <c r="IWH44" s="806"/>
      <c r="IWI44" s="806"/>
      <c r="IWJ44" s="806"/>
      <c r="IWK44" s="806"/>
      <c r="IWL44" s="806"/>
      <c r="IWM44" s="806"/>
      <c r="IWN44" s="806"/>
      <c r="IWO44" s="806"/>
      <c r="IWP44" s="806"/>
      <c r="IWQ44" s="806"/>
      <c r="IWR44" s="806"/>
      <c r="IWS44" s="806"/>
      <c r="IWT44" s="806"/>
      <c r="IWU44" s="806"/>
      <c r="IWV44" s="806"/>
      <c r="IWW44" s="806"/>
      <c r="IWX44" s="806"/>
      <c r="IWY44" s="806"/>
      <c r="IWZ44" s="806"/>
      <c r="IXA44" s="806"/>
      <c r="IXB44" s="806"/>
      <c r="IXC44" s="806"/>
      <c r="IXD44" s="806"/>
      <c r="IXE44" s="806"/>
      <c r="IXF44" s="806"/>
      <c r="IXG44" s="806"/>
      <c r="IXH44" s="806"/>
      <c r="IXI44" s="806"/>
      <c r="IXJ44" s="806"/>
      <c r="IXK44" s="806"/>
      <c r="IXL44" s="806"/>
      <c r="IXM44" s="806"/>
      <c r="IXN44" s="806"/>
      <c r="IXO44" s="806"/>
      <c r="IXP44" s="806"/>
      <c r="IXQ44" s="806"/>
      <c r="IXR44" s="806"/>
      <c r="IXS44" s="806"/>
      <c r="IXT44" s="806"/>
      <c r="IXU44" s="806"/>
      <c r="IXV44" s="806"/>
      <c r="IXW44" s="806"/>
      <c r="IXX44" s="806"/>
      <c r="IXY44" s="806"/>
      <c r="IXZ44" s="806"/>
      <c r="IYA44" s="806"/>
      <c r="IYB44" s="806"/>
      <c r="IYC44" s="806"/>
      <c r="IYD44" s="806"/>
      <c r="IYE44" s="806"/>
      <c r="IYF44" s="806"/>
      <c r="IYG44" s="806"/>
      <c r="IYH44" s="806"/>
      <c r="IYI44" s="806"/>
      <c r="IYJ44" s="806"/>
      <c r="IYK44" s="806"/>
      <c r="IYL44" s="806"/>
      <c r="IYM44" s="806"/>
      <c r="IYN44" s="806"/>
      <c r="IYO44" s="806"/>
      <c r="IYP44" s="806"/>
      <c r="IYQ44" s="806"/>
      <c r="IYR44" s="806"/>
      <c r="IYS44" s="806"/>
      <c r="IYT44" s="806"/>
      <c r="IYU44" s="806"/>
      <c r="IYV44" s="806"/>
      <c r="IYW44" s="806"/>
      <c r="IYX44" s="806"/>
      <c r="IYY44" s="806"/>
      <c r="IYZ44" s="806"/>
      <c r="IZA44" s="806"/>
      <c r="IZB44" s="806"/>
      <c r="IZC44" s="806"/>
      <c r="IZD44" s="806"/>
      <c r="IZE44" s="806"/>
      <c r="IZF44" s="806"/>
      <c r="IZG44" s="806"/>
      <c r="IZH44" s="806"/>
      <c r="IZI44" s="806"/>
      <c r="IZJ44" s="806"/>
      <c r="IZK44" s="806"/>
      <c r="IZL44" s="806"/>
      <c r="IZM44" s="806"/>
      <c r="IZN44" s="806"/>
      <c r="IZO44" s="806"/>
      <c r="IZP44" s="806"/>
      <c r="IZQ44" s="806"/>
      <c r="IZR44" s="806"/>
      <c r="IZS44" s="806"/>
      <c r="IZT44" s="806"/>
      <c r="IZU44" s="806"/>
      <c r="IZV44" s="806"/>
      <c r="IZW44" s="806"/>
      <c r="IZX44" s="806"/>
      <c r="IZY44" s="806"/>
      <c r="IZZ44" s="806"/>
      <c r="JAA44" s="806"/>
      <c r="JAB44" s="806"/>
      <c r="JAC44" s="806"/>
      <c r="JAD44" s="806"/>
      <c r="JAE44" s="806"/>
      <c r="JAF44" s="806"/>
      <c r="JAG44" s="806"/>
      <c r="JAH44" s="806"/>
      <c r="JAI44" s="806"/>
      <c r="JAJ44" s="806"/>
      <c r="JAK44" s="806"/>
      <c r="JAL44" s="806"/>
      <c r="JAM44" s="806"/>
      <c r="JAN44" s="806"/>
      <c r="JAO44" s="806"/>
      <c r="JAP44" s="806"/>
      <c r="JAQ44" s="806"/>
      <c r="JAR44" s="806"/>
      <c r="JAS44" s="806"/>
      <c r="JAT44" s="806"/>
      <c r="JAU44" s="806"/>
      <c r="JAV44" s="806"/>
      <c r="JAW44" s="806"/>
      <c r="JAX44" s="806"/>
      <c r="JAY44" s="806"/>
      <c r="JAZ44" s="806"/>
      <c r="JBA44" s="806"/>
      <c r="JBB44" s="806"/>
      <c r="JBC44" s="806"/>
      <c r="JBD44" s="806"/>
      <c r="JBE44" s="806"/>
      <c r="JBF44" s="806"/>
      <c r="JBG44" s="806"/>
      <c r="JBH44" s="806"/>
      <c r="JBI44" s="806"/>
      <c r="JBJ44" s="806"/>
      <c r="JBK44" s="806"/>
      <c r="JBL44" s="806"/>
      <c r="JBM44" s="806"/>
      <c r="JBN44" s="806"/>
      <c r="JBO44" s="806"/>
      <c r="JBP44" s="806"/>
      <c r="JBQ44" s="806"/>
      <c r="JBR44" s="806"/>
      <c r="JBS44" s="806"/>
      <c r="JBT44" s="806"/>
      <c r="JBU44" s="806"/>
      <c r="JBV44" s="806"/>
      <c r="JBW44" s="806"/>
      <c r="JBX44" s="806"/>
      <c r="JBY44" s="806"/>
      <c r="JBZ44" s="806"/>
      <c r="JCA44" s="806"/>
      <c r="JCB44" s="806"/>
      <c r="JCC44" s="806"/>
      <c r="JCD44" s="806"/>
      <c r="JCE44" s="806"/>
      <c r="JCF44" s="806"/>
      <c r="JCG44" s="806"/>
      <c r="JCH44" s="806"/>
      <c r="JCI44" s="806"/>
      <c r="JCJ44" s="806"/>
      <c r="JCK44" s="806"/>
      <c r="JCL44" s="806"/>
      <c r="JCM44" s="806"/>
      <c r="JCN44" s="806"/>
      <c r="JCO44" s="806"/>
      <c r="JCP44" s="806"/>
      <c r="JCQ44" s="806"/>
      <c r="JCR44" s="806"/>
      <c r="JCS44" s="806"/>
      <c r="JCT44" s="806"/>
      <c r="JCU44" s="806"/>
      <c r="JCV44" s="806"/>
      <c r="JCW44" s="806"/>
      <c r="JCX44" s="806"/>
      <c r="JCY44" s="806"/>
      <c r="JCZ44" s="806"/>
      <c r="JDA44" s="806"/>
      <c r="JDB44" s="806"/>
      <c r="JDC44" s="806"/>
      <c r="JDD44" s="806"/>
      <c r="JDE44" s="806"/>
      <c r="JDF44" s="806"/>
      <c r="JDG44" s="806"/>
      <c r="JDH44" s="806"/>
      <c r="JDI44" s="806"/>
      <c r="JDJ44" s="806"/>
      <c r="JDK44" s="806"/>
      <c r="JDL44" s="806"/>
      <c r="JDM44" s="806"/>
      <c r="JDN44" s="806"/>
      <c r="JDO44" s="806"/>
      <c r="JDP44" s="806"/>
      <c r="JDQ44" s="806"/>
      <c r="JDR44" s="806"/>
      <c r="JDS44" s="806"/>
      <c r="JDT44" s="806"/>
      <c r="JDU44" s="806"/>
      <c r="JDV44" s="806"/>
      <c r="JDW44" s="806"/>
      <c r="JDX44" s="806"/>
      <c r="JDY44" s="806"/>
      <c r="JDZ44" s="806"/>
      <c r="JEA44" s="806"/>
      <c r="JEB44" s="806"/>
      <c r="JEC44" s="806"/>
      <c r="JED44" s="806"/>
      <c r="JEE44" s="806"/>
      <c r="JEF44" s="806"/>
      <c r="JEG44" s="806"/>
      <c r="JEH44" s="806"/>
      <c r="JEI44" s="806"/>
      <c r="JEJ44" s="806"/>
      <c r="JEK44" s="806"/>
      <c r="JEL44" s="806"/>
      <c r="JEM44" s="806"/>
      <c r="JEN44" s="806"/>
      <c r="JEO44" s="806"/>
      <c r="JEP44" s="806"/>
      <c r="JEQ44" s="806"/>
      <c r="JER44" s="806"/>
      <c r="JES44" s="806"/>
      <c r="JET44" s="806"/>
      <c r="JEU44" s="806"/>
      <c r="JEV44" s="806"/>
      <c r="JEW44" s="806"/>
      <c r="JEX44" s="806"/>
      <c r="JEY44" s="806"/>
      <c r="JEZ44" s="806"/>
      <c r="JFA44" s="806"/>
      <c r="JFB44" s="806"/>
      <c r="JFC44" s="806"/>
      <c r="JFD44" s="806"/>
      <c r="JFE44" s="806"/>
      <c r="JFF44" s="806"/>
      <c r="JFG44" s="806"/>
      <c r="JFH44" s="806"/>
      <c r="JFI44" s="806"/>
      <c r="JFJ44" s="806"/>
      <c r="JFK44" s="806"/>
      <c r="JFL44" s="806"/>
      <c r="JFM44" s="806"/>
      <c r="JFN44" s="806"/>
      <c r="JFO44" s="806"/>
      <c r="JFP44" s="806"/>
      <c r="JFQ44" s="806"/>
      <c r="JFR44" s="806"/>
      <c r="JFS44" s="806"/>
      <c r="JFT44" s="806"/>
      <c r="JFU44" s="806"/>
      <c r="JFV44" s="806"/>
      <c r="JFW44" s="806"/>
      <c r="JFX44" s="806"/>
      <c r="JFY44" s="806"/>
      <c r="JFZ44" s="806"/>
      <c r="JGA44" s="806"/>
      <c r="JGB44" s="806"/>
      <c r="JGC44" s="806"/>
      <c r="JGD44" s="806"/>
      <c r="JGE44" s="806"/>
      <c r="JGF44" s="806"/>
      <c r="JGG44" s="806"/>
      <c r="JGH44" s="806"/>
      <c r="JGI44" s="806"/>
      <c r="JGJ44" s="806"/>
      <c r="JGK44" s="806"/>
      <c r="JGL44" s="806"/>
      <c r="JGM44" s="806"/>
      <c r="JGN44" s="806"/>
      <c r="JGO44" s="806"/>
      <c r="JGP44" s="806"/>
      <c r="JGQ44" s="806"/>
      <c r="JGR44" s="806"/>
      <c r="JGS44" s="806"/>
      <c r="JGT44" s="806"/>
      <c r="JGU44" s="806"/>
      <c r="JGV44" s="806"/>
      <c r="JGW44" s="806"/>
      <c r="JGX44" s="806"/>
      <c r="JGY44" s="806"/>
      <c r="JGZ44" s="806"/>
      <c r="JHA44" s="806"/>
      <c r="JHB44" s="806"/>
      <c r="JHC44" s="806"/>
      <c r="JHD44" s="806"/>
      <c r="JHE44" s="806"/>
      <c r="JHF44" s="806"/>
      <c r="JHG44" s="806"/>
      <c r="JHH44" s="806"/>
      <c r="JHI44" s="806"/>
      <c r="JHJ44" s="806"/>
      <c r="JHK44" s="806"/>
      <c r="JHL44" s="806"/>
      <c r="JHM44" s="806"/>
      <c r="JHN44" s="806"/>
      <c r="JHO44" s="806"/>
      <c r="JHP44" s="806"/>
      <c r="JHQ44" s="806"/>
      <c r="JHR44" s="806"/>
      <c r="JHS44" s="806"/>
      <c r="JHT44" s="806"/>
      <c r="JHU44" s="806"/>
      <c r="JHV44" s="806"/>
      <c r="JHW44" s="806"/>
      <c r="JHX44" s="806"/>
      <c r="JHY44" s="806"/>
      <c r="JHZ44" s="806"/>
      <c r="JIA44" s="806"/>
      <c r="JIB44" s="806"/>
      <c r="JIC44" s="806"/>
      <c r="JID44" s="806"/>
      <c r="JIE44" s="806"/>
      <c r="JIF44" s="806"/>
      <c r="JIG44" s="806"/>
      <c r="JIH44" s="806"/>
      <c r="JII44" s="806"/>
      <c r="JIJ44" s="806"/>
      <c r="JIK44" s="806"/>
      <c r="JIL44" s="806"/>
      <c r="JIM44" s="806"/>
      <c r="JIN44" s="806"/>
      <c r="JIO44" s="806"/>
      <c r="JIP44" s="806"/>
      <c r="JIQ44" s="806"/>
      <c r="JIR44" s="806"/>
      <c r="JIS44" s="806"/>
      <c r="JIT44" s="806"/>
      <c r="JIU44" s="806"/>
      <c r="JIV44" s="806"/>
      <c r="JIW44" s="806"/>
      <c r="JIX44" s="806"/>
      <c r="JIY44" s="806"/>
      <c r="JIZ44" s="806"/>
      <c r="JJA44" s="806"/>
      <c r="JJB44" s="806"/>
      <c r="JJC44" s="806"/>
      <c r="JJD44" s="806"/>
      <c r="JJE44" s="806"/>
      <c r="JJF44" s="806"/>
      <c r="JJG44" s="806"/>
      <c r="JJH44" s="806"/>
      <c r="JJI44" s="806"/>
      <c r="JJJ44" s="806"/>
      <c r="JJK44" s="806"/>
      <c r="JJL44" s="806"/>
      <c r="JJM44" s="806"/>
      <c r="JJN44" s="806"/>
      <c r="JJO44" s="806"/>
      <c r="JJP44" s="806"/>
      <c r="JJQ44" s="806"/>
      <c r="JJR44" s="806"/>
      <c r="JJS44" s="806"/>
      <c r="JJT44" s="806"/>
      <c r="JJU44" s="806"/>
      <c r="JJV44" s="806"/>
      <c r="JJW44" s="806"/>
      <c r="JJX44" s="806"/>
      <c r="JJY44" s="806"/>
      <c r="JJZ44" s="806"/>
      <c r="JKA44" s="806"/>
      <c r="JKB44" s="806"/>
      <c r="JKC44" s="806"/>
      <c r="JKD44" s="806"/>
      <c r="JKE44" s="806"/>
      <c r="JKF44" s="806"/>
      <c r="JKG44" s="806"/>
      <c r="JKH44" s="806"/>
      <c r="JKI44" s="806"/>
      <c r="JKJ44" s="806"/>
      <c r="JKK44" s="806"/>
      <c r="JKL44" s="806"/>
      <c r="JKM44" s="806"/>
      <c r="JKN44" s="806"/>
      <c r="JKO44" s="806"/>
      <c r="JKP44" s="806"/>
      <c r="JKQ44" s="806"/>
      <c r="JKR44" s="806"/>
      <c r="JKS44" s="806"/>
      <c r="JKT44" s="806"/>
      <c r="JKU44" s="806"/>
      <c r="JKV44" s="806"/>
      <c r="JKW44" s="806"/>
      <c r="JKX44" s="806"/>
      <c r="JKY44" s="806"/>
      <c r="JKZ44" s="806"/>
      <c r="JLA44" s="806"/>
      <c r="JLB44" s="806"/>
      <c r="JLC44" s="806"/>
      <c r="JLD44" s="806"/>
      <c r="JLE44" s="806"/>
      <c r="JLF44" s="806"/>
      <c r="JLG44" s="806"/>
      <c r="JLH44" s="806"/>
      <c r="JLI44" s="806"/>
      <c r="JLJ44" s="806"/>
      <c r="JLK44" s="806"/>
      <c r="JLL44" s="806"/>
      <c r="JLM44" s="806"/>
      <c r="JLN44" s="806"/>
      <c r="JLO44" s="806"/>
      <c r="JLP44" s="806"/>
      <c r="JLQ44" s="806"/>
      <c r="JLR44" s="806"/>
      <c r="JLS44" s="806"/>
      <c r="JLT44" s="806"/>
      <c r="JLU44" s="806"/>
      <c r="JLV44" s="806"/>
      <c r="JLW44" s="806"/>
      <c r="JLX44" s="806"/>
      <c r="JLY44" s="806"/>
      <c r="JLZ44" s="806"/>
      <c r="JMA44" s="806"/>
      <c r="JMB44" s="806"/>
      <c r="JMC44" s="806"/>
      <c r="JMD44" s="806"/>
      <c r="JME44" s="806"/>
      <c r="JMF44" s="806"/>
      <c r="JMG44" s="806"/>
      <c r="JMH44" s="806"/>
      <c r="JMI44" s="806"/>
      <c r="JMJ44" s="806"/>
      <c r="JMK44" s="806"/>
      <c r="JML44" s="806"/>
      <c r="JMM44" s="806"/>
      <c r="JMN44" s="806"/>
      <c r="JMO44" s="806"/>
      <c r="JMP44" s="806"/>
      <c r="JMQ44" s="806"/>
      <c r="JMR44" s="806"/>
      <c r="JMS44" s="806"/>
      <c r="JMT44" s="806"/>
      <c r="JMU44" s="806"/>
      <c r="JMV44" s="806"/>
      <c r="JMW44" s="806"/>
      <c r="JMX44" s="806"/>
      <c r="JMY44" s="806"/>
      <c r="JMZ44" s="806"/>
      <c r="JNA44" s="806"/>
      <c r="JNB44" s="806"/>
      <c r="JNC44" s="806"/>
      <c r="JND44" s="806"/>
      <c r="JNE44" s="806"/>
      <c r="JNF44" s="806"/>
      <c r="JNG44" s="806"/>
      <c r="JNH44" s="806"/>
      <c r="JNI44" s="806"/>
      <c r="JNJ44" s="806"/>
      <c r="JNK44" s="806"/>
      <c r="JNL44" s="806"/>
      <c r="JNM44" s="806"/>
      <c r="JNN44" s="806"/>
      <c r="JNO44" s="806"/>
      <c r="JNP44" s="806"/>
      <c r="JNQ44" s="806"/>
      <c r="JNR44" s="806"/>
      <c r="JNS44" s="806"/>
      <c r="JNT44" s="806"/>
      <c r="JNU44" s="806"/>
      <c r="JNV44" s="806"/>
      <c r="JNW44" s="806"/>
      <c r="JNX44" s="806"/>
      <c r="JNY44" s="806"/>
      <c r="JNZ44" s="806"/>
      <c r="JOA44" s="806"/>
      <c r="JOB44" s="806"/>
      <c r="JOC44" s="806"/>
      <c r="JOD44" s="806"/>
      <c r="JOE44" s="806"/>
      <c r="JOF44" s="806"/>
      <c r="JOG44" s="806"/>
      <c r="JOH44" s="806"/>
      <c r="JOI44" s="806"/>
      <c r="JOJ44" s="806"/>
      <c r="JOK44" s="806"/>
      <c r="JOL44" s="806"/>
      <c r="JOM44" s="806"/>
      <c r="JON44" s="806"/>
      <c r="JOO44" s="806"/>
      <c r="JOP44" s="806"/>
      <c r="JOQ44" s="806"/>
      <c r="JOR44" s="806"/>
      <c r="JOS44" s="806"/>
      <c r="JOT44" s="806"/>
      <c r="JOU44" s="806"/>
      <c r="JOV44" s="806"/>
      <c r="JOW44" s="806"/>
      <c r="JOX44" s="806"/>
      <c r="JOY44" s="806"/>
      <c r="JOZ44" s="806"/>
      <c r="JPA44" s="806"/>
      <c r="JPB44" s="806"/>
      <c r="JPC44" s="806"/>
      <c r="JPD44" s="806"/>
      <c r="JPE44" s="806"/>
      <c r="JPF44" s="806"/>
      <c r="JPG44" s="806"/>
      <c r="JPH44" s="806"/>
      <c r="JPI44" s="806"/>
      <c r="JPJ44" s="806"/>
      <c r="JPK44" s="806"/>
      <c r="JPL44" s="806"/>
      <c r="JPM44" s="806"/>
      <c r="JPN44" s="806"/>
      <c r="JPO44" s="806"/>
      <c r="JPP44" s="806"/>
      <c r="JPQ44" s="806"/>
      <c r="JPR44" s="806"/>
      <c r="JPS44" s="806"/>
      <c r="JPT44" s="806"/>
      <c r="JPU44" s="806"/>
      <c r="JPV44" s="806"/>
      <c r="JPW44" s="806"/>
      <c r="JPX44" s="806"/>
      <c r="JPY44" s="806"/>
      <c r="JPZ44" s="806"/>
      <c r="JQA44" s="806"/>
      <c r="JQB44" s="806"/>
      <c r="JQC44" s="806"/>
      <c r="JQD44" s="806"/>
      <c r="JQE44" s="806"/>
      <c r="JQF44" s="806"/>
      <c r="JQG44" s="806"/>
      <c r="JQH44" s="806"/>
      <c r="JQI44" s="806"/>
      <c r="JQJ44" s="806"/>
      <c r="JQK44" s="806"/>
      <c r="JQL44" s="806"/>
      <c r="JQM44" s="806"/>
      <c r="JQN44" s="806"/>
      <c r="JQO44" s="806"/>
      <c r="JQP44" s="806"/>
      <c r="JQQ44" s="806"/>
      <c r="JQR44" s="806"/>
      <c r="JQS44" s="806"/>
      <c r="JQT44" s="806"/>
      <c r="JQU44" s="806"/>
      <c r="JQV44" s="806"/>
      <c r="JQW44" s="806"/>
      <c r="JQX44" s="806"/>
      <c r="JQY44" s="806"/>
      <c r="JQZ44" s="806"/>
      <c r="JRA44" s="806"/>
      <c r="JRB44" s="806"/>
      <c r="JRC44" s="806"/>
      <c r="JRD44" s="806"/>
      <c r="JRE44" s="806"/>
      <c r="JRF44" s="806"/>
      <c r="JRG44" s="806"/>
      <c r="JRH44" s="806"/>
      <c r="JRI44" s="806"/>
      <c r="JRJ44" s="806"/>
      <c r="JRK44" s="806"/>
      <c r="JRL44" s="806"/>
      <c r="JRM44" s="806"/>
      <c r="JRN44" s="806"/>
      <c r="JRO44" s="806"/>
      <c r="JRP44" s="806"/>
      <c r="JRQ44" s="806"/>
      <c r="JRR44" s="806"/>
      <c r="JRS44" s="806"/>
      <c r="JRT44" s="806"/>
      <c r="JRU44" s="806"/>
      <c r="JRV44" s="806"/>
      <c r="JRW44" s="806"/>
      <c r="JRX44" s="806"/>
      <c r="JRY44" s="806"/>
      <c r="JRZ44" s="806"/>
      <c r="JSA44" s="806"/>
      <c r="JSB44" s="806"/>
      <c r="JSC44" s="806"/>
      <c r="JSD44" s="806"/>
      <c r="JSE44" s="806"/>
      <c r="JSF44" s="806"/>
      <c r="JSG44" s="806"/>
      <c r="JSH44" s="806"/>
      <c r="JSI44" s="806"/>
      <c r="JSJ44" s="806"/>
      <c r="JSK44" s="806"/>
      <c r="JSL44" s="806"/>
      <c r="JSM44" s="806"/>
      <c r="JSN44" s="806"/>
      <c r="JSO44" s="806"/>
      <c r="JSP44" s="806"/>
      <c r="JSQ44" s="806"/>
      <c r="JSR44" s="806"/>
      <c r="JSS44" s="806"/>
      <c r="JST44" s="806"/>
      <c r="JSU44" s="806"/>
      <c r="JSV44" s="806"/>
      <c r="JSW44" s="806"/>
      <c r="JSX44" s="806"/>
      <c r="JSY44" s="806"/>
      <c r="JSZ44" s="806"/>
      <c r="JTA44" s="806"/>
      <c r="JTB44" s="806"/>
      <c r="JTC44" s="806"/>
      <c r="JTD44" s="806"/>
      <c r="JTE44" s="806"/>
      <c r="JTF44" s="806"/>
      <c r="JTG44" s="806"/>
      <c r="JTH44" s="806"/>
      <c r="JTI44" s="806"/>
      <c r="JTJ44" s="806"/>
      <c r="JTK44" s="806"/>
      <c r="JTL44" s="806"/>
      <c r="JTM44" s="806"/>
      <c r="JTN44" s="806"/>
      <c r="JTO44" s="806"/>
      <c r="JTP44" s="806"/>
      <c r="JTQ44" s="806"/>
      <c r="JTR44" s="806"/>
      <c r="JTS44" s="806"/>
      <c r="JTT44" s="806"/>
      <c r="JTU44" s="806"/>
      <c r="JTV44" s="806"/>
      <c r="JTW44" s="806"/>
      <c r="JTX44" s="806"/>
      <c r="JTY44" s="806"/>
      <c r="JTZ44" s="806"/>
      <c r="JUA44" s="806"/>
      <c r="JUB44" s="806"/>
      <c r="JUC44" s="806"/>
      <c r="JUD44" s="806"/>
      <c r="JUE44" s="806"/>
      <c r="JUF44" s="806"/>
      <c r="JUG44" s="806"/>
      <c r="JUH44" s="806"/>
      <c r="JUI44" s="806"/>
      <c r="JUJ44" s="806"/>
      <c r="JUK44" s="806"/>
      <c r="JUL44" s="806"/>
      <c r="JUM44" s="806"/>
      <c r="JUN44" s="806"/>
      <c r="JUO44" s="806"/>
      <c r="JUP44" s="806"/>
      <c r="JUQ44" s="806"/>
      <c r="JUR44" s="806"/>
      <c r="JUS44" s="806"/>
      <c r="JUT44" s="806"/>
      <c r="JUU44" s="806"/>
      <c r="JUV44" s="806"/>
      <c r="JUW44" s="806"/>
      <c r="JUX44" s="806"/>
      <c r="JUY44" s="806"/>
      <c r="JUZ44" s="806"/>
      <c r="JVA44" s="806"/>
      <c r="JVB44" s="806"/>
      <c r="JVC44" s="806"/>
      <c r="JVD44" s="806"/>
      <c r="JVE44" s="806"/>
      <c r="JVF44" s="806"/>
      <c r="JVG44" s="806"/>
      <c r="JVH44" s="806"/>
      <c r="JVI44" s="806"/>
      <c r="JVJ44" s="806"/>
      <c r="JVK44" s="806"/>
      <c r="JVL44" s="806"/>
      <c r="JVM44" s="806"/>
      <c r="JVN44" s="806"/>
      <c r="JVO44" s="806"/>
      <c r="JVP44" s="806"/>
      <c r="JVQ44" s="806"/>
      <c r="JVR44" s="806"/>
      <c r="JVS44" s="806"/>
      <c r="JVT44" s="806"/>
      <c r="JVU44" s="806"/>
      <c r="JVV44" s="806"/>
      <c r="JVW44" s="806"/>
      <c r="JVX44" s="806"/>
      <c r="JVY44" s="806"/>
      <c r="JVZ44" s="806"/>
      <c r="JWA44" s="806"/>
      <c r="JWB44" s="806"/>
      <c r="JWC44" s="806"/>
      <c r="JWD44" s="806"/>
      <c r="JWE44" s="806"/>
      <c r="JWF44" s="806"/>
      <c r="JWG44" s="806"/>
      <c r="JWH44" s="806"/>
      <c r="JWI44" s="806"/>
      <c r="JWJ44" s="806"/>
      <c r="JWK44" s="806"/>
      <c r="JWL44" s="806"/>
      <c r="JWM44" s="806"/>
      <c r="JWN44" s="806"/>
      <c r="JWO44" s="806"/>
      <c r="JWP44" s="806"/>
      <c r="JWQ44" s="806"/>
      <c r="JWR44" s="806"/>
      <c r="JWS44" s="806"/>
      <c r="JWT44" s="806"/>
      <c r="JWU44" s="806"/>
      <c r="JWV44" s="806"/>
      <c r="JWW44" s="806"/>
      <c r="JWX44" s="806"/>
      <c r="JWY44" s="806"/>
      <c r="JWZ44" s="806"/>
      <c r="JXA44" s="806"/>
      <c r="JXB44" s="806"/>
      <c r="JXC44" s="806"/>
      <c r="JXD44" s="806"/>
      <c r="JXE44" s="806"/>
      <c r="JXF44" s="806"/>
      <c r="JXG44" s="806"/>
      <c r="JXH44" s="806"/>
      <c r="JXI44" s="806"/>
      <c r="JXJ44" s="806"/>
      <c r="JXK44" s="806"/>
      <c r="JXL44" s="806"/>
      <c r="JXM44" s="806"/>
      <c r="JXN44" s="806"/>
      <c r="JXO44" s="806"/>
      <c r="JXP44" s="806"/>
      <c r="JXQ44" s="806"/>
      <c r="JXR44" s="806"/>
      <c r="JXS44" s="806"/>
      <c r="JXT44" s="806"/>
      <c r="JXU44" s="806"/>
      <c r="JXV44" s="806"/>
      <c r="JXW44" s="806"/>
      <c r="JXX44" s="806"/>
      <c r="JXY44" s="806"/>
      <c r="JXZ44" s="806"/>
      <c r="JYA44" s="806"/>
      <c r="JYB44" s="806"/>
      <c r="JYC44" s="806"/>
      <c r="JYD44" s="806"/>
      <c r="JYE44" s="806"/>
      <c r="JYF44" s="806"/>
      <c r="JYG44" s="806"/>
      <c r="JYH44" s="806"/>
      <c r="JYI44" s="806"/>
      <c r="JYJ44" s="806"/>
      <c r="JYK44" s="806"/>
      <c r="JYL44" s="806"/>
      <c r="JYM44" s="806"/>
      <c r="JYN44" s="806"/>
      <c r="JYO44" s="806"/>
      <c r="JYP44" s="806"/>
      <c r="JYQ44" s="806"/>
      <c r="JYR44" s="806"/>
      <c r="JYS44" s="806"/>
      <c r="JYT44" s="806"/>
      <c r="JYU44" s="806"/>
      <c r="JYV44" s="806"/>
      <c r="JYW44" s="806"/>
      <c r="JYX44" s="806"/>
      <c r="JYY44" s="806"/>
      <c r="JYZ44" s="806"/>
      <c r="JZA44" s="806"/>
      <c r="JZB44" s="806"/>
      <c r="JZC44" s="806"/>
      <c r="JZD44" s="806"/>
      <c r="JZE44" s="806"/>
      <c r="JZF44" s="806"/>
      <c r="JZG44" s="806"/>
      <c r="JZH44" s="806"/>
      <c r="JZI44" s="806"/>
      <c r="JZJ44" s="806"/>
      <c r="JZK44" s="806"/>
      <c r="JZL44" s="806"/>
      <c r="JZM44" s="806"/>
      <c r="JZN44" s="806"/>
      <c r="JZO44" s="806"/>
      <c r="JZP44" s="806"/>
      <c r="JZQ44" s="806"/>
      <c r="JZR44" s="806"/>
      <c r="JZS44" s="806"/>
      <c r="JZT44" s="806"/>
      <c r="JZU44" s="806"/>
      <c r="JZV44" s="806"/>
      <c r="JZW44" s="806"/>
      <c r="JZX44" s="806"/>
      <c r="JZY44" s="806"/>
      <c r="JZZ44" s="806"/>
      <c r="KAA44" s="806"/>
      <c r="KAB44" s="806"/>
      <c r="KAC44" s="806"/>
      <c r="KAD44" s="806"/>
      <c r="KAE44" s="806"/>
      <c r="KAF44" s="806"/>
      <c r="KAG44" s="806"/>
      <c r="KAH44" s="806"/>
      <c r="KAI44" s="806"/>
      <c r="KAJ44" s="806"/>
      <c r="KAK44" s="806"/>
      <c r="KAL44" s="806"/>
      <c r="KAM44" s="806"/>
      <c r="KAN44" s="806"/>
      <c r="KAO44" s="806"/>
      <c r="KAP44" s="806"/>
      <c r="KAQ44" s="806"/>
      <c r="KAR44" s="806"/>
      <c r="KAS44" s="806"/>
      <c r="KAT44" s="806"/>
      <c r="KAU44" s="806"/>
      <c r="KAV44" s="806"/>
      <c r="KAW44" s="806"/>
      <c r="KAX44" s="806"/>
      <c r="KAY44" s="806"/>
      <c r="KAZ44" s="806"/>
      <c r="KBA44" s="806"/>
      <c r="KBB44" s="806"/>
      <c r="KBC44" s="806"/>
      <c r="KBD44" s="806"/>
      <c r="KBE44" s="806"/>
      <c r="KBF44" s="806"/>
      <c r="KBG44" s="806"/>
      <c r="KBH44" s="806"/>
      <c r="KBI44" s="806"/>
      <c r="KBJ44" s="806"/>
      <c r="KBK44" s="806"/>
      <c r="KBL44" s="806"/>
      <c r="KBM44" s="806"/>
      <c r="KBN44" s="806"/>
      <c r="KBO44" s="806"/>
      <c r="KBP44" s="806"/>
      <c r="KBQ44" s="806"/>
      <c r="KBR44" s="806"/>
      <c r="KBS44" s="806"/>
      <c r="KBT44" s="806"/>
      <c r="KBU44" s="806"/>
      <c r="KBV44" s="806"/>
      <c r="KBW44" s="806"/>
      <c r="KBX44" s="806"/>
      <c r="KBY44" s="806"/>
      <c r="KBZ44" s="806"/>
      <c r="KCA44" s="806"/>
      <c r="KCB44" s="806"/>
      <c r="KCC44" s="806"/>
      <c r="KCD44" s="806"/>
      <c r="KCE44" s="806"/>
      <c r="KCF44" s="806"/>
      <c r="KCG44" s="806"/>
      <c r="KCH44" s="806"/>
      <c r="KCI44" s="806"/>
      <c r="KCJ44" s="806"/>
      <c r="KCK44" s="806"/>
      <c r="KCL44" s="806"/>
      <c r="KCM44" s="806"/>
      <c r="KCN44" s="806"/>
      <c r="KCO44" s="806"/>
      <c r="KCP44" s="806"/>
      <c r="KCQ44" s="806"/>
      <c r="KCR44" s="806"/>
      <c r="KCS44" s="806"/>
      <c r="KCT44" s="806"/>
      <c r="KCU44" s="806"/>
      <c r="KCV44" s="806"/>
      <c r="KCW44" s="806"/>
      <c r="KCX44" s="806"/>
      <c r="KCY44" s="806"/>
      <c r="KCZ44" s="806"/>
      <c r="KDA44" s="806"/>
      <c r="KDB44" s="806"/>
      <c r="KDC44" s="806"/>
      <c r="KDD44" s="806"/>
      <c r="KDE44" s="806"/>
      <c r="KDF44" s="806"/>
      <c r="KDG44" s="806"/>
      <c r="KDH44" s="806"/>
      <c r="KDI44" s="806"/>
      <c r="KDJ44" s="806"/>
      <c r="KDK44" s="806"/>
      <c r="KDL44" s="806"/>
      <c r="KDM44" s="806"/>
      <c r="KDN44" s="806"/>
      <c r="KDO44" s="806"/>
      <c r="KDP44" s="806"/>
      <c r="KDQ44" s="806"/>
      <c r="KDR44" s="806"/>
      <c r="KDS44" s="806"/>
      <c r="KDT44" s="806"/>
      <c r="KDU44" s="806"/>
      <c r="KDV44" s="806"/>
      <c r="KDW44" s="806"/>
      <c r="KDX44" s="806"/>
      <c r="KDY44" s="806"/>
      <c r="KDZ44" s="806"/>
      <c r="KEA44" s="806"/>
      <c r="KEB44" s="806"/>
      <c r="KEC44" s="806"/>
      <c r="KED44" s="806"/>
      <c r="KEE44" s="806"/>
      <c r="KEF44" s="806"/>
      <c r="KEG44" s="806"/>
      <c r="KEH44" s="806"/>
      <c r="KEI44" s="806"/>
      <c r="KEJ44" s="806"/>
      <c r="KEK44" s="806"/>
      <c r="KEL44" s="806"/>
      <c r="KEM44" s="806"/>
      <c r="KEN44" s="806"/>
      <c r="KEO44" s="806"/>
      <c r="KEP44" s="806"/>
      <c r="KEQ44" s="806"/>
      <c r="KER44" s="806"/>
      <c r="KES44" s="806"/>
      <c r="KET44" s="806"/>
      <c r="KEU44" s="806"/>
      <c r="KEV44" s="806"/>
      <c r="KEW44" s="806"/>
      <c r="KEX44" s="806"/>
      <c r="KEY44" s="806"/>
      <c r="KEZ44" s="806"/>
      <c r="KFA44" s="806"/>
      <c r="KFB44" s="806"/>
      <c r="KFC44" s="806"/>
      <c r="KFD44" s="806"/>
      <c r="KFE44" s="806"/>
      <c r="KFF44" s="806"/>
      <c r="KFG44" s="806"/>
      <c r="KFH44" s="806"/>
      <c r="KFI44" s="806"/>
      <c r="KFJ44" s="806"/>
      <c r="KFK44" s="806"/>
      <c r="KFL44" s="806"/>
      <c r="KFM44" s="806"/>
      <c r="KFN44" s="806"/>
      <c r="KFO44" s="806"/>
      <c r="KFP44" s="806"/>
      <c r="KFQ44" s="806"/>
      <c r="KFR44" s="806"/>
      <c r="KFS44" s="806"/>
      <c r="KFT44" s="806"/>
      <c r="KFU44" s="806"/>
      <c r="KFV44" s="806"/>
      <c r="KFW44" s="806"/>
      <c r="KFX44" s="806"/>
      <c r="KFY44" s="806"/>
      <c r="KFZ44" s="806"/>
      <c r="KGA44" s="806"/>
      <c r="KGB44" s="806"/>
      <c r="KGC44" s="806"/>
      <c r="KGD44" s="806"/>
      <c r="KGE44" s="806"/>
      <c r="KGF44" s="806"/>
      <c r="KGG44" s="806"/>
      <c r="KGH44" s="806"/>
      <c r="KGI44" s="806"/>
      <c r="KGJ44" s="806"/>
      <c r="KGK44" s="806"/>
      <c r="KGL44" s="806"/>
      <c r="KGM44" s="806"/>
      <c r="KGN44" s="806"/>
      <c r="KGO44" s="806"/>
      <c r="KGP44" s="806"/>
      <c r="KGQ44" s="806"/>
      <c r="KGR44" s="806"/>
      <c r="KGS44" s="806"/>
      <c r="KGT44" s="806"/>
      <c r="KGU44" s="806"/>
      <c r="KGV44" s="806"/>
      <c r="KGW44" s="806"/>
      <c r="KGX44" s="806"/>
      <c r="KGY44" s="806"/>
      <c r="KGZ44" s="806"/>
      <c r="KHA44" s="806"/>
      <c r="KHB44" s="806"/>
      <c r="KHC44" s="806"/>
      <c r="KHD44" s="806"/>
      <c r="KHE44" s="806"/>
      <c r="KHF44" s="806"/>
      <c r="KHG44" s="806"/>
      <c r="KHH44" s="806"/>
      <c r="KHI44" s="806"/>
      <c r="KHJ44" s="806"/>
      <c r="KHK44" s="806"/>
      <c r="KHL44" s="806"/>
      <c r="KHM44" s="806"/>
      <c r="KHN44" s="806"/>
      <c r="KHO44" s="806"/>
      <c r="KHP44" s="806"/>
      <c r="KHQ44" s="806"/>
      <c r="KHR44" s="806"/>
      <c r="KHS44" s="806"/>
      <c r="KHT44" s="806"/>
      <c r="KHU44" s="806"/>
      <c r="KHV44" s="806"/>
      <c r="KHW44" s="806"/>
      <c r="KHX44" s="806"/>
      <c r="KHY44" s="806"/>
      <c r="KHZ44" s="806"/>
      <c r="KIA44" s="806"/>
      <c r="KIB44" s="806"/>
      <c r="KIC44" s="806"/>
      <c r="KID44" s="806"/>
      <c r="KIE44" s="806"/>
      <c r="KIF44" s="806"/>
      <c r="KIG44" s="806"/>
      <c r="KIH44" s="806"/>
      <c r="KII44" s="806"/>
      <c r="KIJ44" s="806"/>
      <c r="KIK44" s="806"/>
      <c r="KIL44" s="806"/>
      <c r="KIM44" s="806"/>
      <c r="KIN44" s="806"/>
      <c r="KIO44" s="806"/>
      <c r="KIP44" s="806"/>
      <c r="KIQ44" s="806"/>
      <c r="KIR44" s="806"/>
      <c r="KIS44" s="806"/>
      <c r="KIT44" s="806"/>
      <c r="KIU44" s="806"/>
      <c r="KIV44" s="806"/>
      <c r="KIW44" s="806"/>
      <c r="KIX44" s="806"/>
      <c r="KIY44" s="806"/>
      <c r="KIZ44" s="806"/>
      <c r="KJA44" s="806"/>
      <c r="KJB44" s="806"/>
      <c r="KJC44" s="806"/>
      <c r="KJD44" s="806"/>
      <c r="KJE44" s="806"/>
      <c r="KJF44" s="806"/>
      <c r="KJG44" s="806"/>
      <c r="KJH44" s="806"/>
      <c r="KJI44" s="806"/>
      <c r="KJJ44" s="806"/>
      <c r="KJK44" s="806"/>
      <c r="KJL44" s="806"/>
      <c r="KJM44" s="806"/>
      <c r="KJN44" s="806"/>
      <c r="KJO44" s="806"/>
      <c r="KJP44" s="806"/>
      <c r="KJQ44" s="806"/>
      <c r="KJR44" s="806"/>
      <c r="KJS44" s="806"/>
      <c r="KJT44" s="806"/>
      <c r="KJU44" s="806"/>
      <c r="KJV44" s="806"/>
      <c r="KJW44" s="806"/>
      <c r="KJX44" s="806"/>
      <c r="KJY44" s="806"/>
      <c r="KJZ44" s="806"/>
      <c r="KKA44" s="806"/>
      <c r="KKB44" s="806"/>
      <c r="KKC44" s="806"/>
      <c r="KKD44" s="806"/>
      <c r="KKE44" s="806"/>
      <c r="KKF44" s="806"/>
      <c r="KKG44" s="806"/>
      <c r="KKH44" s="806"/>
      <c r="KKI44" s="806"/>
      <c r="KKJ44" s="806"/>
      <c r="KKK44" s="806"/>
      <c r="KKL44" s="806"/>
      <c r="KKM44" s="806"/>
      <c r="KKN44" s="806"/>
      <c r="KKO44" s="806"/>
      <c r="KKP44" s="806"/>
      <c r="KKQ44" s="806"/>
      <c r="KKR44" s="806"/>
      <c r="KKS44" s="806"/>
      <c r="KKT44" s="806"/>
      <c r="KKU44" s="806"/>
      <c r="KKV44" s="806"/>
      <c r="KKW44" s="806"/>
      <c r="KKX44" s="806"/>
      <c r="KKY44" s="806"/>
      <c r="KKZ44" s="806"/>
      <c r="KLA44" s="806"/>
      <c r="KLB44" s="806"/>
      <c r="KLC44" s="806"/>
      <c r="KLD44" s="806"/>
      <c r="KLE44" s="806"/>
      <c r="KLF44" s="806"/>
      <c r="KLG44" s="806"/>
      <c r="KLH44" s="806"/>
      <c r="KLI44" s="806"/>
      <c r="KLJ44" s="806"/>
      <c r="KLK44" s="806"/>
      <c r="KLL44" s="806"/>
      <c r="KLM44" s="806"/>
      <c r="KLN44" s="806"/>
      <c r="KLO44" s="806"/>
      <c r="KLP44" s="806"/>
      <c r="KLQ44" s="806"/>
      <c r="KLR44" s="806"/>
      <c r="KLS44" s="806"/>
      <c r="KLT44" s="806"/>
      <c r="KLU44" s="806"/>
      <c r="KLV44" s="806"/>
      <c r="KLW44" s="806"/>
      <c r="KLX44" s="806"/>
      <c r="KLY44" s="806"/>
      <c r="KLZ44" s="806"/>
      <c r="KMA44" s="806"/>
      <c r="KMB44" s="806"/>
      <c r="KMC44" s="806"/>
      <c r="KMD44" s="806"/>
      <c r="KME44" s="806"/>
      <c r="KMF44" s="806"/>
      <c r="KMG44" s="806"/>
      <c r="KMH44" s="806"/>
      <c r="KMI44" s="806"/>
      <c r="KMJ44" s="806"/>
      <c r="KMK44" s="806"/>
      <c r="KML44" s="806"/>
      <c r="KMM44" s="806"/>
      <c r="KMN44" s="806"/>
      <c r="KMO44" s="806"/>
      <c r="KMP44" s="806"/>
      <c r="KMQ44" s="806"/>
      <c r="KMR44" s="806"/>
      <c r="KMS44" s="806"/>
      <c r="KMT44" s="806"/>
      <c r="KMU44" s="806"/>
      <c r="KMV44" s="806"/>
      <c r="KMW44" s="806"/>
      <c r="KMX44" s="806"/>
      <c r="KMY44" s="806"/>
      <c r="KMZ44" s="806"/>
      <c r="KNA44" s="806"/>
      <c r="KNB44" s="806"/>
      <c r="KNC44" s="806"/>
      <c r="KND44" s="806"/>
      <c r="KNE44" s="806"/>
      <c r="KNF44" s="806"/>
      <c r="KNG44" s="806"/>
      <c r="KNH44" s="806"/>
      <c r="KNI44" s="806"/>
      <c r="KNJ44" s="806"/>
      <c r="KNK44" s="806"/>
      <c r="KNL44" s="806"/>
      <c r="KNM44" s="806"/>
      <c r="KNN44" s="806"/>
      <c r="KNO44" s="806"/>
      <c r="KNP44" s="806"/>
      <c r="KNQ44" s="806"/>
      <c r="KNR44" s="806"/>
      <c r="KNS44" s="806"/>
      <c r="KNT44" s="806"/>
      <c r="KNU44" s="806"/>
      <c r="KNV44" s="806"/>
      <c r="KNW44" s="806"/>
      <c r="KNX44" s="806"/>
      <c r="KNY44" s="806"/>
      <c r="KNZ44" s="806"/>
      <c r="KOA44" s="806"/>
      <c r="KOB44" s="806"/>
      <c r="KOC44" s="806"/>
      <c r="KOD44" s="806"/>
      <c r="KOE44" s="806"/>
      <c r="KOF44" s="806"/>
      <c r="KOG44" s="806"/>
      <c r="KOH44" s="806"/>
      <c r="KOI44" s="806"/>
      <c r="KOJ44" s="806"/>
      <c r="KOK44" s="806"/>
      <c r="KOL44" s="806"/>
      <c r="KOM44" s="806"/>
      <c r="KON44" s="806"/>
      <c r="KOO44" s="806"/>
      <c r="KOP44" s="806"/>
      <c r="KOQ44" s="806"/>
      <c r="KOR44" s="806"/>
      <c r="KOS44" s="806"/>
      <c r="KOT44" s="806"/>
      <c r="KOU44" s="806"/>
      <c r="KOV44" s="806"/>
      <c r="KOW44" s="806"/>
      <c r="KOX44" s="806"/>
      <c r="KOY44" s="806"/>
      <c r="KOZ44" s="806"/>
      <c r="KPA44" s="806"/>
      <c r="KPB44" s="806"/>
      <c r="KPC44" s="806"/>
      <c r="KPD44" s="806"/>
      <c r="KPE44" s="806"/>
      <c r="KPF44" s="806"/>
      <c r="KPG44" s="806"/>
      <c r="KPH44" s="806"/>
      <c r="KPI44" s="806"/>
      <c r="KPJ44" s="806"/>
      <c r="KPK44" s="806"/>
      <c r="KPL44" s="806"/>
      <c r="KPM44" s="806"/>
      <c r="KPN44" s="806"/>
      <c r="KPO44" s="806"/>
      <c r="KPP44" s="806"/>
      <c r="KPQ44" s="806"/>
      <c r="KPR44" s="806"/>
      <c r="KPS44" s="806"/>
      <c r="KPT44" s="806"/>
      <c r="KPU44" s="806"/>
      <c r="KPV44" s="806"/>
      <c r="KPW44" s="806"/>
      <c r="KPX44" s="806"/>
      <c r="KPY44" s="806"/>
      <c r="KPZ44" s="806"/>
      <c r="KQA44" s="806"/>
      <c r="KQB44" s="806"/>
      <c r="KQC44" s="806"/>
      <c r="KQD44" s="806"/>
      <c r="KQE44" s="806"/>
      <c r="KQF44" s="806"/>
      <c r="KQG44" s="806"/>
      <c r="KQH44" s="806"/>
      <c r="KQI44" s="806"/>
      <c r="KQJ44" s="806"/>
      <c r="KQK44" s="806"/>
      <c r="KQL44" s="806"/>
      <c r="KQM44" s="806"/>
      <c r="KQN44" s="806"/>
      <c r="KQO44" s="806"/>
      <c r="KQP44" s="806"/>
      <c r="KQQ44" s="806"/>
      <c r="KQR44" s="806"/>
      <c r="KQS44" s="806"/>
      <c r="KQT44" s="806"/>
      <c r="KQU44" s="806"/>
      <c r="KQV44" s="806"/>
      <c r="KQW44" s="806"/>
      <c r="KQX44" s="806"/>
      <c r="KQY44" s="806"/>
      <c r="KQZ44" s="806"/>
      <c r="KRA44" s="806"/>
      <c r="KRB44" s="806"/>
      <c r="KRC44" s="806"/>
      <c r="KRD44" s="806"/>
      <c r="KRE44" s="806"/>
      <c r="KRF44" s="806"/>
      <c r="KRG44" s="806"/>
      <c r="KRH44" s="806"/>
      <c r="KRI44" s="806"/>
      <c r="KRJ44" s="806"/>
      <c r="KRK44" s="806"/>
      <c r="KRL44" s="806"/>
      <c r="KRM44" s="806"/>
      <c r="KRN44" s="806"/>
      <c r="KRO44" s="806"/>
      <c r="KRP44" s="806"/>
      <c r="KRQ44" s="806"/>
      <c r="KRR44" s="806"/>
      <c r="KRS44" s="806"/>
      <c r="KRT44" s="806"/>
      <c r="KRU44" s="806"/>
      <c r="KRV44" s="806"/>
      <c r="KRW44" s="806"/>
      <c r="KRX44" s="806"/>
      <c r="KRY44" s="806"/>
      <c r="KRZ44" s="806"/>
      <c r="KSA44" s="806"/>
      <c r="KSB44" s="806"/>
      <c r="KSC44" s="806"/>
      <c r="KSD44" s="806"/>
      <c r="KSE44" s="806"/>
      <c r="KSF44" s="806"/>
      <c r="KSG44" s="806"/>
      <c r="KSH44" s="806"/>
      <c r="KSI44" s="806"/>
      <c r="KSJ44" s="806"/>
      <c r="KSK44" s="806"/>
      <c r="KSL44" s="806"/>
      <c r="KSM44" s="806"/>
      <c r="KSN44" s="806"/>
      <c r="KSO44" s="806"/>
      <c r="KSP44" s="806"/>
      <c r="KSQ44" s="806"/>
      <c r="KSR44" s="806"/>
      <c r="KSS44" s="806"/>
      <c r="KST44" s="806"/>
      <c r="KSU44" s="806"/>
      <c r="KSV44" s="806"/>
      <c r="KSW44" s="806"/>
      <c r="KSX44" s="806"/>
      <c r="KSY44" s="806"/>
      <c r="KSZ44" s="806"/>
      <c r="KTA44" s="806"/>
      <c r="KTB44" s="806"/>
      <c r="KTC44" s="806"/>
      <c r="KTD44" s="806"/>
      <c r="KTE44" s="806"/>
      <c r="KTF44" s="806"/>
      <c r="KTG44" s="806"/>
      <c r="KTH44" s="806"/>
      <c r="KTI44" s="806"/>
      <c r="KTJ44" s="806"/>
      <c r="KTK44" s="806"/>
      <c r="KTL44" s="806"/>
      <c r="KTM44" s="806"/>
      <c r="KTN44" s="806"/>
      <c r="KTO44" s="806"/>
      <c r="KTP44" s="806"/>
      <c r="KTQ44" s="806"/>
      <c r="KTR44" s="806"/>
      <c r="KTS44" s="806"/>
      <c r="KTT44" s="806"/>
      <c r="KTU44" s="806"/>
      <c r="KTV44" s="806"/>
      <c r="KTW44" s="806"/>
      <c r="KTX44" s="806"/>
      <c r="KTY44" s="806"/>
      <c r="KTZ44" s="806"/>
      <c r="KUA44" s="806"/>
      <c r="KUB44" s="806"/>
      <c r="KUC44" s="806"/>
      <c r="KUD44" s="806"/>
      <c r="KUE44" s="806"/>
      <c r="KUF44" s="806"/>
      <c r="KUG44" s="806"/>
      <c r="KUH44" s="806"/>
      <c r="KUI44" s="806"/>
      <c r="KUJ44" s="806"/>
      <c r="KUK44" s="806"/>
      <c r="KUL44" s="806"/>
      <c r="KUM44" s="806"/>
      <c r="KUN44" s="806"/>
      <c r="KUO44" s="806"/>
      <c r="KUP44" s="806"/>
      <c r="KUQ44" s="806"/>
      <c r="KUR44" s="806"/>
      <c r="KUS44" s="806"/>
      <c r="KUT44" s="806"/>
      <c r="KUU44" s="806"/>
      <c r="KUV44" s="806"/>
      <c r="KUW44" s="806"/>
      <c r="KUX44" s="806"/>
      <c r="KUY44" s="806"/>
      <c r="KUZ44" s="806"/>
      <c r="KVA44" s="806"/>
      <c r="KVB44" s="806"/>
      <c r="KVC44" s="806"/>
      <c r="KVD44" s="806"/>
      <c r="KVE44" s="806"/>
      <c r="KVF44" s="806"/>
      <c r="KVG44" s="806"/>
      <c r="KVH44" s="806"/>
      <c r="KVI44" s="806"/>
      <c r="KVJ44" s="806"/>
      <c r="KVK44" s="806"/>
      <c r="KVL44" s="806"/>
      <c r="KVM44" s="806"/>
      <c r="KVN44" s="806"/>
      <c r="KVO44" s="806"/>
      <c r="KVP44" s="806"/>
      <c r="KVQ44" s="806"/>
      <c r="KVR44" s="806"/>
      <c r="KVS44" s="806"/>
      <c r="KVT44" s="806"/>
      <c r="KVU44" s="806"/>
      <c r="KVV44" s="806"/>
      <c r="KVW44" s="806"/>
      <c r="KVX44" s="806"/>
      <c r="KVY44" s="806"/>
      <c r="KVZ44" s="806"/>
      <c r="KWA44" s="806"/>
      <c r="KWB44" s="806"/>
      <c r="KWC44" s="806"/>
      <c r="KWD44" s="806"/>
      <c r="KWE44" s="806"/>
      <c r="KWF44" s="806"/>
      <c r="KWG44" s="806"/>
      <c r="KWH44" s="806"/>
      <c r="KWI44" s="806"/>
      <c r="KWJ44" s="806"/>
      <c r="KWK44" s="806"/>
      <c r="KWL44" s="806"/>
      <c r="KWM44" s="806"/>
      <c r="KWN44" s="806"/>
      <c r="KWO44" s="806"/>
      <c r="KWP44" s="806"/>
      <c r="KWQ44" s="806"/>
      <c r="KWR44" s="806"/>
      <c r="KWS44" s="806"/>
      <c r="KWT44" s="806"/>
      <c r="KWU44" s="806"/>
      <c r="KWV44" s="806"/>
      <c r="KWW44" s="806"/>
      <c r="KWX44" s="806"/>
      <c r="KWY44" s="806"/>
      <c r="KWZ44" s="806"/>
      <c r="KXA44" s="806"/>
      <c r="KXB44" s="806"/>
      <c r="KXC44" s="806"/>
      <c r="KXD44" s="806"/>
      <c r="KXE44" s="806"/>
      <c r="KXF44" s="806"/>
      <c r="KXG44" s="806"/>
      <c r="KXH44" s="806"/>
      <c r="KXI44" s="806"/>
      <c r="KXJ44" s="806"/>
      <c r="KXK44" s="806"/>
      <c r="KXL44" s="806"/>
      <c r="KXM44" s="806"/>
      <c r="KXN44" s="806"/>
      <c r="KXO44" s="806"/>
      <c r="KXP44" s="806"/>
      <c r="KXQ44" s="806"/>
      <c r="KXR44" s="806"/>
      <c r="KXS44" s="806"/>
      <c r="KXT44" s="806"/>
      <c r="KXU44" s="806"/>
      <c r="KXV44" s="806"/>
      <c r="KXW44" s="806"/>
      <c r="KXX44" s="806"/>
      <c r="KXY44" s="806"/>
      <c r="KXZ44" s="806"/>
      <c r="KYA44" s="806"/>
      <c r="KYB44" s="806"/>
      <c r="KYC44" s="806"/>
      <c r="KYD44" s="806"/>
      <c r="KYE44" s="806"/>
      <c r="KYF44" s="806"/>
      <c r="KYG44" s="806"/>
      <c r="KYH44" s="806"/>
      <c r="KYI44" s="806"/>
      <c r="KYJ44" s="806"/>
      <c r="KYK44" s="806"/>
      <c r="KYL44" s="806"/>
      <c r="KYM44" s="806"/>
      <c r="KYN44" s="806"/>
      <c r="KYO44" s="806"/>
      <c r="KYP44" s="806"/>
      <c r="KYQ44" s="806"/>
      <c r="KYR44" s="806"/>
      <c r="KYS44" s="806"/>
      <c r="KYT44" s="806"/>
      <c r="KYU44" s="806"/>
      <c r="KYV44" s="806"/>
      <c r="KYW44" s="806"/>
      <c r="KYX44" s="806"/>
      <c r="KYY44" s="806"/>
      <c r="KYZ44" s="806"/>
      <c r="KZA44" s="806"/>
      <c r="KZB44" s="806"/>
      <c r="KZC44" s="806"/>
      <c r="KZD44" s="806"/>
      <c r="KZE44" s="806"/>
      <c r="KZF44" s="806"/>
      <c r="KZG44" s="806"/>
      <c r="KZH44" s="806"/>
      <c r="KZI44" s="806"/>
      <c r="KZJ44" s="806"/>
      <c r="KZK44" s="806"/>
      <c r="KZL44" s="806"/>
      <c r="KZM44" s="806"/>
      <c r="KZN44" s="806"/>
      <c r="KZO44" s="806"/>
      <c r="KZP44" s="806"/>
      <c r="KZQ44" s="806"/>
      <c r="KZR44" s="806"/>
      <c r="KZS44" s="806"/>
      <c r="KZT44" s="806"/>
      <c r="KZU44" s="806"/>
      <c r="KZV44" s="806"/>
      <c r="KZW44" s="806"/>
      <c r="KZX44" s="806"/>
      <c r="KZY44" s="806"/>
      <c r="KZZ44" s="806"/>
      <c r="LAA44" s="806"/>
      <c r="LAB44" s="806"/>
      <c r="LAC44" s="806"/>
      <c r="LAD44" s="806"/>
      <c r="LAE44" s="806"/>
      <c r="LAF44" s="806"/>
      <c r="LAG44" s="806"/>
      <c r="LAH44" s="806"/>
      <c r="LAI44" s="806"/>
      <c r="LAJ44" s="806"/>
      <c r="LAK44" s="806"/>
      <c r="LAL44" s="806"/>
      <c r="LAM44" s="806"/>
      <c r="LAN44" s="806"/>
      <c r="LAO44" s="806"/>
      <c r="LAP44" s="806"/>
      <c r="LAQ44" s="806"/>
      <c r="LAR44" s="806"/>
      <c r="LAS44" s="806"/>
      <c r="LAT44" s="806"/>
      <c r="LAU44" s="806"/>
      <c r="LAV44" s="806"/>
      <c r="LAW44" s="806"/>
      <c r="LAX44" s="806"/>
      <c r="LAY44" s="806"/>
      <c r="LAZ44" s="806"/>
      <c r="LBA44" s="806"/>
      <c r="LBB44" s="806"/>
      <c r="LBC44" s="806"/>
      <c r="LBD44" s="806"/>
      <c r="LBE44" s="806"/>
      <c r="LBF44" s="806"/>
      <c r="LBG44" s="806"/>
      <c r="LBH44" s="806"/>
      <c r="LBI44" s="806"/>
      <c r="LBJ44" s="806"/>
      <c r="LBK44" s="806"/>
      <c r="LBL44" s="806"/>
      <c r="LBM44" s="806"/>
      <c r="LBN44" s="806"/>
      <c r="LBO44" s="806"/>
      <c r="LBP44" s="806"/>
      <c r="LBQ44" s="806"/>
      <c r="LBR44" s="806"/>
      <c r="LBS44" s="806"/>
      <c r="LBT44" s="806"/>
      <c r="LBU44" s="806"/>
      <c r="LBV44" s="806"/>
      <c r="LBW44" s="806"/>
      <c r="LBX44" s="806"/>
      <c r="LBY44" s="806"/>
      <c r="LBZ44" s="806"/>
      <c r="LCA44" s="806"/>
      <c r="LCB44" s="806"/>
      <c r="LCC44" s="806"/>
      <c r="LCD44" s="806"/>
      <c r="LCE44" s="806"/>
      <c r="LCF44" s="806"/>
      <c r="LCG44" s="806"/>
      <c r="LCH44" s="806"/>
      <c r="LCI44" s="806"/>
      <c r="LCJ44" s="806"/>
      <c r="LCK44" s="806"/>
      <c r="LCL44" s="806"/>
      <c r="LCM44" s="806"/>
      <c r="LCN44" s="806"/>
      <c r="LCO44" s="806"/>
      <c r="LCP44" s="806"/>
      <c r="LCQ44" s="806"/>
      <c r="LCR44" s="806"/>
      <c r="LCS44" s="806"/>
      <c r="LCT44" s="806"/>
      <c r="LCU44" s="806"/>
      <c r="LCV44" s="806"/>
      <c r="LCW44" s="806"/>
      <c r="LCX44" s="806"/>
      <c r="LCY44" s="806"/>
      <c r="LCZ44" s="806"/>
      <c r="LDA44" s="806"/>
      <c r="LDB44" s="806"/>
      <c r="LDC44" s="806"/>
      <c r="LDD44" s="806"/>
      <c r="LDE44" s="806"/>
      <c r="LDF44" s="806"/>
      <c r="LDG44" s="806"/>
      <c r="LDH44" s="806"/>
      <c r="LDI44" s="806"/>
      <c r="LDJ44" s="806"/>
      <c r="LDK44" s="806"/>
      <c r="LDL44" s="806"/>
      <c r="LDM44" s="806"/>
      <c r="LDN44" s="806"/>
      <c r="LDO44" s="806"/>
      <c r="LDP44" s="806"/>
      <c r="LDQ44" s="806"/>
      <c r="LDR44" s="806"/>
      <c r="LDS44" s="806"/>
      <c r="LDT44" s="806"/>
      <c r="LDU44" s="806"/>
      <c r="LDV44" s="806"/>
      <c r="LDW44" s="806"/>
      <c r="LDX44" s="806"/>
      <c r="LDY44" s="806"/>
      <c r="LDZ44" s="806"/>
      <c r="LEA44" s="806"/>
      <c r="LEB44" s="806"/>
      <c r="LEC44" s="806"/>
      <c r="LED44" s="806"/>
      <c r="LEE44" s="806"/>
      <c r="LEF44" s="806"/>
      <c r="LEG44" s="806"/>
      <c r="LEH44" s="806"/>
      <c r="LEI44" s="806"/>
      <c r="LEJ44" s="806"/>
      <c r="LEK44" s="806"/>
      <c r="LEL44" s="806"/>
      <c r="LEM44" s="806"/>
      <c r="LEN44" s="806"/>
      <c r="LEO44" s="806"/>
      <c r="LEP44" s="806"/>
      <c r="LEQ44" s="806"/>
      <c r="LER44" s="806"/>
      <c r="LES44" s="806"/>
      <c r="LET44" s="806"/>
      <c r="LEU44" s="806"/>
      <c r="LEV44" s="806"/>
      <c r="LEW44" s="806"/>
      <c r="LEX44" s="806"/>
      <c r="LEY44" s="806"/>
      <c r="LEZ44" s="806"/>
      <c r="LFA44" s="806"/>
      <c r="LFB44" s="806"/>
      <c r="LFC44" s="806"/>
      <c r="LFD44" s="806"/>
      <c r="LFE44" s="806"/>
      <c r="LFF44" s="806"/>
      <c r="LFG44" s="806"/>
      <c r="LFH44" s="806"/>
      <c r="LFI44" s="806"/>
      <c r="LFJ44" s="806"/>
      <c r="LFK44" s="806"/>
      <c r="LFL44" s="806"/>
      <c r="LFM44" s="806"/>
      <c r="LFN44" s="806"/>
      <c r="LFO44" s="806"/>
      <c r="LFP44" s="806"/>
      <c r="LFQ44" s="806"/>
      <c r="LFR44" s="806"/>
      <c r="LFS44" s="806"/>
      <c r="LFT44" s="806"/>
      <c r="LFU44" s="806"/>
      <c r="LFV44" s="806"/>
      <c r="LFW44" s="806"/>
      <c r="LFX44" s="806"/>
      <c r="LFY44" s="806"/>
      <c r="LFZ44" s="806"/>
      <c r="LGA44" s="806"/>
      <c r="LGB44" s="806"/>
      <c r="LGC44" s="806"/>
      <c r="LGD44" s="806"/>
      <c r="LGE44" s="806"/>
      <c r="LGF44" s="806"/>
      <c r="LGG44" s="806"/>
      <c r="LGH44" s="806"/>
      <c r="LGI44" s="806"/>
      <c r="LGJ44" s="806"/>
      <c r="LGK44" s="806"/>
      <c r="LGL44" s="806"/>
      <c r="LGM44" s="806"/>
      <c r="LGN44" s="806"/>
      <c r="LGO44" s="806"/>
      <c r="LGP44" s="806"/>
      <c r="LGQ44" s="806"/>
      <c r="LGR44" s="806"/>
      <c r="LGS44" s="806"/>
      <c r="LGT44" s="806"/>
      <c r="LGU44" s="806"/>
      <c r="LGV44" s="806"/>
      <c r="LGW44" s="806"/>
      <c r="LGX44" s="806"/>
      <c r="LGY44" s="806"/>
      <c r="LGZ44" s="806"/>
      <c r="LHA44" s="806"/>
      <c r="LHB44" s="806"/>
      <c r="LHC44" s="806"/>
      <c r="LHD44" s="806"/>
      <c r="LHE44" s="806"/>
      <c r="LHF44" s="806"/>
      <c r="LHG44" s="806"/>
      <c r="LHH44" s="806"/>
      <c r="LHI44" s="806"/>
      <c r="LHJ44" s="806"/>
      <c r="LHK44" s="806"/>
      <c r="LHL44" s="806"/>
      <c r="LHM44" s="806"/>
      <c r="LHN44" s="806"/>
      <c r="LHO44" s="806"/>
      <c r="LHP44" s="806"/>
      <c r="LHQ44" s="806"/>
      <c r="LHR44" s="806"/>
      <c r="LHS44" s="806"/>
      <c r="LHT44" s="806"/>
      <c r="LHU44" s="806"/>
      <c r="LHV44" s="806"/>
      <c r="LHW44" s="806"/>
      <c r="LHX44" s="806"/>
      <c r="LHY44" s="806"/>
      <c r="LHZ44" s="806"/>
      <c r="LIA44" s="806"/>
      <c r="LIB44" s="806"/>
      <c r="LIC44" s="806"/>
      <c r="LID44" s="806"/>
      <c r="LIE44" s="806"/>
      <c r="LIF44" s="806"/>
      <c r="LIG44" s="806"/>
      <c r="LIH44" s="806"/>
      <c r="LII44" s="806"/>
      <c r="LIJ44" s="806"/>
      <c r="LIK44" s="806"/>
      <c r="LIL44" s="806"/>
      <c r="LIM44" s="806"/>
      <c r="LIN44" s="806"/>
      <c r="LIO44" s="806"/>
      <c r="LIP44" s="806"/>
      <c r="LIQ44" s="806"/>
      <c r="LIR44" s="806"/>
      <c r="LIS44" s="806"/>
      <c r="LIT44" s="806"/>
      <c r="LIU44" s="806"/>
      <c r="LIV44" s="806"/>
      <c r="LIW44" s="806"/>
      <c r="LIX44" s="806"/>
      <c r="LIY44" s="806"/>
      <c r="LIZ44" s="806"/>
      <c r="LJA44" s="806"/>
      <c r="LJB44" s="806"/>
      <c r="LJC44" s="806"/>
      <c r="LJD44" s="806"/>
      <c r="LJE44" s="806"/>
      <c r="LJF44" s="806"/>
      <c r="LJG44" s="806"/>
      <c r="LJH44" s="806"/>
      <c r="LJI44" s="806"/>
      <c r="LJJ44" s="806"/>
      <c r="LJK44" s="806"/>
      <c r="LJL44" s="806"/>
      <c r="LJM44" s="806"/>
      <c r="LJN44" s="806"/>
      <c r="LJO44" s="806"/>
      <c r="LJP44" s="806"/>
      <c r="LJQ44" s="806"/>
      <c r="LJR44" s="806"/>
      <c r="LJS44" s="806"/>
      <c r="LJT44" s="806"/>
      <c r="LJU44" s="806"/>
      <c r="LJV44" s="806"/>
      <c r="LJW44" s="806"/>
      <c r="LJX44" s="806"/>
      <c r="LJY44" s="806"/>
      <c r="LJZ44" s="806"/>
      <c r="LKA44" s="806"/>
      <c r="LKB44" s="806"/>
      <c r="LKC44" s="806"/>
      <c r="LKD44" s="806"/>
      <c r="LKE44" s="806"/>
      <c r="LKF44" s="806"/>
      <c r="LKG44" s="806"/>
      <c r="LKH44" s="806"/>
      <c r="LKI44" s="806"/>
      <c r="LKJ44" s="806"/>
      <c r="LKK44" s="806"/>
      <c r="LKL44" s="806"/>
      <c r="LKM44" s="806"/>
      <c r="LKN44" s="806"/>
      <c r="LKO44" s="806"/>
      <c r="LKP44" s="806"/>
      <c r="LKQ44" s="806"/>
      <c r="LKR44" s="806"/>
      <c r="LKS44" s="806"/>
      <c r="LKT44" s="806"/>
      <c r="LKU44" s="806"/>
      <c r="LKV44" s="806"/>
      <c r="LKW44" s="806"/>
      <c r="LKX44" s="806"/>
      <c r="LKY44" s="806"/>
      <c r="LKZ44" s="806"/>
      <c r="LLA44" s="806"/>
      <c r="LLB44" s="806"/>
      <c r="LLC44" s="806"/>
      <c r="LLD44" s="806"/>
      <c r="LLE44" s="806"/>
      <c r="LLF44" s="806"/>
      <c r="LLG44" s="806"/>
      <c r="LLH44" s="806"/>
      <c r="LLI44" s="806"/>
      <c r="LLJ44" s="806"/>
      <c r="LLK44" s="806"/>
      <c r="LLL44" s="806"/>
      <c r="LLM44" s="806"/>
      <c r="LLN44" s="806"/>
      <c r="LLO44" s="806"/>
      <c r="LLP44" s="806"/>
      <c r="LLQ44" s="806"/>
      <c r="LLR44" s="806"/>
      <c r="LLS44" s="806"/>
      <c r="LLT44" s="806"/>
      <c r="LLU44" s="806"/>
      <c r="LLV44" s="806"/>
      <c r="LLW44" s="806"/>
      <c r="LLX44" s="806"/>
      <c r="LLY44" s="806"/>
      <c r="LLZ44" s="806"/>
      <c r="LMA44" s="806"/>
      <c r="LMB44" s="806"/>
      <c r="LMC44" s="806"/>
      <c r="LMD44" s="806"/>
      <c r="LME44" s="806"/>
      <c r="LMF44" s="806"/>
      <c r="LMG44" s="806"/>
      <c r="LMH44" s="806"/>
      <c r="LMI44" s="806"/>
      <c r="LMJ44" s="806"/>
      <c r="LMK44" s="806"/>
      <c r="LML44" s="806"/>
      <c r="LMM44" s="806"/>
      <c r="LMN44" s="806"/>
      <c r="LMO44" s="806"/>
      <c r="LMP44" s="806"/>
      <c r="LMQ44" s="806"/>
      <c r="LMR44" s="806"/>
      <c r="LMS44" s="806"/>
      <c r="LMT44" s="806"/>
      <c r="LMU44" s="806"/>
      <c r="LMV44" s="806"/>
      <c r="LMW44" s="806"/>
      <c r="LMX44" s="806"/>
      <c r="LMY44" s="806"/>
      <c r="LMZ44" s="806"/>
      <c r="LNA44" s="806"/>
      <c r="LNB44" s="806"/>
      <c r="LNC44" s="806"/>
      <c r="LND44" s="806"/>
      <c r="LNE44" s="806"/>
      <c r="LNF44" s="806"/>
      <c r="LNG44" s="806"/>
      <c r="LNH44" s="806"/>
      <c r="LNI44" s="806"/>
      <c r="LNJ44" s="806"/>
      <c r="LNK44" s="806"/>
      <c r="LNL44" s="806"/>
      <c r="LNM44" s="806"/>
      <c r="LNN44" s="806"/>
      <c r="LNO44" s="806"/>
      <c r="LNP44" s="806"/>
      <c r="LNQ44" s="806"/>
      <c r="LNR44" s="806"/>
      <c r="LNS44" s="806"/>
      <c r="LNT44" s="806"/>
      <c r="LNU44" s="806"/>
      <c r="LNV44" s="806"/>
      <c r="LNW44" s="806"/>
      <c r="LNX44" s="806"/>
      <c r="LNY44" s="806"/>
      <c r="LNZ44" s="806"/>
      <c r="LOA44" s="806"/>
      <c r="LOB44" s="806"/>
      <c r="LOC44" s="806"/>
      <c r="LOD44" s="806"/>
      <c r="LOE44" s="806"/>
      <c r="LOF44" s="806"/>
      <c r="LOG44" s="806"/>
      <c r="LOH44" s="806"/>
      <c r="LOI44" s="806"/>
      <c r="LOJ44" s="806"/>
      <c r="LOK44" s="806"/>
      <c r="LOL44" s="806"/>
      <c r="LOM44" s="806"/>
      <c r="LON44" s="806"/>
      <c r="LOO44" s="806"/>
      <c r="LOP44" s="806"/>
      <c r="LOQ44" s="806"/>
      <c r="LOR44" s="806"/>
      <c r="LOS44" s="806"/>
      <c r="LOT44" s="806"/>
      <c r="LOU44" s="806"/>
      <c r="LOV44" s="806"/>
      <c r="LOW44" s="806"/>
      <c r="LOX44" s="806"/>
      <c r="LOY44" s="806"/>
      <c r="LOZ44" s="806"/>
      <c r="LPA44" s="806"/>
      <c r="LPB44" s="806"/>
      <c r="LPC44" s="806"/>
      <c r="LPD44" s="806"/>
      <c r="LPE44" s="806"/>
      <c r="LPF44" s="806"/>
      <c r="LPG44" s="806"/>
      <c r="LPH44" s="806"/>
      <c r="LPI44" s="806"/>
      <c r="LPJ44" s="806"/>
      <c r="LPK44" s="806"/>
      <c r="LPL44" s="806"/>
      <c r="LPM44" s="806"/>
      <c r="LPN44" s="806"/>
      <c r="LPO44" s="806"/>
      <c r="LPP44" s="806"/>
      <c r="LPQ44" s="806"/>
      <c r="LPR44" s="806"/>
      <c r="LPS44" s="806"/>
      <c r="LPT44" s="806"/>
      <c r="LPU44" s="806"/>
      <c r="LPV44" s="806"/>
      <c r="LPW44" s="806"/>
      <c r="LPX44" s="806"/>
      <c r="LPY44" s="806"/>
      <c r="LPZ44" s="806"/>
      <c r="LQA44" s="806"/>
      <c r="LQB44" s="806"/>
      <c r="LQC44" s="806"/>
      <c r="LQD44" s="806"/>
      <c r="LQE44" s="806"/>
      <c r="LQF44" s="806"/>
      <c r="LQG44" s="806"/>
      <c r="LQH44" s="806"/>
      <c r="LQI44" s="806"/>
      <c r="LQJ44" s="806"/>
      <c r="LQK44" s="806"/>
      <c r="LQL44" s="806"/>
      <c r="LQM44" s="806"/>
      <c r="LQN44" s="806"/>
      <c r="LQO44" s="806"/>
      <c r="LQP44" s="806"/>
      <c r="LQQ44" s="806"/>
      <c r="LQR44" s="806"/>
      <c r="LQS44" s="806"/>
      <c r="LQT44" s="806"/>
      <c r="LQU44" s="806"/>
      <c r="LQV44" s="806"/>
      <c r="LQW44" s="806"/>
      <c r="LQX44" s="806"/>
      <c r="LQY44" s="806"/>
      <c r="LQZ44" s="806"/>
      <c r="LRA44" s="806"/>
      <c r="LRB44" s="806"/>
      <c r="LRC44" s="806"/>
      <c r="LRD44" s="806"/>
      <c r="LRE44" s="806"/>
      <c r="LRF44" s="806"/>
      <c r="LRG44" s="806"/>
      <c r="LRH44" s="806"/>
      <c r="LRI44" s="806"/>
      <c r="LRJ44" s="806"/>
      <c r="LRK44" s="806"/>
      <c r="LRL44" s="806"/>
      <c r="LRM44" s="806"/>
      <c r="LRN44" s="806"/>
      <c r="LRO44" s="806"/>
      <c r="LRP44" s="806"/>
      <c r="LRQ44" s="806"/>
      <c r="LRR44" s="806"/>
      <c r="LRS44" s="806"/>
      <c r="LRT44" s="806"/>
      <c r="LRU44" s="806"/>
      <c r="LRV44" s="806"/>
      <c r="LRW44" s="806"/>
      <c r="LRX44" s="806"/>
      <c r="LRY44" s="806"/>
      <c r="LRZ44" s="806"/>
      <c r="LSA44" s="806"/>
      <c r="LSB44" s="806"/>
      <c r="LSC44" s="806"/>
      <c r="LSD44" s="806"/>
      <c r="LSE44" s="806"/>
      <c r="LSF44" s="806"/>
      <c r="LSG44" s="806"/>
      <c r="LSH44" s="806"/>
      <c r="LSI44" s="806"/>
      <c r="LSJ44" s="806"/>
      <c r="LSK44" s="806"/>
      <c r="LSL44" s="806"/>
      <c r="LSM44" s="806"/>
      <c r="LSN44" s="806"/>
      <c r="LSO44" s="806"/>
      <c r="LSP44" s="806"/>
      <c r="LSQ44" s="806"/>
      <c r="LSR44" s="806"/>
      <c r="LSS44" s="806"/>
      <c r="LST44" s="806"/>
      <c r="LSU44" s="806"/>
      <c r="LSV44" s="806"/>
      <c r="LSW44" s="806"/>
      <c r="LSX44" s="806"/>
      <c r="LSY44" s="806"/>
      <c r="LSZ44" s="806"/>
      <c r="LTA44" s="806"/>
      <c r="LTB44" s="806"/>
      <c r="LTC44" s="806"/>
      <c r="LTD44" s="806"/>
      <c r="LTE44" s="806"/>
      <c r="LTF44" s="806"/>
      <c r="LTG44" s="806"/>
      <c r="LTH44" s="806"/>
      <c r="LTI44" s="806"/>
      <c r="LTJ44" s="806"/>
      <c r="LTK44" s="806"/>
      <c r="LTL44" s="806"/>
      <c r="LTM44" s="806"/>
      <c r="LTN44" s="806"/>
      <c r="LTO44" s="806"/>
      <c r="LTP44" s="806"/>
      <c r="LTQ44" s="806"/>
      <c r="LTR44" s="806"/>
      <c r="LTS44" s="806"/>
      <c r="LTT44" s="806"/>
      <c r="LTU44" s="806"/>
      <c r="LTV44" s="806"/>
      <c r="LTW44" s="806"/>
      <c r="LTX44" s="806"/>
      <c r="LTY44" s="806"/>
      <c r="LTZ44" s="806"/>
      <c r="LUA44" s="806"/>
      <c r="LUB44" s="806"/>
      <c r="LUC44" s="806"/>
      <c r="LUD44" s="806"/>
      <c r="LUE44" s="806"/>
      <c r="LUF44" s="806"/>
      <c r="LUG44" s="806"/>
      <c r="LUH44" s="806"/>
      <c r="LUI44" s="806"/>
      <c r="LUJ44" s="806"/>
      <c r="LUK44" s="806"/>
      <c r="LUL44" s="806"/>
      <c r="LUM44" s="806"/>
      <c r="LUN44" s="806"/>
      <c r="LUO44" s="806"/>
      <c r="LUP44" s="806"/>
      <c r="LUQ44" s="806"/>
      <c r="LUR44" s="806"/>
      <c r="LUS44" s="806"/>
      <c r="LUT44" s="806"/>
      <c r="LUU44" s="806"/>
      <c r="LUV44" s="806"/>
      <c r="LUW44" s="806"/>
      <c r="LUX44" s="806"/>
      <c r="LUY44" s="806"/>
      <c r="LUZ44" s="806"/>
      <c r="LVA44" s="806"/>
      <c r="LVB44" s="806"/>
      <c r="LVC44" s="806"/>
      <c r="LVD44" s="806"/>
      <c r="LVE44" s="806"/>
      <c r="LVF44" s="806"/>
      <c r="LVG44" s="806"/>
      <c r="LVH44" s="806"/>
      <c r="LVI44" s="806"/>
      <c r="LVJ44" s="806"/>
      <c r="LVK44" s="806"/>
      <c r="LVL44" s="806"/>
      <c r="LVM44" s="806"/>
      <c r="LVN44" s="806"/>
      <c r="LVO44" s="806"/>
      <c r="LVP44" s="806"/>
      <c r="LVQ44" s="806"/>
      <c r="LVR44" s="806"/>
      <c r="LVS44" s="806"/>
      <c r="LVT44" s="806"/>
      <c r="LVU44" s="806"/>
      <c r="LVV44" s="806"/>
      <c r="LVW44" s="806"/>
      <c r="LVX44" s="806"/>
      <c r="LVY44" s="806"/>
      <c r="LVZ44" s="806"/>
      <c r="LWA44" s="806"/>
      <c r="LWB44" s="806"/>
      <c r="LWC44" s="806"/>
      <c r="LWD44" s="806"/>
      <c r="LWE44" s="806"/>
      <c r="LWF44" s="806"/>
      <c r="LWG44" s="806"/>
      <c r="LWH44" s="806"/>
      <c r="LWI44" s="806"/>
      <c r="LWJ44" s="806"/>
      <c r="LWK44" s="806"/>
      <c r="LWL44" s="806"/>
      <c r="LWM44" s="806"/>
      <c r="LWN44" s="806"/>
      <c r="LWO44" s="806"/>
      <c r="LWP44" s="806"/>
      <c r="LWQ44" s="806"/>
      <c r="LWR44" s="806"/>
      <c r="LWS44" s="806"/>
      <c r="LWT44" s="806"/>
      <c r="LWU44" s="806"/>
      <c r="LWV44" s="806"/>
      <c r="LWW44" s="806"/>
      <c r="LWX44" s="806"/>
      <c r="LWY44" s="806"/>
      <c r="LWZ44" s="806"/>
      <c r="LXA44" s="806"/>
      <c r="LXB44" s="806"/>
      <c r="LXC44" s="806"/>
      <c r="LXD44" s="806"/>
      <c r="LXE44" s="806"/>
      <c r="LXF44" s="806"/>
      <c r="LXG44" s="806"/>
      <c r="LXH44" s="806"/>
      <c r="LXI44" s="806"/>
      <c r="LXJ44" s="806"/>
      <c r="LXK44" s="806"/>
      <c r="LXL44" s="806"/>
      <c r="LXM44" s="806"/>
      <c r="LXN44" s="806"/>
      <c r="LXO44" s="806"/>
      <c r="LXP44" s="806"/>
      <c r="LXQ44" s="806"/>
      <c r="LXR44" s="806"/>
      <c r="LXS44" s="806"/>
      <c r="LXT44" s="806"/>
      <c r="LXU44" s="806"/>
      <c r="LXV44" s="806"/>
      <c r="LXW44" s="806"/>
      <c r="LXX44" s="806"/>
      <c r="LXY44" s="806"/>
      <c r="LXZ44" s="806"/>
      <c r="LYA44" s="806"/>
      <c r="LYB44" s="806"/>
      <c r="LYC44" s="806"/>
      <c r="LYD44" s="806"/>
      <c r="LYE44" s="806"/>
      <c r="LYF44" s="806"/>
      <c r="LYG44" s="806"/>
      <c r="LYH44" s="806"/>
      <c r="LYI44" s="806"/>
      <c r="LYJ44" s="806"/>
      <c r="LYK44" s="806"/>
      <c r="LYL44" s="806"/>
      <c r="LYM44" s="806"/>
      <c r="LYN44" s="806"/>
      <c r="LYO44" s="806"/>
      <c r="LYP44" s="806"/>
      <c r="LYQ44" s="806"/>
      <c r="LYR44" s="806"/>
      <c r="LYS44" s="806"/>
      <c r="LYT44" s="806"/>
      <c r="LYU44" s="806"/>
      <c r="LYV44" s="806"/>
      <c r="LYW44" s="806"/>
      <c r="LYX44" s="806"/>
      <c r="LYY44" s="806"/>
      <c r="LYZ44" s="806"/>
      <c r="LZA44" s="806"/>
      <c r="LZB44" s="806"/>
      <c r="LZC44" s="806"/>
      <c r="LZD44" s="806"/>
      <c r="LZE44" s="806"/>
      <c r="LZF44" s="806"/>
      <c r="LZG44" s="806"/>
      <c r="LZH44" s="806"/>
      <c r="LZI44" s="806"/>
      <c r="LZJ44" s="806"/>
      <c r="LZK44" s="806"/>
      <c r="LZL44" s="806"/>
      <c r="LZM44" s="806"/>
      <c r="LZN44" s="806"/>
      <c r="LZO44" s="806"/>
      <c r="LZP44" s="806"/>
      <c r="LZQ44" s="806"/>
      <c r="LZR44" s="806"/>
      <c r="LZS44" s="806"/>
      <c r="LZT44" s="806"/>
      <c r="LZU44" s="806"/>
      <c r="LZV44" s="806"/>
      <c r="LZW44" s="806"/>
      <c r="LZX44" s="806"/>
      <c r="LZY44" s="806"/>
      <c r="LZZ44" s="806"/>
      <c r="MAA44" s="806"/>
      <c r="MAB44" s="806"/>
      <c r="MAC44" s="806"/>
      <c r="MAD44" s="806"/>
      <c r="MAE44" s="806"/>
      <c r="MAF44" s="806"/>
      <c r="MAG44" s="806"/>
      <c r="MAH44" s="806"/>
      <c r="MAI44" s="806"/>
      <c r="MAJ44" s="806"/>
      <c r="MAK44" s="806"/>
      <c r="MAL44" s="806"/>
      <c r="MAM44" s="806"/>
      <c r="MAN44" s="806"/>
      <c r="MAO44" s="806"/>
      <c r="MAP44" s="806"/>
      <c r="MAQ44" s="806"/>
      <c r="MAR44" s="806"/>
      <c r="MAS44" s="806"/>
      <c r="MAT44" s="806"/>
      <c r="MAU44" s="806"/>
      <c r="MAV44" s="806"/>
      <c r="MAW44" s="806"/>
      <c r="MAX44" s="806"/>
      <c r="MAY44" s="806"/>
      <c r="MAZ44" s="806"/>
      <c r="MBA44" s="806"/>
      <c r="MBB44" s="806"/>
      <c r="MBC44" s="806"/>
      <c r="MBD44" s="806"/>
      <c r="MBE44" s="806"/>
      <c r="MBF44" s="806"/>
      <c r="MBG44" s="806"/>
      <c r="MBH44" s="806"/>
      <c r="MBI44" s="806"/>
      <c r="MBJ44" s="806"/>
      <c r="MBK44" s="806"/>
      <c r="MBL44" s="806"/>
      <c r="MBM44" s="806"/>
      <c r="MBN44" s="806"/>
      <c r="MBO44" s="806"/>
      <c r="MBP44" s="806"/>
      <c r="MBQ44" s="806"/>
      <c r="MBR44" s="806"/>
      <c r="MBS44" s="806"/>
      <c r="MBT44" s="806"/>
      <c r="MBU44" s="806"/>
      <c r="MBV44" s="806"/>
      <c r="MBW44" s="806"/>
      <c r="MBX44" s="806"/>
      <c r="MBY44" s="806"/>
      <c r="MBZ44" s="806"/>
      <c r="MCA44" s="806"/>
      <c r="MCB44" s="806"/>
      <c r="MCC44" s="806"/>
      <c r="MCD44" s="806"/>
      <c r="MCE44" s="806"/>
      <c r="MCF44" s="806"/>
      <c r="MCG44" s="806"/>
      <c r="MCH44" s="806"/>
      <c r="MCI44" s="806"/>
      <c r="MCJ44" s="806"/>
      <c r="MCK44" s="806"/>
      <c r="MCL44" s="806"/>
      <c r="MCM44" s="806"/>
      <c r="MCN44" s="806"/>
      <c r="MCO44" s="806"/>
      <c r="MCP44" s="806"/>
      <c r="MCQ44" s="806"/>
      <c r="MCR44" s="806"/>
      <c r="MCS44" s="806"/>
      <c r="MCT44" s="806"/>
      <c r="MCU44" s="806"/>
      <c r="MCV44" s="806"/>
      <c r="MCW44" s="806"/>
      <c r="MCX44" s="806"/>
      <c r="MCY44" s="806"/>
      <c r="MCZ44" s="806"/>
      <c r="MDA44" s="806"/>
      <c r="MDB44" s="806"/>
      <c r="MDC44" s="806"/>
      <c r="MDD44" s="806"/>
      <c r="MDE44" s="806"/>
      <c r="MDF44" s="806"/>
      <c r="MDG44" s="806"/>
      <c r="MDH44" s="806"/>
      <c r="MDI44" s="806"/>
      <c r="MDJ44" s="806"/>
      <c r="MDK44" s="806"/>
      <c r="MDL44" s="806"/>
      <c r="MDM44" s="806"/>
      <c r="MDN44" s="806"/>
      <c r="MDO44" s="806"/>
      <c r="MDP44" s="806"/>
      <c r="MDQ44" s="806"/>
      <c r="MDR44" s="806"/>
      <c r="MDS44" s="806"/>
      <c r="MDT44" s="806"/>
      <c r="MDU44" s="806"/>
      <c r="MDV44" s="806"/>
      <c r="MDW44" s="806"/>
      <c r="MDX44" s="806"/>
      <c r="MDY44" s="806"/>
      <c r="MDZ44" s="806"/>
      <c r="MEA44" s="806"/>
      <c r="MEB44" s="806"/>
      <c r="MEC44" s="806"/>
      <c r="MED44" s="806"/>
      <c r="MEE44" s="806"/>
      <c r="MEF44" s="806"/>
      <c r="MEG44" s="806"/>
      <c r="MEH44" s="806"/>
      <c r="MEI44" s="806"/>
      <c r="MEJ44" s="806"/>
      <c r="MEK44" s="806"/>
      <c r="MEL44" s="806"/>
      <c r="MEM44" s="806"/>
      <c r="MEN44" s="806"/>
      <c r="MEO44" s="806"/>
      <c r="MEP44" s="806"/>
      <c r="MEQ44" s="806"/>
      <c r="MER44" s="806"/>
      <c r="MES44" s="806"/>
      <c r="MET44" s="806"/>
      <c r="MEU44" s="806"/>
      <c r="MEV44" s="806"/>
      <c r="MEW44" s="806"/>
      <c r="MEX44" s="806"/>
      <c r="MEY44" s="806"/>
      <c r="MEZ44" s="806"/>
      <c r="MFA44" s="806"/>
      <c r="MFB44" s="806"/>
      <c r="MFC44" s="806"/>
      <c r="MFD44" s="806"/>
      <c r="MFE44" s="806"/>
      <c r="MFF44" s="806"/>
      <c r="MFG44" s="806"/>
      <c r="MFH44" s="806"/>
      <c r="MFI44" s="806"/>
      <c r="MFJ44" s="806"/>
      <c r="MFK44" s="806"/>
      <c r="MFL44" s="806"/>
      <c r="MFM44" s="806"/>
      <c r="MFN44" s="806"/>
      <c r="MFO44" s="806"/>
      <c r="MFP44" s="806"/>
      <c r="MFQ44" s="806"/>
      <c r="MFR44" s="806"/>
      <c r="MFS44" s="806"/>
      <c r="MFT44" s="806"/>
      <c r="MFU44" s="806"/>
      <c r="MFV44" s="806"/>
      <c r="MFW44" s="806"/>
      <c r="MFX44" s="806"/>
      <c r="MFY44" s="806"/>
      <c r="MFZ44" s="806"/>
      <c r="MGA44" s="806"/>
      <c r="MGB44" s="806"/>
      <c r="MGC44" s="806"/>
      <c r="MGD44" s="806"/>
      <c r="MGE44" s="806"/>
      <c r="MGF44" s="806"/>
      <c r="MGG44" s="806"/>
      <c r="MGH44" s="806"/>
      <c r="MGI44" s="806"/>
      <c r="MGJ44" s="806"/>
      <c r="MGK44" s="806"/>
      <c r="MGL44" s="806"/>
      <c r="MGM44" s="806"/>
      <c r="MGN44" s="806"/>
      <c r="MGO44" s="806"/>
      <c r="MGP44" s="806"/>
      <c r="MGQ44" s="806"/>
      <c r="MGR44" s="806"/>
      <c r="MGS44" s="806"/>
      <c r="MGT44" s="806"/>
      <c r="MGU44" s="806"/>
      <c r="MGV44" s="806"/>
      <c r="MGW44" s="806"/>
      <c r="MGX44" s="806"/>
      <c r="MGY44" s="806"/>
      <c r="MGZ44" s="806"/>
      <c r="MHA44" s="806"/>
      <c r="MHB44" s="806"/>
      <c r="MHC44" s="806"/>
      <c r="MHD44" s="806"/>
      <c r="MHE44" s="806"/>
      <c r="MHF44" s="806"/>
      <c r="MHG44" s="806"/>
      <c r="MHH44" s="806"/>
      <c r="MHI44" s="806"/>
      <c r="MHJ44" s="806"/>
      <c r="MHK44" s="806"/>
      <c r="MHL44" s="806"/>
      <c r="MHM44" s="806"/>
      <c r="MHN44" s="806"/>
      <c r="MHO44" s="806"/>
      <c r="MHP44" s="806"/>
      <c r="MHQ44" s="806"/>
      <c r="MHR44" s="806"/>
      <c r="MHS44" s="806"/>
      <c r="MHT44" s="806"/>
      <c r="MHU44" s="806"/>
      <c r="MHV44" s="806"/>
      <c r="MHW44" s="806"/>
      <c r="MHX44" s="806"/>
      <c r="MHY44" s="806"/>
      <c r="MHZ44" s="806"/>
      <c r="MIA44" s="806"/>
      <c r="MIB44" s="806"/>
      <c r="MIC44" s="806"/>
      <c r="MID44" s="806"/>
      <c r="MIE44" s="806"/>
      <c r="MIF44" s="806"/>
      <c r="MIG44" s="806"/>
      <c r="MIH44" s="806"/>
      <c r="MII44" s="806"/>
      <c r="MIJ44" s="806"/>
      <c r="MIK44" s="806"/>
      <c r="MIL44" s="806"/>
      <c r="MIM44" s="806"/>
      <c r="MIN44" s="806"/>
      <c r="MIO44" s="806"/>
      <c r="MIP44" s="806"/>
      <c r="MIQ44" s="806"/>
      <c r="MIR44" s="806"/>
      <c r="MIS44" s="806"/>
      <c r="MIT44" s="806"/>
      <c r="MIU44" s="806"/>
      <c r="MIV44" s="806"/>
      <c r="MIW44" s="806"/>
      <c r="MIX44" s="806"/>
      <c r="MIY44" s="806"/>
      <c r="MIZ44" s="806"/>
      <c r="MJA44" s="806"/>
      <c r="MJB44" s="806"/>
      <c r="MJC44" s="806"/>
      <c r="MJD44" s="806"/>
      <c r="MJE44" s="806"/>
      <c r="MJF44" s="806"/>
      <c r="MJG44" s="806"/>
      <c r="MJH44" s="806"/>
      <c r="MJI44" s="806"/>
      <c r="MJJ44" s="806"/>
      <c r="MJK44" s="806"/>
      <c r="MJL44" s="806"/>
      <c r="MJM44" s="806"/>
      <c r="MJN44" s="806"/>
      <c r="MJO44" s="806"/>
      <c r="MJP44" s="806"/>
      <c r="MJQ44" s="806"/>
      <c r="MJR44" s="806"/>
      <c r="MJS44" s="806"/>
      <c r="MJT44" s="806"/>
      <c r="MJU44" s="806"/>
      <c r="MJV44" s="806"/>
      <c r="MJW44" s="806"/>
      <c r="MJX44" s="806"/>
      <c r="MJY44" s="806"/>
      <c r="MJZ44" s="806"/>
      <c r="MKA44" s="806"/>
      <c r="MKB44" s="806"/>
      <c r="MKC44" s="806"/>
      <c r="MKD44" s="806"/>
      <c r="MKE44" s="806"/>
      <c r="MKF44" s="806"/>
      <c r="MKG44" s="806"/>
      <c r="MKH44" s="806"/>
      <c r="MKI44" s="806"/>
      <c r="MKJ44" s="806"/>
      <c r="MKK44" s="806"/>
      <c r="MKL44" s="806"/>
      <c r="MKM44" s="806"/>
      <c r="MKN44" s="806"/>
      <c r="MKO44" s="806"/>
      <c r="MKP44" s="806"/>
      <c r="MKQ44" s="806"/>
      <c r="MKR44" s="806"/>
      <c r="MKS44" s="806"/>
      <c r="MKT44" s="806"/>
      <c r="MKU44" s="806"/>
      <c r="MKV44" s="806"/>
      <c r="MKW44" s="806"/>
      <c r="MKX44" s="806"/>
      <c r="MKY44" s="806"/>
      <c r="MKZ44" s="806"/>
      <c r="MLA44" s="806"/>
      <c r="MLB44" s="806"/>
      <c r="MLC44" s="806"/>
      <c r="MLD44" s="806"/>
      <c r="MLE44" s="806"/>
      <c r="MLF44" s="806"/>
      <c r="MLG44" s="806"/>
      <c r="MLH44" s="806"/>
      <c r="MLI44" s="806"/>
      <c r="MLJ44" s="806"/>
      <c r="MLK44" s="806"/>
      <c r="MLL44" s="806"/>
      <c r="MLM44" s="806"/>
      <c r="MLN44" s="806"/>
      <c r="MLO44" s="806"/>
      <c r="MLP44" s="806"/>
      <c r="MLQ44" s="806"/>
      <c r="MLR44" s="806"/>
      <c r="MLS44" s="806"/>
      <c r="MLT44" s="806"/>
      <c r="MLU44" s="806"/>
      <c r="MLV44" s="806"/>
      <c r="MLW44" s="806"/>
      <c r="MLX44" s="806"/>
      <c r="MLY44" s="806"/>
      <c r="MLZ44" s="806"/>
      <c r="MMA44" s="806"/>
      <c r="MMB44" s="806"/>
      <c r="MMC44" s="806"/>
      <c r="MMD44" s="806"/>
      <c r="MME44" s="806"/>
      <c r="MMF44" s="806"/>
      <c r="MMG44" s="806"/>
      <c r="MMH44" s="806"/>
      <c r="MMI44" s="806"/>
      <c r="MMJ44" s="806"/>
      <c r="MMK44" s="806"/>
      <c r="MML44" s="806"/>
      <c r="MMM44" s="806"/>
      <c r="MMN44" s="806"/>
      <c r="MMO44" s="806"/>
      <c r="MMP44" s="806"/>
      <c r="MMQ44" s="806"/>
      <c r="MMR44" s="806"/>
      <c r="MMS44" s="806"/>
      <c r="MMT44" s="806"/>
      <c r="MMU44" s="806"/>
      <c r="MMV44" s="806"/>
      <c r="MMW44" s="806"/>
      <c r="MMX44" s="806"/>
      <c r="MMY44" s="806"/>
      <c r="MMZ44" s="806"/>
      <c r="MNA44" s="806"/>
      <c r="MNB44" s="806"/>
      <c r="MNC44" s="806"/>
      <c r="MND44" s="806"/>
      <c r="MNE44" s="806"/>
      <c r="MNF44" s="806"/>
      <c r="MNG44" s="806"/>
      <c r="MNH44" s="806"/>
      <c r="MNI44" s="806"/>
      <c r="MNJ44" s="806"/>
      <c r="MNK44" s="806"/>
      <c r="MNL44" s="806"/>
      <c r="MNM44" s="806"/>
      <c r="MNN44" s="806"/>
      <c r="MNO44" s="806"/>
      <c r="MNP44" s="806"/>
      <c r="MNQ44" s="806"/>
      <c r="MNR44" s="806"/>
      <c r="MNS44" s="806"/>
      <c r="MNT44" s="806"/>
      <c r="MNU44" s="806"/>
      <c r="MNV44" s="806"/>
      <c r="MNW44" s="806"/>
      <c r="MNX44" s="806"/>
      <c r="MNY44" s="806"/>
      <c r="MNZ44" s="806"/>
      <c r="MOA44" s="806"/>
      <c r="MOB44" s="806"/>
      <c r="MOC44" s="806"/>
      <c r="MOD44" s="806"/>
      <c r="MOE44" s="806"/>
      <c r="MOF44" s="806"/>
      <c r="MOG44" s="806"/>
      <c r="MOH44" s="806"/>
      <c r="MOI44" s="806"/>
      <c r="MOJ44" s="806"/>
      <c r="MOK44" s="806"/>
      <c r="MOL44" s="806"/>
      <c r="MOM44" s="806"/>
      <c r="MON44" s="806"/>
      <c r="MOO44" s="806"/>
      <c r="MOP44" s="806"/>
      <c r="MOQ44" s="806"/>
      <c r="MOR44" s="806"/>
      <c r="MOS44" s="806"/>
      <c r="MOT44" s="806"/>
      <c r="MOU44" s="806"/>
      <c r="MOV44" s="806"/>
      <c r="MOW44" s="806"/>
      <c r="MOX44" s="806"/>
      <c r="MOY44" s="806"/>
      <c r="MOZ44" s="806"/>
      <c r="MPA44" s="806"/>
      <c r="MPB44" s="806"/>
      <c r="MPC44" s="806"/>
      <c r="MPD44" s="806"/>
      <c r="MPE44" s="806"/>
      <c r="MPF44" s="806"/>
      <c r="MPG44" s="806"/>
      <c r="MPH44" s="806"/>
      <c r="MPI44" s="806"/>
      <c r="MPJ44" s="806"/>
      <c r="MPK44" s="806"/>
      <c r="MPL44" s="806"/>
      <c r="MPM44" s="806"/>
      <c r="MPN44" s="806"/>
      <c r="MPO44" s="806"/>
      <c r="MPP44" s="806"/>
      <c r="MPQ44" s="806"/>
      <c r="MPR44" s="806"/>
      <c r="MPS44" s="806"/>
      <c r="MPT44" s="806"/>
      <c r="MPU44" s="806"/>
      <c r="MPV44" s="806"/>
      <c r="MPW44" s="806"/>
      <c r="MPX44" s="806"/>
      <c r="MPY44" s="806"/>
      <c r="MPZ44" s="806"/>
      <c r="MQA44" s="806"/>
      <c r="MQB44" s="806"/>
      <c r="MQC44" s="806"/>
      <c r="MQD44" s="806"/>
      <c r="MQE44" s="806"/>
      <c r="MQF44" s="806"/>
      <c r="MQG44" s="806"/>
      <c r="MQH44" s="806"/>
      <c r="MQI44" s="806"/>
      <c r="MQJ44" s="806"/>
      <c r="MQK44" s="806"/>
      <c r="MQL44" s="806"/>
      <c r="MQM44" s="806"/>
      <c r="MQN44" s="806"/>
      <c r="MQO44" s="806"/>
      <c r="MQP44" s="806"/>
      <c r="MQQ44" s="806"/>
      <c r="MQR44" s="806"/>
      <c r="MQS44" s="806"/>
      <c r="MQT44" s="806"/>
      <c r="MQU44" s="806"/>
      <c r="MQV44" s="806"/>
      <c r="MQW44" s="806"/>
      <c r="MQX44" s="806"/>
      <c r="MQY44" s="806"/>
      <c r="MQZ44" s="806"/>
      <c r="MRA44" s="806"/>
      <c r="MRB44" s="806"/>
      <c r="MRC44" s="806"/>
      <c r="MRD44" s="806"/>
      <c r="MRE44" s="806"/>
      <c r="MRF44" s="806"/>
      <c r="MRG44" s="806"/>
      <c r="MRH44" s="806"/>
      <c r="MRI44" s="806"/>
      <c r="MRJ44" s="806"/>
      <c r="MRK44" s="806"/>
      <c r="MRL44" s="806"/>
      <c r="MRM44" s="806"/>
      <c r="MRN44" s="806"/>
      <c r="MRO44" s="806"/>
      <c r="MRP44" s="806"/>
      <c r="MRQ44" s="806"/>
      <c r="MRR44" s="806"/>
      <c r="MRS44" s="806"/>
      <c r="MRT44" s="806"/>
      <c r="MRU44" s="806"/>
      <c r="MRV44" s="806"/>
      <c r="MRW44" s="806"/>
      <c r="MRX44" s="806"/>
      <c r="MRY44" s="806"/>
      <c r="MRZ44" s="806"/>
      <c r="MSA44" s="806"/>
      <c r="MSB44" s="806"/>
      <c r="MSC44" s="806"/>
      <c r="MSD44" s="806"/>
      <c r="MSE44" s="806"/>
      <c r="MSF44" s="806"/>
      <c r="MSG44" s="806"/>
      <c r="MSH44" s="806"/>
      <c r="MSI44" s="806"/>
      <c r="MSJ44" s="806"/>
      <c r="MSK44" s="806"/>
      <c r="MSL44" s="806"/>
      <c r="MSM44" s="806"/>
      <c r="MSN44" s="806"/>
      <c r="MSO44" s="806"/>
      <c r="MSP44" s="806"/>
      <c r="MSQ44" s="806"/>
      <c r="MSR44" s="806"/>
      <c r="MSS44" s="806"/>
      <c r="MST44" s="806"/>
      <c r="MSU44" s="806"/>
      <c r="MSV44" s="806"/>
      <c r="MSW44" s="806"/>
      <c r="MSX44" s="806"/>
      <c r="MSY44" s="806"/>
      <c r="MSZ44" s="806"/>
      <c r="MTA44" s="806"/>
      <c r="MTB44" s="806"/>
      <c r="MTC44" s="806"/>
      <c r="MTD44" s="806"/>
      <c r="MTE44" s="806"/>
      <c r="MTF44" s="806"/>
      <c r="MTG44" s="806"/>
      <c r="MTH44" s="806"/>
      <c r="MTI44" s="806"/>
      <c r="MTJ44" s="806"/>
      <c r="MTK44" s="806"/>
      <c r="MTL44" s="806"/>
      <c r="MTM44" s="806"/>
      <c r="MTN44" s="806"/>
      <c r="MTO44" s="806"/>
      <c r="MTP44" s="806"/>
      <c r="MTQ44" s="806"/>
      <c r="MTR44" s="806"/>
      <c r="MTS44" s="806"/>
      <c r="MTT44" s="806"/>
      <c r="MTU44" s="806"/>
      <c r="MTV44" s="806"/>
      <c r="MTW44" s="806"/>
      <c r="MTX44" s="806"/>
      <c r="MTY44" s="806"/>
      <c r="MTZ44" s="806"/>
      <c r="MUA44" s="806"/>
      <c r="MUB44" s="806"/>
      <c r="MUC44" s="806"/>
      <c r="MUD44" s="806"/>
      <c r="MUE44" s="806"/>
      <c r="MUF44" s="806"/>
      <c r="MUG44" s="806"/>
      <c r="MUH44" s="806"/>
      <c r="MUI44" s="806"/>
      <c r="MUJ44" s="806"/>
      <c r="MUK44" s="806"/>
      <c r="MUL44" s="806"/>
      <c r="MUM44" s="806"/>
      <c r="MUN44" s="806"/>
      <c r="MUO44" s="806"/>
      <c r="MUP44" s="806"/>
      <c r="MUQ44" s="806"/>
      <c r="MUR44" s="806"/>
      <c r="MUS44" s="806"/>
      <c r="MUT44" s="806"/>
      <c r="MUU44" s="806"/>
      <c r="MUV44" s="806"/>
      <c r="MUW44" s="806"/>
      <c r="MUX44" s="806"/>
      <c r="MUY44" s="806"/>
      <c r="MUZ44" s="806"/>
      <c r="MVA44" s="806"/>
      <c r="MVB44" s="806"/>
      <c r="MVC44" s="806"/>
      <c r="MVD44" s="806"/>
      <c r="MVE44" s="806"/>
      <c r="MVF44" s="806"/>
      <c r="MVG44" s="806"/>
      <c r="MVH44" s="806"/>
      <c r="MVI44" s="806"/>
      <c r="MVJ44" s="806"/>
      <c r="MVK44" s="806"/>
      <c r="MVL44" s="806"/>
      <c r="MVM44" s="806"/>
      <c r="MVN44" s="806"/>
      <c r="MVO44" s="806"/>
      <c r="MVP44" s="806"/>
      <c r="MVQ44" s="806"/>
      <c r="MVR44" s="806"/>
      <c r="MVS44" s="806"/>
      <c r="MVT44" s="806"/>
      <c r="MVU44" s="806"/>
      <c r="MVV44" s="806"/>
      <c r="MVW44" s="806"/>
      <c r="MVX44" s="806"/>
      <c r="MVY44" s="806"/>
      <c r="MVZ44" s="806"/>
      <c r="MWA44" s="806"/>
      <c r="MWB44" s="806"/>
      <c r="MWC44" s="806"/>
      <c r="MWD44" s="806"/>
      <c r="MWE44" s="806"/>
      <c r="MWF44" s="806"/>
      <c r="MWG44" s="806"/>
      <c r="MWH44" s="806"/>
      <c r="MWI44" s="806"/>
      <c r="MWJ44" s="806"/>
      <c r="MWK44" s="806"/>
      <c r="MWL44" s="806"/>
      <c r="MWM44" s="806"/>
      <c r="MWN44" s="806"/>
      <c r="MWO44" s="806"/>
      <c r="MWP44" s="806"/>
      <c r="MWQ44" s="806"/>
      <c r="MWR44" s="806"/>
      <c r="MWS44" s="806"/>
      <c r="MWT44" s="806"/>
      <c r="MWU44" s="806"/>
      <c r="MWV44" s="806"/>
      <c r="MWW44" s="806"/>
      <c r="MWX44" s="806"/>
      <c r="MWY44" s="806"/>
      <c r="MWZ44" s="806"/>
      <c r="MXA44" s="806"/>
      <c r="MXB44" s="806"/>
      <c r="MXC44" s="806"/>
      <c r="MXD44" s="806"/>
      <c r="MXE44" s="806"/>
      <c r="MXF44" s="806"/>
      <c r="MXG44" s="806"/>
      <c r="MXH44" s="806"/>
      <c r="MXI44" s="806"/>
      <c r="MXJ44" s="806"/>
      <c r="MXK44" s="806"/>
      <c r="MXL44" s="806"/>
      <c r="MXM44" s="806"/>
      <c r="MXN44" s="806"/>
      <c r="MXO44" s="806"/>
      <c r="MXP44" s="806"/>
      <c r="MXQ44" s="806"/>
      <c r="MXR44" s="806"/>
      <c r="MXS44" s="806"/>
      <c r="MXT44" s="806"/>
      <c r="MXU44" s="806"/>
      <c r="MXV44" s="806"/>
      <c r="MXW44" s="806"/>
      <c r="MXX44" s="806"/>
      <c r="MXY44" s="806"/>
      <c r="MXZ44" s="806"/>
      <c r="MYA44" s="806"/>
      <c r="MYB44" s="806"/>
      <c r="MYC44" s="806"/>
      <c r="MYD44" s="806"/>
      <c r="MYE44" s="806"/>
      <c r="MYF44" s="806"/>
      <c r="MYG44" s="806"/>
      <c r="MYH44" s="806"/>
      <c r="MYI44" s="806"/>
      <c r="MYJ44" s="806"/>
      <c r="MYK44" s="806"/>
      <c r="MYL44" s="806"/>
      <c r="MYM44" s="806"/>
      <c r="MYN44" s="806"/>
      <c r="MYO44" s="806"/>
      <c r="MYP44" s="806"/>
      <c r="MYQ44" s="806"/>
      <c r="MYR44" s="806"/>
      <c r="MYS44" s="806"/>
      <c r="MYT44" s="806"/>
      <c r="MYU44" s="806"/>
      <c r="MYV44" s="806"/>
      <c r="MYW44" s="806"/>
      <c r="MYX44" s="806"/>
      <c r="MYY44" s="806"/>
      <c r="MYZ44" s="806"/>
      <c r="MZA44" s="806"/>
      <c r="MZB44" s="806"/>
      <c r="MZC44" s="806"/>
      <c r="MZD44" s="806"/>
      <c r="MZE44" s="806"/>
      <c r="MZF44" s="806"/>
      <c r="MZG44" s="806"/>
      <c r="MZH44" s="806"/>
      <c r="MZI44" s="806"/>
      <c r="MZJ44" s="806"/>
      <c r="MZK44" s="806"/>
      <c r="MZL44" s="806"/>
      <c r="MZM44" s="806"/>
      <c r="MZN44" s="806"/>
      <c r="MZO44" s="806"/>
      <c r="MZP44" s="806"/>
      <c r="MZQ44" s="806"/>
      <c r="MZR44" s="806"/>
      <c r="MZS44" s="806"/>
      <c r="MZT44" s="806"/>
      <c r="MZU44" s="806"/>
      <c r="MZV44" s="806"/>
      <c r="MZW44" s="806"/>
      <c r="MZX44" s="806"/>
      <c r="MZY44" s="806"/>
      <c r="MZZ44" s="806"/>
      <c r="NAA44" s="806"/>
      <c r="NAB44" s="806"/>
      <c r="NAC44" s="806"/>
      <c r="NAD44" s="806"/>
      <c r="NAE44" s="806"/>
      <c r="NAF44" s="806"/>
      <c r="NAG44" s="806"/>
      <c r="NAH44" s="806"/>
      <c r="NAI44" s="806"/>
      <c r="NAJ44" s="806"/>
      <c r="NAK44" s="806"/>
      <c r="NAL44" s="806"/>
      <c r="NAM44" s="806"/>
      <c r="NAN44" s="806"/>
      <c r="NAO44" s="806"/>
      <c r="NAP44" s="806"/>
      <c r="NAQ44" s="806"/>
      <c r="NAR44" s="806"/>
      <c r="NAS44" s="806"/>
      <c r="NAT44" s="806"/>
      <c r="NAU44" s="806"/>
      <c r="NAV44" s="806"/>
      <c r="NAW44" s="806"/>
      <c r="NAX44" s="806"/>
      <c r="NAY44" s="806"/>
      <c r="NAZ44" s="806"/>
      <c r="NBA44" s="806"/>
      <c r="NBB44" s="806"/>
      <c r="NBC44" s="806"/>
      <c r="NBD44" s="806"/>
      <c r="NBE44" s="806"/>
      <c r="NBF44" s="806"/>
      <c r="NBG44" s="806"/>
      <c r="NBH44" s="806"/>
      <c r="NBI44" s="806"/>
      <c r="NBJ44" s="806"/>
      <c r="NBK44" s="806"/>
      <c r="NBL44" s="806"/>
      <c r="NBM44" s="806"/>
      <c r="NBN44" s="806"/>
      <c r="NBO44" s="806"/>
      <c r="NBP44" s="806"/>
      <c r="NBQ44" s="806"/>
      <c r="NBR44" s="806"/>
      <c r="NBS44" s="806"/>
      <c r="NBT44" s="806"/>
      <c r="NBU44" s="806"/>
      <c r="NBV44" s="806"/>
      <c r="NBW44" s="806"/>
      <c r="NBX44" s="806"/>
      <c r="NBY44" s="806"/>
      <c r="NBZ44" s="806"/>
      <c r="NCA44" s="806"/>
      <c r="NCB44" s="806"/>
      <c r="NCC44" s="806"/>
      <c r="NCD44" s="806"/>
      <c r="NCE44" s="806"/>
      <c r="NCF44" s="806"/>
      <c r="NCG44" s="806"/>
      <c r="NCH44" s="806"/>
      <c r="NCI44" s="806"/>
      <c r="NCJ44" s="806"/>
      <c r="NCK44" s="806"/>
      <c r="NCL44" s="806"/>
      <c r="NCM44" s="806"/>
      <c r="NCN44" s="806"/>
      <c r="NCO44" s="806"/>
      <c r="NCP44" s="806"/>
      <c r="NCQ44" s="806"/>
      <c r="NCR44" s="806"/>
      <c r="NCS44" s="806"/>
      <c r="NCT44" s="806"/>
      <c r="NCU44" s="806"/>
      <c r="NCV44" s="806"/>
      <c r="NCW44" s="806"/>
      <c r="NCX44" s="806"/>
      <c r="NCY44" s="806"/>
      <c r="NCZ44" s="806"/>
      <c r="NDA44" s="806"/>
      <c r="NDB44" s="806"/>
      <c r="NDC44" s="806"/>
      <c r="NDD44" s="806"/>
      <c r="NDE44" s="806"/>
      <c r="NDF44" s="806"/>
      <c r="NDG44" s="806"/>
      <c r="NDH44" s="806"/>
      <c r="NDI44" s="806"/>
      <c r="NDJ44" s="806"/>
      <c r="NDK44" s="806"/>
      <c r="NDL44" s="806"/>
      <c r="NDM44" s="806"/>
      <c r="NDN44" s="806"/>
      <c r="NDO44" s="806"/>
      <c r="NDP44" s="806"/>
      <c r="NDQ44" s="806"/>
      <c r="NDR44" s="806"/>
      <c r="NDS44" s="806"/>
      <c r="NDT44" s="806"/>
      <c r="NDU44" s="806"/>
      <c r="NDV44" s="806"/>
      <c r="NDW44" s="806"/>
      <c r="NDX44" s="806"/>
      <c r="NDY44" s="806"/>
      <c r="NDZ44" s="806"/>
      <c r="NEA44" s="806"/>
      <c r="NEB44" s="806"/>
      <c r="NEC44" s="806"/>
      <c r="NED44" s="806"/>
      <c r="NEE44" s="806"/>
      <c r="NEF44" s="806"/>
      <c r="NEG44" s="806"/>
      <c r="NEH44" s="806"/>
      <c r="NEI44" s="806"/>
      <c r="NEJ44" s="806"/>
      <c r="NEK44" s="806"/>
      <c r="NEL44" s="806"/>
      <c r="NEM44" s="806"/>
      <c r="NEN44" s="806"/>
      <c r="NEO44" s="806"/>
      <c r="NEP44" s="806"/>
      <c r="NEQ44" s="806"/>
      <c r="NER44" s="806"/>
      <c r="NES44" s="806"/>
      <c r="NET44" s="806"/>
      <c r="NEU44" s="806"/>
      <c r="NEV44" s="806"/>
      <c r="NEW44" s="806"/>
      <c r="NEX44" s="806"/>
      <c r="NEY44" s="806"/>
      <c r="NEZ44" s="806"/>
      <c r="NFA44" s="806"/>
      <c r="NFB44" s="806"/>
      <c r="NFC44" s="806"/>
      <c r="NFD44" s="806"/>
      <c r="NFE44" s="806"/>
      <c r="NFF44" s="806"/>
      <c r="NFG44" s="806"/>
      <c r="NFH44" s="806"/>
      <c r="NFI44" s="806"/>
      <c r="NFJ44" s="806"/>
      <c r="NFK44" s="806"/>
      <c r="NFL44" s="806"/>
      <c r="NFM44" s="806"/>
      <c r="NFN44" s="806"/>
      <c r="NFO44" s="806"/>
      <c r="NFP44" s="806"/>
      <c r="NFQ44" s="806"/>
      <c r="NFR44" s="806"/>
      <c r="NFS44" s="806"/>
      <c r="NFT44" s="806"/>
      <c r="NFU44" s="806"/>
      <c r="NFV44" s="806"/>
      <c r="NFW44" s="806"/>
      <c r="NFX44" s="806"/>
      <c r="NFY44" s="806"/>
      <c r="NFZ44" s="806"/>
      <c r="NGA44" s="806"/>
      <c r="NGB44" s="806"/>
      <c r="NGC44" s="806"/>
      <c r="NGD44" s="806"/>
      <c r="NGE44" s="806"/>
      <c r="NGF44" s="806"/>
      <c r="NGG44" s="806"/>
      <c r="NGH44" s="806"/>
      <c r="NGI44" s="806"/>
      <c r="NGJ44" s="806"/>
      <c r="NGK44" s="806"/>
      <c r="NGL44" s="806"/>
      <c r="NGM44" s="806"/>
      <c r="NGN44" s="806"/>
      <c r="NGO44" s="806"/>
      <c r="NGP44" s="806"/>
      <c r="NGQ44" s="806"/>
      <c r="NGR44" s="806"/>
      <c r="NGS44" s="806"/>
      <c r="NGT44" s="806"/>
      <c r="NGU44" s="806"/>
      <c r="NGV44" s="806"/>
      <c r="NGW44" s="806"/>
      <c r="NGX44" s="806"/>
      <c r="NGY44" s="806"/>
      <c r="NGZ44" s="806"/>
      <c r="NHA44" s="806"/>
      <c r="NHB44" s="806"/>
      <c r="NHC44" s="806"/>
      <c r="NHD44" s="806"/>
      <c r="NHE44" s="806"/>
      <c r="NHF44" s="806"/>
      <c r="NHG44" s="806"/>
      <c r="NHH44" s="806"/>
      <c r="NHI44" s="806"/>
      <c r="NHJ44" s="806"/>
      <c r="NHK44" s="806"/>
      <c r="NHL44" s="806"/>
      <c r="NHM44" s="806"/>
      <c r="NHN44" s="806"/>
      <c r="NHO44" s="806"/>
      <c r="NHP44" s="806"/>
      <c r="NHQ44" s="806"/>
      <c r="NHR44" s="806"/>
      <c r="NHS44" s="806"/>
      <c r="NHT44" s="806"/>
      <c r="NHU44" s="806"/>
      <c r="NHV44" s="806"/>
      <c r="NHW44" s="806"/>
      <c r="NHX44" s="806"/>
      <c r="NHY44" s="806"/>
      <c r="NHZ44" s="806"/>
      <c r="NIA44" s="806"/>
      <c r="NIB44" s="806"/>
      <c r="NIC44" s="806"/>
      <c r="NID44" s="806"/>
      <c r="NIE44" s="806"/>
      <c r="NIF44" s="806"/>
      <c r="NIG44" s="806"/>
      <c r="NIH44" s="806"/>
      <c r="NII44" s="806"/>
      <c r="NIJ44" s="806"/>
      <c r="NIK44" s="806"/>
      <c r="NIL44" s="806"/>
      <c r="NIM44" s="806"/>
      <c r="NIN44" s="806"/>
      <c r="NIO44" s="806"/>
      <c r="NIP44" s="806"/>
      <c r="NIQ44" s="806"/>
      <c r="NIR44" s="806"/>
      <c r="NIS44" s="806"/>
      <c r="NIT44" s="806"/>
      <c r="NIU44" s="806"/>
      <c r="NIV44" s="806"/>
      <c r="NIW44" s="806"/>
      <c r="NIX44" s="806"/>
      <c r="NIY44" s="806"/>
      <c r="NIZ44" s="806"/>
      <c r="NJA44" s="806"/>
      <c r="NJB44" s="806"/>
      <c r="NJC44" s="806"/>
      <c r="NJD44" s="806"/>
      <c r="NJE44" s="806"/>
      <c r="NJF44" s="806"/>
      <c r="NJG44" s="806"/>
      <c r="NJH44" s="806"/>
      <c r="NJI44" s="806"/>
      <c r="NJJ44" s="806"/>
      <c r="NJK44" s="806"/>
      <c r="NJL44" s="806"/>
      <c r="NJM44" s="806"/>
      <c r="NJN44" s="806"/>
      <c r="NJO44" s="806"/>
      <c r="NJP44" s="806"/>
      <c r="NJQ44" s="806"/>
      <c r="NJR44" s="806"/>
      <c r="NJS44" s="806"/>
      <c r="NJT44" s="806"/>
      <c r="NJU44" s="806"/>
      <c r="NJV44" s="806"/>
      <c r="NJW44" s="806"/>
      <c r="NJX44" s="806"/>
      <c r="NJY44" s="806"/>
      <c r="NJZ44" s="806"/>
      <c r="NKA44" s="806"/>
      <c r="NKB44" s="806"/>
      <c r="NKC44" s="806"/>
      <c r="NKD44" s="806"/>
      <c r="NKE44" s="806"/>
      <c r="NKF44" s="806"/>
      <c r="NKG44" s="806"/>
      <c r="NKH44" s="806"/>
      <c r="NKI44" s="806"/>
      <c r="NKJ44" s="806"/>
      <c r="NKK44" s="806"/>
      <c r="NKL44" s="806"/>
      <c r="NKM44" s="806"/>
      <c r="NKN44" s="806"/>
      <c r="NKO44" s="806"/>
      <c r="NKP44" s="806"/>
      <c r="NKQ44" s="806"/>
      <c r="NKR44" s="806"/>
      <c r="NKS44" s="806"/>
      <c r="NKT44" s="806"/>
      <c r="NKU44" s="806"/>
      <c r="NKV44" s="806"/>
      <c r="NKW44" s="806"/>
      <c r="NKX44" s="806"/>
      <c r="NKY44" s="806"/>
      <c r="NKZ44" s="806"/>
      <c r="NLA44" s="806"/>
      <c r="NLB44" s="806"/>
      <c r="NLC44" s="806"/>
      <c r="NLD44" s="806"/>
      <c r="NLE44" s="806"/>
      <c r="NLF44" s="806"/>
      <c r="NLG44" s="806"/>
      <c r="NLH44" s="806"/>
      <c r="NLI44" s="806"/>
      <c r="NLJ44" s="806"/>
      <c r="NLK44" s="806"/>
      <c r="NLL44" s="806"/>
      <c r="NLM44" s="806"/>
      <c r="NLN44" s="806"/>
      <c r="NLO44" s="806"/>
      <c r="NLP44" s="806"/>
      <c r="NLQ44" s="806"/>
      <c r="NLR44" s="806"/>
      <c r="NLS44" s="806"/>
      <c r="NLT44" s="806"/>
      <c r="NLU44" s="806"/>
      <c r="NLV44" s="806"/>
      <c r="NLW44" s="806"/>
      <c r="NLX44" s="806"/>
      <c r="NLY44" s="806"/>
      <c r="NLZ44" s="806"/>
      <c r="NMA44" s="806"/>
      <c r="NMB44" s="806"/>
      <c r="NMC44" s="806"/>
      <c r="NMD44" s="806"/>
      <c r="NME44" s="806"/>
      <c r="NMF44" s="806"/>
      <c r="NMG44" s="806"/>
      <c r="NMH44" s="806"/>
      <c r="NMI44" s="806"/>
      <c r="NMJ44" s="806"/>
      <c r="NMK44" s="806"/>
      <c r="NML44" s="806"/>
      <c r="NMM44" s="806"/>
      <c r="NMN44" s="806"/>
      <c r="NMO44" s="806"/>
      <c r="NMP44" s="806"/>
      <c r="NMQ44" s="806"/>
      <c r="NMR44" s="806"/>
      <c r="NMS44" s="806"/>
      <c r="NMT44" s="806"/>
      <c r="NMU44" s="806"/>
      <c r="NMV44" s="806"/>
      <c r="NMW44" s="806"/>
      <c r="NMX44" s="806"/>
      <c r="NMY44" s="806"/>
      <c r="NMZ44" s="806"/>
      <c r="NNA44" s="806"/>
      <c r="NNB44" s="806"/>
      <c r="NNC44" s="806"/>
      <c r="NND44" s="806"/>
      <c r="NNE44" s="806"/>
      <c r="NNF44" s="806"/>
      <c r="NNG44" s="806"/>
      <c r="NNH44" s="806"/>
      <c r="NNI44" s="806"/>
      <c r="NNJ44" s="806"/>
      <c r="NNK44" s="806"/>
      <c r="NNL44" s="806"/>
      <c r="NNM44" s="806"/>
      <c r="NNN44" s="806"/>
      <c r="NNO44" s="806"/>
      <c r="NNP44" s="806"/>
      <c r="NNQ44" s="806"/>
      <c r="NNR44" s="806"/>
      <c r="NNS44" s="806"/>
      <c r="NNT44" s="806"/>
      <c r="NNU44" s="806"/>
      <c r="NNV44" s="806"/>
      <c r="NNW44" s="806"/>
      <c r="NNX44" s="806"/>
      <c r="NNY44" s="806"/>
      <c r="NNZ44" s="806"/>
      <c r="NOA44" s="806"/>
      <c r="NOB44" s="806"/>
      <c r="NOC44" s="806"/>
      <c r="NOD44" s="806"/>
      <c r="NOE44" s="806"/>
      <c r="NOF44" s="806"/>
      <c r="NOG44" s="806"/>
      <c r="NOH44" s="806"/>
      <c r="NOI44" s="806"/>
      <c r="NOJ44" s="806"/>
      <c r="NOK44" s="806"/>
      <c r="NOL44" s="806"/>
      <c r="NOM44" s="806"/>
      <c r="NON44" s="806"/>
      <c r="NOO44" s="806"/>
      <c r="NOP44" s="806"/>
      <c r="NOQ44" s="806"/>
      <c r="NOR44" s="806"/>
      <c r="NOS44" s="806"/>
      <c r="NOT44" s="806"/>
      <c r="NOU44" s="806"/>
      <c r="NOV44" s="806"/>
      <c r="NOW44" s="806"/>
      <c r="NOX44" s="806"/>
      <c r="NOY44" s="806"/>
      <c r="NOZ44" s="806"/>
      <c r="NPA44" s="806"/>
      <c r="NPB44" s="806"/>
      <c r="NPC44" s="806"/>
      <c r="NPD44" s="806"/>
      <c r="NPE44" s="806"/>
      <c r="NPF44" s="806"/>
      <c r="NPG44" s="806"/>
      <c r="NPH44" s="806"/>
      <c r="NPI44" s="806"/>
      <c r="NPJ44" s="806"/>
      <c r="NPK44" s="806"/>
      <c r="NPL44" s="806"/>
      <c r="NPM44" s="806"/>
      <c r="NPN44" s="806"/>
      <c r="NPO44" s="806"/>
      <c r="NPP44" s="806"/>
      <c r="NPQ44" s="806"/>
      <c r="NPR44" s="806"/>
      <c r="NPS44" s="806"/>
      <c r="NPT44" s="806"/>
      <c r="NPU44" s="806"/>
      <c r="NPV44" s="806"/>
      <c r="NPW44" s="806"/>
      <c r="NPX44" s="806"/>
      <c r="NPY44" s="806"/>
      <c r="NPZ44" s="806"/>
      <c r="NQA44" s="806"/>
      <c r="NQB44" s="806"/>
      <c r="NQC44" s="806"/>
      <c r="NQD44" s="806"/>
      <c r="NQE44" s="806"/>
      <c r="NQF44" s="806"/>
      <c r="NQG44" s="806"/>
      <c r="NQH44" s="806"/>
      <c r="NQI44" s="806"/>
      <c r="NQJ44" s="806"/>
      <c r="NQK44" s="806"/>
      <c r="NQL44" s="806"/>
      <c r="NQM44" s="806"/>
      <c r="NQN44" s="806"/>
      <c r="NQO44" s="806"/>
      <c r="NQP44" s="806"/>
      <c r="NQQ44" s="806"/>
      <c r="NQR44" s="806"/>
      <c r="NQS44" s="806"/>
      <c r="NQT44" s="806"/>
      <c r="NQU44" s="806"/>
      <c r="NQV44" s="806"/>
      <c r="NQW44" s="806"/>
      <c r="NQX44" s="806"/>
      <c r="NQY44" s="806"/>
      <c r="NQZ44" s="806"/>
      <c r="NRA44" s="806"/>
      <c r="NRB44" s="806"/>
      <c r="NRC44" s="806"/>
      <c r="NRD44" s="806"/>
      <c r="NRE44" s="806"/>
      <c r="NRF44" s="806"/>
      <c r="NRG44" s="806"/>
      <c r="NRH44" s="806"/>
      <c r="NRI44" s="806"/>
      <c r="NRJ44" s="806"/>
      <c r="NRK44" s="806"/>
      <c r="NRL44" s="806"/>
      <c r="NRM44" s="806"/>
      <c r="NRN44" s="806"/>
      <c r="NRO44" s="806"/>
      <c r="NRP44" s="806"/>
      <c r="NRQ44" s="806"/>
      <c r="NRR44" s="806"/>
      <c r="NRS44" s="806"/>
      <c r="NRT44" s="806"/>
      <c r="NRU44" s="806"/>
      <c r="NRV44" s="806"/>
      <c r="NRW44" s="806"/>
      <c r="NRX44" s="806"/>
      <c r="NRY44" s="806"/>
      <c r="NRZ44" s="806"/>
      <c r="NSA44" s="806"/>
      <c r="NSB44" s="806"/>
      <c r="NSC44" s="806"/>
      <c r="NSD44" s="806"/>
      <c r="NSE44" s="806"/>
      <c r="NSF44" s="806"/>
      <c r="NSG44" s="806"/>
      <c r="NSH44" s="806"/>
      <c r="NSI44" s="806"/>
      <c r="NSJ44" s="806"/>
      <c r="NSK44" s="806"/>
      <c r="NSL44" s="806"/>
      <c r="NSM44" s="806"/>
      <c r="NSN44" s="806"/>
      <c r="NSO44" s="806"/>
      <c r="NSP44" s="806"/>
      <c r="NSQ44" s="806"/>
      <c r="NSR44" s="806"/>
      <c r="NSS44" s="806"/>
      <c r="NST44" s="806"/>
      <c r="NSU44" s="806"/>
      <c r="NSV44" s="806"/>
      <c r="NSW44" s="806"/>
      <c r="NSX44" s="806"/>
      <c r="NSY44" s="806"/>
      <c r="NSZ44" s="806"/>
      <c r="NTA44" s="806"/>
      <c r="NTB44" s="806"/>
      <c r="NTC44" s="806"/>
      <c r="NTD44" s="806"/>
      <c r="NTE44" s="806"/>
      <c r="NTF44" s="806"/>
      <c r="NTG44" s="806"/>
      <c r="NTH44" s="806"/>
      <c r="NTI44" s="806"/>
      <c r="NTJ44" s="806"/>
      <c r="NTK44" s="806"/>
      <c r="NTL44" s="806"/>
      <c r="NTM44" s="806"/>
      <c r="NTN44" s="806"/>
      <c r="NTO44" s="806"/>
      <c r="NTP44" s="806"/>
      <c r="NTQ44" s="806"/>
      <c r="NTR44" s="806"/>
      <c r="NTS44" s="806"/>
      <c r="NTT44" s="806"/>
      <c r="NTU44" s="806"/>
      <c r="NTV44" s="806"/>
      <c r="NTW44" s="806"/>
      <c r="NTX44" s="806"/>
      <c r="NTY44" s="806"/>
      <c r="NTZ44" s="806"/>
      <c r="NUA44" s="806"/>
      <c r="NUB44" s="806"/>
      <c r="NUC44" s="806"/>
      <c r="NUD44" s="806"/>
      <c r="NUE44" s="806"/>
      <c r="NUF44" s="806"/>
      <c r="NUG44" s="806"/>
      <c r="NUH44" s="806"/>
      <c r="NUI44" s="806"/>
      <c r="NUJ44" s="806"/>
      <c r="NUK44" s="806"/>
      <c r="NUL44" s="806"/>
      <c r="NUM44" s="806"/>
      <c r="NUN44" s="806"/>
      <c r="NUO44" s="806"/>
      <c r="NUP44" s="806"/>
      <c r="NUQ44" s="806"/>
      <c r="NUR44" s="806"/>
      <c r="NUS44" s="806"/>
      <c r="NUT44" s="806"/>
      <c r="NUU44" s="806"/>
      <c r="NUV44" s="806"/>
      <c r="NUW44" s="806"/>
      <c r="NUX44" s="806"/>
      <c r="NUY44" s="806"/>
      <c r="NUZ44" s="806"/>
      <c r="NVA44" s="806"/>
      <c r="NVB44" s="806"/>
      <c r="NVC44" s="806"/>
      <c r="NVD44" s="806"/>
      <c r="NVE44" s="806"/>
      <c r="NVF44" s="806"/>
      <c r="NVG44" s="806"/>
      <c r="NVH44" s="806"/>
      <c r="NVI44" s="806"/>
      <c r="NVJ44" s="806"/>
      <c r="NVK44" s="806"/>
      <c r="NVL44" s="806"/>
      <c r="NVM44" s="806"/>
      <c r="NVN44" s="806"/>
      <c r="NVO44" s="806"/>
      <c r="NVP44" s="806"/>
      <c r="NVQ44" s="806"/>
      <c r="NVR44" s="806"/>
      <c r="NVS44" s="806"/>
      <c r="NVT44" s="806"/>
      <c r="NVU44" s="806"/>
      <c r="NVV44" s="806"/>
      <c r="NVW44" s="806"/>
      <c r="NVX44" s="806"/>
      <c r="NVY44" s="806"/>
      <c r="NVZ44" s="806"/>
      <c r="NWA44" s="806"/>
      <c r="NWB44" s="806"/>
      <c r="NWC44" s="806"/>
      <c r="NWD44" s="806"/>
      <c r="NWE44" s="806"/>
      <c r="NWF44" s="806"/>
      <c r="NWG44" s="806"/>
      <c r="NWH44" s="806"/>
      <c r="NWI44" s="806"/>
      <c r="NWJ44" s="806"/>
      <c r="NWK44" s="806"/>
      <c r="NWL44" s="806"/>
      <c r="NWM44" s="806"/>
      <c r="NWN44" s="806"/>
      <c r="NWO44" s="806"/>
      <c r="NWP44" s="806"/>
      <c r="NWQ44" s="806"/>
      <c r="NWR44" s="806"/>
      <c r="NWS44" s="806"/>
      <c r="NWT44" s="806"/>
      <c r="NWU44" s="806"/>
      <c r="NWV44" s="806"/>
      <c r="NWW44" s="806"/>
      <c r="NWX44" s="806"/>
      <c r="NWY44" s="806"/>
      <c r="NWZ44" s="806"/>
      <c r="NXA44" s="806"/>
      <c r="NXB44" s="806"/>
      <c r="NXC44" s="806"/>
      <c r="NXD44" s="806"/>
      <c r="NXE44" s="806"/>
      <c r="NXF44" s="806"/>
      <c r="NXG44" s="806"/>
      <c r="NXH44" s="806"/>
      <c r="NXI44" s="806"/>
      <c r="NXJ44" s="806"/>
      <c r="NXK44" s="806"/>
      <c r="NXL44" s="806"/>
      <c r="NXM44" s="806"/>
      <c r="NXN44" s="806"/>
      <c r="NXO44" s="806"/>
      <c r="NXP44" s="806"/>
      <c r="NXQ44" s="806"/>
      <c r="NXR44" s="806"/>
      <c r="NXS44" s="806"/>
      <c r="NXT44" s="806"/>
      <c r="NXU44" s="806"/>
      <c r="NXV44" s="806"/>
      <c r="NXW44" s="806"/>
      <c r="NXX44" s="806"/>
      <c r="NXY44" s="806"/>
      <c r="NXZ44" s="806"/>
      <c r="NYA44" s="806"/>
      <c r="NYB44" s="806"/>
      <c r="NYC44" s="806"/>
      <c r="NYD44" s="806"/>
      <c r="NYE44" s="806"/>
      <c r="NYF44" s="806"/>
      <c r="NYG44" s="806"/>
      <c r="NYH44" s="806"/>
      <c r="NYI44" s="806"/>
      <c r="NYJ44" s="806"/>
      <c r="NYK44" s="806"/>
      <c r="NYL44" s="806"/>
      <c r="NYM44" s="806"/>
      <c r="NYN44" s="806"/>
      <c r="NYO44" s="806"/>
      <c r="NYP44" s="806"/>
      <c r="NYQ44" s="806"/>
      <c r="NYR44" s="806"/>
      <c r="NYS44" s="806"/>
      <c r="NYT44" s="806"/>
      <c r="NYU44" s="806"/>
      <c r="NYV44" s="806"/>
      <c r="NYW44" s="806"/>
      <c r="NYX44" s="806"/>
      <c r="NYY44" s="806"/>
      <c r="NYZ44" s="806"/>
      <c r="NZA44" s="806"/>
      <c r="NZB44" s="806"/>
      <c r="NZC44" s="806"/>
      <c r="NZD44" s="806"/>
      <c r="NZE44" s="806"/>
      <c r="NZF44" s="806"/>
      <c r="NZG44" s="806"/>
      <c r="NZH44" s="806"/>
      <c r="NZI44" s="806"/>
      <c r="NZJ44" s="806"/>
      <c r="NZK44" s="806"/>
      <c r="NZL44" s="806"/>
      <c r="NZM44" s="806"/>
      <c r="NZN44" s="806"/>
      <c r="NZO44" s="806"/>
      <c r="NZP44" s="806"/>
      <c r="NZQ44" s="806"/>
      <c r="NZR44" s="806"/>
      <c r="NZS44" s="806"/>
      <c r="NZT44" s="806"/>
      <c r="NZU44" s="806"/>
      <c r="NZV44" s="806"/>
      <c r="NZW44" s="806"/>
      <c r="NZX44" s="806"/>
      <c r="NZY44" s="806"/>
      <c r="NZZ44" s="806"/>
      <c r="OAA44" s="806"/>
      <c r="OAB44" s="806"/>
      <c r="OAC44" s="806"/>
      <c r="OAD44" s="806"/>
      <c r="OAE44" s="806"/>
      <c r="OAF44" s="806"/>
      <c r="OAG44" s="806"/>
      <c r="OAH44" s="806"/>
      <c r="OAI44" s="806"/>
      <c r="OAJ44" s="806"/>
      <c r="OAK44" s="806"/>
      <c r="OAL44" s="806"/>
      <c r="OAM44" s="806"/>
      <c r="OAN44" s="806"/>
      <c r="OAO44" s="806"/>
      <c r="OAP44" s="806"/>
      <c r="OAQ44" s="806"/>
      <c r="OAR44" s="806"/>
      <c r="OAS44" s="806"/>
      <c r="OAT44" s="806"/>
      <c r="OAU44" s="806"/>
      <c r="OAV44" s="806"/>
      <c r="OAW44" s="806"/>
      <c r="OAX44" s="806"/>
      <c r="OAY44" s="806"/>
      <c r="OAZ44" s="806"/>
      <c r="OBA44" s="806"/>
      <c r="OBB44" s="806"/>
      <c r="OBC44" s="806"/>
      <c r="OBD44" s="806"/>
      <c r="OBE44" s="806"/>
      <c r="OBF44" s="806"/>
      <c r="OBG44" s="806"/>
      <c r="OBH44" s="806"/>
      <c r="OBI44" s="806"/>
      <c r="OBJ44" s="806"/>
      <c r="OBK44" s="806"/>
      <c r="OBL44" s="806"/>
      <c r="OBM44" s="806"/>
      <c r="OBN44" s="806"/>
      <c r="OBO44" s="806"/>
      <c r="OBP44" s="806"/>
      <c r="OBQ44" s="806"/>
      <c r="OBR44" s="806"/>
      <c r="OBS44" s="806"/>
      <c r="OBT44" s="806"/>
      <c r="OBU44" s="806"/>
      <c r="OBV44" s="806"/>
      <c r="OBW44" s="806"/>
      <c r="OBX44" s="806"/>
      <c r="OBY44" s="806"/>
      <c r="OBZ44" s="806"/>
      <c r="OCA44" s="806"/>
      <c r="OCB44" s="806"/>
      <c r="OCC44" s="806"/>
      <c r="OCD44" s="806"/>
      <c r="OCE44" s="806"/>
      <c r="OCF44" s="806"/>
      <c r="OCG44" s="806"/>
      <c r="OCH44" s="806"/>
      <c r="OCI44" s="806"/>
      <c r="OCJ44" s="806"/>
      <c r="OCK44" s="806"/>
      <c r="OCL44" s="806"/>
      <c r="OCM44" s="806"/>
      <c r="OCN44" s="806"/>
      <c r="OCO44" s="806"/>
      <c r="OCP44" s="806"/>
      <c r="OCQ44" s="806"/>
      <c r="OCR44" s="806"/>
      <c r="OCS44" s="806"/>
      <c r="OCT44" s="806"/>
      <c r="OCU44" s="806"/>
      <c r="OCV44" s="806"/>
      <c r="OCW44" s="806"/>
      <c r="OCX44" s="806"/>
      <c r="OCY44" s="806"/>
      <c r="OCZ44" s="806"/>
      <c r="ODA44" s="806"/>
      <c r="ODB44" s="806"/>
      <c r="ODC44" s="806"/>
      <c r="ODD44" s="806"/>
      <c r="ODE44" s="806"/>
      <c r="ODF44" s="806"/>
      <c r="ODG44" s="806"/>
      <c r="ODH44" s="806"/>
      <c r="ODI44" s="806"/>
      <c r="ODJ44" s="806"/>
      <c r="ODK44" s="806"/>
      <c r="ODL44" s="806"/>
      <c r="ODM44" s="806"/>
      <c r="ODN44" s="806"/>
      <c r="ODO44" s="806"/>
      <c r="ODP44" s="806"/>
      <c r="ODQ44" s="806"/>
      <c r="ODR44" s="806"/>
      <c r="ODS44" s="806"/>
      <c r="ODT44" s="806"/>
      <c r="ODU44" s="806"/>
      <c r="ODV44" s="806"/>
      <c r="ODW44" s="806"/>
      <c r="ODX44" s="806"/>
      <c r="ODY44" s="806"/>
      <c r="ODZ44" s="806"/>
      <c r="OEA44" s="806"/>
      <c r="OEB44" s="806"/>
      <c r="OEC44" s="806"/>
      <c r="OED44" s="806"/>
      <c r="OEE44" s="806"/>
      <c r="OEF44" s="806"/>
      <c r="OEG44" s="806"/>
      <c r="OEH44" s="806"/>
      <c r="OEI44" s="806"/>
      <c r="OEJ44" s="806"/>
      <c r="OEK44" s="806"/>
      <c r="OEL44" s="806"/>
      <c r="OEM44" s="806"/>
      <c r="OEN44" s="806"/>
      <c r="OEO44" s="806"/>
      <c r="OEP44" s="806"/>
      <c r="OEQ44" s="806"/>
      <c r="OER44" s="806"/>
      <c r="OES44" s="806"/>
      <c r="OET44" s="806"/>
      <c r="OEU44" s="806"/>
      <c r="OEV44" s="806"/>
      <c r="OEW44" s="806"/>
      <c r="OEX44" s="806"/>
      <c r="OEY44" s="806"/>
      <c r="OEZ44" s="806"/>
      <c r="OFA44" s="806"/>
      <c r="OFB44" s="806"/>
      <c r="OFC44" s="806"/>
      <c r="OFD44" s="806"/>
      <c r="OFE44" s="806"/>
      <c r="OFF44" s="806"/>
      <c r="OFG44" s="806"/>
      <c r="OFH44" s="806"/>
      <c r="OFI44" s="806"/>
      <c r="OFJ44" s="806"/>
      <c r="OFK44" s="806"/>
      <c r="OFL44" s="806"/>
      <c r="OFM44" s="806"/>
      <c r="OFN44" s="806"/>
      <c r="OFO44" s="806"/>
      <c r="OFP44" s="806"/>
      <c r="OFQ44" s="806"/>
      <c r="OFR44" s="806"/>
      <c r="OFS44" s="806"/>
      <c r="OFT44" s="806"/>
      <c r="OFU44" s="806"/>
      <c r="OFV44" s="806"/>
      <c r="OFW44" s="806"/>
      <c r="OFX44" s="806"/>
      <c r="OFY44" s="806"/>
      <c r="OFZ44" s="806"/>
      <c r="OGA44" s="806"/>
      <c r="OGB44" s="806"/>
      <c r="OGC44" s="806"/>
      <c r="OGD44" s="806"/>
      <c r="OGE44" s="806"/>
      <c r="OGF44" s="806"/>
      <c r="OGG44" s="806"/>
      <c r="OGH44" s="806"/>
      <c r="OGI44" s="806"/>
      <c r="OGJ44" s="806"/>
      <c r="OGK44" s="806"/>
      <c r="OGL44" s="806"/>
      <c r="OGM44" s="806"/>
      <c r="OGN44" s="806"/>
      <c r="OGO44" s="806"/>
      <c r="OGP44" s="806"/>
      <c r="OGQ44" s="806"/>
      <c r="OGR44" s="806"/>
      <c r="OGS44" s="806"/>
      <c r="OGT44" s="806"/>
      <c r="OGU44" s="806"/>
      <c r="OGV44" s="806"/>
      <c r="OGW44" s="806"/>
      <c r="OGX44" s="806"/>
      <c r="OGY44" s="806"/>
      <c r="OGZ44" s="806"/>
      <c r="OHA44" s="806"/>
      <c r="OHB44" s="806"/>
      <c r="OHC44" s="806"/>
      <c r="OHD44" s="806"/>
      <c r="OHE44" s="806"/>
      <c r="OHF44" s="806"/>
      <c r="OHG44" s="806"/>
      <c r="OHH44" s="806"/>
      <c r="OHI44" s="806"/>
      <c r="OHJ44" s="806"/>
      <c r="OHK44" s="806"/>
      <c r="OHL44" s="806"/>
      <c r="OHM44" s="806"/>
      <c r="OHN44" s="806"/>
      <c r="OHO44" s="806"/>
      <c r="OHP44" s="806"/>
      <c r="OHQ44" s="806"/>
      <c r="OHR44" s="806"/>
      <c r="OHS44" s="806"/>
      <c r="OHT44" s="806"/>
      <c r="OHU44" s="806"/>
      <c r="OHV44" s="806"/>
      <c r="OHW44" s="806"/>
      <c r="OHX44" s="806"/>
      <c r="OHY44" s="806"/>
      <c r="OHZ44" s="806"/>
      <c r="OIA44" s="806"/>
      <c r="OIB44" s="806"/>
      <c r="OIC44" s="806"/>
      <c r="OID44" s="806"/>
      <c r="OIE44" s="806"/>
      <c r="OIF44" s="806"/>
      <c r="OIG44" s="806"/>
      <c r="OIH44" s="806"/>
      <c r="OII44" s="806"/>
      <c r="OIJ44" s="806"/>
      <c r="OIK44" s="806"/>
      <c r="OIL44" s="806"/>
      <c r="OIM44" s="806"/>
      <c r="OIN44" s="806"/>
      <c r="OIO44" s="806"/>
      <c r="OIP44" s="806"/>
      <c r="OIQ44" s="806"/>
      <c r="OIR44" s="806"/>
      <c r="OIS44" s="806"/>
      <c r="OIT44" s="806"/>
      <c r="OIU44" s="806"/>
      <c r="OIV44" s="806"/>
      <c r="OIW44" s="806"/>
      <c r="OIX44" s="806"/>
      <c r="OIY44" s="806"/>
      <c r="OIZ44" s="806"/>
      <c r="OJA44" s="806"/>
      <c r="OJB44" s="806"/>
      <c r="OJC44" s="806"/>
      <c r="OJD44" s="806"/>
      <c r="OJE44" s="806"/>
      <c r="OJF44" s="806"/>
      <c r="OJG44" s="806"/>
      <c r="OJH44" s="806"/>
      <c r="OJI44" s="806"/>
      <c r="OJJ44" s="806"/>
      <c r="OJK44" s="806"/>
      <c r="OJL44" s="806"/>
      <c r="OJM44" s="806"/>
      <c r="OJN44" s="806"/>
      <c r="OJO44" s="806"/>
      <c r="OJP44" s="806"/>
      <c r="OJQ44" s="806"/>
      <c r="OJR44" s="806"/>
      <c r="OJS44" s="806"/>
      <c r="OJT44" s="806"/>
      <c r="OJU44" s="806"/>
      <c r="OJV44" s="806"/>
      <c r="OJW44" s="806"/>
      <c r="OJX44" s="806"/>
      <c r="OJY44" s="806"/>
      <c r="OJZ44" s="806"/>
      <c r="OKA44" s="806"/>
      <c r="OKB44" s="806"/>
      <c r="OKC44" s="806"/>
      <c r="OKD44" s="806"/>
      <c r="OKE44" s="806"/>
      <c r="OKF44" s="806"/>
      <c r="OKG44" s="806"/>
      <c r="OKH44" s="806"/>
      <c r="OKI44" s="806"/>
      <c r="OKJ44" s="806"/>
      <c r="OKK44" s="806"/>
      <c r="OKL44" s="806"/>
      <c r="OKM44" s="806"/>
      <c r="OKN44" s="806"/>
      <c r="OKO44" s="806"/>
      <c r="OKP44" s="806"/>
      <c r="OKQ44" s="806"/>
      <c r="OKR44" s="806"/>
      <c r="OKS44" s="806"/>
      <c r="OKT44" s="806"/>
      <c r="OKU44" s="806"/>
      <c r="OKV44" s="806"/>
      <c r="OKW44" s="806"/>
      <c r="OKX44" s="806"/>
      <c r="OKY44" s="806"/>
      <c r="OKZ44" s="806"/>
      <c r="OLA44" s="806"/>
      <c r="OLB44" s="806"/>
      <c r="OLC44" s="806"/>
      <c r="OLD44" s="806"/>
      <c r="OLE44" s="806"/>
      <c r="OLF44" s="806"/>
      <c r="OLG44" s="806"/>
      <c r="OLH44" s="806"/>
      <c r="OLI44" s="806"/>
      <c r="OLJ44" s="806"/>
      <c r="OLK44" s="806"/>
      <c r="OLL44" s="806"/>
      <c r="OLM44" s="806"/>
      <c r="OLN44" s="806"/>
      <c r="OLO44" s="806"/>
      <c r="OLP44" s="806"/>
      <c r="OLQ44" s="806"/>
      <c r="OLR44" s="806"/>
      <c r="OLS44" s="806"/>
      <c r="OLT44" s="806"/>
      <c r="OLU44" s="806"/>
      <c r="OLV44" s="806"/>
      <c r="OLW44" s="806"/>
      <c r="OLX44" s="806"/>
      <c r="OLY44" s="806"/>
      <c r="OLZ44" s="806"/>
      <c r="OMA44" s="806"/>
      <c r="OMB44" s="806"/>
      <c r="OMC44" s="806"/>
      <c r="OMD44" s="806"/>
      <c r="OME44" s="806"/>
      <c r="OMF44" s="806"/>
      <c r="OMG44" s="806"/>
      <c r="OMH44" s="806"/>
      <c r="OMI44" s="806"/>
      <c r="OMJ44" s="806"/>
      <c r="OMK44" s="806"/>
      <c r="OML44" s="806"/>
      <c r="OMM44" s="806"/>
      <c r="OMN44" s="806"/>
      <c r="OMO44" s="806"/>
      <c r="OMP44" s="806"/>
      <c r="OMQ44" s="806"/>
      <c r="OMR44" s="806"/>
      <c r="OMS44" s="806"/>
      <c r="OMT44" s="806"/>
      <c r="OMU44" s="806"/>
      <c r="OMV44" s="806"/>
      <c r="OMW44" s="806"/>
      <c r="OMX44" s="806"/>
      <c r="OMY44" s="806"/>
      <c r="OMZ44" s="806"/>
      <c r="ONA44" s="806"/>
      <c r="ONB44" s="806"/>
      <c r="ONC44" s="806"/>
      <c r="OND44" s="806"/>
      <c r="ONE44" s="806"/>
      <c r="ONF44" s="806"/>
      <c r="ONG44" s="806"/>
      <c r="ONH44" s="806"/>
      <c r="ONI44" s="806"/>
      <c r="ONJ44" s="806"/>
      <c r="ONK44" s="806"/>
      <c r="ONL44" s="806"/>
      <c r="ONM44" s="806"/>
      <c r="ONN44" s="806"/>
      <c r="ONO44" s="806"/>
      <c r="ONP44" s="806"/>
      <c r="ONQ44" s="806"/>
      <c r="ONR44" s="806"/>
      <c r="ONS44" s="806"/>
      <c r="ONT44" s="806"/>
      <c r="ONU44" s="806"/>
      <c r="ONV44" s="806"/>
      <c r="ONW44" s="806"/>
      <c r="ONX44" s="806"/>
      <c r="ONY44" s="806"/>
      <c r="ONZ44" s="806"/>
      <c r="OOA44" s="806"/>
      <c r="OOB44" s="806"/>
      <c r="OOC44" s="806"/>
      <c r="OOD44" s="806"/>
      <c r="OOE44" s="806"/>
      <c r="OOF44" s="806"/>
      <c r="OOG44" s="806"/>
      <c r="OOH44" s="806"/>
      <c r="OOI44" s="806"/>
      <c r="OOJ44" s="806"/>
      <c r="OOK44" s="806"/>
      <c r="OOL44" s="806"/>
      <c r="OOM44" s="806"/>
      <c r="OON44" s="806"/>
      <c r="OOO44" s="806"/>
      <c r="OOP44" s="806"/>
      <c r="OOQ44" s="806"/>
      <c r="OOR44" s="806"/>
      <c r="OOS44" s="806"/>
      <c r="OOT44" s="806"/>
      <c r="OOU44" s="806"/>
      <c r="OOV44" s="806"/>
      <c r="OOW44" s="806"/>
      <c r="OOX44" s="806"/>
      <c r="OOY44" s="806"/>
      <c r="OOZ44" s="806"/>
      <c r="OPA44" s="806"/>
      <c r="OPB44" s="806"/>
      <c r="OPC44" s="806"/>
      <c r="OPD44" s="806"/>
      <c r="OPE44" s="806"/>
      <c r="OPF44" s="806"/>
      <c r="OPG44" s="806"/>
      <c r="OPH44" s="806"/>
      <c r="OPI44" s="806"/>
      <c r="OPJ44" s="806"/>
      <c r="OPK44" s="806"/>
      <c r="OPL44" s="806"/>
      <c r="OPM44" s="806"/>
      <c r="OPN44" s="806"/>
      <c r="OPO44" s="806"/>
      <c r="OPP44" s="806"/>
      <c r="OPQ44" s="806"/>
      <c r="OPR44" s="806"/>
      <c r="OPS44" s="806"/>
      <c r="OPT44" s="806"/>
      <c r="OPU44" s="806"/>
      <c r="OPV44" s="806"/>
      <c r="OPW44" s="806"/>
      <c r="OPX44" s="806"/>
      <c r="OPY44" s="806"/>
      <c r="OPZ44" s="806"/>
      <c r="OQA44" s="806"/>
      <c r="OQB44" s="806"/>
      <c r="OQC44" s="806"/>
      <c r="OQD44" s="806"/>
      <c r="OQE44" s="806"/>
      <c r="OQF44" s="806"/>
      <c r="OQG44" s="806"/>
      <c r="OQH44" s="806"/>
      <c r="OQI44" s="806"/>
      <c r="OQJ44" s="806"/>
      <c r="OQK44" s="806"/>
      <c r="OQL44" s="806"/>
      <c r="OQM44" s="806"/>
      <c r="OQN44" s="806"/>
      <c r="OQO44" s="806"/>
      <c r="OQP44" s="806"/>
      <c r="OQQ44" s="806"/>
      <c r="OQR44" s="806"/>
      <c r="OQS44" s="806"/>
      <c r="OQT44" s="806"/>
      <c r="OQU44" s="806"/>
      <c r="OQV44" s="806"/>
      <c r="OQW44" s="806"/>
      <c r="OQX44" s="806"/>
      <c r="OQY44" s="806"/>
      <c r="OQZ44" s="806"/>
      <c r="ORA44" s="806"/>
      <c r="ORB44" s="806"/>
      <c r="ORC44" s="806"/>
      <c r="ORD44" s="806"/>
      <c r="ORE44" s="806"/>
      <c r="ORF44" s="806"/>
      <c r="ORG44" s="806"/>
      <c r="ORH44" s="806"/>
      <c r="ORI44" s="806"/>
      <c r="ORJ44" s="806"/>
      <c r="ORK44" s="806"/>
      <c r="ORL44" s="806"/>
      <c r="ORM44" s="806"/>
      <c r="ORN44" s="806"/>
      <c r="ORO44" s="806"/>
      <c r="ORP44" s="806"/>
      <c r="ORQ44" s="806"/>
      <c r="ORR44" s="806"/>
      <c r="ORS44" s="806"/>
      <c r="ORT44" s="806"/>
      <c r="ORU44" s="806"/>
      <c r="ORV44" s="806"/>
      <c r="ORW44" s="806"/>
      <c r="ORX44" s="806"/>
      <c r="ORY44" s="806"/>
      <c r="ORZ44" s="806"/>
      <c r="OSA44" s="806"/>
      <c r="OSB44" s="806"/>
      <c r="OSC44" s="806"/>
      <c r="OSD44" s="806"/>
      <c r="OSE44" s="806"/>
      <c r="OSF44" s="806"/>
      <c r="OSG44" s="806"/>
      <c r="OSH44" s="806"/>
      <c r="OSI44" s="806"/>
      <c r="OSJ44" s="806"/>
      <c r="OSK44" s="806"/>
      <c r="OSL44" s="806"/>
      <c r="OSM44" s="806"/>
      <c r="OSN44" s="806"/>
      <c r="OSO44" s="806"/>
      <c r="OSP44" s="806"/>
      <c r="OSQ44" s="806"/>
      <c r="OSR44" s="806"/>
      <c r="OSS44" s="806"/>
      <c r="OST44" s="806"/>
      <c r="OSU44" s="806"/>
      <c r="OSV44" s="806"/>
      <c r="OSW44" s="806"/>
      <c r="OSX44" s="806"/>
      <c r="OSY44" s="806"/>
      <c r="OSZ44" s="806"/>
      <c r="OTA44" s="806"/>
      <c r="OTB44" s="806"/>
      <c r="OTC44" s="806"/>
      <c r="OTD44" s="806"/>
      <c r="OTE44" s="806"/>
      <c r="OTF44" s="806"/>
      <c r="OTG44" s="806"/>
      <c r="OTH44" s="806"/>
      <c r="OTI44" s="806"/>
      <c r="OTJ44" s="806"/>
      <c r="OTK44" s="806"/>
      <c r="OTL44" s="806"/>
      <c r="OTM44" s="806"/>
      <c r="OTN44" s="806"/>
      <c r="OTO44" s="806"/>
      <c r="OTP44" s="806"/>
      <c r="OTQ44" s="806"/>
      <c r="OTR44" s="806"/>
      <c r="OTS44" s="806"/>
      <c r="OTT44" s="806"/>
      <c r="OTU44" s="806"/>
      <c r="OTV44" s="806"/>
      <c r="OTW44" s="806"/>
      <c r="OTX44" s="806"/>
      <c r="OTY44" s="806"/>
      <c r="OTZ44" s="806"/>
      <c r="OUA44" s="806"/>
      <c r="OUB44" s="806"/>
      <c r="OUC44" s="806"/>
      <c r="OUD44" s="806"/>
      <c r="OUE44" s="806"/>
      <c r="OUF44" s="806"/>
      <c r="OUG44" s="806"/>
      <c r="OUH44" s="806"/>
      <c r="OUI44" s="806"/>
      <c r="OUJ44" s="806"/>
      <c r="OUK44" s="806"/>
      <c r="OUL44" s="806"/>
      <c r="OUM44" s="806"/>
      <c r="OUN44" s="806"/>
      <c r="OUO44" s="806"/>
      <c r="OUP44" s="806"/>
      <c r="OUQ44" s="806"/>
      <c r="OUR44" s="806"/>
      <c r="OUS44" s="806"/>
      <c r="OUT44" s="806"/>
      <c r="OUU44" s="806"/>
      <c r="OUV44" s="806"/>
      <c r="OUW44" s="806"/>
      <c r="OUX44" s="806"/>
      <c r="OUY44" s="806"/>
      <c r="OUZ44" s="806"/>
      <c r="OVA44" s="806"/>
      <c r="OVB44" s="806"/>
      <c r="OVC44" s="806"/>
      <c r="OVD44" s="806"/>
      <c r="OVE44" s="806"/>
      <c r="OVF44" s="806"/>
      <c r="OVG44" s="806"/>
      <c r="OVH44" s="806"/>
      <c r="OVI44" s="806"/>
      <c r="OVJ44" s="806"/>
      <c r="OVK44" s="806"/>
      <c r="OVL44" s="806"/>
      <c r="OVM44" s="806"/>
      <c r="OVN44" s="806"/>
      <c r="OVO44" s="806"/>
      <c r="OVP44" s="806"/>
      <c r="OVQ44" s="806"/>
      <c r="OVR44" s="806"/>
      <c r="OVS44" s="806"/>
      <c r="OVT44" s="806"/>
      <c r="OVU44" s="806"/>
      <c r="OVV44" s="806"/>
      <c r="OVW44" s="806"/>
      <c r="OVX44" s="806"/>
      <c r="OVY44" s="806"/>
      <c r="OVZ44" s="806"/>
      <c r="OWA44" s="806"/>
      <c r="OWB44" s="806"/>
      <c r="OWC44" s="806"/>
      <c r="OWD44" s="806"/>
      <c r="OWE44" s="806"/>
      <c r="OWF44" s="806"/>
      <c r="OWG44" s="806"/>
      <c r="OWH44" s="806"/>
      <c r="OWI44" s="806"/>
      <c r="OWJ44" s="806"/>
      <c r="OWK44" s="806"/>
      <c r="OWL44" s="806"/>
      <c r="OWM44" s="806"/>
      <c r="OWN44" s="806"/>
      <c r="OWO44" s="806"/>
      <c r="OWP44" s="806"/>
      <c r="OWQ44" s="806"/>
      <c r="OWR44" s="806"/>
      <c r="OWS44" s="806"/>
      <c r="OWT44" s="806"/>
      <c r="OWU44" s="806"/>
      <c r="OWV44" s="806"/>
      <c r="OWW44" s="806"/>
      <c r="OWX44" s="806"/>
      <c r="OWY44" s="806"/>
      <c r="OWZ44" s="806"/>
      <c r="OXA44" s="806"/>
      <c r="OXB44" s="806"/>
      <c r="OXC44" s="806"/>
      <c r="OXD44" s="806"/>
      <c r="OXE44" s="806"/>
      <c r="OXF44" s="806"/>
      <c r="OXG44" s="806"/>
      <c r="OXH44" s="806"/>
      <c r="OXI44" s="806"/>
      <c r="OXJ44" s="806"/>
      <c r="OXK44" s="806"/>
      <c r="OXL44" s="806"/>
      <c r="OXM44" s="806"/>
      <c r="OXN44" s="806"/>
      <c r="OXO44" s="806"/>
      <c r="OXP44" s="806"/>
      <c r="OXQ44" s="806"/>
      <c r="OXR44" s="806"/>
      <c r="OXS44" s="806"/>
      <c r="OXT44" s="806"/>
      <c r="OXU44" s="806"/>
      <c r="OXV44" s="806"/>
      <c r="OXW44" s="806"/>
      <c r="OXX44" s="806"/>
      <c r="OXY44" s="806"/>
      <c r="OXZ44" s="806"/>
      <c r="OYA44" s="806"/>
      <c r="OYB44" s="806"/>
      <c r="OYC44" s="806"/>
      <c r="OYD44" s="806"/>
      <c r="OYE44" s="806"/>
      <c r="OYF44" s="806"/>
      <c r="OYG44" s="806"/>
      <c r="OYH44" s="806"/>
      <c r="OYI44" s="806"/>
      <c r="OYJ44" s="806"/>
      <c r="OYK44" s="806"/>
      <c r="OYL44" s="806"/>
      <c r="OYM44" s="806"/>
      <c r="OYN44" s="806"/>
      <c r="OYO44" s="806"/>
      <c r="OYP44" s="806"/>
      <c r="OYQ44" s="806"/>
      <c r="OYR44" s="806"/>
      <c r="OYS44" s="806"/>
      <c r="OYT44" s="806"/>
      <c r="OYU44" s="806"/>
      <c r="OYV44" s="806"/>
      <c r="OYW44" s="806"/>
      <c r="OYX44" s="806"/>
      <c r="OYY44" s="806"/>
      <c r="OYZ44" s="806"/>
      <c r="OZA44" s="806"/>
      <c r="OZB44" s="806"/>
      <c r="OZC44" s="806"/>
      <c r="OZD44" s="806"/>
      <c r="OZE44" s="806"/>
      <c r="OZF44" s="806"/>
      <c r="OZG44" s="806"/>
      <c r="OZH44" s="806"/>
      <c r="OZI44" s="806"/>
      <c r="OZJ44" s="806"/>
      <c r="OZK44" s="806"/>
      <c r="OZL44" s="806"/>
      <c r="OZM44" s="806"/>
      <c r="OZN44" s="806"/>
      <c r="OZO44" s="806"/>
      <c r="OZP44" s="806"/>
      <c r="OZQ44" s="806"/>
      <c r="OZR44" s="806"/>
      <c r="OZS44" s="806"/>
      <c r="OZT44" s="806"/>
      <c r="OZU44" s="806"/>
      <c r="OZV44" s="806"/>
      <c r="OZW44" s="806"/>
      <c r="OZX44" s="806"/>
      <c r="OZY44" s="806"/>
      <c r="OZZ44" s="806"/>
      <c r="PAA44" s="806"/>
      <c r="PAB44" s="806"/>
      <c r="PAC44" s="806"/>
      <c r="PAD44" s="806"/>
      <c r="PAE44" s="806"/>
      <c r="PAF44" s="806"/>
      <c r="PAG44" s="806"/>
      <c r="PAH44" s="806"/>
      <c r="PAI44" s="806"/>
      <c r="PAJ44" s="806"/>
      <c r="PAK44" s="806"/>
      <c r="PAL44" s="806"/>
      <c r="PAM44" s="806"/>
      <c r="PAN44" s="806"/>
      <c r="PAO44" s="806"/>
      <c r="PAP44" s="806"/>
      <c r="PAQ44" s="806"/>
      <c r="PAR44" s="806"/>
      <c r="PAS44" s="806"/>
      <c r="PAT44" s="806"/>
      <c r="PAU44" s="806"/>
      <c r="PAV44" s="806"/>
      <c r="PAW44" s="806"/>
      <c r="PAX44" s="806"/>
      <c r="PAY44" s="806"/>
      <c r="PAZ44" s="806"/>
      <c r="PBA44" s="806"/>
      <c r="PBB44" s="806"/>
      <c r="PBC44" s="806"/>
      <c r="PBD44" s="806"/>
      <c r="PBE44" s="806"/>
      <c r="PBF44" s="806"/>
      <c r="PBG44" s="806"/>
      <c r="PBH44" s="806"/>
      <c r="PBI44" s="806"/>
      <c r="PBJ44" s="806"/>
      <c r="PBK44" s="806"/>
      <c r="PBL44" s="806"/>
      <c r="PBM44" s="806"/>
      <c r="PBN44" s="806"/>
      <c r="PBO44" s="806"/>
      <c r="PBP44" s="806"/>
      <c r="PBQ44" s="806"/>
      <c r="PBR44" s="806"/>
      <c r="PBS44" s="806"/>
      <c r="PBT44" s="806"/>
      <c r="PBU44" s="806"/>
      <c r="PBV44" s="806"/>
      <c r="PBW44" s="806"/>
      <c r="PBX44" s="806"/>
      <c r="PBY44" s="806"/>
      <c r="PBZ44" s="806"/>
      <c r="PCA44" s="806"/>
      <c r="PCB44" s="806"/>
      <c r="PCC44" s="806"/>
      <c r="PCD44" s="806"/>
      <c r="PCE44" s="806"/>
      <c r="PCF44" s="806"/>
      <c r="PCG44" s="806"/>
      <c r="PCH44" s="806"/>
      <c r="PCI44" s="806"/>
      <c r="PCJ44" s="806"/>
      <c r="PCK44" s="806"/>
      <c r="PCL44" s="806"/>
      <c r="PCM44" s="806"/>
      <c r="PCN44" s="806"/>
      <c r="PCO44" s="806"/>
      <c r="PCP44" s="806"/>
      <c r="PCQ44" s="806"/>
      <c r="PCR44" s="806"/>
      <c r="PCS44" s="806"/>
      <c r="PCT44" s="806"/>
      <c r="PCU44" s="806"/>
      <c r="PCV44" s="806"/>
      <c r="PCW44" s="806"/>
      <c r="PCX44" s="806"/>
      <c r="PCY44" s="806"/>
      <c r="PCZ44" s="806"/>
      <c r="PDA44" s="806"/>
      <c r="PDB44" s="806"/>
      <c r="PDC44" s="806"/>
      <c r="PDD44" s="806"/>
      <c r="PDE44" s="806"/>
      <c r="PDF44" s="806"/>
      <c r="PDG44" s="806"/>
      <c r="PDH44" s="806"/>
      <c r="PDI44" s="806"/>
      <c r="PDJ44" s="806"/>
      <c r="PDK44" s="806"/>
      <c r="PDL44" s="806"/>
      <c r="PDM44" s="806"/>
      <c r="PDN44" s="806"/>
      <c r="PDO44" s="806"/>
      <c r="PDP44" s="806"/>
      <c r="PDQ44" s="806"/>
      <c r="PDR44" s="806"/>
      <c r="PDS44" s="806"/>
      <c r="PDT44" s="806"/>
      <c r="PDU44" s="806"/>
      <c r="PDV44" s="806"/>
      <c r="PDW44" s="806"/>
      <c r="PDX44" s="806"/>
      <c r="PDY44" s="806"/>
      <c r="PDZ44" s="806"/>
      <c r="PEA44" s="806"/>
      <c r="PEB44" s="806"/>
      <c r="PEC44" s="806"/>
      <c r="PED44" s="806"/>
      <c r="PEE44" s="806"/>
      <c r="PEF44" s="806"/>
      <c r="PEG44" s="806"/>
      <c r="PEH44" s="806"/>
      <c r="PEI44" s="806"/>
      <c r="PEJ44" s="806"/>
      <c r="PEK44" s="806"/>
      <c r="PEL44" s="806"/>
      <c r="PEM44" s="806"/>
      <c r="PEN44" s="806"/>
      <c r="PEO44" s="806"/>
      <c r="PEP44" s="806"/>
      <c r="PEQ44" s="806"/>
      <c r="PER44" s="806"/>
      <c r="PES44" s="806"/>
      <c r="PET44" s="806"/>
      <c r="PEU44" s="806"/>
      <c r="PEV44" s="806"/>
      <c r="PEW44" s="806"/>
      <c r="PEX44" s="806"/>
      <c r="PEY44" s="806"/>
      <c r="PEZ44" s="806"/>
      <c r="PFA44" s="806"/>
      <c r="PFB44" s="806"/>
      <c r="PFC44" s="806"/>
      <c r="PFD44" s="806"/>
      <c r="PFE44" s="806"/>
      <c r="PFF44" s="806"/>
      <c r="PFG44" s="806"/>
      <c r="PFH44" s="806"/>
      <c r="PFI44" s="806"/>
      <c r="PFJ44" s="806"/>
      <c r="PFK44" s="806"/>
      <c r="PFL44" s="806"/>
      <c r="PFM44" s="806"/>
      <c r="PFN44" s="806"/>
      <c r="PFO44" s="806"/>
      <c r="PFP44" s="806"/>
      <c r="PFQ44" s="806"/>
      <c r="PFR44" s="806"/>
      <c r="PFS44" s="806"/>
      <c r="PFT44" s="806"/>
      <c r="PFU44" s="806"/>
      <c r="PFV44" s="806"/>
      <c r="PFW44" s="806"/>
      <c r="PFX44" s="806"/>
      <c r="PFY44" s="806"/>
      <c r="PFZ44" s="806"/>
      <c r="PGA44" s="806"/>
      <c r="PGB44" s="806"/>
      <c r="PGC44" s="806"/>
      <c r="PGD44" s="806"/>
      <c r="PGE44" s="806"/>
      <c r="PGF44" s="806"/>
      <c r="PGG44" s="806"/>
      <c r="PGH44" s="806"/>
      <c r="PGI44" s="806"/>
      <c r="PGJ44" s="806"/>
      <c r="PGK44" s="806"/>
      <c r="PGL44" s="806"/>
      <c r="PGM44" s="806"/>
      <c r="PGN44" s="806"/>
      <c r="PGO44" s="806"/>
      <c r="PGP44" s="806"/>
      <c r="PGQ44" s="806"/>
      <c r="PGR44" s="806"/>
      <c r="PGS44" s="806"/>
      <c r="PGT44" s="806"/>
      <c r="PGU44" s="806"/>
      <c r="PGV44" s="806"/>
      <c r="PGW44" s="806"/>
      <c r="PGX44" s="806"/>
      <c r="PGY44" s="806"/>
      <c r="PGZ44" s="806"/>
      <c r="PHA44" s="806"/>
      <c r="PHB44" s="806"/>
      <c r="PHC44" s="806"/>
      <c r="PHD44" s="806"/>
      <c r="PHE44" s="806"/>
      <c r="PHF44" s="806"/>
      <c r="PHG44" s="806"/>
      <c r="PHH44" s="806"/>
      <c r="PHI44" s="806"/>
      <c r="PHJ44" s="806"/>
      <c r="PHK44" s="806"/>
      <c r="PHL44" s="806"/>
      <c r="PHM44" s="806"/>
      <c r="PHN44" s="806"/>
      <c r="PHO44" s="806"/>
      <c r="PHP44" s="806"/>
      <c r="PHQ44" s="806"/>
      <c r="PHR44" s="806"/>
      <c r="PHS44" s="806"/>
      <c r="PHT44" s="806"/>
      <c r="PHU44" s="806"/>
      <c r="PHV44" s="806"/>
      <c r="PHW44" s="806"/>
      <c r="PHX44" s="806"/>
      <c r="PHY44" s="806"/>
      <c r="PHZ44" s="806"/>
      <c r="PIA44" s="806"/>
      <c r="PIB44" s="806"/>
      <c r="PIC44" s="806"/>
      <c r="PID44" s="806"/>
      <c r="PIE44" s="806"/>
      <c r="PIF44" s="806"/>
      <c r="PIG44" s="806"/>
      <c r="PIH44" s="806"/>
      <c r="PII44" s="806"/>
      <c r="PIJ44" s="806"/>
      <c r="PIK44" s="806"/>
      <c r="PIL44" s="806"/>
      <c r="PIM44" s="806"/>
      <c r="PIN44" s="806"/>
      <c r="PIO44" s="806"/>
      <c r="PIP44" s="806"/>
      <c r="PIQ44" s="806"/>
      <c r="PIR44" s="806"/>
      <c r="PIS44" s="806"/>
      <c r="PIT44" s="806"/>
      <c r="PIU44" s="806"/>
      <c r="PIV44" s="806"/>
      <c r="PIW44" s="806"/>
      <c r="PIX44" s="806"/>
      <c r="PIY44" s="806"/>
      <c r="PIZ44" s="806"/>
      <c r="PJA44" s="806"/>
      <c r="PJB44" s="806"/>
      <c r="PJC44" s="806"/>
      <c r="PJD44" s="806"/>
      <c r="PJE44" s="806"/>
      <c r="PJF44" s="806"/>
      <c r="PJG44" s="806"/>
      <c r="PJH44" s="806"/>
      <c r="PJI44" s="806"/>
      <c r="PJJ44" s="806"/>
      <c r="PJK44" s="806"/>
      <c r="PJL44" s="806"/>
      <c r="PJM44" s="806"/>
      <c r="PJN44" s="806"/>
      <c r="PJO44" s="806"/>
      <c r="PJP44" s="806"/>
      <c r="PJQ44" s="806"/>
      <c r="PJR44" s="806"/>
      <c r="PJS44" s="806"/>
      <c r="PJT44" s="806"/>
      <c r="PJU44" s="806"/>
      <c r="PJV44" s="806"/>
      <c r="PJW44" s="806"/>
      <c r="PJX44" s="806"/>
      <c r="PJY44" s="806"/>
      <c r="PJZ44" s="806"/>
      <c r="PKA44" s="806"/>
      <c r="PKB44" s="806"/>
      <c r="PKC44" s="806"/>
      <c r="PKD44" s="806"/>
      <c r="PKE44" s="806"/>
      <c r="PKF44" s="806"/>
      <c r="PKG44" s="806"/>
      <c r="PKH44" s="806"/>
      <c r="PKI44" s="806"/>
      <c r="PKJ44" s="806"/>
      <c r="PKK44" s="806"/>
      <c r="PKL44" s="806"/>
      <c r="PKM44" s="806"/>
      <c r="PKN44" s="806"/>
      <c r="PKO44" s="806"/>
      <c r="PKP44" s="806"/>
      <c r="PKQ44" s="806"/>
      <c r="PKR44" s="806"/>
      <c r="PKS44" s="806"/>
      <c r="PKT44" s="806"/>
      <c r="PKU44" s="806"/>
      <c r="PKV44" s="806"/>
      <c r="PKW44" s="806"/>
      <c r="PKX44" s="806"/>
      <c r="PKY44" s="806"/>
      <c r="PKZ44" s="806"/>
      <c r="PLA44" s="806"/>
      <c r="PLB44" s="806"/>
      <c r="PLC44" s="806"/>
      <c r="PLD44" s="806"/>
      <c r="PLE44" s="806"/>
      <c r="PLF44" s="806"/>
      <c r="PLG44" s="806"/>
      <c r="PLH44" s="806"/>
      <c r="PLI44" s="806"/>
      <c r="PLJ44" s="806"/>
      <c r="PLK44" s="806"/>
      <c r="PLL44" s="806"/>
      <c r="PLM44" s="806"/>
      <c r="PLN44" s="806"/>
      <c r="PLO44" s="806"/>
      <c r="PLP44" s="806"/>
      <c r="PLQ44" s="806"/>
      <c r="PLR44" s="806"/>
      <c r="PLS44" s="806"/>
      <c r="PLT44" s="806"/>
      <c r="PLU44" s="806"/>
      <c r="PLV44" s="806"/>
      <c r="PLW44" s="806"/>
      <c r="PLX44" s="806"/>
      <c r="PLY44" s="806"/>
      <c r="PLZ44" s="806"/>
      <c r="PMA44" s="806"/>
      <c r="PMB44" s="806"/>
      <c r="PMC44" s="806"/>
      <c r="PMD44" s="806"/>
      <c r="PME44" s="806"/>
      <c r="PMF44" s="806"/>
      <c r="PMG44" s="806"/>
      <c r="PMH44" s="806"/>
      <c r="PMI44" s="806"/>
      <c r="PMJ44" s="806"/>
      <c r="PMK44" s="806"/>
      <c r="PML44" s="806"/>
      <c r="PMM44" s="806"/>
      <c r="PMN44" s="806"/>
      <c r="PMO44" s="806"/>
      <c r="PMP44" s="806"/>
      <c r="PMQ44" s="806"/>
      <c r="PMR44" s="806"/>
      <c r="PMS44" s="806"/>
      <c r="PMT44" s="806"/>
      <c r="PMU44" s="806"/>
      <c r="PMV44" s="806"/>
      <c r="PMW44" s="806"/>
      <c r="PMX44" s="806"/>
      <c r="PMY44" s="806"/>
      <c r="PMZ44" s="806"/>
      <c r="PNA44" s="806"/>
      <c r="PNB44" s="806"/>
      <c r="PNC44" s="806"/>
      <c r="PND44" s="806"/>
      <c r="PNE44" s="806"/>
      <c r="PNF44" s="806"/>
      <c r="PNG44" s="806"/>
      <c r="PNH44" s="806"/>
      <c r="PNI44" s="806"/>
      <c r="PNJ44" s="806"/>
      <c r="PNK44" s="806"/>
      <c r="PNL44" s="806"/>
      <c r="PNM44" s="806"/>
      <c r="PNN44" s="806"/>
      <c r="PNO44" s="806"/>
      <c r="PNP44" s="806"/>
      <c r="PNQ44" s="806"/>
      <c r="PNR44" s="806"/>
      <c r="PNS44" s="806"/>
      <c r="PNT44" s="806"/>
      <c r="PNU44" s="806"/>
      <c r="PNV44" s="806"/>
      <c r="PNW44" s="806"/>
      <c r="PNX44" s="806"/>
      <c r="PNY44" s="806"/>
      <c r="PNZ44" s="806"/>
      <c r="POA44" s="806"/>
      <c r="POB44" s="806"/>
      <c r="POC44" s="806"/>
      <c r="POD44" s="806"/>
      <c r="POE44" s="806"/>
      <c r="POF44" s="806"/>
      <c r="POG44" s="806"/>
      <c r="POH44" s="806"/>
      <c r="POI44" s="806"/>
      <c r="POJ44" s="806"/>
      <c r="POK44" s="806"/>
      <c r="POL44" s="806"/>
      <c r="POM44" s="806"/>
      <c r="PON44" s="806"/>
      <c r="POO44" s="806"/>
      <c r="POP44" s="806"/>
      <c r="POQ44" s="806"/>
      <c r="POR44" s="806"/>
      <c r="POS44" s="806"/>
      <c r="POT44" s="806"/>
      <c r="POU44" s="806"/>
      <c r="POV44" s="806"/>
      <c r="POW44" s="806"/>
      <c r="POX44" s="806"/>
      <c r="POY44" s="806"/>
      <c r="POZ44" s="806"/>
      <c r="PPA44" s="806"/>
      <c r="PPB44" s="806"/>
      <c r="PPC44" s="806"/>
      <c r="PPD44" s="806"/>
      <c r="PPE44" s="806"/>
      <c r="PPF44" s="806"/>
      <c r="PPG44" s="806"/>
      <c r="PPH44" s="806"/>
      <c r="PPI44" s="806"/>
      <c r="PPJ44" s="806"/>
      <c r="PPK44" s="806"/>
      <c r="PPL44" s="806"/>
      <c r="PPM44" s="806"/>
      <c r="PPN44" s="806"/>
      <c r="PPO44" s="806"/>
      <c r="PPP44" s="806"/>
      <c r="PPQ44" s="806"/>
      <c r="PPR44" s="806"/>
      <c r="PPS44" s="806"/>
      <c r="PPT44" s="806"/>
      <c r="PPU44" s="806"/>
      <c r="PPV44" s="806"/>
      <c r="PPW44" s="806"/>
      <c r="PPX44" s="806"/>
      <c r="PPY44" s="806"/>
      <c r="PPZ44" s="806"/>
      <c r="PQA44" s="806"/>
      <c r="PQB44" s="806"/>
      <c r="PQC44" s="806"/>
      <c r="PQD44" s="806"/>
      <c r="PQE44" s="806"/>
      <c r="PQF44" s="806"/>
      <c r="PQG44" s="806"/>
      <c r="PQH44" s="806"/>
      <c r="PQI44" s="806"/>
      <c r="PQJ44" s="806"/>
      <c r="PQK44" s="806"/>
      <c r="PQL44" s="806"/>
      <c r="PQM44" s="806"/>
      <c r="PQN44" s="806"/>
      <c r="PQO44" s="806"/>
      <c r="PQP44" s="806"/>
      <c r="PQQ44" s="806"/>
      <c r="PQR44" s="806"/>
      <c r="PQS44" s="806"/>
      <c r="PQT44" s="806"/>
      <c r="PQU44" s="806"/>
      <c r="PQV44" s="806"/>
      <c r="PQW44" s="806"/>
      <c r="PQX44" s="806"/>
      <c r="PQY44" s="806"/>
      <c r="PQZ44" s="806"/>
      <c r="PRA44" s="806"/>
      <c r="PRB44" s="806"/>
      <c r="PRC44" s="806"/>
      <c r="PRD44" s="806"/>
      <c r="PRE44" s="806"/>
      <c r="PRF44" s="806"/>
      <c r="PRG44" s="806"/>
      <c r="PRH44" s="806"/>
      <c r="PRI44" s="806"/>
      <c r="PRJ44" s="806"/>
      <c r="PRK44" s="806"/>
      <c r="PRL44" s="806"/>
      <c r="PRM44" s="806"/>
      <c r="PRN44" s="806"/>
      <c r="PRO44" s="806"/>
      <c r="PRP44" s="806"/>
      <c r="PRQ44" s="806"/>
      <c r="PRR44" s="806"/>
      <c r="PRS44" s="806"/>
      <c r="PRT44" s="806"/>
      <c r="PRU44" s="806"/>
      <c r="PRV44" s="806"/>
      <c r="PRW44" s="806"/>
      <c r="PRX44" s="806"/>
      <c r="PRY44" s="806"/>
      <c r="PRZ44" s="806"/>
      <c r="PSA44" s="806"/>
      <c r="PSB44" s="806"/>
      <c r="PSC44" s="806"/>
      <c r="PSD44" s="806"/>
      <c r="PSE44" s="806"/>
      <c r="PSF44" s="806"/>
      <c r="PSG44" s="806"/>
      <c r="PSH44" s="806"/>
      <c r="PSI44" s="806"/>
      <c r="PSJ44" s="806"/>
      <c r="PSK44" s="806"/>
      <c r="PSL44" s="806"/>
      <c r="PSM44" s="806"/>
      <c r="PSN44" s="806"/>
      <c r="PSO44" s="806"/>
      <c r="PSP44" s="806"/>
      <c r="PSQ44" s="806"/>
      <c r="PSR44" s="806"/>
      <c r="PSS44" s="806"/>
      <c r="PST44" s="806"/>
      <c r="PSU44" s="806"/>
      <c r="PSV44" s="806"/>
      <c r="PSW44" s="806"/>
      <c r="PSX44" s="806"/>
      <c r="PSY44" s="806"/>
      <c r="PSZ44" s="806"/>
      <c r="PTA44" s="806"/>
      <c r="PTB44" s="806"/>
      <c r="PTC44" s="806"/>
      <c r="PTD44" s="806"/>
      <c r="PTE44" s="806"/>
      <c r="PTF44" s="806"/>
      <c r="PTG44" s="806"/>
      <c r="PTH44" s="806"/>
      <c r="PTI44" s="806"/>
      <c r="PTJ44" s="806"/>
      <c r="PTK44" s="806"/>
      <c r="PTL44" s="806"/>
      <c r="PTM44" s="806"/>
      <c r="PTN44" s="806"/>
      <c r="PTO44" s="806"/>
      <c r="PTP44" s="806"/>
      <c r="PTQ44" s="806"/>
      <c r="PTR44" s="806"/>
      <c r="PTS44" s="806"/>
      <c r="PTT44" s="806"/>
      <c r="PTU44" s="806"/>
      <c r="PTV44" s="806"/>
      <c r="PTW44" s="806"/>
      <c r="PTX44" s="806"/>
      <c r="PTY44" s="806"/>
      <c r="PTZ44" s="806"/>
      <c r="PUA44" s="806"/>
      <c r="PUB44" s="806"/>
      <c r="PUC44" s="806"/>
      <c r="PUD44" s="806"/>
      <c r="PUE44" s="806"/>
      <c r="PUF44" s="806"/>
      <c r="PUG44" s="806"/>
      <c r="PUH44" s="806"/>
      <c r="PUI44" s="806"/>
      <c r="PUJ44" s="806"/>
      <c r="PUK44" s="806"/>
      <c r="PUL44" s="806"/>
      <c r="PUM44" s="806"/>
      <c r="PUN44" s="806"/>
      <c r="PUO44" s="806"/>
      <c r="PUP44" s="806"/>
      <c r="PUQ44" s="806"/>
      <c r="PUR44" s="806"/>
      <c r="PUS44" s="806"/>
      <c r="PUT44" s="806"/>
      <c r="PUU44" s="806"/>
      <c r="PUV44" s="806"/>
      <c r="PUW44" s="806"/>
      <c r="PUX44" s="806"/>
      <c r="PUY44" s="806"/>
      <c r="PUZ44" s="806"/>
      <c r="PVA44" s="806"/>
      <c r="PVB44" s="806"/>
      <c r="PVC44" s="806"/>
      <c r="PVD44" s="806"/>
      <c r="PVE44" s="806"/>
      <c r="PVF44" s="806"/>
      <c r="PVG44" s="806"/>
      <c r="PVH44" s="806"/>
      <c r="PVI44" s="806"/>
      <c r="PVJ44" s="806"/>
      <c r="PVK44" s="806"/>
      <c r="PVL44" s="806"/>
      <c r="PVM44" s="806"/>
      <c r="PVN44" s="806"/>
      <c r="PVO44" s="806"/>
      <c r="PVP44" s="806"/>
      <c r="PVQ44" s="806"/>
      <c r="PVR44" s="806"/>
      <c r="PVS44" s="806"/>
      <c r="PVT44" s="806"/>
      <c r="PVU44" s="806"/>
      <c r="PVV44" s="806"/>
      <c r="PVW44" s="806"/>
      <c r="PVX44" s="806"/>
      <c r="PVY44" s="806"/>
      <c r="PVZ44" s="806"/>
      <c r="PWA44" s="806"/>
      <c r="PWB44" s="806"/>
      <c r="PWC44" s="806"/>
      <c r="PWD44" s="806"/>
      <c r="PWE44" s="806"/>
      <c r="PWF44" s="806"/>
      <c r="PWG44" s="806"/>
      <c r="PWH44" s="806"/>
      <c r="PWI44" s="806"/>
      <c r="PWJ44" s="806"/>
      <c r="PWK44" s="806"/>
      <c r="PWL44" s="806"/>
      <c r="PWM44" s="806"/>
      <c r="PWN44" s="806"/>
      <c r="PWO44" s="806"/>
      <c r="PWP44" s="806"/>
      <c r="PWQ44" s="806"/>
      <c r="PWR44" s="806"/>
      <c r="PWS44" s="806"/>
      <c r="PWT44" s="806"/>
      <c r="PWU44" s="806"/>
      <c r="PWV44" s="806"/>
      <c r="PWW44" s="806"/>
      <c r="PWX44" s="806"/>
      <c r="PWY44" s="806"/>
      <c r="PWZ44" s="806"/>
      <c r="PXA44" s="806"/>
      <c r="PXB44" s="806"/>
      <c r="PXC44" s="806"/>
      <c r="PXD44" s="806"/>
      <c r="PXE44" s="806"/>
      <c r="PXF44" s="806"/>
      <c r="PXG44" s="806"/>
      <c r="PXH44" s="806"/>
      <c r="PXI44" s="806"/>
      <c r="PXJ44" s="806"/>
      <c r="PXK44" s="806"/>
      <c r="PXL44" s="806"/>
      <c r="PXM44" s="806"/>
      <c r="PXN44" s="806"/>
      <c r="PXO44" s="806"/>
      <c r="PXP44" s="806"/>
      <c r="PXQ44" s="806"/>
      <c r="PXR44" s="806"/>
      <c r="PXS44" s="806"/>
      <c r="PXT44" s="806"/>
      <c r="PXU44" s="806"/>
      <c r="PXV44" s="806"/>
      <c r="PXW44" s="806"/>
      <c r="PXX44" s="806"/>
      <c r="PXY44" s="806"/>
      <c r="PXZ44" s="806"/>
      <c r="PYA44" s="806"/>
      <c r="PYB44" s="806"/>
      <c r="PYC44" s="806"/>
      <c r="PYD44" s="806"/>
      <c r="PYE44" s="806"/>
      <c r="PYF44" s="806"/>
      <c r="PYG44" s="806"/>
      <c r="PYH44" s="806"/>
      <c r="PYI44" s="806"/>
      <c r="PYJ44" s="806"/>
      <c r="PYK44" s="806"/>
      <c r="PYL44" s="806"/>
      <c r="PYM44" s="806"/>
      <c r="PYN44" s="806"/>
      <c r="PYO44" s="806"/>
      <c r="PYP44" s="806"/>
      <c r="PYQ44" s="806"/>
      <c r="PYR44" s="806"/>
      <c r="PYS44" s="806"/>
      <c r="PYT44" s="806"/>
      <c r="PYU44" s="806"/>
      <c r="PYV44" s="806"/>
      <c r="PYW44" s="806"/>
      <c r="PYX44" s="806"/>
      <c r="PYY44" s="806"/>
      <c r="PYZ44" s="806"/>
      <c r="PZA44" s="806"/>
      <c r="PZB44" s="806"/>
      <c r="PZC44" s="806"/>
      <c r="PZD44" s="806"/>
      <c r="PZE44" s="806"/>
      <c r="PZF44" s="806"/>
      <c r="PZG44" s="806"/>
      <c r="PZH44" s="806"/>
      <c r="PZI44" s="806"/>
      <c r="PZJ44" s="806"/>
      <c r="PZK44" s="806"/>
      <c r="PZL44" s="806"/>
      <c r="PZM44" s="806"/>
      <c r="PZN44" s="806"/>
      <c r="PZO44" s="806"/>
      <c r="PZP44" s="806"/>
      <c r="PZQ44" s="806"/>
      <c r="PZR44" s="806"/>
      <c r="PZS44" s="806"/>
      <c r="PZT44" s="806"/>
      <c r="PZU44" s="806"/>
      <c r="PZV44" s="806"/>
      <c r="PZW44" s="806"/>
      <c r="PZX44" s="806"/>
      <c r="PZY44" s="806"/>
      <c r="PZZ44" s="806"/>
      <c r="QAA44" s="806"/>
      <c r="QAB44" s="806"/>
      <c r="QAC44" s="806"/>
      <c r="QAD44" s="806"/>
      <c r="QAE44" s="806"/>
      <c r="QAF44" s="806"/>
      <c r="QAG44" s="806"/>
      <c r="QAH44" s="806"/>
      <c r="QAI44" s="806"/>
      <c r="QAJ44" s="806"/>
      <c r="QAK44" s="806"/>
      <c r="QAL44" s="806"/>
      <c r="QAM44" s="806"/>
      <c r="QAN44" s="806"/>
      <c r="QAO44" s="806"/>
      <c r="QAP44" s="806"/>
      <c r="QAQ44" s="806"/>
      <c r="QAR44" s="806"/>
      <c r="QAS44" s="806"/>
      <c r="QAT44" s="806"/>
      <c r="QAU44" s="806"/>
      <c r="QAV44" s="806"/>
      <c r="QAW44" s="806"/>
      <c r="QAX44" s="806"/>
      <c r="QAY44" s="806"/>
      <c r="QAZ44" s="806"/>
      <c r="QBA44" s="806"/>
      <c r="QBB44" s="806"/>
      <c r="QBC44" s="806"/>
      <c r="QBD44" s="806"/>
      <c r="QBE44" s="806"/>
      <c r="QBF44" s="806"/>
      <c r="QBG44" s="806"/>
      <c r="QBH44" s="806"/>
      <c r="QBI44" s="806"/>
      <c r="QBJ44" s="806"/>
      <c r="QBK44" s="806"/>
      <c r="QBL44" s="806"/>
      <c r="QBM44" s="806"/>
      <c r="QBN44" s="806"/>
      <c r="QBO44" s="806"/>
      <c r="QBP44" s="806"/>
      <c r="QBQ44" s="806"/>
      <c r="QBR44" s="806"/>
      <c r="QBS44" s="806"/>
      <c r="QBT44" s="806"/>
      <c r="QBU44" s="806"/>
      <c r="QBV44" s="806"/>
      <c r="QBW44" s="806"/>
      <c r="QBX44" s="806"/>
      <c r="QBY44" s="806"/>
      <c r="QBZ44" s="806"/>
      <c r="QCA44" s="806"/>
      <c r="QCB44" s="806"/>
      <c r="QCC44" s="806"/>
      <c r="QCD44" s="806"/>
      <c r="QCE44" s="806"/>
      <c r="QCF44" s="806"/>
      <c r="QCG44" s="806"/>
      <c r="QCH44" s="806"/>
      <c r="QCI44" s="806"/>
      <c r="QCJ44" s="806"/>
      <c r="QCK44" s="806"/>
      <c r="QCL44" s="806"/>
      <c r="QCM44" s="806"/>
      <c r="QCN44" s="806"/>
      <c r="QCO44" s="806"/>
      <c r="QCP44" s="806"/>
      <c r="QCQ44" s="806"/>
      <c r="QCR44" s="806"/>
      <c r="QCS44" s="806"/>
      <c r="QCT44" s="806"/>
      <c r="QCU44" s="806"/>
      <c r="QCV44" s="806"/>
      <c r="QCW44" s="806"/>
      <c r="QCX44" s="806"/>
      <c r="QCY44" s="806"/>
      <c r="QCZ44" s="806"/>
      <c r="QDA44" s="806"/>
      <c r="QDB44" s="806"/>
      <c r="QDC44" s="806"/>
      <c r="QDD44" s="806"/>
      <c r="QDE44" s="806"/>
      <c r="QDF44" s="806"/>
      <c r="QDG44" s="806"/>
      <c r="QDH44" s="806"/>
      <c r="QDI44" s="806"/>
      <c r="QDJ44" s="806"/>
      <c r="QDK44" s="806"/>
      <c r="QDL44" s="806"/>
      <c r="QDM44" s="806"/>
      <c r="QDN44" s="806"/>
      <c r="QDO44" s="806"/>
      <c r="QDP44" s="806"/>
      <c r="QDQ44" s="806"/>
      <c r="QDR44" s="806"/>
      <c r="QDS44" s="806"/>
      <c r="QDT44" s="806"/>
      <c r="QDU44" s="806"/>
      <c r="QDV44" s="806"/>
      <c r="QDW44" s="806"/>
      <c r="QDX44" s="806"/>
      <c r="QDY44" s="806"/>
      <c r="QDZ44" s="806"/>
      <c r="QEA44" s="806"/>
      <c r="QEB44" s="806"/>
      <c r="QEC44" s="806"/>
      <c r="QED44" s="806"/>
      <c r="QEE44" s="806"/>
      <c r="QEF44" s="806"/>
      <c r="QEG44" s="806"/>
      <c r="QEH44" s="806"/>
      <c r="QEI44" s="806"/>
      <c r="QEJ44" s="806"/>
      <c r="QEK44" s="806"/>
      <c r="QEL44" s="806"/>
      <c r="QEM44" s="806"/>
      <c r="QEN44" s="806"/>
      <c r="QEO44" s="806"/>
      <c r="QEP44" s="806"/>
      <c r="QEQ44" s="806"/>
      <c r="QER44" s="806"/>
      <c r="QES44" s="806"/>
      <c r="QET44" s="806"/>
      <c r="QEU44" s="806"/>
      <c r="QEV44" s="806"/>
      <c r="QEW44" s="806"/>
      <c r="QEX44" s="806"/>
      <c r="QEY44" s="806"/>
      <c r="QEZ44" s="806"/>
      <c r="QFA44" s="806"/>
      <c r="QFB44" s="806"/>
      <c r="QFC44" s="806"/>
      <c r="QFD44" s="806"/>
      <c r="QFE44" s="806"/>
      <c r="QFF44" s="806"/>
      <c r="QFG44" s="806"/>
      <c r="QFH44" s="806"/>
      <c r="QFI44" s="806"/>
      <c r="QFJ44" s="806"/>
      <c r="QFK44" s="806"/>
      <c r="QFL44" s="806"/>
      <c r="QFM44" s="806"/>
      <c r="QFN44" s="806"/>
      <c r="QFO44" s="806"/>
      <c r="QFP44" s="806"/>
      <c r="QFQ44" s="806"/>
      <c r="QFR44" s="806"/>
      <c r="QFS44" s="806"/>
      <c r="QFT44" s="806"/>
      <c r="QFU44" s="806"/>
      <c r="QFV44" s="806"/>
      <c r="QFW44" s="806"/>
      <c r="QFX44" s="806"/>
      <c r="QFY44" s="806"/>
      <c r="QFZ44" s="806"/>
      <c r="QGA44" s="806"/>
      <c r="QGB44" s="806"/>
      <c r="QGC44" s="806"/>
      <c r="QGD44" s="806"/>
      <c r="QGE44" s="806"/>
      <c r="QGF44" s="806"/>
      <c r="QGG44" s="806"/>
      <c r="QGH44" s="806"/>
      <c r="QGI44" s="806"/>
      <c r="QGJ44" s="806"/>
      <c r="QGK44" s="806"/>
      <c r="QGL44" s="806"/>
      <c r="QGM44" s="806"/>
      <c r="QGN44" s="806"/>
      <c r="QGO44" s="806"/>
      <c r="QGP44" s="806"/>
      <c r="QGQ44" s="806"/>
      <c r="QGR44" s="806"/>
      <c r="QGS44" s="806"/>
      <c r="QGT44" s="806"/>
      <c r="QGU44" s="806"/>
      <c r="QGV44" s="806"/>
      <c r="QGW44" s="806"/>
      <c r="QGX44" s="806"/>
      <c r="QGY44" s="806"/>
      <c r="QGZ44" s="806"/>
      <c r="QHA44" s="806"/>
      <c r="QHB44" s="806"/>
      <c r="QHC44" s="806"/>
      <c r="QHD44" s="806"/>
      <c r="QHE44" s="806"/>
      <c r="QHF44" s="806"/>
      <c r="QHG44" s="806"/>
      <c r="QHH44" s="806"/>
      <c r="QHI44" s="806"/>
      <c r="QHJ44" s="806"/>
      <c r="QHK44" s="806"/>
      <c r="QHL44" s="806"/>
      <c r="QHM44" s="806"/>
      <c r="QHN44" s="806"/>
      <c r="QHO44" s="806"/>
      <c r="QHP44" s="806"/>
      <c r="QHQ44" s="806"/>
      <c r="QHR44" s="806"/>
      <c r="QHS44" s="806"/>
      <c r="QHT44" s="806"/>
      <c r="QHU44" s="806"/>
      <c r="QHV44" s="806"/>
      <c r="QHW44" s="806"/>
      <c r="QHX44" s="806"/>
      <c r="QHY44" s="806"/>
      <c r="QHZ44" s="806"/>
      <c r="QIA44" s="806"/>
      <c r="QIB44" s="806"/>
      <c r="QIC44" s="806"/>
      <c r="QID44" s="806"/>
      <c r="QIE44" s="806"/>
      <c r="QIF44" s="806"/>
      <c r="QIG44" s="806"/>
      <c r="QIH44" s="806"/>
      <c r="QII44" s="806"/>
      <c r="QIJ44" s="806"/>
      <c r="QIK44" s="806"/>
      <c r="QIL44" s="806"/>
      <c r="QIM44" s="806"/>
      <c r="QIN44" s="806"/>
      <c r="QIO44" s="806"/>
      <c r="QIP44" s="806"/>
      <c r="QIQ44" s="806"/>
      <c r="QIR44" s="806"/>
      <c r="QIS44" s="806"/>
      <c r="QIT44" s="806"/>
      <c r="QIU44" s="806"/>
      <c r="QIV44" s="806"/>
      <c r="QIW44" s="806"/>
      <c r="QIX44" s="806"/>
      <c r="QIY44" s="806"/>
      <c r="QIZ44" s="806"/>
      <c r="QJA44" s="806"/>
      <c r="QJB44" s="806"/>
      <c r="QJC44" s="806"/>
      <c r="QJD44" s="806"/>
      <c r="QJE44" s="806"/>
      <c r="QJF44" s="806"/>
      <c r="QJG44" s="806"/>
      <c r="QJH44" s="806"/>
      <c r="QJI44" s="806"/>
      <c r="QJJ44" s="806"/>
      <c r="QJK44" s="806"/>
      <c r="QJL44" s="806"/>
      <c r="QJM44" s="806"/>
      <c r="QJN44" s="806"/>
      <c r="QJO44" s="806"/>
      <c r="QJP44" s="806"/>
      <c r="QJQ44" s="806"/>
      <c r="QJR44" s="806"/>
      <c r="QJS44" s="806"/>
      <c r="QJT44" s="806"/>
      <c r="QJU44" s="806"/>
      <c r="QJV44" s="806"/>
      <c r="QJW44" s="806"/>
      <c r="QJX44" s="806"/>
      <c r="QJY44" s="806"/>
      <c r="QJZ44" s="806"/>
      <c r="QKA44" s="806"/>
      <c r="QKB44" s="806"/>
      <c r="QKC44" s="806"/>
      <c r="QKD44" s="806"/>
      <c r="QKE44" s="806"/>
      <c r="QKF44" s="806"/>
      <c r="QKG44" s="806"/>
      <c r="QKH44" s="806"/>
      <c r="QKI44" s="806"/>
      <c r="QKJ44" s="806"/>
      <c r="QKK44" s="806"/>
      <c r="QKL44" s="806"/>
      <c r="QKM44" s="806"/>
      <c r="QKN44" s="806"/>
      <c r="QKO44" s="806"/>
      <c r="QKP44" s="806"/>
      <c r="QKQ44" s="806"/>
      <c r="QKR44" s="806"/>
      <c r="QKS44" s="806"/>
      <c r="QKT44" s="806"/>
      <c r="QKU44" s="806"/>
      <c r="QKV44" s="806"/>
      <c r="QKW44" s="806"/>
      <c r="QKX44" s="806"/>
      <c r="QKY44" s="806"/>
      <c r="QKZ44" s="806"/>
      <c r="QLA44" s="806"/>
      <c r="QLB44" s="806"/>
      <c r="QLC44" s="806"/>
      <c r="QLD44" s="806"/>
      <c r="QLE44" s="806"/>
      <c r="QLF44" s="806"/>
      <c r="QLG44" s="806"/>
      <c r="QLH44" s="806"/>
      <c r="QLI44" s="806"/>
      <c r="QLJ44" s="806"/>
      <c r="QLK44" s="806"/>
      <c r="QLL44" s="806"/>
      <c r="QLM44" s="806"/>
      <c r="QLN44" s="806"/>
      <c r="QLO44" s="806"/>
      <c r="QLP44" s="806"/>
      <c r="QLQ44" s="806"/>
      <c r="QLR44" s="806"/>
      <c r="QLS44" s="806"/>
      <c r="QLT44" s="806"/>
      <c r="QLU44" s="806"/>
      <c r="QLV44" s="806"/>
      <c r="QLW44" s="806"/>
      <c r="QLX44" s="806"/>
      <c r="QLY44" s="806"/>
      <c r="QLZ44" s="806"/>
      <c r="QMA44" s="806"/>
      <c r="QMB44" s="806"/>
      <c r="QMC44" s="806"/>
      <c r="QMD44" s="806"/>
      <c r="QME44" s="806"/>
      <c r="QMF44" s="806"/>
      <c r="QMG44" s="806"/>
      <c r="QMH44" s="806"/>
      <c r="QMI44" s="806"/>
      <c r="QMJ44" s="806"/>
      <c r="QMK44" s="806"/>
      <c r="QML44" s="806"/>
      <c r="QMM44" s="806"/>
      <c r="QMN44" s="806"/>
      <c r="QMO44" s="806"/>
      <c r="QMP44" s="806"/>
      <c r="QMQ44" s="806"/>
      <c r="QMR44" s="806"/>
      <c r="QMS44" s="806"/>
      <c r="QMT44" s="806"/>
      <c r="QMU44" s="806"/>
      <c r="QMV44" s="806"/>
      <c r="QMW44" s="806"/>
      <c r="QMX44" s="806"/>
      <c r="QMY44" s="806"/>
      <c r="QMZ44" s="806"/>
      <c r="QNA44" s="806"/>
      <c r="QNB44" s="806"/>
      <c r="QNC44" s="806"/>
      <c r="QND44" s="806"/>
      <c r="QNE44" s="806"/>
      <c r="QNF44" s="806"/>
      <c r="QNG44" s="806"/>
      <c r="QNH44" s="806"/>
      <c r="QNI44" s="806"/>
      <c r="QNJ44" s="806"/>
      <c r="QNK44" s="806"/>
      <c r="QNL44" s="806"/>
      <c r="QNM44" s="806"/>
      <c r="QNN44" s="806"/>
      <c r="QNO44" s="806"/>
      <c r="QNP44" s="806"/>
      <c r="QNQ44" s="806"/>
      <c r="QNR44" s="806"/>
      <c r="QNS44" s="806"/>
      <c r="QNT44" s="806"/>
      <c r="QNU44" s="806"/>
      <c r="QNV44" s="806"/>
      <c r="QNW44" s="806"/>
      <c r="QNX44" s="806"/>
      <c r="QNY44" s="806"/>
      <c r="QNZ44" s="806"/>
      <c r="QOA44" s="806"/>
      <c r="QOB44" s="806"/>
      <c r="QOC44" s="806"/>
      <c r="QOD44" s="806"/>
      <c r="QOE44" s="806"/>
      <c r="QOF44" s="806"/>
      <c r="QOG44" s="806"/>
      <c r="QOH44" s="806"/>
      <c r="QOI44" s="806"/>
      <c r="QOJ44" s="806"/>
      <c r="QOK44" s="806"/>
      <c r="QOL44" s="806"/>
      <c r="QOM44" s="806"/>
      <c r="QON44" s="806"/>
      <c r="QOO44" s="806"/>
      <c r="QOP44" s="806"/>
      <c r="QOQ44" s="806"/>
      <c r="QOR44" s="806"/>
      <c r="QOS44" s="806"/>
      <c r="QOT44" s="806"/>
      <c r="QOU44" s="806"/>
      <c r="QOV44" s="806"/>
      <c r="QOW44" s="806"/>
      <c r="QOX44" s="806"/>
      <c r="QOY44" s="806"/>
      <c r="QOZ44" s="806"/>
      <c r="QPA44" s="806"/>
      <c r="QPB44" s="806"/>
      <c r="QPC44" s="806"/>
      <c r="QPD44" s="806"/>
      <c r="QPE44" s="806"/>
      <c r="QPF44" s="806"/>
      <c r="QPG44" s="806"/>
      <c r="QPH44" s="806"/>
      <c r="QPI44" s="806"/>
      <c r="QPJ44" s="806"/>
      <c r="QPK44" s="806"/>
      <c r="QPL44" s="806"/>
      <c r="QPM44" s="806"/>
      <c r="QPN44" s="806"/>
      <c r="QPO44" s="806"/>
      <c r="QPP44" s="806"/>
      <c r="QPQ44" s="806"/>
      <c r="QPR44" s="806"/>
      <c r="QPS44" s="806"/>
      <c r="QPT44" s="806"/>
      <c r="QPU44" s="806"/>
      <c r="QPV44" s="806"/>
      <c r="QPW44" s="806"/>
      <c r="QPX44" s="806"/>
      <c r="QPY44" s="806"/>
      <c r="QPZ44" s="806"/>
      <c r="QQA44" s="806"/>
      <c r="QQB44" s="806"/>
      <c r="QQC44" s="806"/>
      <c r="QQD44" s="806"/>
      <c r="QQE44" s="806"/>
      <c r="QQF44" s="806"/>
      <c r="QQG44" s="806"/>
      <c r="QQH44" s="806"/>
      <c r="QQI44" s="806"/>
      <c r="QQJ44" s="806"/>
      <c r="QQK44" s="806"/>
      <c r="QQL44" s="806"/>
      <c r="QQM44" s="806"/>
      <c r="QQN44" s="806"/>
      <c r="QQO44" s="806"/>
      <c r="QQP44" s="806"/>
      <c r="QQQ44" s="806"/>
      <c r="QQR44" s="806"/>
      <c r="QQS44" s="806"/>
      <c r="QQT44" s="806"/>
      <c r="QQU44" s="806"/>
      <c r="QQV44" s="806"/>
      <c r="QQW44" s="806"/>
      <c r="QQX44" s="806"/>
      <c r="QQY44" s="806"/>
      <c r="QQZ44" s="806"/>
      <c r="QRA44" s="806"/>
      <c r="QRB44" s="806"/>
      <c r="QRC44" s="806"/>
      <c r="QRD44" s="806"/>
      <c r="QRE44" s="806"/>
      <c r="QRF44" s="806"/>
      <c r="QRG44" s="806"/>
      <c r="QRH44" s="806"/>
      <c r="QRI44" s="806"/>
      <c r="QRJ44" s="806"/>
      <c r="QRK44" s="806"/>
      <c r="QRL44" s="806"/>
      <c r="QRM44" s="806"/>
      <c r="QRN44" s="806"/>
      <c r="QRO44" s="806"/>
      <c r="QRP44" s="806"/>
      <c r="QRQ44" s="806"/>
      <c r="QRR44" s="806"/>
      <c r="QRS44" s="806"/>
      <c r="QRT44" s="806"/>
      <c r="QRU44" s="806"/>
      <c r="QRV44" s="806"/>
      <c r="QRW44" s="806"/>
      <c r="QRX44" s="806"/>
      <c r="QRY44" s="806"/>
      <c r="QRZ44" s="806"/>
      <c r="QSA44" s="806"/>
      <c r="QSB44" s="806"/>
      <c r="QSC44" s="806"/>
      <c r="QSD44" s="806"/>
      <c r="QSE44" s="806"/>
      <c r="QSF44" s="806"/>
      <c r="QSG44" s="806"/>
      <c r="QSH44" s="806"/>
      <c r="QSI44" s="806"/>
      <c r="QSJ44" s="806"/>
      <c r="QSK44" s="806"/>
      <c r="QSL44" s="806"/>
      <c r="QSM44" s="806"/>
      <c r="QSN44" s="806"/>
      <c r="QSO44" s="806"/>
      <c r="QSP44" s="806"/>
      <c r="QSQ44" s="806"/>
      <c r="QSR44" s="806"/>
      <c r="QSS44" s="806"/>
      <c r="QST44" s="806"/>
      <c r="QSU44" s="806"/>
      <c r="QSV44" s="806"/>
      <c r="QSW44" s="806"/>
      <c r="QSX44" s="806"/>
      <c r="QSY44" s="806"/>
      <c r="QSZ44" s="806"/>
      <c r="QTA44" s="806"/>
      <c r="QTB44" s="806"/>
      <c r="QTC44" s="806"/>
      <c r="QTD44" s="806"/>
      <c r="QTE44" s="806"/>
      <c r="QTF44" s="806"/>
      <c r="QTG44" s="806"/>
      <c r="QTH44" s="806"/>
      <c r="QTI44" s="806"/>
      <c r="QTJ44" s="806"/>
      <c r="QTK44" s="806"/>
      <c r="QTL44" s="806"/>
      <c r="QTM44" s="806"/>
      <c r="QTN44" s="806"/>
      <c r="QTO44" s="806"/>
      <c r="QTP44" s="806"/>
      <c r="QTQ44" s="806"/>
      <c r="QTR44" s="806"/>
      <c r="QTS44" s="806"/>
      <c r="QTT44" s="806"/>
      <c r="QTU44" s="806"/>
      <c r="QTV44" s="806"/>
      <c r="QTW44" s="806"/>
      <c r="QTX44" s="806"/>
      <c r="QTY44" s="806"/>
      <c r="QTZ44" s="806"/>
      <c r="QUA44" s="806"/>
      <c r="QUB44" s="806"/>
      <c r="QUC44" s="806"/>
      <c r="QUD44" s="806"/>
      <c r="QUE44" s="806"/>
      <c r="QUF44" s="806"/>
      <c r="QUG44" s="806"/>
      <c r="QUH44" s="806"/>
      <c r="QUI44" s="806"/>
      <c r="QUJ44" s="806"/>
      <c r="QUK44" s="806"/>
      <c r="QUL44" s="806"/>
      <c r="QUM44" s="806"/>
      <c r="QUN44" s="806"/>
      <c r="QUO44" s="806"/>
      <c r="QUP44" s="806"/>
      <c r="QUQ44" s="806"/>
      <c r="QUR44" s="806"/>
      <c r="QUS44" s="806"/>
      <c r="QUT44" s="806"/>
      <c r="QUU44" s="806"/>
      <c r="QUV44" s="806"/>
      <c r="QUW44" s="806"/>
      <c r="QUX44" s="806"/>
      <c r="QUY44" s="806"/>
      <c r="QUZ44" s="806"/>
      <c r="QVA44" s="806"/>
      <c r="QVB44" s="806"/>
      <c r="QVC44" s="806"/>
      <c r="QVD44" s="806"/>
      <c r="QVE44" s="806"/>
      <c r="QVF44" s="806"/>
      <c r="QVG44" s="806"/>
      <c r="QVH44" s="806"/>
      <c r="QVI44" s="806"/>
      <c r="QVJ44" s="806"/>
      <c r="QVK44" s="806"/>
      <c r="QVL44" s="806"/>
      <c r="QVM44" s="806"/>
      <c r="QVN44" s="806"/>
      <c r="QVO44" s="806"/>
      <c r="QVP44" s="806"/>
      <c r="QVQ44" s="806"/>
      <c r="QVR44" s="806"/>
      <c r="QVS44" s="806"/>
      <c r="QVT44" s="806"/>
      <c r="QVU44" s="806"/>
      <c r="QVV44" s="806"/>
      <c r="QVW44" s="806"/>
      <c r="QVX44" s="806"/>
      <c r="QVY44" s="806"/>
      <c r="QVZ44" s="806"/>
      <c r="QWA44" s="806"/>
      <c r="QWB44" s="806"/>
      <c r="QWC44" s="806"/>
      <c r="QWD44" s="806"/>
      <c r="QWE44" s="806"/>
      <c r="QWF44" s="806"/>
      <c r="QWG44" s="806"/>
      <c r="QWH44" s="806"/>
      <c r="QWI44" s="806"/>
      <c r="QWJ44" s="806"/>
      <c r="QWK44" s="806"/>
      <c r="QWL44" s="806"/>
      <c r="QWM44" s="806"/>
      <c r="QWN44" s="806"/>
      <c r="QWO44" s="806"/>
      <c r="QWP44" s="806"/>
      <c r="QWQ44" s="806"/>
      <c r="QWR44" s="806"/>
      <c r="QWS44" s="806"/>
      <c r="QWT44" s="806"/>
      <c r="QWU44" s="806"/>
      <c r="QWV44" s="806"/>
      <c r="QWW44" s="806"/>
      <c r="QWX44" s="806"/>
      <c r="QWY44" s="806"/>
      <c r="QWZ44" s="806"/>
      <c r="QXA44" s="806"/>
      <c r="QXB44" s="806"/>
      <c r="QXC44" s="806"/>
      <c r="QXD44" s="806"/>
      <c r="QXE44" s="806"/>
      <c r="QXF44" s="806"/>
      <c r="QXG44" s="806"/>
      <c r="QXH44" s="806"/>
      <c r="QXI44" s="806"/>
      <c r="QXJ44" s="806"/>
      <c r="QXK44" s="806"/>
      <c r="QXL44" s="806"/>
      <c r="QXM44" s="806"/>
      <c r="QXN44" s="806"/>
      <c r="QXO44" s="806"/>
      <c r="QXP44" s="806"/>
      <c r="QXQ44" s="806"/>
      <c r="QXR44" s="806"/>
      <c r="QXS44" s="806"/>
      <c r="QXT44" s="806"/>
      <c r="QXU44" s="806"/>
      <c r="QXV44" s="806"/>
      <c r="QXW44" s="806"/>
      <c r="QXX44" s="806"/>
      <c r="QXY44" s="806"/>
      <c r="QXZ44" s="806"/>
      <c r="QYA44" s="806"/>
      <c r="QYB44" s="806"/>
      <c r="QYC44" s="806"/>
      <c r="QYD44" s="806"/>
      <c r="QYE44" s="806"/>
      <c r="QYF44" s="806"/>
      <c r="QYG44" s="806"/>
      <c r="QYH44" s="806"/>
      <c r="QYI44" s="806"/>
      <c r="QYJ44" s="806"/>
      <c r="QYK44" s="806"/>
      <c r="QYL44" s="806"/>
      <c r="QYM44" s="806"/>
      <c r="QYN44" s="806"/>
      <c r="QYO44" s="806"/>
      <c r="QYP44" s="806"/>
      <c r="QYQ44" s="806"/>
      <c r="QYR44" s="806"/>
      <c r="QYS44" s="806"/>
      <c r="QYT44" s="806"/>
      <c r="QYU44" s="806"/>
      <c r="QYV44" s="806"/>
      <c r="QYW44" s="806"/>
      <c r="QYX44" s="806"/>
      <c r="QYY44" s="806"/>
      <c r="QYZ44" s="806"/>
      <c r="QZA44" s="806"/>
      <c r="QZB44" s="806"/>
      <c r="QZC44" s="806"/>
      <c r="QZD44" s="806"/>
      <c r="QZE44" s="806"/>
      <c r="QZF44" s="806"/>
      <c r="QZG44" s="806"/>
      <c r="QZH44" s="806"/>
      <c r="QZI44" s="806"/>
      <c r="QZJ44" s="806"/>
      <c r="QZK44" s="806"/>
      <c r="QZL44" s="806"/>
      <c r="QZM44" s="806"/>
      <c r="QZN44" s="806"/>
      <c r="QZO44" s="806"/>
      <c r="QZP44" s="806"/>
      <c r="QZQ44" s="806"/>
      <c r="QZR44" s="806"/>
      <c r="QZS44" s="806"/>
      <c r="QZT44" s="806"/>
      <c r="QZU44" s="806"/>
      <c r="QZV44" s="806"/>
      <c r="QZW44" s="806"/>
      <c r="QZX44" s="806"/>
      <c r="QZY44" s="806"/>
      <c r="QZZ44" s="806"/>
      <c r="RAA44" s="806"/>
      <c r="RAB44" s="806"/>
      <c r="RAC44" s="806"/>
      <c r="RAD44" s="806"/>
      <c r="RAE44" s="806"/>
      <c r="RAF44" s="806"/>
      <c r="RAG44" s="806"/>
      <c r="RAH44" s="806"/>
      <c r="RAI44" s="806"/>
      <c r="RAJ44" s="806"/>
      <c r="RAK44" s="806"/>
      <c r="RAL44" s="806"/>
      <c r="RAM44" s="806"/>
      <c r="RAN44" s="806"/>
      <c r="RAO44" s="806"/>
      <c r="RAP44" s="806"/>
      <c r="RAQ44" s="806"/>
      <c r="RAR44" s="806"/>
      <c r="RAS44" s="806"/>
      <c r="RAT44" s="806"/>
      <c r="RAU44" s="806"/>
      <c r="RAV44" s="806"/>
      <c r="RAW44" s="806"/>
      <c r="RAX44" s="806"/>
      <c r="RAY44" s="806"/>
      <c r="RAZ44" s="806"/>
      <c r="RBA44" s="806"/>
      <c r="RBB44" s="806"/>
      <c r="RBC44" s="806"/>
      <c r="RBD44" s="806"/>
      <c r="RBE44" s="806"/>
      <c r="RBF44" s="806"/>
      <c r="RBG44" s="806"/>
      <c r="RBH44" s="806"/>
      <c r="RBI44" s="806"/>
      <c r="RBJ44" s="806"/>
      <c r="RBK44" s="806"/>
      <c r="RBL44" s="806"/>
      <c r="RBM44" s="806"/>
      <c r="RBN44" s="806"/>
      <c r="RBO44" s="806"/>
      <c r="RBP44" s="806"/>
      <c r="RBQ44" s="806"/>
      <c r="RBR44" s="806"/>
      <c r="RBS44" s="806"/>
      <c r="RBT44" s="806"/>
      <c r="RBU44" s="806"/>
      <c r="RBV44" s="806"/>
      <c r="RBW44" s="806"/>
      <c r="RBX44" s="806"/>
      <c r="RBY44" s="806"/>
      <c r="RBZ44" s="806"/>
      <c r="RCA44" s="806"/>
      <c r="RCB44" s="806"/>
      <c r="RCC44" s="806"/>
      <c r="RCD44" s="806"/>
      <c r="RCE44" s="806"/>
      <c r="RCF44" s="806"/>
      <c r="RCG44" s="806"/>
      <c r="RCH44" s="806"/>
      <c r="RCI44" s="806"/>
      <c r="RCJ44" s="806"/>
      <c r="RCK44" s="806"/>
      <c r="RCL44" s="806"/>
      <c r="RCM44" s="806"/>
      <c r="RCN44" s="806"/>
      <c r="RCO44" s="806"/>
      <c r="RCP44" s="806"/>
      <c r="RCQ44" s="806"/>
      <c r="RCR44" s="806"/>
      <c r="RCS44" s="806"/>
      <c r="RCT44" s="806"/>
      <c r="RCU44" s="806"/>
      <c r="RCV44" s="806"/>
      <c r="RCW44" s="806"/>
      <c r="RCX44" s="806"/>
      <c r="RCY44" s="806"/>
      <c r="RCZ44" s="806"/>
      <c r="RDA44" s="806"/>
      <c r="RDB44" s="806"/>
      <c r="RDC44" s="806"/>
      <c r="RDD44" s="806"/>
      <c r="RDE44" s="806"/>
      <c r="RDF44" s="806"/>
      <c r="RDG44" s="806"/>
      <c r="RDH44" s="806"/>
      <c r="RDI44" s="806"/>
      <c r="RDJ44" s="806"/>
      <c r="RDK44" s="806"/>
      <c r="RDL44" s="806"/>
      <c r="RDM44" s="806"/>
      <c r="RDN44" s="806"/>
      <c r="RDO44" s="806"/>
      <c r="RDP44" s="806"/>
      <c r="RDQ44" s="806"/>
      <c r="RDR44" s="806"/>
      <c r="RDS44" s="806"/>
      <c r="RDT44" s="806"/>
      <c r="RDU44" s="806"/>
      <c r="RDV44" s="806"/>
      <c r="RDW44" s="806"/>
      <c r="RDX44" s="806"/>
      <c r="RDY44" s="806"/>
      <c r="RDZ44" s="806"/>
      <c r="REA44" s="806"/>
      <c r="REB44" s="806"/>
      <c r="REC44" s="806"/>
      <c r="RED44" s="806"/>
      <c r="REE44" s="806"/>
      <c r="REF44" s="806"/>
      <c r="REG44" s="806"/>
      <c r="REH44" s="806"/>
      <c r="REI44" s="806"/>
      <c r="REJ44" s="806"/>
      <c r="REK44" s="806"/>
      <c r="REL44" s="806"/>
      <c r="REM44" s="806"/>
      <c r="REN44" s="806"/>
      <c r="REO44" s="806"/>
      <c r="REP44" s="806"/>
      <c r="REQ44" s="806"/>
      <c r="RER44" s="806"/>
      <c r="RES44" s="806"/>
      <c r="RET44" s="806"/>
      <c r="REU44" s="806"/>
      <c r="REV44" s="806"/>
      <c r="REW44" s="806"/>
      <c r="REX44" s="806"/>
      <c r="REY44" s="806"/>
      <c r="REZ44" s="806"/>
      <c r="RFA44" s="806"/>
      <c r="RFB44" s="806"/>
      <c r="RFC44" s="806"/>
      <c r="RFD44" s="806"/>
      <c r="RFE44" s="806"/>
      <c r="RFF44" s="806"/>
      <c r="RFG44" s="806"/>
      <c r="RFH44" s="806"/>
      <c r="RFI44" s="806"/>
      <c r="RFJ44" s="806"/>
      <c r="RFK44" s="806"/>
      <c r="RFL44" s="806"/>
      <c r="RFM44" s="806"/>
      <c r="RFN44" s="806"/>
      <c r="RFO44" s="806"/>
      <c r="RFP44" s="806"/>
      <c r="RFQ44" s="806"/>
      <c r="RFR44" s="806"/>
      <c r="RFS44" s="806"/>
      <c r="RFT44" s="806"/>
      <c r="RFU44" s="806"/>
      <c r="RFV44" s="806"/>
      <c r="RFW44" s="806"/>
      <c r="RFX44" s="806"/>
      <c r="RFY44" s="806"/>
      <c r="RFZ44" s="806"/>
      <c r="RGA44" s="806"/>
      <c r="RGB44" s="806"/>
      <c r="RGC44" s="806"/>
      <c r="RGD44" s="806"/>
      <c r="RGE44" s="806"/>
      <c r="RGF44" s="806"/>
      <c r="RGG44" s="806"/>
      <c r="RGH44" s="806"/>
      <c r="RGI44" s="806"/>
      <c r="RGJ44" s="806"/>
      <c r="RGK44" s="806"/>
      <c r="RGL44" s="806"/>
      <c r="RGM44" s="806"/>
      <c r="RGN44" s="806"/>
      <c r="RGO44" s="806"/>
      <c r="RGP44" s="806"/>
      <c r="RGQ44" s="806"/>
      <c r="RGR44" s="806"/>
      <c r="RGS44" s="806"/>
      <c r="RGT44" s="806"/>
      <c r="RGU44" s="806"/>
      <c r="RGV44" s="806"/>
      <c r="RGW44" s="806"/>
      <c r="RGX44" s="806"/>
      <c r="RGY44" s="806"/>
      <c r="RGZ44" s="806"/>
      <c r="RHA44" s="806"/>
      <c r="RHB44" s="806"/>
      <c r="RHC44" s="806"/>
      <c r="RHD44" s="806"/>
      <c r="RHE44" s="806"/>
      <c r="RHF44" s="806"/>
      <c r="RHG44" s="806"/>
      <c r="RHH44" s="806"/>
      <c r="RHI44" s="806"/>
      <c r="RHJ44" s="806"/>
      <c r="RHK44" s="806"/>
      <c r="RHL44" s="806"/>
      <c r="RHM44" s="806"/>
      <c r="RHN44" s="806"/>
      <c r="RHO44" s="806"/>
      <c r="RHP44" s="806"/>
      <c r="RHQ44" s="806"/>
      <c r="RHR44" s="806"/>
      <c r="RHS44" s="806"/>
      <c r="RHT44" s="806"/>
      <c r="RHU44" s="806"/>
      <c r="RHV44" s="806"/>
      <c r="RHW44" s="806"/>
      <c r="RHX44" s="806"/>
      <c r="RHY44" s="806"/>
      <c r="RHZ44" s="806"/>
      <c r="RIA44" s="806"/>
      <c r="RIB44" s="806"/>
      <c r="RIC44" s="806"/>
      <c r="RID44" s="806"/>
      <c r="RIE44" s="806"/>
      <c r="RIF44" s="806"/>
      <c r="RIG44" s="806"/>
      <c r="RIH44" s="806"/>
      <c r="RII44" s="806"/>
      <c r="RIJ44" s="806"/>
      <c r="RIK44" s="806"/>
      <c r="RIL44" s="806"/>
      <c r="RIM44" s="806"/>
      <c r="RIN44" s="806"/>
      <c r="RIO44" s="806"/>
      <c r="RIP44" s="806"/>
      <c r="RIQ44" s="806"/>
      <c r="RIR44" s="806"/>
      <c r="RIS44" s="806"/>
      <c r="RIT44" s="806"/>
      <c r="RIU44" s="806"/>
      <c r="RIV44" s="806"/>
      <c r="RIW44" s="806"/>
      <c r="RIX44" s="806"/>
      <c r="RIY44" s="806"/>
      <c r="RIZ44" s="806"/>
      <c r="RJA44" s="806"/>
      <c r="RJB44" s="806"/>
      <c r="RJC44" s="806"/>
      <c r="RJD44" s="806"/>
      <c r="RJE44" s="806"/>
      <c r="RJF44" s="806"/>
      <c r="RJG44" s="806"/>
      <c r="RJH44" s="806"/>
      <c r="RJI44" s="806"/>
      <c r="RJJ44" s="806"/>
      <c r="RJK44" s="806"/>
      <c r="RJL44" s="806"/>
      <c r="RJM44" s="806"/>
      <c r="RJN44" s="806"/>
      <c r="RJO44" s="806"/>
      <c r="RJP44" s="806"/>
      <c r="RJQ44" s="806"/>
      <c r="RJR44" s="806"/>
      <c r="RJS44" s="806"/>
      <c r="RJT44" s="806"/>
      <c r="RJU44" s="806"/>
      <c r="RJV44" s="806"/>
      <c r="RJW44" s="806"/>
      <c r="RJX44" s="806"/>
      <c r="RJY44" s="806"/>
      <c r="RJZ44" s="806"/>
      <c r="RKA44" s="806"/>
      <c r="RKB44" s="806"/>
      <c r="RKC44" s="806"/>
      <c r="RKD44" s="806"/>
      <c r="RKE44" s="806"/>
      <c r="RKF44" s="806"/>
      <c r="RKG44" s="806"/>
      <c r="RKH44" s="806"/>
      <c r="RKI44" s="806"/>
      <c r="RKJ44" s="806"/>
      <c r="RKK44" s="806"/>
      <c r="RKL44" s="806"/>
      <c r="RKM44" s="806"/>
      <c r="RKN44" s="806"/>
      <c r="RKO44" s="806"/>
      <c r="RKP44" s="806"/>
      <c r="RKQ44" s="806"/>
      <c r="RKR44" s="806"/>
      <c r="RKS44" s="806"/>
      <c r="RKT44" s="806"/>
      <c r="RKU44" s="806"/>
      <c r="RKV44" s="806"/>
      <c r="RKW44" s="806"/>
      <c r="RKX44" s="806"/>
      <c r="RKY44" s="806"/>
      <c r="RKZ44" s="806"/>
      <c r="RLA44" s="806"/>
      <c r="RLB44" s="806"/>
      <c r="RLC44" s="806"/>
      <c r="RLD44" s="806"/>
      <c r="RLE44" s="806"/>
      <c r="RLF44" s="806"/>
      <c r="RLG44" s="806"/>
      <c r="RLH44" s="806"/>
      <c r="RLI44" s="806"/>
      <c r="RLJ44" s="806"/>
      <c r="RLK44" s="806"/>
      <c r="RLL44" s="806"/>
      <c r="RLM44" s="806"/>
      <c r="RLN44" s="806"/>
      <c r="RLO44" s="806"/>
      <c r="RLP44" s="806"/>
      <c r="RLQ44" s="806"/>
      <c r="RLR44" s="806"/>
      <c r="RLS44" s="806"/>
      <c r="RLT44" s="806"/>
      <c r="RLU44" s="806"/>
      <c r="RLV44" s="806"/>
      <c r="RLW44" s="806"/>
      <c r="RLX44" s="806"/>
      <c r="RLY44" s="806"/>
      <c r="RLZ44" s="806"/>
      <c r="RMA44" s="806"/>
      <c r="RMB44" s="806"/>
      <c r="RMC44" s="806"/>
      <c r="RMD44" s="806"/>
      <c r="RME44" s="806"/>
      <c r="RMF44" s="806"/>
      <c r="RMG44" s="806"/>
      <c r="RMH44" s="806"/>
      <c r="RMI44" s="806"/>
      <c r="RMJ44" s="806"/>
      <c r="RMK44" s="806"/>
      <c r="RML44" s="806"/>
      <c r="RMM44" s="806"/>
      <c r="RMN44" s="806"/>
      <c r="RMO44" s="806"/>
      <c r="RMP44" s="806"/>
      <c r="RMQ44" s="806"/>
      <c r="RMR44" s="806"/>
      <c r="RMS44" s="806"/>
      <c r="RMT44" s="806"/>
      <c r="RMU44" s="806"/>
      <c r="RMV44" s="806"/>
      <c r="RMW44" s="806"/>
      <c r="RMX44" s="806"/>
      <c r="RMY44" s="806"/>
      <c r="RMZ44" s="806"/>
      <c r="RNA44" s="806"/>
      <c r="RNB44" s="806"/>
      <c r="RNC44" s="806"/>
      <c r="RND44" s="806"/>
      <c r="RNE44" s="806"/>
      <c r="RNF44" s="806"/>
      <c r="RNG44" s="806"/>
      <c r="RNH44" s="806"/>
      <c r="RNI44" s="806"/>
      <c r="RNJ44" s="806"/>
      <c r="RNK44" s="806"/>
      <c r="RNL44" s="806"/>
      <c r="RNM44" s="806"/>
      <c r="RNN44" s="806"/>
      <c r="RNO44" s="806"/>
      <c r="RNP44" s="806"/>
      <c r="RNQ44" s="806"/>
      <c r="RNR44" s="806"/>
      <c r="RNS44" s="806"/>
      <c r="RNT44" s="806"/>
      <c r="RNU44" s="806"/>
      <c r="RNV44" s="806"/>
      <c r="RNW44" s="806"/>
      <c r="RNX44" s="806"/>
      <c r="RNY44" s="806"/>
      <c r="RNZ44" s="806"/>
      <c r="ROA44" s="806"/>
      <c r="ROB44" s="806"/>
      <c r="ROC44" s="806"/>
      <c r="ROD44" s="806"/>
      <c r="ROE44" s="806"/>
      <c r="ROF44" s="806"/>
      <c r="ROG44" s="806"/>
      <c r="ROH44" s="806"/>
      <c r="ROI44" s="806"/>
      <c r="ROJ44" s="806"/>
      <c r="ROK44" s="806"/>
      <c r="ROL44" s="806"/>
      <c r="ROM44" s="806"/>
      <c r="RON44" s="806"/>
      <c r="ROO44" s="806"/>
      <c r="ROP44" s="806"/>
      <c r="ROQ44" s="806"/>
      <c r="ROR44" s="806"/>
      <c r="ROS44" s="806"/>
      <c r="ROT44" s="806"/>
      <c r="ROU44" s="806"/>
      <c r="ROV44" s="806"/>
      <c r="ROW44" s="806"/>
      <c r="ROX44" s="806"/>
      <c r="ROY44" s="806"/>
      <c r="ROZ44" s="806"/>
      <c r="RPA44" s="806"/>
      <c r="RPB44" s="806"/>
      <c r="RPC44" s="806"/>
      <c r="RPD44" s="806"/>
      <c r="RPE44" s="806"/>
      <c r="RPF44" s="806"/>
      <c r="RPG44" s="806"/>
      <c r="RPH44" s="806"/>
      <c r="RPI44" s="806"/>
      <c r="RPJ44" s="806"/>
      <c r="RPK44" s="806"/>
      <c r="RPL44" s="806"/>
      <c r="RPM44" s="806"/>
      <c r="RPN44" s="806"/>
      <c r="RPO44" s="806"/>
      <c r="RPP44" s="806"/>
      <c r="RPQ44" s="806"/>
      <c r="RPR44" s="806"/>
      <c r="RPS44" s="806"/>
      <c r="RPT44" s="806"/>
      <c r="RPU44" s="806"/>
      <c r="RPV44" s="806"/>
      <c r="RPW44" s="806"/>
      <c r="RPX44" s="806"/>
      <c r="RPY44" s="806"/>
      <c r="RPZ44" s="806"/>
      <c r="RQA44" s="806"/>
      <c r="RQB44" s="806"/>
      <c r="RQC44" s="806"/>
      <c r="RQD44" s="806"/>
      <c r="RQE44" s="806"/>
      <c r="RQF44" s="806"/>
      <c r="RQG44" s="806"/>
      <c r="RQH44" s="806"/>
      <c r="RQI44" s="806"/>
      <c r="RQJ44" s="806"/>
      <c r="RQK44" s="806"/>
      <c r="RQL44" s="806"/>
      <c r="RQM44" s="806"/>
      <c r="RQN44" s="806"/>
      <c r="RQO44" s="806"/>
      <c r="RQP44" s="806"/>
      <c r="RQQ44" s="806"/>
      <c r="RQR44" s="806"/>
      <c r="RQS44" s="806"/>
      <c r="RQT44" s="806"/>
      <c r="RQU44" s="806"/>
      <c r="RQV44" s="806"/>
      <c r="RQW44" s="806"/>
      <c r="RQX44" s="806"/>
      <c r="RQY44" s="806"/>
      <c r="RQZ44" s="806"/>
      <c r="RRA44" s="806"/>
      <c r="RRB44" s="806"/>
      <c r="RRC44" s="806"/>
      <c r="RRD44" s="806"/>
      <c r="RRE44" s="806"/>
      <c r="RRF44" s="806"/>
      <c r="RRG44" s="806"/>
      <c r="RRH44" s="806"/>
      <c r="RRI44" s="806"/>
      <c r="RRJ44" s="806"/>
      <c r="RRK44" s="806"/>
      <c r="RRL44" s="806"/>
      <c r="RRM44" s="806"/>
      <c r="RRN44" s="806"/>
      <c r="RRO44" s="806"/>
      <c r="RRP44" s="806"/>
      <c r="RRQ44" s="806"/>
      <c r="RRR44" s="806"/>
      <c r="RRS44" s="806"/>
      <c r="RRT44" s="806"/>
      <c r="RRU44" s="806"/>
      <c r="RRV44" s="806"/>
      <c r="RRW44" s="806"/>
      <c r="RRX44" s="806"/>
      <c r="RRY44" s="806"/>
      <c r="RRZ44" s="806"/>
      <c r="RSA44" s="806"/>
      <c r="RSB44" s="806"/>
      <c r="RSC44" s="806"/>
      <c r="RSD44" s="806"/>
      <c r="RSE44" s="806"/>
      <c r="RSF44" s="806"/>
      <c r="RSG44" s="806"/>
      <c r="RSH44" s="806"/>
      <c r="RSI44" s="806"/>
      <c r="RSJ44" s="806"/>
      <c r="RSK44" s="806"/>
      <c r="RSL44" s="806"/>
      <c r="RSM44" s="806"/>
      <c r="RSN44" s="806"/>
      <c r="RSO44" s="806"/>
      <c r="RSP44" s="806"/>
      <c r="RSQ44" s="806"/>
      <c r="RSR44" s="806"/>
      <c r="RSS44" s="806"/>
      <c r="RST44" s="806"/>
      <c r="RSU44" s="806"/>
      <c r="RSV44" s="806"/>
      <c r="RSW44" s="806"/>
      <c r="RSX44" s="806"/>
      <c r="RSY44" s="806"/>
      <c r="RSZ44" s="806"/>
      <c r="RTA44" s="806"/>
      <c r="RTB44" s="806"/>
      <c r="RTC44" s="806"/>
      <c r="RTD44" s="806"/>
      <c r="RTE44" s="806"/>
      <c r="RTF44" s="806"/>
      <c r="RTG44" s="806"/>
      <c r="RTH44" s="806"/>
      <c r="RTI44" s="806"/>
      <c r="RTJ44" s="806"/>
      <c r="RTK44" s="806"/>
      <c r="RTL44" s="806"/>
      <c r="RTM44" s="806"/>
      <c r="RTN44" s="806"/>
      <c r="RTO44" s="806"/>
      <c r="RTP44" s="806"/>
      <c r="RTQ44" s="806"/>
      <c r="RTR44" s="806"/>
      <c r="RTS44" s="806"/>
      <c r="RTT44" s="806"/>
      <c r="RTU44" s="806"/>
      <c r="RTV44" s="806"/>
      <c r="RTW44" s="806"/>
      <c r="RTX44" s="806"/>
      <c r="RTY44" s="806"/>
      <c r="RTZ44" s="806"/>
      <c r="RUA44" s="806"/>
      <c r="RUB44" s="806"/>
      <c r="RUC44" s="806"/>
      <c r="RUD44" s="806"/>
      <c r="RUE44" s="806"/>
      <c r="RUF44" s="806"/>
      <c r="RUG44" s="806"/>
      <c r="RUH44" s="806"/>
      <c r="RUI44" s="806"/>
      <c r="RUJ44" s="806"/>
      <c r="RUK44" s="806"/>
      <c r="RUL44" s="806"/>
      <c r="RUM44" s="806"/>
      <c r="RUN44" s="806"/>
      <c r="RUO44" s="806"/>
      <c r="RUP44" s="806"/>
      <c r="RUQ44" s="806"/>
      <c r="RUR44" s="806"/>
      <c r="RUS44" s="806"/>
      <c r="RUT44" s="806"/>
      <c r="RUU44" s="806"/>
      <c r="RUV44" s="806"/>
      <c r="RUW44" s="806"/>
      <c r="RUX44" s="806"/>
      <c r="RUY44" s="806"/>
      <c r="RUZ44" s="806"/>
      <c r="RVA44" s="806"/>
      <c r="RVB44" s="806"/>
      <c r="RVC44" s="806"/>
      <c r="RVD44" s="806"/>
      <c r="RVE44" s="806"/>
      <c r="RVF44" s="806"/>
      <c r="RVG44" s="806"/>
      <c r="RVH44" s="806"/>
      <c r="RVI44" s="806"/>
      <c r="RVJ44" s="806"/>
      <c r="RVK44" s="806"/>
      <c r="RVL44" s="806"/>
      <c r="RVM44" s="806"/>
      <c r="RVN44" s="806"/>
      <c r="RVO44" s="806"/>
      <c r="RVP44" s="806"/>
      <c r="RVQ44" s="806"/>
      <c r="RVR44" s="806"/>
      <c r="RVS44" s="806"/>
      <c r="RVT44" s="806"/>
      <c r="RVU44" s="806"/>
      <c r="RVV44" s="806"/>
      <c r="RVW44" s="806"/>
      <c r="RVX44" s="806"/>
      <c r="RVY44" s="806"/>
      <c r="RVZ44" s="806"/>
      <c r="RWA44" s="806"/>
      <c r="RWB44" s="806"/>
      <c r="RWC44" s="806"/>
      <c r="RWD44" s="806"/>
      <c r="RWE44" s="806"/>
      <c r="RWF44" s="806"/>
      <c r="RWG44" s="806"/>
      <c r="RWH44" s="806"/>
      <c r="RWI44" s="806"/>
      <c r="RWJ44" s="806"/>
      <c r="RWK44" s="806"/>
      <c r="RWL44" s="806"/>
      <c r="RWM44" s="806"/>
      <c r="RWN44" s="806"/>
      <c r="RWO44" s="806"/>
      <c r="RWP44" s="806"/>
      <c r="RWQ44" s="806"/>
      <c r="RWR44" s="806"/>
      <c r="RWS44" s="806"/>
      <c r="RWT44" s="806"/>
      <c r="RWU44" s="806"/>
      <c r="RWV44" s="806"/>
      <c r="RWW44" s="806"/>
      <c r="RWX44" s="806"/>
      <c r="RWY44" s="806"/>
      <c r="RWZ44" s="806"/>
      <c r="RXA44" s="806"/>
      <c r="RXB44" s="806"/>
      <c r="RXC44" s="806"/>
      <c r="RXD44" s="806"/>
      <c r="RXE44" s="806"/>
      <c r="RXF44" s="806"/>
      <c r="RXG44" s="806"/>
      <c r="RXH44" s="806"/>
      <c r="RXI44" s="806"/>
      <c r="RXJ44" s="806"/>
      <c r="RXK44" s="806"/>
      <c r="RXL44" s="806"/>
      <c r="RXM44" s="806"/>
      <c r="RXN44" s="806"/>
      <c r="RXO44" s="806"/>
      <c r="RXP44" s="806"/>
      <c r="RXQ44" s="806"/>
      <c r="RXR44" s="806"/>
      <c r="RXS44" s="806"/>
      <c r="RXT44" s="806"/>
      <c r="RXU44" s="806"/>
      <c r="RXV44" s="806"/>
      <c r="RXW44" s="806"/>
      <c r="RXX44" s="806"/>
      <c r="RXY44" s="806"/>
      <c r="RXZ44" s="806"/>
      <c r="RYA44" s="806"/>
      <c r="RYB44" s="806"/>
      <c r="RYC44" s="806"/>
      <c r="RYD44" s="806"/>
      <c r="RYE44" s="806"/>
      <c r="RYF44" s="806"/>
      <c r="RYG44" s="806"/>
      <c r="RYH44" s="806"/>
      <c r="RYI44" s="806"/>
      <c r="RYJ44" s="806"/>
      <c r="RYK44" s="806"/>
      <c r="RYL44" s="806"/>
      <c r="RYM44" s="806"/>
      <c r="RYN44" s="806"/>
      <c r="RYO44" s="806"/>
      <c r="RYP44" s="806"/>
      <c r="RYQ44" s="806"/>
      <c r="RYR44" s="806"/>
      <c r="RYS44" s="806"/>
      <c r="RYT44" s="806"/>
      <c r="RYU44" s="806"/>
      <c r="RYV44" s="806"/>
      <c r="RYW44" s="806"/>
      <c r="RYX44" s="806"/>
      <c r="RYY44" s="806"/>
      <c r="RYZ44" s="806"/>
      <c r="RZA44" s="806"/>
      <c r="RZB44" s="806"/>
      <c r="RZC44" s="806"/>
      <c r="RZD44" s="806"/>
      <c r="RZE44" s="806"/>
      <c r="RZF44" s="806"/>
      <c r="RZG44" s="806"/>
      <c r="RZH44" s="806"/>
      <c r="RZI44" s="806"/>
      <c r="RZJ44" s="806"/>
      <c r="RZK44" s="806"/>
      <c r="RZL44" s="806"/>
      <c r="RZM44" s="806"/>
      <c r="RZN44" s="806"/>
      <c r="RZO44" s="806"/>
      <c r="RZP44" s="806"/>
      <c r="RZQ44" s="806"/>
      <c r="RZR44" s="806"/>
      <c r="RZS44" s="806"/>
      <c r="RZT44" s="806"/>
      <c r="RZU44" s="806"/>
      <c r="RZV44" s="806"/>
      <c r="RZW44" s="806"/>
      <c r="RZX44" s="806"/>
      <c r="RZY44" s="806"/>
      <c r="RZZ44" s="806"/>
      <c r="SAA44" s="806"/>
      <c r="SAB44" s="806"/>
      <c r="SAC44" s="806"/>
      <c r="SAD44" s="806"/>
      <c r="SAE44" s="806"/>
      <c r="SAF44" s="806"/>
      <c r="SAG44" s="806"/>
      <c r="SAH44" s="806"/>
      <c r="SAI44" s="806"/>
      <c r="SAJ44" s="806"/>
      <c r="SAK44" s="806"/>
      <c r="SAL44" s="806"/>
      <c r="SAM44" s="806"/>
      <c r="SAN44" s="806"/>
      <c r="SAO44" s="806"/>
      <c r="SAP44" s="806"/>
      <c r="SAQ44" s="806"/>
      <c r="SAR44" s="806"/>
      <c r="SAS44" s="806"/>
      <c r="SAT44" s="806"/>
      <c r="SAU44" s="806"/>
      <c r="SAV44" s="806"/>
      <c r="SAW44" s="806"/>
      <c r="SAX44" s="806"/>
      <c r="SAY44" s="806"/>
      <c r="SAZ44" s="806"/>
      <c r="SBA44" s="806"/>
      <c r="SBB44" s="806"/>
      <c r="SBC44" s="806"/>
      <c r="SBD44" s="806"/>
      <c r="SBE44" s="806"/>
      <c r="SBF44" s="806"/>
      <c r="SBG44" s="806"/>
      <c r="SBH44" s="806"/>
      <c r="SBI44" s="806"/>
      <c r="SBJ44" s="806"/>
      <c r="SBK44" s="806"/>
      <c r="SBL44" s="806"/>
      <c r="SBM44" s="806"/>
      <c r="SBN44" s="806"/>
      <c r="SBO44" s="806"/>
      <c r="SBP44" s="806"/>
      <c r="SBQ44" s="806"/>
      <c r="SBR44" s="806"/>
      <c r="SBS44" s="806"/>
      <c r="SBT44" s="806"/>
      <c r="SBU44" s="806"/>
      <c r="SBV44" s="806"/>
      <c r="SBW44" s="806"/>
      <c r="SBX44" s="806"/>
      <c r="SBY44" s="806"/>
      <c r="SBZ44" s="806"/>
      <c r="SCA44" s="806"/>
      <c r="SCB44" s="806"/>
      <c r="SCC44" s="806"/>
      <c r="SCD44" s="806"/>
      <c r="SCE44" s="806"/>
      <c r="SCF44" s="806"/>
      <c r="SCG44" s="806"/>
      <c r="SCH44" s="806"/>
      <c r="SCI44" s="806"/>
      <c r="SCJ44" s="806"/>
      <c r="SCK44" s="806"/>
      <c r="SCL44" s="806"/>
      <c r="SCM44" s="806"/>
      <c r="SCN44" s="806"/>
      <c r="SCO44" s="806"/>
      <c r="SCP44" s="806"/>
      <c r="SCQ44" s="806"/>
      <c r="SCR44" s="806"/>
      <c r="SCS44" s="806"/>
      <c r="SCT44" s="806"/>
      <c r="SCU44" s="806"/>
      <c r="SCV44" s="806"/>
      <c r="SCW44" s="806"/>
      <c r="SCX44" s="806"/>
      <c r="SCY44" s="806"/>
      <c r="SCZ44" s="806"/>
      <c r="SDA44" s="806"/>
      <c r="SDB44" s="806"/>
      <c r="SDC44" s="806"/>
      <c r="SDD44" s="806"/>
      <c r="SDE44" s="806"/>
      <c r="SDF44" s="806"/>
      <c r="SDG44" s="806"/>
      <c r="SDH44" s="806"/>
      <c r="SDI44" s="806"/>
      <c r="SDJ44" s="806"/>
      <c r="SDK44" s="806"/>
      <c r="SDL44" s="806"/>
      <c r="SDM44" s="806"/>
      <c r="SDN44" s="806"/>
      <c r="SDO44" s="806"/>
      <c r="SDP44" s="806"/>
      <c r="SDQ44" s="806"/>
      <c r="SDR44" s="806"/>
      <c r="SDS44" s="806"/>
      <c r="SDT44" s="806"/>
      <c r="SDU44" s="806"/>
      <c r="SDV44" s="806"/>
      <c r="SDW44" s="806"/>
      <c r="SDX44" s="806"/>
      <c r="SDY44" s="806"/>
      <c r="SDZ44" s="806"/>
      <c r="SEA44" s="806"/>
      <c r="SEB44" s="806"/>
      <c r="SEC44" s="806"/>
      <c r="SED44" s="806"/>
      <c r="SEE44" s="806"/>
      <c r="SEF44" s="806"/>
      <c r="SEG44" s="806"/>
      <c r="SEH44" s="806"/>
      <c r="SEI44" s="806"/>
      <c r="SEJ44" s="806"/>
      <c r="SEK44" s="806"/>
      <c r="SEL44" s="806"/>
      <c r="SEM44" s="806"/>
      <c r="SEN44" s="806"/>
      <c r="SEO44" s="806"/>
      <c r="SEP44" s="806"/>
      <c r="SEQ44" s="806"/>
      <c r="SER44" s="806"/>
      <c r="SES44" s="806"/>
      <c r="SET44" s="806"/>
      <c r="SEU44" s="806"/>
      <c r="SEV44" s="806"/>
      <c r="SEW44" s="806"/>
      <c r="SEX44" s="806"/>
      <c r="SEY44" s="806"/>
      <c r="SEZ44" s="806"/>
      <c r="SFA44" s="806"/>
      <c r="SFB44" s="806"/>
      <c r="SFC44" s="806"/>
      <c r="SFD44" s="806"/>
      <c r="SFE44" s="806"/>
      <c r="SFF44" s="806"/>
      <c r="SFG44" s="806"/>
      <c r="SFH44" s="806"/>
      <c r="SFI44" s="806"/>
      <c r="SFJ44" s="806"/>
      <c r="SFK44" s="806"/>
      <c r="SFL44" s="806"/>
      <c r="SFM44" s="806"/>
      <c r="SFN44" s="806"/>
      <c r="SFO44" s="806"/>
      <c r="SFP44" s="806"/>
      <c r="SFQ44" s="806"/>
      <c r="SFR44" s="806"/>
      <c r="SFS44" s="806"/>
      <c r="SFT44" s="806"/>
      <c r="SFU44" s="806"/>
      <c r="SFV44" s="806"/>
      <c r="SFW44" s="806"/>
      <c r="SFX44" s="806"/>
      <c r="SFY44" s="806"/>
      <c r="SFZ44" s="806"/>
      <c r="SGA44" s="806"/>
      <c r="SGB44" s="806"/>
      <c r="SGC44" s="806"/>
      <c r="SGD44" s="806"/>
      <c r="SGE44" s="806"/>
      <c r="SGF44" s="806"/>
      <c r="SGG44" s="806"/>
      <c r="SGH44" s="806"/>
      <c r="SGI44" s="806"/>
      <c r="SGJ44" s="806"/>
      <c r="SGK44" s="806"/>
      <c r="SGL44" s="806"/>
      <c r="SGM44" s="806"/>
      <c r="SGN44" s="806"/>
      <c r="SGO44" s="806"/>
      <c r="SGP44" s="806"/>
      <c r="SGQ44" s="806"/>
      <c r="SGR44" s="806"/>
      <c r="SGS44" s="806"/>
      <c r="SGT44" s="806"/>
      <c r="SGU44" s="806"/>
      <c r="SGV44" s="806"/>
      <c r="SGW44" s="806"/>
      <c r="SGX44" s="806"/>
      <c r="SGY44" s="806"/>
      <c r="SGZ44" s="806"/>
      <c r="SHA44" s="806"/>
      <c r="SHB44" s="806"/>
      <c r="SHC44" s="806"/>
      <c r="SHD44" s="806"/>
      <c r="SHE44" s="806"/>
      <c r="SHF44" s="806"/>
      <c r="SHG44" s="806"/>
      <c r="SHH44" s="806"/>
      <c r="SHI44" s="806"/>
      <c r="SHJ44" s="806"/>
      <c r="SHK44" s="806"/>
      <c r="SHL44" s="806"/>
      <c r="SHM44" s="806"/>
      <c r="SHN44" s="806"/>
      <c r="SHO44" s="806"/>
      <c r="SHP44" s="806"/>
      <c r="SHQ44" s="806"/>
      <c r="SHR44" s="806"/>
      <c r="SHS44" s="806"/>
      <c r="SHT44" s="806"/>
      <c r="SHU44" s="806"/>
      <c r="SHV44" s="806"/>
      <c r="SHW44" s="806"/>
      <c r="SHX44" s="806"/>
      <c r="SHY44" s="806"/>
      <c r="SHZ44" s="806"/>
      <c r="SIA44" s="806"/>
      <c r="SIB44" s="806"/>
      <c r="SIC44" s="806"/>
      <c r="SID44" s="806"/>
      <c r="SIE44" s="806"/>
      <c r="SIF44" s="806"/>
      <c r="SIG44" s="806"/>
      <c r="SIH44" s="806"/>
      <c r="SII44" s="806"/>
      <c r="SIJ44" s="806"/>
      <c r="SIK44" s="806"/>
      <c r="SIL44" s="806"/>
      <c r="SIM44" s="806"/>
      <c r="SIN44" s="806"/>
      <c r="SIO44" s="806"/>
      <c r="SIP44" s="806"/>
      <c r="SIQ44" s="806"/>
      <c r="SIR44" s="806"/>
      <c r="SIS44" s="806"/>
      <c r="SIT44" s="806"/>
      <c r="SIU44" s="806"/>
      <c r="SIV44" s="806"/>
      <c r="SIW44" s="806"/>
      <c r="SIX44" s="806"/>
      <c r="SIY44" s="806"/>
      <c r="SIZ44" s="806"/>
      <c r="SJA44" s="806"/>
      <c r="SJB44" s="806"/>
      <c r="SJC44" s="806"/>
      <c r="SJD44" s="806"/>
      <c r="SJE44" s="806"/>
      <c r="SJF44" s="806"/>
      <c r="SJG44" s="806"/>
      <c r="SJH44" s="806"/>
      <c r="SJI44" s="806"/>
      <c r="SJJ44" s="806"/>
      <c r="SJK44" s="806"/>
      <c r="SJL44" s="806"/>
      <c r="SJM44" s="806"/>
      <c r="SJN44" s="806"/>
      <c r="SJO44" s="806"/>
      <c r="SJP44" s="806"/>
      <c r="SJQ44" s="806"/>
      <c r="SJR44" s="806"/>
      <c r="SJS44" s="806"/>
      <c r="SJT44" s="806"/>
      <c r="SJU44" s="806"/>
      <c r="SJV44" s="806"/>
      <c r="SJW44" s="806"/>
      <c r="SJX44" s="806"/>
      <c r="SJY44" s="806"/>
      <c r="SJZ44" s="806"/>
      <c r="SKA44" s="806"/>
      <c r="SKB44" s="806"/>
      <c r="SKC44" s="806"/>
      <c r="SKD44" s="806"/>
      <c r="SKE44" s="806"/>
      <c r="SKF44" s="806"/>
      <c r="SKG44" s="806"/>
      <c r="SKH44" s="806"/>
      <c r="SKI44" s="806"/>
      <c r="SKJ44" s="806"/>
      <c r="SKK44" s="806"/>
      <c r="SKL44" s="806"/>
      <c r="SKM44" s="806"/>
      <c r="SKN44" s="806"/>
      <c r="SKO44" s="806"/>
      <c r="SKP44" s="806"/>
      <c r="SKQ44" s="806"/>
      <c r="SKR44" s="806"/>
      <c r="SKS44" s="806"/>
      <c r="SKT44" s="806"/>
      <c r="SKU44" s="806"/>
      <c r="SKV44" s="806"/>
      <c r="SKW44" s="806"/>
      <c r="SKX44" s="806"/>
      <c r="SKY44" s="806"/>
      <c r="SKZ44" s="806"/>
      <c r="SLA44" s="806"/>
      <c r="SLB44" s="806"/>
      <c r="SLC44" s="806"/>
      <c r="SLD44" s="806"/>
      <c r="SLE44" s="806"/>
      <c r="SLF44" s="806"/>
      <c r="SLG44" s="806"/>
      <c r="SLH44" s="806"/>
      <c r="SLI44" s="806"/>
      <c r="SLJ44" s="806"/>
      <c r="SLK44" s="806"/>
      <c r="SLL44" s="806"/>
      <c r="SLM44" s="806"/>
      <c r="SLN44" s="806"/>
      <c r="SLO44" s="806"/>
      <c r="SLP44" s="806"/>
      <c r="SLQ44" s="806"/>
      <c r="SLR44" s="806"/>
      <c r="SLS44" s="806"/>
      <c r="SLT44" s="806"/>
      <c r="SLU44" s="806"/>
      <c r="SLV44" s="806"/>
      <c r="SLW44" s="806"/>
      <c r="SLX44" s="806"/>
      <c r="SLY44" s="806"/>
      <c r="SLZ44" s="806"/>
      <c r="SMA44" s="806"/>
      <c r="SMB44" s="806"/>
      <c r="SMC44" s="806"/>
      <c r="SMD44" s="806"/>
      <c r="SME44" s="806"/>
      <c r="SMF44" s="806"/>
      <c r="SMG44" s="806"/>
      <c r="SMH44" s="806"/>
      <c r="SMI44" s="806"/>
      <c r="SMJ44" s="806"/>
      <c r="SMK44" s="806"/>
      <c r="SML44" s="806"/>
      <c r="SMM44" s="806"/>
      <c r="SMN44" s="806"/>
      <c r="SMO44" s="806"/>
      <c r="SMP44" s="806"/>
      <c r="SMQ44" s="806"/>
      <c r="SMR44" s="806"/>
      <c r="SMS44" s="806"/>
      <c r="SMT44" s="806"/>
      <c r="SMU44" s="806"/>
      <c r="SMV44" s="806"/>
      <c r="SMW44" s="806"/>
      <c r="SMX44" s="806"/>
      <c r="SMY44" s="806"/>
      <c r="SMZ44" s="806"/>
      <c r="SNA44" s="806"/>
      <c r="SNB44" s="806"/>
      <c r="SNC44" s="806"/>
      <c r="SND44" s="806"/>
      <c r="SNE44" s="806"/>
      <c r="SNF44" s="806"/>
      <c r="SNG44" s="806"/>
      <c r="SNH44" s="806"/>
      <c r="SNI44" s="806"/>
      <c r="SNJ44" s="806"/>
      <c r="SNK44" s="806"/>
      <c r="SNL44" s="806"/>
      <c r="SNM44" s="806"/>
      <c r="SNN44" s="806"/>
      <c r="SNO44" s="806"/>
      <c r="SNP44" s="806"/>
      <c r="SNQ44" s="806"/>
      <c r="SNR44" s="806"/>
      <c r="SNS44" s="806"/>
      <c r="SNT44" s="806"/>
      <c r="SNU44" s="806"/>
      <c r="SNV44" s="806"/>
      <c r="SNW44" s="806"/>
      <c r="SNX44" s="806"/>
      <c r="SNY44" s="806"/>
      <c r="SNZ44" s="806"/>
      <c r="SOA44" s="806"/>
      <c r="SOB44" s="806"/>
      <c r="SOC44" s="806"/>
      <c r="SOD44" s="806"/>
      <c r="SOE44" s="806"/>
      <c r="SOF44" s="806"/>
      <c r="SOG44" s="806"/>
      <c r="SOH44" s="806"/>
      <c r="SOI44" s="806"/>
      <c r="SOJ44" s="806"/>
      <c r="SOK44" s="806"/>
      <c r="SOL44" s="806"/>
      <c r="SOM44" s="806"/>
      <c r="SON44" s="806"/>
      <c r="SOO44" s="806"/>
      <c r="SOP44" s="806"/>
      <c r="SOQ44" s="806"/>
      <c r="SOR44" s="806"/>
      <c r="SOS44" s="806"/>
      <c r="SOT44" s="806"/>
      <c r="SOU44" s="806"/>
      <c r="SOV44" s="806"/>
      <c r="SOW44" s="806"/>
      <c r="SOX44" s="806"/>
      <c r="SOY44" s="806"/>
      <c r="SOZ44" s="806"/>
      <c r="SPA44" s="806"/>
      <c r="SPB44" s="806"/>
      <c r="SPC44" s="806"/>
      <c r="SPD44" s="806"/>
      <c r="SPE44" s="806"/>
      <c r="SPF44" s="806"/>
      <c r="SPG44" s="806"/>
      <c r="SPH44" s="806"/>
      <c r="SPI44" s="806"/>
      <c r="SPJ44" s="806"/>
      <c r="SPK44" s="806"/>
      <c r="SPL44" s="806"/>
      <c r="SPM44" s="806"/>
      <c r="SPN44" s="806"/>
      <c r="SPO44" s="806"/>
      <c r="SPP44" s="806"/>
      <c r="SPQ44" s="806"/>
      <c r="SPR44" s="806"/>
      <c r="SPS44" s="806"/>
      <c r="SPT44" s="806"/>
      <c r="SPU44" s="806"/>
      <c r="SPV44" s="806"/>
      <c r="SPW44" s="806"/>
      <c r="SPX44" s="806"/>
      <c r="SPY44" s="806"/>
      <c r="SPZ44" s="806"/>
      <c r="SQA44" s="806"/>
      <c r="SQB44" s="806"/>
      <c r="SQC44" s="806"/>
      <c r="SQD44" s="806"/>
      <c r="SQE44" s="806"/>
      <c r="SQF44" s="806"/>
      <c r="SQG44" s="806"/>
      <c r="SQH44" s="806"/>
      <c r="SQI44" s="806"/>
      <c r="SQJ44" s="806"/>
      <c r="SQK44" s="806"/>
      <c r="SQL44" s="806"/>
      <c r="SQM44" s="806"/>
      <c r="SQN44" s="806"/>
      <c r="SQO44" s="806"/>
      <c r="SQP44" s="806"/>
      <c r="SQQ44" s="806"/>
      <c r="SQR44" s="806"/>
      <c r="SQS44" s="806"/>
      <c r="SQT44" s="806"/>
      <c r="SQU44" s="806"/>
      <c r="SQV44" s="806"/>
      <c r="SQW44" s="806"/>
      <c r="SQX44" s="806"/>
      <c r="SQY44" s="806"/>
      <c r="SQZ44" s="806"/>
      <c r="SRA44" s="806"/>
      <c r="SRB44" s="806"/>
      <c r="SRC44" s="806"/>
      <c r="SRD44" s="806"/>
      <c r="SRE44" s="806"/>
      <c r="SRF44" s="806"/>
      <c r="SRG44" s="806"/>
      <c r="SRH44" s="806"/>
      <c r="SRI44" s="806"/>
      <c r="SRJ44" s="806"/>
      <c r="SRK44" s="806"/>
      <c r="SRL44" s="806"/>
      <c r="SRM44" s="806"/>
      <c r="SRN44" s="806"/>
      <c r="SRO44" s="806"/>
      <c r="SRP44" s="806"/>
      <c r="SRQ44" s="806"/>
      <c r="SRR44" s="806"/>
      <c r="SRS44" s="806"/>
      <c r="SRT44" s="806"/>
      <c r="SRU44" s="806"/>
      <c r="SRV44" s="806"/>
      <c r="SRW44" s="806"/>
      <c r="SRX44" s="806"/>
      <c r="SRY44" s="806"/>
      <c r="SRZ44" s="806"/>
      <c r="SSA44" s="806"/>
      <c r="SSB44" s="806"/>
      <c r="SSC44" s="806"/>
      <c r="SSD44" s="806"/>
      <c r="SSE44" s="806"/>
      <c r="SSF44" s="806"/>
      <c r="SSG44" s="806"/>
      <c r="SSH44" s="806"/>
      <c r="SSI44" s="806"/>
      <c r="SSJ44" s="806"/>
      <c r="SSK44" s="806"/>
      <c r="SSL44" s="806"/>
      <c r="SSM44" s="806"/>
      <c r="SSN44" s="806"/>
      <c r="SSO44" s="806"/>
      <c r="SSP44" s="806"/>
      <c r="SSQ44" s="806"/>
      <c r="SSR44" s="806"/>
      <c r="SSS44" s="806"/>
      <c r="SST44" s="806"/>
      <c r="SSU44" s="806"/>
      <c r="SSV44" s="806"/>
      <c r="SSW44" s="806"/>
      <c r="SSX44" s="806"/>
      <c r="SSY44" s="806"/>
      <c r="SSZ44" s="806"/>
      <c r="STA44" s="806"/>
      <c r="STB44" s="806"/>
      <c r="STC44" s="806"/>
      <c r="STD44" s="806"/>
      <c r="STE44" s="806"/>
      <c r="STF44" s="806"/>
      <c r="STG44" s="806"/>
      <c r="STH44" s="806"/>
      <c r="STI44" s="806"/>
      <c r="STJ44" s="806"/>
      <c r="STK44" s="806"/>
      <c r="STL44" s="806"/>
      <c r="STM44" s="806"/>
      <c r="STN44" s="806"/>
      <c r="STO44" s="806"/>
      <c r="STP44" s="806"/>
      <c r="STQ44" s="806"/>
      <c r="STR44" s="806"/>
      <c r="STS44" s="806"/>
      <c r="STT44" s="806"/>
      <c r="STU44" s="806"/>
      <c r="STV44" s="806"/>
      <c r="STW44" s="806"/>
      <c r="STX44" s="806"/>
      <c r="STY44" s="806"/>
      <c r="STZ44" s="806"/>
      <c r="SUA44" s="806"/>
      <c r="SUB44" s="806"/>
      <c r="SUC44" s="806"/>
      <c r="SUD44" s="806"/>
      <c r="SUE44" s="806"/>
      <c r="SUF44" s="806"/>
      <c r="SUG44" s="806"/>
      <c r="SUH44" s="806"/>
      <c r="SUI44" s="806"/>
      <c r="SUJ44" s="806"/>
      <c r="SUK44" s="806"/>
      <c r="SUL44" s="806"/>
      <c r="SUM44" s="806"/>
      <c r="SUN44" s="806"/>
      <c r="SUO44" s="806"/>
      <c r="SUP44" s="806"/>
      <c r="SUQ44" s="806"/>
      <c r="SUR44" s="806"/>
      <c r="SUS44" s="806"/>
      <c r="SUT44" s="806"/>
      <c r="SUU44" s="806"/>
      <c r="SUV44" s="806"/>
      <c r="SUW44" s="806"/>
      <c r="SUX44" s="806"/>
      <c r="SUY44" s="806"/>
      <c r="SUZ44" s="806"/>
      <c r="SVA44" s="806"/>
      <c r="SVB44" s="806"/>
      <c r="SVC44" s="806"/>
      <c r="SVD44" s="806"/>
      <c r="SVE44" s="806"/>
      <c r="SVF44" s="806"/>
      <c r="SVG44" s="806"/>
      <c r="SVH44" s="806"/>
      <c r="SVI44" s="806"/>
      <c r="SVJ44" s="806"/>
      <c r="SVK44" s="806"/>
      <c r="SVL44" s="806"/>
      <c r="SVM44" s="806"/>
      <c r="SVN44" s="806"/>
      <c r="SVO44" s="806"/>
      <c r="SVP44" s="806"/>
      <c r="SVQ44" s="806"/>
      <c r="SVR44" s="806"/>
      <c r="SVS44" s="806"/>
      <c r="SVT44" s="806"/>
      <c r="SVU44" s="806"/>
      <c r="SVV44" s="806"/>
      <c r="SVW44" s="806"/>
      <c r="SVX44" s="806"/>
      <c r="SVY44" s="806"/>
      <c r="SVZ44" s="806"/>
      <c r="SWA44" s="806"/>
      <c r="SWB44" s="806"/>
      <c r="SWC44" s="806"/>
      <c r="SWD44" s="806"/>
      <c r="SWE44" s="806"/>
      <c r="SWF44" s="806"/>
      <c r="SWG44" s="806"/>
      <c r="SWH44" s="806"/>
      <c r="SWI44" s="806"/>
      <c r="SWJ44" s="806"/>
      <c r="SWK44" s="806"/>
      <c r="SWL44" s="806"/>
      <c r="SWM44" s="806"/>
      <c r="SWN44" s="806"/>
      <c r="SWO44" s="806"/>
      <c r="SWP44" s="806"/>
      <c r="SWQ44" s="806"/>
      <c r="SWR44" s="806"/>
      <c r="SWS44" s="806"/>
      <c r="SWT44" s="806"/>
      <c r="SWU44" s="806"/>
      <c r="SWV44" s="806"/>
      <c r="SWW44" s="806"/>
      <c r="SWX44" s="806"/>
      <c r="SWY44" s="806"/>
      <c r="SWZ44" s="806"/>
      <c r="SXA44" s="806"/>
      <c r="SXB44" s="806"/>
      <c r="SXC44" s="806"/>
      <c r="SXD44" s="806"/>
      <c r="SXE44" s="806"/>
      <c r="SXF44" s="806"/>
      <c r="SXG44" s="806"/>
      <c r="SXH44" s="806"/>
      <c r="SXI44" s="806"/>
      <c r="SXJ44" s="806"/>
      <c r="SXK44" s="806"/>
      <c r="SXL44" s="806"/>
      <c r="SXM44" s="806"/>
      <c r="SXN44" s="806"/>
      <c r="SXO44" s="806"/>
      <c r="SXP44" s="806"/>
      <c r="SXQ44" s="806"/>
      <c r="SXR44" s="806"/>
      <c r="SXS44" s="806"/>
      <c r="SXT44" s="806"/>
      <c r="SXU44" s="806"/>
      <c r="SXV44" s="806"/>
      <c r="SXW44" s="806"/>
      <c r="SXX44" s="806"/>
      <c r="SXY44" s="806"/>
      <c r="SXZ44" s="806"/>
      <c r="SYA44" s="806"/>
      <c r="SYB44" s="806"/>
      <c r="SYC44" s="806"/>
      <c r="SYD44" s="806"/>
      <c r="SYE44" s="806"/>
      <c r="SYF44" s="806"/>
      <c r="SYG44" s="806"/>
      <c r="SYH44" s="806"/>
      <c r="SYI44" s="806"/>
      <c r="SYJ44" s="806"/>
      <c r="SYK44" s="806"/>
      <c r="SYL44" s="806"/>
      <c r="SYM44" s="806"/>
      <c r="SYN44" s="806"/>
      <c r="SYO44" s="806"/>
      <c r="SYP44" s="806"/>
      <c r="SYQ44" s="806"/>
      <c r="SYR44" s="806"/>
      <c r="SYS44" s="806"/>
      <c r="SYT44" s="806"/>
      <c r="SYU44" s="806"/>
      <c r="SYV44" s="806"/>
      <c r="SYW44" s="806"/>
      <c r="SYX44" s="806"/>
      <c r="SYY44" s="806"/>
      <c r="SYZ44" s="806"/>
      <c r="SZA44" s="806"/>
      <c r="SZB44" s="806"/>
      <c r="SZC44" s="806"/>
      <c r="SZD44" s="806"/>
      <c r="SZE44" s="806"/>
      <c r="SZF44" s="806"/>
      <c r="SZG44" s="806"/>
      <c r="SZH44" s="806"/>
      <c r="SZI44" s="806"/>
      <c r="SZJ44" s="806"/>
      <c r="SZK44" s="806"/>
      <c r="SZL44" s="806"/>
      <c r="SZM44" s="806"/>
      <c r="SZN44" s="806"/>
      <c r="SZO44" s="806"/>
      <c r="SZP44" s="806"/>
      <c r="SZQ44" s="806"/>
      <c r="SZR44" s="806"/>
      <c r="SZS44" s="806"/>
      <c r="SZT44" s="806"/>
      <c r="SZU44" s="806"/>
      <c r="SZV44" s="806"/>
      <c r="SZW44" s="806"/>
      <c r="SZX44" s="806"/>
      <c r="SZY44" s="806"/>
      <c r="SZZ44" s="806"/>
      <c r="TAA44" s="806"/>
      <c r="TAB44" s="806"/>
      <c r="TAC44" s="806"/>
      <c r="TAD44" s="806"/>
      <c r="TAE44" s="806"/>
      <c r="TAF44" s="806"/>
      <c r="TAG44" s="806"/>
      <c r="TAH44" s="806"/>
      <c r="TAI44" s="806"/>
      <c r="TAJ44" s="806"/>
      <c r="TAK44" s="806"/>
      <c r="TAL44" s="806"/>
      <c r="TAM44" s="806"/>
      <c r="TAN44" s="806"/>
      <c r="TAO44" s="806"/>
      <c r="TAP44" s="806"/>
      <c r="TAQ44" s="806"/>
      <c r="TAR44" s="806"/>
      <c r="TAS44" s="806"/>
      <c r="TAT44" s="806"/>
      <c r="TAU44" s="806"/>
      <c r="TAV44" s="806"/>
      <c r="TAW44" s="806"/>
      <c r="TAX44" s="806"/>
      <c r="TAY44" s="806"/>
      <c r="TAZ44" s="806"/>
      <c r="TBA44" s="806"/>
      <c r="TBB44" s="806"/>
      <c r="TBC44" s="806"/>
      <c r="TBD44" s="806"/>
      <c r="TBE44" s="806"/>
      <c r="TBF44" s="806"/>
      <c r="TBG44" s="806"/>
      <c r="TBH44" s="806"/>
      <c r="TBI44" s="806"/>
      <c r="TBJ44" s="806"/>
      <c r="TBK44" s="806"/>
      <c r="TBL44" s="806"/>
      <c r="TBM44" s="806"/>
      <c r="TBN44" s="806"/>
      <c r="TBO44" s="806"/>
      <c r="TBP44" s="806"/>
      <c r="TBQ44" s="806"/>
      <c r="TBR44" s="806"/>
      <c r="TBS44" s="806"/>
      <c r="TBT44" s="806"/>
      <c r="TBU44" s="806"/>
      <c r="TBV44" s="806"/>
      <c r="TBW44" s="806"/>
      <c r="TBX44" s="806"/>
      <c r="TBY44" s="806"/>
      <c r="TBZ44" s="806"/>
      <c r="TCA44" s="806"/>
      <c r="TCB44" s="806"/>
      <c r="TCC44" s="806"/>
      <c r="TCD44" s="806"/>
      <c r="TCE44" s="806"/>
      <c r="TCF44" s="806"/>
      <c r="TCG44" s="806"/>
      <c r="TCH44" s="806"/>
      <c r="TCI44" s="806"/>
      <c r="TCJ44" s="806"/>
      <c r="TCK44" s="806"/>
      <c r="TCL44" s="806"/>
      <c r="TCM44" s="806"/>
      <c r="TCN44" s="806"/>
      <c r="TCO44" s="806"/>
      <c r="TCP44" s="806"/>
      <c r="TCQ44" s="806"/>
      <c r="TCR44" s="806"/>
      <c r="TCS44" s="806"/>
      <c r="TCT44" s="806"/>
      <c r="TCU44" s="806"/>
      <c r="TCV44" s="806"/>
      <c r="TCW44" s="806"/>
      <c r="TCX44" s="806"/>
      <c r="TCY44" s="806"/>
      <c r="TCZ44" s="806"/>
      <c r="TDA44" s="806"/>
      <c r="TDB44" s="806"/>
      <c r="TDC44" s="806"/>
      <c r="TDD44" s="806"/>
      <c r="TDE44" s="806"/>
      <c r="TDF44" s="806"/>
      <c r="TDG44" s="806"/>
      <c r="TDH44" s="806"/>
      <c r="TDI44" s="806"/>
      <c r="TDJ44" s="806"/>
      <c r="TDK44" s="806"/>
      <c r="TDL44" s="806"/>
      <c r="TDM44" s="806"/>
      <c r="TDN44" s="806"/>
      <c r="TDO44" s="806"/>
      <c r="TDP44" s="806"/>
      <c r="TDQ44" s="806"/>
      <c r="TDR44" s="806"/>
      <c r="TDS44" s="806"/>
      <c r="TDT44" s="806"/>
      <c r="TDU44" s="806"/>
      <c r="TDV44" s="806"/>
      <c r="TDW44" s="806"/>
      <c r="TDX44" s="806"/>
      <c r="TDY44" s="806"/>
      <c r="TDZ44" s="806"/>
      <c r="TEA44" s="806"/>
      <c r="TEB44" s="806"/>
      <c r="TEC44" s="806"/>
      <c r="TED44" s="806"/>
      <c r="TEE44" s="806"/>
      <c r="TEF44" s="806"/>
      <c r="TEG44" s="806"/>
      <c r="TEH44" s="806"/>
      <c r="TEI44" s="806"/>
      <c r="TEJ44" s="806"/>
      <c r="TEK44" s="806"/>
      <c r="TEL44" s="806"/>
      <c r="TEM44" s="806"/>
      <c r="TEN44" s="806"/>
      <c r="TEO44" s="806"/>
      <c r="TEP44" s="806"/>
      <c r="TEQ44" s="806"/>
      <c r="TER44" s="806"/>
      <c r="TES44" s="806"/>
      <c r="TET44" s="806"/>
      <c r="TEU44" s="806"/>
      <c r="TEV44" s="806"/>
      <c r="TEW44" s="806"/>
      <c r="TEX44" s="806"/>
      <c r="TEY44" s="806"/>
      <c r="TEZ44" s="806"/>
      <c r="TFA44" s="806"/>
      <c r="TFB44" s="806"/>
      <c r="TFC44" s="806"/>
      <c r="TFD44" s="806"/>
      <c r="TFE44" s="806"/>
      <c r="TFF44" s="806"/>
      <c r="TFG44" s="806"/>
      <c r="TFH44" s="806"/>
      <c r="TFI44" s="806"/>
      <c r="TFJ44" s="806"/>
      <c r="TFK44" s="806"/>
      <c r="TFL44" s="806"/>
      <c r="TFM44" s="806"/>
      <c r="TFN44" s="806"/>
      <c r="TFO44" s="806"/>
      <c r="TFP44" s="806"/>
      <c r="TFQ44" s="806"/>
      <c r="TFR44" s="806"/>
      <c r="TFS44" s="806"/>
      <c r="TFT44" s="806"/>
      <c r="TFU44" s="806"/>
      <c r="TFV44" s="806"/>
      <c r="TFW44" s="806"/>
      <c r="TFX44" s="806"/>
      <c r="TFY44" s="806"/>
      <c r="TFZ44" s="806"/>
      <c r="TGA44" s="806"/>
      <c r="TGB44" s="806"/>
      <c r="TGC44" s="806"/>
      <c r="TGD44" s="806"/>
      <c r="TGE44" s="806"/>
      <c r="TGF44" s="806"/>
      <c r="TGG44" s="806"/>
      <c r="TGH44" s="806"/>
      <c r="TGI44" s="806"/>
      <c r="TGJ44" s="806"/>
      <c r="TGK44" s="806"/>
      <c r="TGL44" s="806"/>
      <c r="TGM44" s="806"/>
      <c r="TGN44" s="806"/>
      <c r="TGO44" s="806"/>
      <c r="TGP44" s="806"/>
      <c r="TGQ44" s="806"/>
      <c r="TGR44" s="806"/>
      <c r="TGS44" s="806"/>
      <c r="TGT44" s="806"/>
      <c r="TGU44" s="806"/>
      <c r="TGV44" s="806"/>
      <c r="TGW44" s="806"/>
      <c r="TGX44" s="806"/>
      <c r="TGY44" s="806"/>
      <c r="TGZ44" s="806"/>
      <c r="THA44" s="806"/>
      <c r="THB44" s="806"/>
      <c r="THC44" s="806"/>
      <c r="THD44" s="806"/>
      <c r="THE44" s="806"/>
      <c r="THF44" s="806"/>
      <c r="THG44" s="806"/>
      <c r="THH44" s="806"/>
      <c r="THI44" s="806"/>
      <c r="THJ44" s="806"/>
      <c r="THK44" s="806"/>
      <c r="THL44" s="806"/>
      <c r="THM44" s="806"/>
      <c r="THN44" s="806"/>
      <c r="THO44" s="806"/>
      <c r="THP44" s="806"/>
      <c r="THQ44" s="806"/>
      <c r="THR44" s="806"/>
      <c r="THS44" s="806"/>
      <c r="THT44" s="806"/>
      <c r="THU44" s="806"/>
      <c r="THV44" s="806"/>
      <c r="THW44" s="806"/>
      <c r="THX44" s="806"/>
      <c r="THY44" s="806"/>
      <c r="THZ44" s="806"/>
      <c r="TIA44" s="806"/>
      <c r="TIB44" s="806"/>
      <c r="TIC44" s="806"/>
      <c r="TID44" s="806"/>
      <c r="TIE44" s="806"/>
      <c r="TIF44" s="806"/>
      <c r="TIG44" s="806"/>
      <c r="TIH44" s="806"/>
      <c r="TII44" s="806"/>
      <c r="TIJ44" s="806"/>
      <c r="TIK44" s="806"/>
      <c r="TIL44" s="806"/>
      <c r="TIM44" s="806"/>
      <c r="TIN44" s="806"/>
      <c r="TIO44" s="806"/>
      <c r="TIP44" s="806"/>
      <c r="TIQ44" s="806"/>
      <c r="TIR44" s="806"/>
      <c r="TIS44" s="806"/>
      <c r="TIT44" s="806"/>
      <c r="TIU44" s="806"/>
      <c r="TIV44" s="806"/>
      <c r="TIW44" s="806"/>
      <c r="TIX44" s="806"/>
      <c r="TIY44" s="806"/>
      <c r="TIZ44" s="806"/>
      <c r="TJA44" s="806"/>
      <c r="TJB44" s="806"/>
      <c r="TJC44" s="806"/>
      <c r="TJD44" s="806"/>
      <c r="TJE44" s="806"/>
      <c r="TJF44" s="806"/>
      <c r="TJG44" s="806"/>
      <c r="TJH44" s="806"/>
      <c r="TJI44" s="806"/>
      <c r="TJJ44" s="806"/>
      <c r="TJK44" s="806"/>
      <c r="TJL44" s="806"/>
      <c r="TJM44" s="806"/>
      <c r="TJN44" s="806"/>
      <c r="TJO44" s="806"/>
      <c r="TJP44" s="806"/>
      <c r="TJQ44" s="806"/>
      <c r="TJR44" s="806"/>
      <c r="TJS44" s="806"/>
      <c r="TJT44" s="806"/>
      <c r="TJU44" s="806"/>
      <c r="TJV44" s="806"/>
      <c r="TJW44" s="806"/>
      <c r="TJX44" s="806"/>
      <c r="TJY44" s="806"/>
      <c r="TJZ44" s="806"/>
      <c r="TKA44" s="806"/>
      <c r="TKB44" s="806"/>
      <c r="TKC44" s="806"/>
      <c r="TKD44" s="806"/>
      <c r="TKE44" s="806"/>
      <c r="TKF44" s="806"/>
      <c r="TKG44" s="806"/>
      <c r="TKH44" s="806"/>
      <c r="TKI44" s="806"/>
      <c r="TKJ44" s="806"/>
      <c r="TKK44" s="806"/>
      <c r="TKL44" s="806"/>
      <c r="TKM44" s="806"/>
      <c r="TKN44" s="806"/>
      <c r="TKO44" s="806"/>
      <c r="TKP44" s="806"/>
      <c r="TKQ44" s="806"/>
      <c r="TKR44" s="806"/>
      <c r="TKS44" s="806"/>
      <c r="TKT44" s="806"/>
      <c r="TKU44" s="806"/>
      <c r="TKV44" s="806"/>
      <c r="TKW44" s="806"/>
      <c r="TKX44" s="806"/>
      <c r="TKY44" s="806"/>
      <c r="TKZ44" s="806"/>
      <c r="TLA44" s="806"/>
      <c r="TLB44" s="806"/>
      <c r="TLC44" s="806"/>
      <c r="TLD44" s="806"/>
      <c r="TLE44" s="806"/>
      <c r="TLF44" s="806"/>
      <c r="TLG44" s="806"/>
      <c r="TLH44" s="806"/>
      <c r="TLI44" s="806"/>
      <c r="TLJ44" s="806"/>
      <c r="TLK44" s="806"/>
      <c r="TLL44" s="806"/>
      <c r="TLM44" s="806"/>
      <c r="TLN44" s="806"/>
      <c r="TLO44" s="806"/>
      <c r="TLP44" s="806"/>
      <c r="TLQ44" s="806"/>
      <c r="TLR44" s="806"/>
      <c r="TLS44" s="806"/>
      <c r="TLT44" s="806"/>
      <c r="TLU44" s="806"/>
      <c r="TLV44" s="806"/>
      <c r="TLW44" s="806"/>
      <c r="TLX44" s="806"/>
      <c r="TLY44" s="806"/>
      <c r="TLZ44" s="806"/>
      <c r="TMA44" s="806"/>
      <c r="TMB44" s="806"/>
      <c r="TMC44" s="806"/>
      <c r="TMD44" s="806"/>
      <c r="TME44" s="806"/>
      <c r="TMF44" s="806"/>
      <c r="TMG44" s="806"/>
      <c r="TMH44" s="806"/>
      <c r="TMI44" s="806"/>
      <c r="TMJ44" s="806"/>
      <c r="TMK44" s="806"/>
      <c r="TML44" s="806"/>
      <c r="TMM44" s="806"/>
      <c r="TMN44" s="806"/>
      <c r="TMO44" s="806"/>
      <c r="TMP44" s="806"/>
      <c r="TMQ44" s="806"/>
      <c r="TMR44" s="806"/>
      <c r="TMS44" s="806"/>
      <c r="TMT44" s="806"/>
      <c r="TMU44" s="806"/>
      <c r="TMV44" s="806"/>
      <c r="TMW44" s="806"/>
      <c r="TMX44" s="806"/>
      <c r="TMY44" s="806"/>
      <c r="TMZ44" s="806"/>
      <c r="TNA44" s="806"/>
      <c r="TNB44" s="806"/>
      <c r="TNC44" s="806"/>
      <c r="TND44" s="806"/>
      <c r="TNE44" s="806"/>
      <c r="TNF44" s="806"/>
      <c r="TNG44" s="806"/>
      <c r="TNH44" s="806"/>
      <c r="TNI44" s="806"/>
      <c r="TNJ44" s="806"/>
      <c r="TNK44" s="806"/>
      <c r="TNL44" s="806"/>
      <c r="TNM44" s="806"/>
      <c r="TNN44" s="806"/>
      <c r="TNO44" s="806"/>
      <c r="TNP44" s="806"/>
      <c r="TNQ44" s="806"/>
      <c r="TNR44" s="806"/>
      <c r="TNS44" s="806"/>
      <c r="TNT44" s="806"/>
      <c r="TNU44" s="806"/>
      <c r="TNV44" s="806"/>
      <c r="TNW44" s="806"/>
      <c r="TNX44" s="806"/>
      <c r="TNY44" s="806"/>
      <c r="TNZ44" s="806"/>
      <c r="TOA44" s="806"/>
      <c r="TOB44" s="806"/>
      <c r="TOC44" s="806"/>
      <c r="TOD44" s="806"/>
      <c r="TOE44" s="806"/>
      <c r="TOF44" s="806"/>
      <c r="TOG44" s="806"/>
      <c r="TOH44" s="806"/>
      <c r="TOI44" s="806"/>
      <c r="TOJ44" s="806"/>
      <c r="TOK44" s="806"/>
      <c r="TOL44" s="806"/>
      <c r="TOM44" s="806"/>
      <c r="TON44" s="806"/>
      <c r="TOO44" s="806"/>
      <c r="TOP44" s="806"/>
      <c r="TOQ44" s="806"/>
      <c r="TOR44" s="806"/>
      <c r="TOS44" s="806"/>
      <c r="TOT44" s="806"/>
      <c r="TOU44" s="806"/>
      <c r="TOV44" s="806"/>
      <c r="TOW44" s="806"/>
      <c r="TOX44" s="806"/>
      <c r="TOY44" s="806"/>
      <c r="TOZ44" s="806"/>
      <c r="TPA44" s="806"/>
      <c r="TPB44" s="806"/>
      <c r="TPC44" s="806"/>
      <c r="TPD44" s="806"/>
      <c r="TPE44" s="806"/>
      <c r="TPF44" s="806"/>
      <c r="TPG44" s="806"/>
      <c r="TPH44" s="806"/>
      <c r="TPI44" s="806"/>
      <c r="TPJ44" s="806"/>
      <c r="TPK44" s="806"/>
      <c r="TPL44" s="806"/>
      <c r="TPM44" s="806"/>
      <c r="TPN44" s="806"/>
      <c r="TPO44" s="806"/>
      <c r="TPP44" s="806"/>
      <c r="TPQ44" s="806"/>
      <c r="TPR44" s="806"/>
      <c r="TPS44" s="806"/>
      <c r="TPT44" s="806"/>
      <c r="TPU44" s="806"/>
      <c r="TPV44" s="806"/>
      <c r="TPW44" s="806"/>
      <c r="TPX44" s="806"/>
      <c r="TPY44" s="806"/>
      <c r="TPZ44" s="806"/>
      <c r="TQA44" s="806"/>
      <c r="TQB44" s="806"/>
      <c r="TQC44" s="806"/>
      <c r="TQD44" s="806"/>
      <c r="TQE44" s="806"/>
      <c r="TQF44" s="806"/>
      <c r="TQG44" s="806"/>
      <c r="TQH44" s="806"/>
      <c r="TQI44" s="806"/>
      <c r="TQJ44" s="806"/>
      <c r="TQK44" s="806"/>
      <c r="TQL44" s="806"/>
      <c r="TQM44" s="806"/>
      <c r="TQN44" s="806"/>
      <c r="TQO44" s="806"/>
      <c r="TQP44" s="806"/>
      <c r="TQQ44" s="806"/>
      <c r="TQR44" s="806"/>
      <c r="TQS44" s="806"/>
      <c r="TQT44" s="806"/>
      <c r="TQU44" s="806"/>
      <c r="TQV44" s="806"/>
      <c r="TQW44" s="806"/>
      <c r="TQX44" s="806"/>
      <c r="TQY44" s="806"/>
      <c r="TQZ44" s="806"/>
      <c r="TRA44" s="806"/>
      <c r="TRB44" s="806"/>
      <c r="TRC44" s="806"/>
      <c r="TRD44" s="806"/>
      <c r="TRE44" s="806"/>
      <c r="TRF44" s="806"/>
      <c r="TRG44" s="806"/>
      <c r="TRH44" s="806"/>
      <c r="TRI44" s="806"/>
      <c r="TRJ44" s="806"/>
      <c r="TRK44" s="806"/>
      <c r="TRL44" s="806"/>
      <c r="TRM44" s="806"/>
      <c r="TRN44" s="806"/>
      <c r="TRO44" s="806"/>
      <c r="TRP44" s="806"/>
      <c r="TRQ44" s="806"/>
      <c r="TRR44" s="806"/>
      <c r="TRS44" s="806"/>
      <c r="TRT44" s="806"/>
      <c r="TRU44" s="806"/>
      <c r="TRV44" s="806"/>
      <c r="TRW44" s="806"/>
      <c r="TRX44" s="806"/>
      <c r="TRY44" s="806"/>
      <c r="TRZ44" s="806"/>
      <c r="TSA44" s="806"/>
      <c r="TSB44" s="806"/>
      <c r="TSC44" s="806"/>
      <c r="TSD44" s="806"/>
      <c r="TSE44" s="806"/>
      <c r="TSF44" s="806"/>
      <c r="TSG44" s="806"/>
      <c r="TSH44" s="806"/>
      <c r="TSI44" s="806"/>
      <c r="TSJ44" s="806"/>
      <c r="TSK44" s="806"/>
      <c r="TSL44" s="806"/>
      <c r="TSM44" s="806"/>
      <c r="TSN44" s="806"/>
      <c r="TSO44" s="806"/>
      <c r="TSP44" s="806"/>
      <c r="TSQ44" s="806"/>
      <c r="TSR44" s="806"/>
      <c r="TSS44" s="806"/>
      <c r="TST44" s="806"/>
      <c r="TSU44" s="806"/>
      <c r="TSV44" s="806"/>
      <c r="TSW44" s="806"/>
      <c r="TSX44" s="806"/>
      <c r="TSY44" s="806"/>
      <c r="TSZ44" s="806"/>
      <c r="TTA44" s="806"/>
      <c r="TTB44" s="806"/>
      <c r="TTC44" s="806"/>
      <c r="TTD44" s="806"/>
      <c r="TTE44" s="806"/>
      <c r="TTF44" s="806"/>
      <c r="TTG44" s="806"/>
      <c r="TTH44" s="806"/>
      <c r="TTI44" s="806"/>
      <c r="TTJ44" s="806"/>
      <c r="TTK44" s="806"/>
      <c r="TTL44" s="806"/>
      <c r="TTM44" s="806"/>
      <c r="TTN44" s="806"/>
      <c r="TTO44" s="806"/>
      <c r="TTP44" s="806"/>
      <c r="TTQ44" s="806"/>
      <c r="TTR44" s="806"/>
      <c r="TTS44" s="806"/>
      <c r="TTT44" s="806"/>
      <c r="TTU44" s="806"/>
      <c r="TTV44" s="806"/>
      <c r="TTW44" s="806"/>
      <c r="TTX44" s="806"/>
      <c r="TTY44" s="806"/>
      <c r="TTZ44" s="806"/>
      <c r="TUA44" s="806"/>
      <c r="TUB44" s="806"/>
      <c r="TUC44" s="806"/>
      <c r="TUD44" s="806"/>
      <c r="TUE44" s="806"/>
      <c r="TUF44" s="806"/>
      <c r="TUG44" s="806"/>
      <c r="TUH44" s="806"/>
      <c r="TUI44" s="806"/>
      <c r="TUJ44" s="806"/>
      <c r="TUK44" s="806"/>
      <c r="TUL44" s="806"/>
      <c r="TUM44" s="806"/>
      <c r="TUN44" s="806"/>
      <c r="TUO44" s="806"/>
      <c r="TUP44" s="806"/>
      <c r="TUQ44" s="806"/>
      <c r="TUR44" s="806"/>
      <c r="TUS44" s="806"/>
      <c r="TUT44" s="806"/>
      <c r="TUU44" s="806"/>
      <c r="TUV44" s="806"/>
      <c r="TUW44" s="806"/>
      <c r="TUX44" s="806"/>
      <c r="TUY44" s="806"/>
      <c r="TUZ44" s="806"/>
      <c r="TVA44" s="806"/>
      <c r="TVB44" s="806"/>
      <c r="TVC44" s="806"/>
      <c r="TVD44" s="806"/>
      <c r="TVE44" s="806"/>
      <c r="TVF44" s="806"/>
      <c r="TVG44" s="806"/>
      <c r="TVH44" s="806"/>
      <c r="TVI44" s="806"/>
      <c r="TVJ44" s="806"/>
      <c r="TVK44" s="806"/>
      <c r="TVL44" s="806"/>
      <c r="TVM44" s="806"/>
      <c r="TVN44" s="806"/>
      <c r="TVO44" s="806"/>
      <c r="TVP44" s="806"/>
      <c r="TVQ44" s="806"/>
      <c r="TVR44" s="806"/>
      <c r="TVS44" s="806"/>
      <c r="TVT44" s="806"/>
      <c r="TVU44" s="806"/>
      <c r="TVV44" s="806"/>
      <c r="TVW44" s="806"/>
      <c r="TVX44" s="806"/>
      <c r="TVY44" s="806"/>
      <c r="TVZ44" s="806"/>
      <c r="TWA44" s="806"/>
      <c r="TWB44" s="806"/>
      <c r="TWC44" s="806"/>
      <c r="TWD44" s="806"/>
      <c r="TWE44" s="806"/>
      <c r="TWF44" s="806"/>
      <c r="TWG44" s="806"/>
      <c r="TWH44" s="806"/>
      <c r="TWI44" s="806"/>
      <c r="TWJ44" s="806"/>
      <c r="TWK44" s="806"/>
      <c r="TWL44" s="806"/>
      <c r="TWM44" s="806"/>
      <c r="TWN44" s="806"/>
      <c r="TWO44" s="806"/>
      <c r="TWP44" s="806"/>
      <c r="TWQ44" s="806"/>
      <c r="TWR44" s="806"/>
      <c r="TWS44" s="806"/>
      <c r="TWT44" s="806"/>
      <c r="TWU44" s="806"/>
      <c r="TWV44" s="806"/>
      <c r="TWW44" s="806"/>
      <c r="TWX44" s="806"/>
      <c r="TWY44" s="806"/>
      <c r="TWZ44" s="806"/>
      <c r="TXA44" s="806"/>
      <c r="TXB44" s="806"/>
      <c r="TXC44" s="806"/>
      <c r="TXD44" s="806"/>
      <c r="TXE44" s="806"/>
      <c r="TXF44" s="806"/>
      <c r="TXG44" s="806"/>
      <c r="TXH44" s="806"/>
      <c r="TXI44" s="806"/>
      <c r="TXJ44" s="806"/>
      <c r="TXK44" s="806"/>
      <c r="TXL44" s="806"/>
      <c r="TXM44" s="806"/>
      <c r="TXN44" s="806"/>
      <c r="TXO44" s="806"/>
      <c r="TXP44" s="806"/>
      <c r="TXQ44" s="806"/>
      <c r="TXR44" s="806"/>
      <c r="TXS44" s="806"/>
      <c r="TXT44" s="806"/>
      <c r="TXU44" s="806"/>
      <c r="TXV44" s="806"/>
      <c r="TXW44" s="806"/>
      <c r="TXX44" s="806"/>
      <c r="TXY44" s="806"/>
      <c r="TXZ44" s="806"/>
      <c r="TYA44" s="806"/>
      <c r="TYB44" s="806"/>
      <c r="TYC44" s="806"/>
      <c r="TYD44" s="806"/>
      <c r="TYE44" s="806"/>
      <c r="TYF44" s="806"/>
      <c r="TYG44" s="806"/>
      <c r="TYH44" s="806"/>
      <c r="TYI44" s="806"/>
      <c r="TYJ44" s="806"/>
      <c r="TYK44" s="806"/>
      <c r="TYL44" s="806"/>
      <c r="TYM44" s="806"/>
      <c r="TYN44" s="806"/>
      <c r="TYO44" s="806"/>
      <c r="TYP44" s="806"/>
      <c r="TYQ44" s="806"/>
      <c r="TYR44" s="806"/>
      <c r="TYS44" s="806"/>
      <c r="TYT44" s="806"/>
      <c r="TYU44" s="806"/>
      <c r="TYV44" s="806"/>
      <c r="TYW44" s="806"/>
      <c r="TYX44" s="806"/>
      <c r="TYY44" s="806"/>
      <c r="TYZ44" s="806"/>
      <c r="TZA44" s="806"/>
      <c r="TZB44" s="806"/>
      <c r="TZC44" s="806"/>
      <c r="TZD44" s="806"/>
      <c r="TZE44" s="806"/>
      <c r="TZF44" s="806"/>
      <c r="TZG44" s="806"/>
      <c r="TZH44" s="806"/>
      <c r="TZI44" s="806"/>
      <c r="TZJ44" s="806"/>
      <c r="TZK44" s="806"/>
      <c r="TZL44" s="806"/>
      <c r="TZM44" s="806"/>
      <c r="TZN44" s="806"/>
      <c r="TZO44" s="806"/>
      <c r="TZP44" s="806"/>
      <c r="TZQ44" s="806"/>
      <c r="TZR44" s="806"/>
      <c r="TZS44" s="806"/>
      <c r="TZT44" s="806"/>
      <c r="TZU44" s="806"/>
      <c r="TZV44" s="806"/>
      <c r="TZW44" s="806"/>
      <c r="TZX44" s="806"/>
      <c r="TZY44" s="806"/>
      <c r="TZZ44" s="806"/>
      <c r="UAA44" s="806"/>
      <c r="UAB44" s="806"/>
      <c r="UAC44" s="806"/>
      <c r="UAD44" s="806"/>
      <c r="UAE44" s="806"/>
      <c r="UAF44" s="806"/>
      <c r="UAG44" s="806"/>
      <c r="UAH44" s="806"/>
      <c r="UAI44" s="806"/>
      <c r="UAJ44" s="806"/>
      <c r="UAK44" s="806"/>
      <c r="UAL44" s="806"/>
      <c r="UAM44" s="806"/>
      <c r="UAN44" s="806"/>
      <c r="UAO44" s="806"/>
      <c r="UAP44" s="806"/>
      <c r="UAQ44" s="806"/>
      <c r="UAR44" s="806"/>
      <c r="UAS44" s="806"/>
      <c r="UAT44" s="806"/>
      <c r="UAU44" s="806"/>
      <c r="UAV44" s="806"/>
      <c r="UAW44" s="806"/>
      <c r="UAX44" s="806"/>
      <c r="UAY44" s="806"/>
      <c r="UAZ44" s="806"/>
      <c r="UBA44" s="806"/>
      <c r="UBB44" s="806"/>
      <c r="UBC44" s="806"/>
      <c r="UBD44" s="806"/>
      <c r="UBE44" s="806"/>
      <c r="UBF44" s="806"/>
      <c r="UBG44" s="806"/>
      <c r="UBH44" s="806"/>
      <c r="UBI44" s="806"/>
      <c r="UBJ44" s="806"/>
      <c r="UBK44" s="806"/>
      <c r="UBL44" s="806"/>
      <c r="UBM44" s="806"/>
      <c r="UBN44" s="806"/>
      <c r="UBO44" s="806"/>
      <c r="UBP44" s="806"/>
      <c r="UBQ44" s="806"/>
      <c r="UBR44" s="806"/>
      <c r="UBS44" s="806"/>
      <c r="UBT44" s="806"/>
      <c r="UBU44" s="806"/>
      <c r="UBV44" s="806"/>
      <c r="UBW44" s="806"/>
      <c r="UBX44" s="806"/>
      <c r="UBY44" s="806"/>
      <c r="UBZ44" s="806"/>
      <c r="UCA44" s="806"/>
      <c r="UCB44" s="806"/>
      <c r="UCC44" s="806"/>
      <c r="UCD44" s="806"/>
      <c r="UCE44" s="806"/>
      <c r="UCF44" s="806"/>
      <c r="UCG44" s="806"/>
      <c r="UCH44" s="806"/>
      <c r="UCI44" s="806"/>
      <c r="UCJ44" s="806"/>
      <c r="UCK44" s="806"/>
      <c r="UCL44" s="806"/>
      <c r="UCM44" s="806"/>
      <c r="UCN44" s="806"/>
      <c r="UCO44" s="806"/>
      <c r="UCP44" s="806"/>
      <c r="UCQ44" s="806"/>
      <c r="UCR44" s="806"/>
      <c r="UCS44" s="806"/>
      <c r="UCT44" s="806"/>
      <c r="UCU44" s="806"/>
      <c r="UCV44" s="806"/>
      <c r="UCW44" s="806"/>
      <c r="UCX44" s="806"/>
      <c r="UCY44" s="806"/>
      <c r="UCZ44" s="806"/>
      <c r="UDA44" s="806"/>
      <c r="UDB44" s="806"/>
      <c r="UDC44" s="806"/>
      <c r="UDD44" s="806"/>
      <c r="UDE44" s="806"/>
      <c r="UDF44" s="806"/>
      <c r="UDG44" s="806"/>
      <c r="UDH44" s="806"/>
      <c r="UDI44" s="806"/>
      <c r="UDJ44" s="806"/>
      <c r="UDK44" s="806"/>
      <c r="UDL44" s="806"/>
      <c r="UDM44" s="806"/>
      <c r="UDN44" s="806"/>
      <c r="UDO44" s="806"/>
      <c r="UDP44" s="806"/>
      <c r="UDQ44" s="806"/>
      <c r="UDR44" s="806"/>
      <c r="UDS44" s="806"/>
      <c r="UDT44" s="806"/>
      <c r="UDU44" s="806"/>
      <c r="UDV44" s="806"/>
      <c r="UDW44" s="806"/>
      <c r="UDX44" s="806"/>
      <c r="UDY44" s="806"/>
      <c r="UDZ44" s="806"/>
      <c r="UEA44" s="806"/>
      <c r="UEB44" s="806"/>
      <c r="UEC44" s="806"/>
      <c r="UED44" s="806"/>
      <c r="UEE44" s="806"/>
      <c r="UEF44" s="806"/>
      <c r="UEG44" s="806"/>
      <c r="UEH44" s="806"/>
      <c r="UEI44" s="806"/>
      <c r="UEJ44" s="806"/>
      <c r="UEK44" s="806"/>
      <c r="UEL44" s="806"/>
      <c r="UEM44" s="806"/>
      <c r="UEN44" s="806"/>
      <c r="UEO44" s="806"/>
      <c r="UEP44" s="806"/>
      <c r="UEQ44" s="806"/>
      <c r="UER44" s="806"/>
      <c r="UES44" s="806"/>
      <c r="UET44" s="806"/>
      <c r="UEU44" s="806"/>
      <c r="UEV44" s="806"/>
      <c r="UEW44" s="806"/>
      <c r="UEX44" s="806"/>
      <c r="UEY44" s="806"/>
      <c r="UEZ44" s="806"/>
      <c r="UFA44" s="806"/>
      <c r="UFB44" s="806"/>
      <c r="UFC44" s="806"/>
      <c r="UFD44" s="806"/>
      <c r="UFE44" s="806"/>
      <c r="UFF44" s="806"/>
      <c r="UFG44" s="806"/>
      <c r="UFH44" s="806"/>
      <c r="UFI44" s="806"/>
      <c r="UFJ44" s="806"/>
      <c r="UFK44" s="806"/>
      <c r="UFL44" s="806"/>
      <c r="UFM44" s="806"/>
      <c r="UFN44" s="806"/>
      <c r="UFO44" s="806"/>
      <c r="UFP44" s="806"/>
      <c r="UFQ44" s="806"/>
      <c r="UFR44" s="806"/>
      <c r="UFS44" s="806"/>
      <c r="UFT44" s="806"/>
      <c r="UFU44" s="806"/>
      <c r="UFV44" s="806"/>
      <c r="UFW44" s="806"/>
      <c r="UFX44" s="806"/>
      <c r="UFY44" s="806"/>
      <c r="UFZ44" s="806"/>
      <c r="UGA44" s="806"/>
      <c r="UGB44" s="806"/>
      <c r="UGC44" s="806"/>
      <c r="UGD44" s="806"/>
      <c r="UGE44" s="806"/>
      <c r="UGF44" s="806"/>
      <c r="UGG44" s="806"/>
      <c r="UGH44" s="806"/>
      <c r="UGI44" s="806"/>
      <c r="UGJ44" s="806"/>
      <c r="UGK44" s="806"/>
      <c r="UGL44" s="806"/>
      <c r="UGM44" s="806"/>
      <c r="UGN44" s="806"/>
      <c r="UGO44" s="806"/>
      <c r="UGP44" s="806"/>
      <c r="UGQ44" s="806"/>
      <c r="UGR44" s="806"/>
      <c r="UGS44" s="806"/>
      <c r="UGT44" s="806"/>
      <c r="UGU44" s="806"/>
      <c r="UGV44" s="806"/>
      <c r="UGW44" s="806"/>
      <c r="UGX44" s="806"/>
      <c r="UGY44" s="806"/>
      <c r="UGZ44" s="806"/>
      <c r="UHA44" s="806"/>
      <c r="UHB44" s="806"/>
      <c r="UHC44" s="806"/>
      <c r="UHD44" s="806"/>
      <c r="UHE44" s="806"/>
      <c r="UHF44" s="806"/>
      <c r="UHG44" s="806"/>
      <c r="UHH44" s="806"/>
      <c r="UHI44" s="806"/>
      <c r="UHJ44" s="806"/>
      <c r="UHK44" s="806"/>
      <c r="UHL44" s="806"/>
      <c r="UHM44" s="806"/>
      <c r="UHN44" s="806"/>
      <c r="UHO44" s="806"/>
      <c r="UHP44" s="806"/>
      <c r="UHQ44" s="806"/>
      <c r="UHR44" s="806"/>
      <c r="UHS44" s="806"/>
      <c r="UHT44" s="806"/>
      <c r="UHU44" s="806"/>
      <c r="UHV44" s="806"/>
      <c r="UHW44" s="806"/>
      <c r="UHX44" s="806"/>
      <c r="UHY44" s="806"/>
      <c r="UHZ44" s="806"/>
      <c r="UIA44" s="806"/>
      <c r="UIB44" s="806"/>
      <c r="UIC44" s="806"/>
      <c r="UID44" s="806"/>
      <c r="UIE44" s="806"/>
      <c r="UIF44" s="806"/>
      <c r="UIG44" s="806"/>
      <c r="UIH44" s="806"/>
      <c r="UII44" s="806"/>
      <c r="UIJ44" s="806"/>
      <c r="UIK44" s="806"/>
      <c r="UIL44" s="806"/>
      <c r="UIM44" s="806"/>
      <c r="UIN44" s="806"/>
      <c r="UIO44" s="806"/>
      <c r="UIP44" s="806"/>
      <c r="UIQ44" s="806"/>
      <c r="UIR44" s="806"/>
      <c r="UIS44" s="806"/>
      <c r="UIT44" s="806"/>
      <c r="UIU44" s="806"/>
      <c r="UIV44" s="806"/>
      <c r="UIW44" s="806"/>
      <c r="UIX44" s="806"/>
      <c r="UIY44" s="806"/>
      <c r="UIZ44" s="806"/>
      <c r="UJA44" s="806"/>
      <c r="UJB44" s="806"/>
      <c r="UJC44" s="806"/>
      <c r="UJD44" s="806"/>
      <c r="UJE44" s="806"/>
      <c r="UJF44" s="806"/>
      <c r="UJG44" s="806"/>
      <c r="UJH44" s="806"/>
      <c r="UJI44" s="806"/>
      <c r="UJJ44" s="806"/>
      <c r="UJK44" s="806"/>
      <c r="UJL44" s="806"/>
      <c r="UJM44" s="806"/>
      <c r="UJN44" s="806"/>
      <c r="UJO44" s="806"/>
      <c r="UJP44" s="806"/>
      <c r="UJQ44" s="806"/>
      <c r="UJR44" s="806"/>
      <c r="UJS44" s="806"/>
      <c r="UJT44" s="806"/>
      <c r="UJU44" s="806"/>
      <c r="UJV44" s="806"/>
      <c r="UJW44" s="806"/>
      <c r="UJX44" s="806"/>
      <c r="UJY44" s="806"/>
      <c r="UJZ44" s="806"/>
      <c r="UKA44" s="806"/>
      <c r="UKB44" s="806"/>
      <c r="UKC44" s="806"/>
      <c r="UKD44" s="806"/>
      <c r="UKE44" s="806"/>
      <c r="UKF44" s="806"/>
      <c r="UKG44" s="806"/>
      <c r="UKH44" s="806"/>
      <c r="UKI44" s="806"/>
      <c r="UKJ44" s="806"/>
      <c r="UKK44" s="806"/>
      <c r="UKL44" s="806"/>
      <c r="UKM44" s="806"/>
      <c r="UKN44" s="806"/>
      <c r="UKO44" s="806"/>
      <c r="UKP44" s="806"/>
      <c r="UKQ44" s="806"/>
      <c r="UKR44" s="806"/>
      <c r="UKS44" s="806"/>
      <c r="UKT44" s="806"/>
      <c r="UKU44" s="806"/>
      <c r="UKV44" s="806"/>
      <c r="UKW44" s="806"/>
      <c r="UKX44" s="806"/>
      <c r="UKY44" s="806"/>
      <c r="UKZ44" s="806"/>
      <c r="ULA44" s="806"/>
      <c r="ULB44" s="806"/>
      <c r="ULC44" s="806"/>
      <c r="ULD44" s="806"/>
      <c r="ULE44" s="806"/>
      <c r="ULF44" s="806"/>
      <c r="ULG44" s="806"/>
      <c r="ULH44" s="806"/>
      <c r="ULI44" s="806"/>
      <c r="ULJ44" s="806"/>
      <c r="ULK44" s="806"/>
      <c r="ULL44" s="806"/>
      <c r="ULM44" s="806"/>
      <c r="ULN44" s="806"/>
      <c r="ULO44" s="806"/>
      <c r="ULP44" s="806"/>
      <c r="ULQ44" s="806"/>
      <c r="ULR44" s="806"/>
      <c r="ULS44" s="806"/>
      <c r="ULT44" s="806"/>
      <c r="ULU44" s="806"/>
      <c r="ULV44" s="806"/>
      <c r="ULW44" s="806"/>
      <c r="ULX44" s="806"/>
      <c r="ULY44" s="806"/>
      <c r="ULZ44" s="806"/>
      <c r="UMA44" s="806"/>
      <c r="UMB44" s="806"/>
      <c r="UMC44" s="806"/>
      <c r="UMD44" s="806"/>
      <c r="UME44" s="806"/>
      <c r="UMF44" s="806"/>
      <c r="UMG44" s="806"/>
      <c r="UMH44" s="806"/>
      <c r="UMI44" s="806"/>
      <c r="UMJ44" s="806"/>
      <c r="UMK44" s="806"/>
      <c r="UML44" s="806"/>
      <c r="UMM44" s="806"/>
      <c r="UMN44" s="806"/>
      <c r="UMO44" s="806"/>
      <c r="UMP44" s="806"/>
      <c r="UMQ44" s="806"/>
      <c r="UMR44" s="806"/>
      <c r="UMS44" s="806"/>
      <c r="UMT44" s="806"/>
      <c r="UMU44" s="806"/>
      <c r="UMV44" s="806"/>
      <c r="UMW44" s="806"/>
      <c r="UMX44" s="806"/>
      <c r="UMY44" s="806"/>
      <c r="UMZ44" s="806"/>
      <c r="UNA44" s="806"/>
      <c r="UNB44" s="806"/>
      <c r="UNC44" s="806"/>
      <c r="UND44" s="806"/>
      <c r="UNE44" s="806"/>
      <c r="UNF44" s="806"/>
      <c r="UNG44" s="806"/>
      <c r="UNH44" s="806"/>
      <c r="UNI44" s="806"/>
      <c r="UNJ44" s="806"/>
      <c r="UNK44" s="806"/>
      <c r="UNL44" s="806"/>
      <c r="UNM44" s="806"/>
      <c r="UNN44" s="806"/>
      <c r="UNO44" s="806"/>
      <c r="UNP44" s="806"/>
      <c r="UNQ44" s="806"/>
      <c r="UNR44" s="806"/>
      <c r="UNS44" s="806"/>
      <c r="UNT44" s="806"/>
      <c r="UNU44" s="806"/>
      <c r="UNV44" s="806"/>
      <c r="UNW44" s="806"/>
      <c r="UNX44" s="806"/>
      <c r="UNY44" s="806"/>
      <c r="UNZ44" s="806"/>
      <c r="UOA44" s="806"/>
      <c r="UOB44" s="806"/>
      <c r="UOC44" s="806"/>
      <c r="UOD44" s="806"/>
      <c r="UOE44" s="806"/>
      <c r="UOF44" s="806"/>
      <c r="UOG44" s="806"/>
      <c r="UOH44" s="806"/>
      <c r="UOI44" s="806"/>
      <c r="UOJ44" s="806"/>
      <c r="UOK44" s="806"/>
      <c r="UOL44" s="806"/>
      <c r="UOM44" s="806"/>
      <c r="UON44" s="806"/>
      <c r="UOO44" s="806"/>
      <c r="UOP44" s="806"/>
      <c r="UOQ44" s="806"/>
      <c r="UOR44" s="806"/>
      <c r="UOS44" s="806"/>
      <c r="UOT44" s="806"/>
      <c r="UOU44" s="806"/>
      <c r="UOV44" s="806"/>
      <c r="UOW44" s="806"/>
      <c r="UOX44" s="806"/>
      <c r="UOY44" s="806"/>
      <c r="UOZ44" s="806"/>
      <c r="UPA44" s="806"/>
      <c r="UPB44" s="806"/>
      <c r="UPC44" s="806"/>
      <c r="UPD44" s="806"/>
      <c r="UPE44" s="806"/>
      <c r="UPF44" s="806"/>
      <c r="UPG44" s="806"/>
      <c r="UPH44" s="806"/>
      <c r="UPI44" s="806"/>
      <c r="UPJ44" s="806"/>
      <c r="UPK44" s="806"/>
      <c r="UPL44" s="806"/>
      <c r="UPM44" s="806"/>
      <c r="UPN44" s="806"/>
      <c r="UPO44" s="806"/>
      <c r="UPP44" s="806"/>
      <c r="UPQ44" s="806"/>
      <c r="UPR44" s="806"/>
      <c r="UPS44" s="806"/>
      <c r="UPT44" s="806"/>
      <c r="UPU44" s="806"/>
      <c r="UPV44" s="806"/>
      <c r="UPW44" s="806"/>
      <c r="UPX44" s="806"/>
      <c r="UPY44" s="806"/>
      <c r="UPZ44" s="806"/>
      <c r="UQA44" s="806"/>
      <c r="UQB44" s="806"/>
      <c r="UQC44" s="806"/>
      <c r="UQD44" s="806"/>
      <c r="UQE44" s="806"/>
      <c r="UQF44" s="806"/>
      <c r="UQG44" s="806"/>
      <c r="UQH44" s="806"/>
      <c r="UQI44" s="806"/>
      <c r="UQJ44" s="806"/>
      <c r="UQK44" s="806"/>
      <c r="UQL44" s="806"/>
      <c r="UQM44" s="806"/>
      <c r="UQN44" s="806"/>
      <c r="UQO44" s="806"/>
      <c r="UQP44" s="806"/>
      <c r="UQQ44" s="806"/>
      <c r="UQR44" s="806"/>
      <c r="UQS44" s="806"/>
      <c r="UQT44" s="806"/>
      <c r="UQU44" s="806"/>
      <c r="UQV44" s="806"/>
      <c r="UQW44" s="806"/>
      <c r="UQX44" s="806"/>
      <c r="UQY44" s="806"/>
      <c r="UQZ44" s="806"/>
      <c r="URA44" s="806"/>
      <c r="URB44" s="806"/>
      <c r="URC44" s="806"/>
      <c r="URD44" s="806"/>
      <c r="URE44" s="806"/>
      <c r="URF44" s="806"/>
      <c r="URG44" s="806"/>
      <c r="URH44" s="806"/>
      <c r="URI44" s="806"/>
      <c r="URJ44" s="806"/>
      <c r="URK44" s="806"/>
      <c r="URL44" s="806"/>
      <c r="URM44" s="806"/>
      <c r="URN44" s="806"/>
      <c r="URO44" s="806"/>
      <c r="URP44" s="806"/>
      <c r="URQ44" s="806"/>
      <c r="URR44" s="806"/>
      <c r="URS44" s="806"/>
      <c r="URT44" s="806"/>
      <c r="URU44" s="806"/>
      <c r="URV44" s="806"/>
      <c r="URW44" s="806"/>
      <c r="URX44" s="806"/>
      <c r="URY44" s="806"/>
      <c r="URZ44" s="806"/>
      <c r="USA44" s="806"/>
      <c r="USB44" s="806"/>
      <c r="USC44" s="806"/>
      <c r="USD44" s="806"/>
      <c r="USE44" s="806"/>
      <c r="USF44" s="806"/>
      <c r="USG44" s="806"/>
      <c r="USH44" s="806"/>
      <c r="USI44" s="806"/>
      <c r="USJ44" s="806"/>
      <c r="USK44" s="806"/>
      <c r="USL44" s="806"/>
      <c r="USM44" s="806"/>
      <c r="USN44" s="806"/>
      <c r="USO44" s="806"/>
      <c r="USP44" s="806"/>
      <c r="USQ44" s="806"/>
      <c r="USR44" s="806"/>
      <c r="USS44" s="806"/>
      <c r="UST44" s="806"/>
      <c r="USU44" s="806"/>
      <c r="USV44" s="806"/>
      <c r="USW44" s="806"/>
      <c r="USX44" s="806"/>
      <c r="USY44" s="806"/>
      <c r="USZ44" s="806"/>
      <c r="UTA44" s="806"/>
      <c r="UTB44" s="806"/>
      <c r="UTC44" s="806"/>
      <c r="UTD44" s="806"/>
      <c r="UTE44" s="806"/>
      <c r="UTF44" s="806"/>
      <c r="UTG44" s="806"/>
      <c r="UTH44" s="806"/>
      <c r="UTI44" s="806"/>
      <c r="UTJ44" s="806"/>
      <c r="UTK44" s="806"/>
      <c r="UTL44" s="806"/>
      <c r="UTM44" s="806"/>
      <c r="UTN44" s="806"/>
      <c r="UTO44" s="806"/>
      <c r="UTP44" s="806"/>
      <c r="UTQ44" s="806"/>
      <c r="UTR44" s="806"/>
      <c r="UTS44" s="806"/>
      <c r="UTT44" s="806"/>
      <c r="UTU44" s="806"/>
      <c r="UTV44" s="806"/>
      <c r="UTW44" s="806"/>
      <c r="UTX44" s="806"/>
      <c r="UTY44" s="806"/>
      <c r="UTZ44" s="806"/>
      <c r="UUA44" s="806"/>
      <c r="UUB44" s="806"/>
      <c r="UUC44" s="806"/>
      <c r="UUD44" s="806"/>
      <c r="UUE44" s="806"/>
      <c r="UUF44" s="806"/>
      <c r="UUG44" s="806"/>
      <c r="UUH44" s="806"/>
      <c r="UUI44" s="806"/>
      <c r="UUJ44" s="806"/>
      <c r="UUK44" s="806"/>
      <c r="UUL44" s="806"/>
      <c r="UUM44" s="806"/>
      <c r="UUN44" s="806"/>
      <c r="UUO44" s="806"/>
      <c r="UUP44" s="806"/>
      <c r="UUQ44" s="806"/>
      <c r="UUR44" s="806"/>
      <c r="UUS44" s="806"/>
      <c r="UUT44" s="806"/>
      <c r="UUU44" s="806"/>
      <c r="UUV44" s="806"/>
      <c r="UUW44" s="806"/>
      <c r="UUX44" s="806"/>
      <c r="UUY44" s="806"/>
      <c r="UUZ44" s="806"/>
      <c r="UVA44" s="806"/>
      <c r="UVB44" s="806"/>
      <c r="UVC44" s="806"/>
      <c r="UVD44" s="806"/>
      <c r="UVE44" s="806"/>
      <c r="UVF44" s="806"/>
      <c r="UVG44" s="806"/>
      <c r="UVH44" s="806"/>
      <c r="UVI44" s="806"/>
      <c r="UVJ44" s="806"/>
      <c r="UVK44" s="806"/>
      <c r="UVL44" s="806"/>
      <c r="UVM44" s="806"/>
      <c r="UVN44" s="806"/>
      <c r="UVO44" s="806"/>
      <c r="UVP44" s="806"/>
      <c r="UVQ44" s="806"/>
      <c r="UVR44" s="806"/>
      <c r="UVS44" s="806"/>
      <c r="UVT44" s="806"/>
      <c r="UVU44" s="806"/>
      <c r="UVV44" s="806"/>
      <c r="UVW44" s="806"/>
      <c r="UVX44" s="806"/>
      <c r="UVY44" s="806"/>
      <c r="UVZ44" s="806"/>
      <c r="UWA44" s="806"/>
      <c r="UWB44" s="806"/>
      <c r="UWC44" s="806"/>
      <c r="UWD44" s="806"/>
      <c r="UWE44" s="806"/>
      <c r="UWF44" s="806"/>
      <c r="UWG44" s="806"/>
      <c r="UWH44" s="806"/>
      <c r="UWI44" s="806"/>
      <c r="UWJ44" s="806"/>
      <c r="UWK44" s="806"/>
      <c r="UWL44" s="806"/>
      <c r="UWM44" s="806"/>
      <c r="UWN44" s="806"/>
      <c r="UWO44" s="806"/>
      <c r="UWP44" s="806"/>
      <c r="UWQ44" s="806"/>
      <c r="UWR44" s="806"/>
      <c r="UWS44" s="806"/>
      <c r="UWT44" s="806"/>
      <c r="UWU44" s="806"/>
      <c r="UWV44" s="806"/>
      <c r="UWW44" s="806"/>
      <c r="UWX44" s="806"/>
      <c r="UWY44" s="806"/>
      <c r="UWZ44" s="806"/>
      <c r="UXA44" s="806"/>
      <c r="UXB44" s="806"/>
      <c r="UXC44" s="806"/>
      <c r="UXD44" s="806"/>
      <c r="UXE44" s="806"/>
      <c r="UXF44" s="806"/>
      <c r="UXG44" s="806"/>
      <c r="UXH44" s="806"/>
      <c r="UXI44" s="806"/>
      <c r="UXJ44" s="806"/>
      <c r="UXK44" s="806"/>
      <c r="UXL44" s="806"/>
      <c r="UXM44" s="806"/>
      <c r="UXN44" s="806"/>
      <c r="UXO44" s="806"/>
      <c r="UXP44" s="806"/>
      <c r="UXQ44" s="806"/>
      <c r="UXR44" s="806"/>
      <c r="UXS44" s="806"/>
      <c r="UXT44" s="806"/>
      <c r="UXU44" s="806"/>
      <c r="UXV44" s="806"/>
      <c r="UXW44" s="806"/>
      <c r="UXX44" s="806"/>
      <c r="UXY44" s="806"/>
      <c r="UXZ44" s="806"/>
      <c r="UYA44" s="806"/>
      <c r="UYB44" s="806"/>
      <c r="UYC44" s="806"/>
      <c r="UYD44" s="806"/>
      <c r="UYE44" s="806"/>
      <c r="UYF44" s="806"/>
      <c r="UYG44" s="806"/>
      <c r="UYH44" s="806"/>
      <c r="UYI44" s="806"/>
      <c r="UYJ44" s="806"/>
      <c r="UYK44" s="806"/>
      <c r="UYL44" s="806"/>
      <c r="UYM44" s="806"/>
      <c r="UYN44" s="806"/>
      <c r="UYO44" s="806"/>
      <c r="UYP44" s="806"/>
      <c r="UYQ44" s="806"/>
      <c r="UYR44" s="806"/>
      <c r="UYS44" s="806"/>
      <c r="UYT44" s="806"/>
      <c r="UYU44" s="806"/>
      <c r="UYV44" s="806"/>
      <c r="UYW44" s="806"/>
      <c r="UYX44" s="806"/>
      <c r="UYY44" s="806"/>
      <c r="UYZ44" s="806"/>
      <c r="UZA44" s="806"/>
      <c r="UZB44" s="806"/>
      <c r="UZC44" s="806"/>
      <c r="UZD44" s="806"/>
      <c r="UZE44" s="806"/>
      <c r="UZF44" s="806"/>
      <c r="UZG44" s="806"/>
      <c r="UZH44" s="806"/>
      <c r="UZI44" s="806"/>
      <c r="UZJ44" s="806"/>
      <c r="UZK44" s="806"/>
      <c r="UZL44" s="806"/>
      <c r="UZM44" s="806"/>
      <c r="UZN44" s="806"/>
      <c r="UZO44" s="806"/>
      <c r="UZP44" s="806"/>
      <c r="UZQ44" s="806"/>
      <c r="UZR44" s="806"/>
      <c r="UZS44" s="806"/>
      <c r="UZT44" s="806"/>
      <c r="UZU44" s="806"/>
      <c r="UZV44" s="806"/>
      <c r="UZW44" s="806"/>
      <c r="UZX44" s="806"/>
      <c r="UZY44" s="806"/>
      <c r="UZZ44" s="806"/>
      <c r="VAA44" s="806"/>
      <c r="VAB44" s="806"/>
      <c r="VAC44" s="806"/>
      <c r="VAD44" s="806"/>
      <c r="VAE44" s="806"/>
      <c r="VAF44" s="806"/>
      <c r="VAG44" s="806"/>
      <c r="VAH44" s="806"/>
      <c r="VAI44" s="806"/>
      <c r="VAJ44" s="806"/>
      <c r="VAK44" s="806"/>
      <c r="VAL44" s="806"/>
      <c r="VAM44" s="806"/>
      <c r="VAN44" s="806"/>
      <c r="VAO44" s="806"/>
      <c r="VAP44" s="806"/>
      <c r="VAQ44" s="806"/>
      <c r="VAR44" s="806"/>
      <c r="VAS44" s="806"/>
      <c r="VAT44" s="806"/>
      <c r="VAU44" s="806"/>
      <c r="VAV44" s="806"/>
      <c r="VAW44" s="806"/>
      <c r="VAX44" s="806"/>
      <c r="VAY44" s="806"/>
      <c r="VAZ44" s="806"/>
      <c r="VBA44" s="806"/>
      <c r="VBB44" s="806"/>
      <c r="VBC44" s="806"/>
      <c r="VBD44" s="806"/>
      <c r="VBE44" s="806"/>
      <c r="VBF44" s="806"/>
      <c r="VBG44" s="806"/>
      <c r="VBH44" s="806"/>
      <c r="VBI44" s="806"/>
      <c r="VBJ44" s="806"/>
      <c r="VBK44" s="806"/>
      <c r="VBL44" s="806"/>
      <c r="VBM44" s="806"/>
      <c r="VBN44" s="806"/>
      <c r="VBO44" s="806"/>
      <c r="VBP44" s="806"/>
      <c r="VBQ44" s="806"/>
      <c r="VBR44" s="806"/>
      <c r="VBS44" s="806"/>
      <c r="VBT44" s="806"/>
      <c r="VBU44" s="806"/>
      <c r="VBV44" s="806"/>
      <c r="VBW44" s="806"/>
      <c r="VBX44" s="806"/>
      <c r="VBY44" s="806"/>
      <c r="VBZ44" s="806"/>
      <c r="VCA44" s="806"/>
      <c r="VCB44" s="806"/>
      <c r="VCC44" s="806"/>
      <c r="VCD44" s="806"/>
      <c r="VCE44" s="806"/>
      <c r="VCF44" s="806"/>
      <c r="VCG44" s="806"/>
      <c r="VCH44" s="806"/>
      <c r="VCI44" s="806"/>
      <c r="VCJ44" s="806"/>
      <c r="VCK44" s="806"/>
      <c r="VCL44" s="806"/>
      <c r="VCM44" s="806"/>
      <c r="VCN44" s="806"/>
      <c r="VCO44" s="806"/>
      <c r="VCP44" s="806"/>
      <c r="VCQ44" s="806"/>
      <c r="VCR44" s="806"/>
      <c r="VCS44" s="806"/>
      <c r="VCT44" s="806"/>
      <c r="VCU44" s="806"/>
      <c r="VCV44" s="806"/>
      <c r="VCW44" s="806"/>
      <c r="VCX44" s="806"/>
      <c r="VCY44" s="806"/>
      <c r="VCZ44" s="806"/>
      <c r="VDA44" s="806"/>
      <c r="VDB44" s="806"/>
      <c r="VDC44" s="806"/>
      <c r="VDD44" s="806"/>
      <c r="VDE44" s="806"/>
      <c r="VDF44" s="806"/>
      <c r="VDG44" s="806"/>
      <c r="VDH44" s="806"/>
      <c r="VDI44" s="806"/>
      <c r="VDJ44" s="806"/>
      <c r="VDK44" s="806"/>
      <c r="VDL44" s="806"/>
      <c r="VDM44" s="806"/>
      <c r="VDN44" s="806"/>
      <c r="VDO44" s="806"/>
      <c r="VDP44" s="806"/>
      <c r="VDQ44" s="806"/>
      <c r="VDR44" s="806"/>
      <c r="VDS44" s="806"/>
      <c r="VDT44" s="806"/>
      <c r="VDU44" s="806"/>
      <c r="VDV44" s="806"/>
      <c r="VDW44" s="806"/>
      <c r="VDX44" s="806"/>
      <c r="VDY44" s="806"/>
      <c r="VDZ44" s="806"/>
      <c r="VEA44" s="806"/>
      <c r="VEB44" s="806"/>
      <c r="VEC44" s="806"/>
      <c r="VED44" s="806"/>
      <c r="VEE44" s="806"/>
      <c r="VEF44" s="806"/>
      <c r="VEG44" s="806"/>
      <c r="VEH44" s="806"/>
      <c r="VEI44" s="806"/>
      <c r="VEJ44" s="806"/>
      <c r="VEK44" s="806"/>
      <c r="VEL44" s="806"/>
      <c r="VEM44" s="806"/>
      <c r="VEN44" s="806"/>
      <c r="VEO44" s="806"/>
      <c r="VEP44" s="806"/>
      <c r="VEQ44" s="806"/>
      <c r="VER44" s="806"/>
      <c r="VES44" s="806"/>
      <c r="VET44" s="806"/>
      <c r="VEU44" s="806"/>
      <c r="VEV44" s="806"/>
      <c r="VEW44" s="806"/>
      <c r="VEX44" s="806"/>
      <c r="VEY44" s="806"/>
      <c r="VEZ44" s="806"/>
      <c r="VFA44" s="806"/>
      <c r="VFB44" s="806"/>
      <c r="VFC44" s="806"/>
      <c r="VFD44" s="806"/>
      <c r="VFE44" s="806"/>
      <c r="VFF44" s="806"/>
      <c r="VFG44" s="806"/>
      <c r="VFH44" s="806"/>
      <c r="VFI44" s="806"/>
      <c r="VFJ44" s="806"/>
      <c r="VFK44" s="806"/>
      <c r="VFL44" s="806"/>
      <c r="VFM44" s="806"/>
      <c r="VFN44" s="806"/>
      <c r="VFO44" s="806"/>
      <c r="VFP44" s="806"/>
      <c r="VFQ44" s="806"/>
      <c r="VFR44" s="806"/>
      <c r="VFS44" s="806"/>
      <c r="VFT44" s="806"/>
      <c r="VFU44" s="806"/>
      <c r="VFV44" s="806"/>
      <c r="VFW44" s="806"/>
      <c r="VFX44" s="806"/>
      <c r="VFY44" s="806"/>
      <c r="VFZ44" s="806"/>
      <c r="VGA44" s="806"/>
      <c r="VGB44" s="806"/>
      <c r="VGC44" s="806"/>
      <c r="VGD44" s="806"/>
      <c r="VGE44" s="806"/>
      <c r="VGF44" s="806"/>
      <c r="VGG44" s="806"/>
      <c r="VGH44" s="806"/>
      <c r="VGI44" s="806"/>
      <c r="VGJ44" s="806"/>
      <c r="VGK44" s="806"/>
      <c r="VGL44" s="806"/>
      <c r="VGM44" s="806"/>
      <c r="VGN44" s="806"/>
      <c r="VGO44" s="806"/>
      <c r="VGP44" s="806"/>
      <c r="VGQ44" s="806"/>
      <c r="VGR44" s="806"/>
      <c r="VGS44" s="806"/>
      <c r="VGT44" s="806"/>
      <c r="VGU44" s="806"/>
      <c r="VGV44" s="806"/>
      <c r="VGW44" s="806"/>
      <c r="VGX44" s="806"/>
      <c r="VGY44" s="806"/>
      <c r="VGZ44" s="806"/>
      <c r="VHA44" s="806"/>
      <c r="VHB44" s="806"/>
      <c r="VHC44" s="806"/>
      <c r="VHD44" s="806"/>
      <c r="VHE44" s="806"/>
      <c r="VHF44" s="806"/>
      <c r="VHG44" s="806"/>
      <c r="VHH44" s="806"/>
      <c r="VHI44" s="806"/>
      <c r="VHJ44" s="806"/>
      <c r="VHK44" s="806"/>
      <c r="VHL44" s="806"/>
      <c r="VHM44" s="806"/>
      <c r="VHN44" s="806"/>
      <c r="VHO44" s="806"/>
      <c r="VHP44" s="806"/>
      <c r="VHQ44" s="806"/>
      <c r="VHR44" s="806"/>
      <c r="VHS44" s="806"/>
      <c r="VHT44" s="806"/>
      <c r="VHU44" s="806"/>
      <c r="VHV44" s="806"/>
      <c r="VHW44" s="806"/>
      <c r="VHX44" s="806"/>
      <c r="VHY44" s="806"/>
      <c r="VHZ44" s="806"/>
      <c r="VIA44" s="806"/>
      <c r="VIB44" s="806"/>
      <c r="VIC44" s="806"/>
      <c r="VID44" s="806"/>
      <c r="VIE44" s="806"/>
      <c r="VIF44" s="806"/>
      <c r="VIG44" s="806"/>
      <c r="VIH44" s="806"/>
      <c r="VII44" s="806"/>
      <c r="VIJ44" s="806"/>
      <c r="VIK44" s="806"/>
      <c r="VIL44" s="806"/>
      <c r="VIM44" s="806"/>
      <c r="VIN44" s="806"/>
      <c r="VIO44" s="806"/>
      <c r="VIP44" s="806"/>
      <c r="VIQ44" s="806"/>
      <c r="VIR44" s="806"/>
      <c r="VIS44" s="806"/>
      <c r="VIT44" s="806"/>
      <c r="VIU44" s="806"/>
      <c r="VIV44" s="806"/>
      <c r="VIW44" s="806"/>
      <c r="VIX44" s="806"/>
      <c r="VIY44" s="806"/>
      <c r="VIZ44" s="806"/>
      <c r="VJA44" s="806"/>
      <c r="VJB44" s="806"/>
      <c r="VJC44" s="806"/>
      <c r="VJD44" s="806"/>
      <c r="VJE44" s="806"/>
      <c r="VJF44" s="806"/>
      <c r="VJG44" s="806"/>
      <c r="VJH44" s="806"/>
      <c r="VJI44" s="806"/>
      <c r="VJJ44" s="806"/>
      <c r="VJK44" s="806"/>
      <c r="VJL44" s="806"/>
      <c r="VJM44" s="806"/>
      <c r="VJN44" s="806"/>
      <c r="VJO44" s="806"/>
      <c r="VJP44" s="806"/>
      <c r="VJQ44" s="806"/>
      <c r="VJR44" s="806"/>
      <c r="VJS44" s="806"/>
      <c r="VJT44" s="806"/>
      <c r="VJU44" s="806"/>
      <c r="VJV44" s="806"/>
      <c r="VJW44" s="806"/>
      <c r="VJX44" s="806"/>
      <c r="VJY44" s="806"/>
      <c r="VJZ44" s="806"/>
      <c r="VKA44" s="806"/>
      <c r="VKB44" s="806"/>
      <c r="VKC44" s="806"/>
      <c r="VKD44" s="806"/>
      <c r="VKE44" s="806"/>
      <c r="VKF44" s="806"/>
      <c r="VKG44" s="806"/>
      <c r="VKH44" s="806"/>
      <c r="VKI44" s="806"/>
      <c r="VKJ44" s="806"/>
      <c r="VKK44" s="806"/>
      <c r="VKL44" s="806"/>
      <c r="VKM44" s="806"/>
      <c r="VKN44" s="806"/>
      <c r="VKO44" s="806"/>
      <c r="VKP44" s="806"/>
      <c r="VKQ44" s="806"/>
      <c r="VKR44" s="806"/>
      <c r="VKS44" s="806"/>
      <c r="VKT44" s="806"/>
      <c r="VKU44" s="806"/>
      <c r="VKV44" s="806"/>
      <c r="VKW44" s="806"/>
      <c r="VKX44" s="806"/>
      <c r="VKY44" s="806"/>
      <c r="VKZ44" s="806"/>
      <c r="VLA44" s="806"/>
      <c r="VLB44" s="806"/>
      <c r="VLC44" s="806"/>
      <c r="VLD44" s="806"/>
      <c r="VLE44" s="806"/>
      <c r="VLF44" s="806"/>
      <c r="VLG44" s="806"/>
      <c r="VLH44" s="806"/>
      <c r="VLI44" s="806"/>
      <c r="VLJ44" s="806"/>
      <c r="VLK44" s="806"/>
      <c r="VLL44" s="806"/>
      <c r="VLM44" s="806"/>
      <c r="VLN44" s="806"/>
      <c r="VLO44" s="806"/>
      <c r="VLP44" s="806"/>
      <c r="VLQ44" s="806"/>
      <c r="VLR44" s="806"/>
      <c r="VLS44" s="806"/>
      <c r="VLT44" s="806"/>
      <c r="VLU44" s="806"/>
      <c r="VLV44" s="806"/>
      <c r="VLW44" s="806"/>
      <c r="VLX44" s="806"/>
      <c r="VLY44" s="806"/>
      <c r="VLZ44" s="806"/>
      <c r="VMA44" s="806"/>
      <c r="VMB44" s="806"/>
      <c r="VMC44" s="806"/>
      <c r="VMD44" s="806"/>
      <c r="VME44" s="806"/>
      <c r="VMF44" s="806"/>
      <c r="VMG44" s="806"/>
      <c r="VMH44" s="806"/>
      <c r="VMI44" s="806"/>
      <c r="VMJ44" s="806"/>
      <c r="VMK44" s="806"/>
      <c r="VML44" s="806"/>
      <c r="VMM44" s="806"/>
      <c r="VMN44" s="806"/>
      <c r="VMO44" s="806"/>
      <c r="VMP44" s="806"/>
      <c r="VMQ44" s="806"/>
      <c r="VMR44" s="806"/>
      <c r="VMS44" s="806"/>
      <c r="VMT44" s="806"/>
      <c r="VMU44" s="806"/>
      <c r="VMV44" s="806"/>
      <c r="VMW44" s="806"/>
      <c r="VMX44" s="806"/>
      <c r="VMY44" s="806"/>
      <c r="VMZ44" s="806"/>
      <c r="VNA44" s="806"/>
      <c r="VNB44" s="806"/>
      <c r="VNC44" s="806"/>
      <c r="VND44" s="806"/>
      <c r="VNE44" s="806"/>
      <c r="VNF44" s="806"/>
      <c r="VNG44" s="806"/>
      <c r="VNH44" s="806"/>
      <c r="VNI44" s="806"/>
      <c r="VNJ44" s="806"/>
      <c r="VNK44" s="806"/>
      <c r="VNL44" s="806"/>
      <c r="VNM44" s="806"/>
      <c r="VNN44" s="806"/>
      <c r="VNO44" s="806"/>
      <c r="VNP44" s="806"/>
      <c r="VNQ44" s="806"/>
      <c r="VNR44" s="806"/>
      <c r="VNS44" s="806"/>
      <c r="VNT44" s="806"/>
      <c r="VNU44" s="806"/>
      <c r="VNV44" s="806"/>
      <c r="VNW44" s="806"/>
      <c r="VNX44" s="806"/>
      <c r="VNY44" s="806"/>
      <c r="VNZ44" s="806"/>
      <c r="VOA44" s="806"/>
      <c r="VOB44" s="806"/>
      <c r="VOC44" s="806"/>
      <c r="VOD44" s="806"/>
      <c r="VOE44" s="806"/>
      <c r="VOF44" s="806"/>
      <c r="VOG44" s="806"/>
      <c r="VOH44" s="806"/>
      <c r="VOI44" s="806"/>
      <c r="VOJ44" s="806"/>
      <c r="VOK44" s="806"/>
      <c r="VOL44" s="806"/>
      <c r="VOM44" s="806"/>
      <c r="VON44" s="806"/>
      <c r="VOO44" s="806"/>
      <c r="VOP44" s="806"/>
      <c r="VOQ44" s="806"/>
      <c r="VOR44" s="806"/>
      <c r="VOS44" s="806"/>
      <c r="VOT44" s="806"/>
      <c r="VOU44" s="806"/>
      <c r="VOV44" s="806"/>
      <c r="VOW44" s="806"/>
      <c r="VOX44" s="806"/>
      <c r="VOY44" s="806"/>
      <c r="VOZ44" s="806"/>
      <c r="VPA44" s="806"/>
      <c r="VPB44" s="806"/>
      <c r="VPC44" s="806"/>
      <c r="VPD44" s="806"/>
      <c r="VPE44" s="806"/>
      <c r="VPF44" s="806"/>
      <c r="VPG44" s="806"/>
      <c r="VPH44" s="806"/>
      <c r="VPI44" s="806"/>
      <c r="VPJ44" s="806"/>
      <c r="VPK44" s="806"/>
      <c r="VPL44" s="806"/>
      <c r="VPM44" s="806"/>
      <c r="VPN44" s="806"/>
      <c r="VPO44" s="806"/>
      <c r="VPP44" s="806"/>
      <c r="VPQ44" s="806"/>
      <c r="VPR44" s="806"/>
      <c r="VPS44" s="806"/>
      <c r="VPT44" s="806"/>
      <c r="VPU44" s="806"/>
      <c r="VPV44" s="806"/>
      <c r="VPW44" s="806"/>
      <c r="VPX44" s="806"/>
      <c r="VPY44" s="806"/>
      <c r="VPZ44" s="806"/>
      <c r="VQA44" s="806"/>
      <c r="VQB44" s="806"/>
      <c r="VQC44" s="806"/>
      <c r="VQD44" s="806"/>
      <c r="VQE44" s="806"/>
      <c r="VQF44" s="806"/>
      <c r="VQG44" s="806"/>
      <c r="VQH44" s="806"/>
      <c r="VQI44" s="806"/>
      <c r="VQJ44" s="806"/>
      <c r="VQK44" s="806"/>
      <c r="VQL44" s="806"/>
      <c r="VQM44" s="806"/>
      <c r="VQN44" s="806"/>
      <c r="VQO44" s="806"/>
      <c r="VQP44" s="806"/>
      <c r="VQQ44" s="806"/>
      <c r="VQR44" s="806"/>
      <c r="VQS44" s="806"/>
      <c r="VQT44" s="806"/>
      <c r="VQU44" s="806"/>
      <c r="VQV44" s="806"/>
      <c r="VQW44" s="806"/>
      <c r="VQX44" s="806"/>
      <c r="VQY44" s="806"/>
      <c r="VQZ44" s="806"/>
      <c r="VRA44" s="806"/>
      <c r="VRB44" s="806"/>
      <c r="VRC44" s="806"/>
      <c r="VRD44" s="806"/>
      <c r="VRE44" s="806"/>
      <c r="VRF44" s="806"/>
      <c r="VRG44" s="806"/>
      <c r="VRH44" s="806"/>
      <c r="VRI44" s="806"/>
      <c r="VRJ44" s="806"/>
      <c r="VRK44" s="806"/>
      <c r="VRL44" s="806"/>
      <c r="VRM44" s="806"/>
      <c r="VRN44" s="806"/>
      <c r="VRO44" s="806"/>
      <c r="VRP44" s="806"/>
      <c r="VRQ44" s="806"/>
      <c r="VRR44" s="806"/>
      <c r="VRS44" s="806"/>
      <c r="VRT44" s="806"/>
      <c r="VRU44" s="806"/>
      <c r="VRV44" s="806"/>
      <c r="VRW44" s="806"/>
      <c r="VRX44" s="806"/>
      <c r="VRY44" s="806"/>
      <c r="VRZ44" s="806"/>
      <c r="VSA44" s="806"/>
      <c r="VSB44" s="806"/>
      <c r="VSC44" s="806"/>
      <c r="VSD44" s="806"/>
      <c r="VSE44" s="806"/>
      <c r="VSF44" s="806"/>
      <c r="VSG44" s="806"/>
      <c r="VSH44" s="806"/>
      <c r="VSI44" s="806"/>
      <c r="VSJ44" s="806"/>
      <c r="VSK44" s="806"/>
      <c r="VSL44" s="806"/>
      <c r="VSM44" s="806"/>
      <c r="VSN44" s="806"/>
      <c r="VSO44" s="806"/>
      <c r="VSP44" s="806"/>
      <c r="VSQ44" s="806"/>
      <c r="VSR44" s="806"/>
      <c r="VSS44" s="806"/>
      <c r="VST44" s="806"/>
      <c r="VSU44" s="806"/>
      <c r="VSV44" s="806"/>
      <c r="VSW44" s="806"/>
      <c r="VSX44" s="806"/>
      <c r="VSY44" s="806"/>
      <c r="VSZ44" s="806"/>
      <c r="VTA44" s="806"/>
      <c r="VTB44" s="806"/>
      <c r="VTC44" s="806"/>
      <c r="VTD44" s="806"/>
      <c r="VTE44" s="806"/>
      <c r="VTF44" s="806"/>
      <c r="VTG44" s="806"/>
      <c r="VTH44" s="806"/>
      <c r="VTI44" s="806"/>
      <c r="VTJ44" s="806"/>
      <c r="VTK44" s="806"/>
      <c r="VTL44" s="806"/>
      <c r="VTM44" s="806"/>
      <c r="VTN44" s="806"/>
      <c r="VTO44" s="806"/>
      <c r="VTP44" s="806"/>
      <c r="VTQ44" s="806"/>
      <c r="VTR44" s="806"/>
      <c r="VTS44" s="806"/>
      <c r="VTT44" s="806"/>
      <c r="VTU44" s="806"/>
      <c r="VTV44" s="806"/>
      <c r="VTW44" s="806"/>
      <c r="VTX44" s="806"/>
      <c r="VTY44" s="806"/>
      <c r="VTZ44" s="806"/>
      <c r="VUA44" s="806"/>
      <c r="VUB44" s="806"/>
      <c r="VUC44" s="806"/>
      <c r="VUD44" s="806"/>
      <c r="VUE44" s="806"/>
      <c r="VUF44" s="806"/>
      <c r="VUG44" s="806"/>
      <c r="VUH44" s="806"/>
      <c r="VUI44" s="806"/>
      <c r="VUJ44" s="806"/>
      <c r="VUK44" s="806"/>
      <c r="VUL44" s="806"/>
      <c r="VUM44" s="806"/>
      <c r="VUN44" s="806"/>
      <c r="VUO44" s="806"/>
      <c r="VUP44" s="806"/>
      <c r="VUQ44" s="806"/>
      <c r="VUR44" s="806"/>
      <c r="VUS44" s="806"/>
      <c r="VUT44" s="806"/>
      <c r="VUU44" s="806"/>
      <c r="VUV44" s="806"/>
      <c r="VUW44" s="806"/>
      <c r="VUX44" s="806"/>
      <c r="VUY44" s="806"/>
      <c r="VUZ44" s="806"/>
      <c r="VVA44" s="806"/>
      <c r="VVB44" s="806"/>
      <c r="VVC44" s="806"/>
      <c r="VVD44" s="806"/>
      <c r="VVE44" s="806"/>
      <c r="VVF44" s="806"/>
      <c r="VVG44" s="806"/>
      <c r="VVH44" s="806"/>
      <c r="VVI44" s="806"/>
      <c r="VVJ44" s="806"/>
      <c r="VVK44" s="806"/>
      <c r="VVL44" s="806"/>
      <c r="VVM44" s="806"/>
      <c r="VVN44" s="806"/>
      <c r="VVO44" s="806"/>
      <c r="VVP44" s="806"/>
      <c r="VVQ44" s="806"/>
      <c r="VVR44" s="806"/>
      <c r="VVS44" s="806"/>
      <c r="VVT44" s="806"/>
      <c r="VVU44" s="806"/>
      <c r="VVV44" s="806"/>
      <c r="VVW44" s="806"/>
      <c r="VVX44" s="806"/>
      <c r="VVY44" s="806"/>
      <c r="VVZ44" s="806"/>
      <c r="VWA44" s="806"/>
      <c r="VWB44" s="806"/>
      <c r="VWC44" s="806"/>
      <c r="VWD44" s="806"/>
      <c r="VWE44" s="806"/>
      <c r="VWF44" s="806"/>
      <c r="VWG44" s="806"/>
      <c r="VWH44" s="806"/>
      <c r="VWI44" s="806"/>
      <c r="VWJ44" s="806"/>
      <c r="VWK44" s="806"/>
      <c r="VWL44" s="806"/>
      <c r="VWM44" s="806"/>
      <c r="VWN44" s="806"/>
      <c r="VWO44" s="806"/>
      <c r="VWP44" s="806"/>
      <c r="VWQ44" s="806"/>
      <c r="VWR44" s="806"/>
      <c r="VWS44" s="806"/>
      <c r="VWT44" s="806"/>
      <c r="VWU44" s="806"/>
      <c r="VWV44" s="806"/>
      <c r="VWW44" s="806"/>
      <c r="VWX44" s="806"/>
      <c r="VWY44" s="806"/>
      <c r="VWZ44" s="806"/>
      <c r="VXA44" s="806"/>
      <c r="VXB44" s="806"/>
      <c r="VXC44" s="806"/>
      <c r="VXD44" s="806"/>
      <c r="VXE44" s="806"/>
      <c r="VXF44" s="806"/>
      <c r="VXG44" s="806"/>
      <c r="VXH44" s="806"/>
      <c r="VXI44" s="806"/>
      <c r="VXJ44" s="806"/>
      <c r="VXK44" s="806"/>
      <c r="VXL44" s="806"/>
      <c r="VXM44" s="806"/>
      <c r="VXN44" s="806"/>
      <c r="VXO44" s="806"/>
      <c r="VXP44" s="806"/>
      <c r="VXQ44" s="806"/>
      <c r="VXR44" s="806"/>
      <c r="VXS44" s="806"/>
      <c r="VXT44" s="806"/>
      <c r="VXU44" s="806"/>
      <c r="VXV44" s="806"/>
      <c r="VXW44" s="806"/>
      <c r="VXX44" s="806"/>
      <c r="VXY44" s="806"/>
      <c r="VXZ44" s="806"/>
      <c r="VYA44" s="806"/>
      <c r="VYB44" s="806"/>
      <c r="VYC44" s="806"/>
      <c r="VYD44" s="806"/>
      <c r="VYE44" s="806"/>
      <c r="VYF44" s="806"/>
      <c r="VYG44" s="806"/>
      <c r="VYH44" s="806"/>
      <c r="VYI44" s="806"/>
      <c r="VYJ44" s="806"/>
      <c r="VYK44" s="806"/>
      <c r="VYL44" s="806"/>
      <c r="VYM44" s="806"/>
      <c r="VYN44" s="806"/>
      <c r="VYO44" s="806"/>
      <c r="VYP44" s="806"/>
      <c r="VYQ44" s="806"/>
      <c r="VYR44" s="806"/>
      <c r="VYS44" s="806"/>
      <c r="VYT44" s="806"/>
      <c r="VYU44" s="806"/>
      <c r="VYV44" s="806"/>
      <c r="VYW44" s="806"/>
      <c r="VYX44" s="806"/>
      <c r="VYY44" s="806"/>
      <c r="VYZ44" s="806"/>
      <c r="VZA44" s="806"/>
      <c r="VZB44" s="806"/>
      <c r="VZC44" s="806"/>
      <c r="VZD44" s="806"/>
      <c r="VZE44" s="806"/>
      <c r="VZF44" s="806"/>
      <c r="VZG44" s="806"/>
      <c r="VZH44" s="806"/>
      <c r="VZI44" s="806"/>
      <c r="VZJ44" s="806"/>
      <c r="VZK44" s="806"/>
      <c r="VZL44" s="806"/>
      <c r="VZM44" s="806"/>
      <c r="VZN44" s="806"/>
      <c r="VZO44" s="806"/>
      <c r="VZP44" s="806"/>
      <c r="VZQ44" s="806"/>
      <c r="VZR44" s="806"/>
      <c r="VZS44" s="806"/>
      <c r="VZT44" s="806"/>
      <c r="VZU44" s="806"/>
      <c r="VZV44" s="806"/>
      <c r="VZW44" s="806"/>
      <c r="VZX44" s="806"/>
      <c r="VZY44" s="806"/>
      <c r="VZZ44" s="806"/>
      <c r="WAA44" s="806"/>
      <c r="WAB44" s="806"/>
      <c r="WAC44" s="806"/>
      <c r="WAD44" s="806"/>
      <c r="WAE44" s="806"/>
      <c r="WAF44" s="806"/>
      <c r="WAG44" s="806"/>
      <c r="WAH44" s="806"/>
      <c r="WAI44" s="806"/>
      <c r="WAJ44" s="806"/>
      <c r="WAK44" s="806"/>
      <c r="WAL44" s="806"/>
      <c r="WAM44" s="806"/>
      <c r="WAN44" s="806"/>
      <c r="WAO44" s="806"/>
      <c r="WAP44" s="806"/>
      <c r="WAQ44" s="806"/>
      <c r="WAR44" s="806"/>
      <c r="WAS44" s="806"/>
      <c r="WAT44" s="806"/>
      <c r="WAU44" s="806"/>
      <c r="WAV44" s="806"/>
      <c r="WAW44" s="806"/>
      <c r="WAX44" s="806"/>
      <c r="WAY44" s="806"/>
      <c r="WAZ44" s="806"/>
      <c r="WBA44" s="806"/>
      <c r="WBB44" s="806"/>
      <c r="WBC44" s="806"/>
      <c r="WBD44" s="806"/>
      <c r="WBE44" s="806"/>
      <c r="WBF44" s="806"/>
      <c r="WBG44" s="806"/>
      <c r="WBH44" s="806"/>
      <c r="WBI44" s="806"/>
      <c r="WBJ44" s="806"/>
      <c r="WBK44" s="806"/>
      <c r="WBL44" s="806"/>
      <c r="WBM44" s="806"/>
      <c r="WBN44" s="806"/>
      <c r="WBO44" s="806"/>
      <c r="WBP44" s="806"/>
      <c r="WBQ44" s="806"/>
      <c r="WBR44" s="806"/>
      <c r="WBS44" s="806"/>
      <c r="WBT44" s="806"/>
      <c r="WBU44" s="806"/>
      <c r="WBV44" s="806"/>
      <c r="WBW44" s="806"/>
      <c r="WBX44" s="806"/>
      <c r="WBY44" s="806"/>
      <c r="WBZ44" s="806"/>
      <c r="WCA44" s="806"/>
      <c r="WCB44" s="806"/>
      <c r="WCC44" s="806"/>
      <c r="WCD44" s="806"/>
      <c r="WCE44" s="806"/>
      <c r="WCF44" s="806"/>
      <c r="WCG44" s="806"/>
      <c r="WCH44" s="806"/>
      <c r="WCI44" s="806"/>
      <c r="WCJ44" s="806"/>
      <c r="WCK44" s="806"/>
      <c r="WCL44" s="806"/>
      <c r="WCM44" s="806"/>
      <c r="WCN44" s="806"/>
      <c r="WCO44" s="806"/>
      <c r="WCP44" s="806"/>
      <c r="WCQ44" s="806"/>
      <c r="WCR44" s="806"/>
      <c r="WCS44" s="806"/>
      <c r="WCT44" s="806"/>
      <c r="WCU44" s="806"/>
      <c r="WCV44" s="806"/>
      <c r="WCW44" s="806"/>
      <c r="WCX44" s="806"/>
      <c r="WCY44" s="806"/>
      <c r="WCZ44" s="806"/>
      <c r="WDA44" s="806"/>
      <c r="WDB44" s="806"/>
      <c r="WDC44" s="806"/>
      <c r="WDD44" s="806"/>
      <c r="WDE44" s="806"/>
      <c r="WDF44" s="806"/>
      <c r="WDG44" s="806"/>
      <c r="WDH44" s="806"/>
      <c r="WDI44" s="806"/>
      <c r="WDJ44" s="806"/>
      <c r="WDK44" s="806"/>
      <c r="WDL44" s="806"/>
      <c r="WDM44" s="806"/>
      <c r="WDN44" s="806"/>
      <c r="WDO44" s="806"/>
      <c r="WDP44" s="806"/>
      <c r="WDQ44" s="806"/>
      <c r="WDR44" s="806"/>
      <c r="WDS44" s="806"/>
      <c r="WDT44" s="806"/>
      <c r="WDU44" s="806"/>
      <c r="WDV44" s="806"/>
      <c r="WDW44" s="806"/>
      <c r="WDX44" s="806"/>
      <c r="WDY44" s="806"/>
      <c r="WDZ44" s="806"/>
      <c r="WEA44" s="806"/>
      <c r="WEB44" s="806"/>
      <c r="WEC44" s="806"/>
      <c r="WED44" s="806"/>
      <c r="WEE44" s="806"/>
      <c r="WEF44" s="806"/>
      <c r="WEG44" s="806"/>
      <c r="WEH44" s="806"/>
      <c r="WEI44" s="806"/>
      <c r="WEJ44" s="806"/>
      <c r="WEK44" s="806"/>
      <c r="WEL44" s="806"/>
      <c r="WEM44" s="806"/>
      <c r="WEN44" s="806"/>
      <c r="WEO44" s="806"/>
      <c r="WEP44" s="806"/>
      <c r="WEQ44" s="806"/>
      <c r="WER44" s="806"/>
      <c r="WES44" s="806"/>
      <c r="WET44" s="806"/>
      <c r="WEU44" s="806"/>
      <c r="WEV44" s="806"/>
      <c r="WEW44" s="806"/>
      <c r="WEX44" s="806"/>
      <c r="WEY44" s="806"/>
      <c r="WEZ44" s="806"/>
      <c r="WFA44" s="806"/>
      <c r="WFB44" s="806"/>
      <c r="WFC44" s="806"/>
      <c r="WFD44" s="806"/>
      <c r="WFE44" s="806"/>
      <c r="WFF44" s="806"/>
      <c r="WFG44" s="806"/>
      <c r="WFH44" s="806"/>
      <c r="WFI44" s="806"/>
      <c r="WFJ44" s="806"/>
      <c r="WFK44" s="806"/>
      <c r="WFL44" s="806"/>
      <c r="WFM44" s="806"/>
      <c r="WFN44" s="806"/>
      <c r="WFO44" s="806"/>
      <c r="WFP44" s="806"/>
      <c r="WFQ44" s="806"/>
      <c r="WFR44" s="806"/>
      <c r="WFS44" s="806"/>
      <c r="WFT44" s="806"/>
      <c r="WFU44" s="806"/>
      <c r="WFV44" s="806"/>
      <c r="WFW44" s="806"/>
      <c r="WFX44" s="806"/>
      <c r="WFY44" s="806"/>
      <c r="WFZ44" s="806"/>
      <c r="WGA44" s="806"/>
      <c r="WGB44" s="806"/>
      <c r="WGC44" s="806"/>
      <c r="WGD44" s="806"/>
      <c r="WGE44" s="806"/>
      <c r="WGF44" s="806"/>
      <c r="WGG44" s="806"/>
      <c r="WGH44" s="806"/>
      <c r="WGI44" s="806"/>
      <c r="WGJ44" s="806"/>
      <c r="WGK44" s="806"/>
      <c r="WGL44" s="806"/>
      <c r="WGM44" s="806"/>
      <c r="WGN44" s="806"/>
      <c r="WGO44" s="806"/>
      <c r="WGP44" s="806"/>
      <c r="WGQ44" s="806"/>
      <c r="WGR44" s="806"/>
      <c r="WGS44" s="806"/>
      <c r="WGT44" s="806"/>
      <c r="WGU44" s="806"/>
      <c r="WGV44" s="806"/>
      <c r="WGW44" s="806"/>
      <c r="WGX44" s="806"/>
      <c r="WGY44" s="806"/>
      <c r="WGZ44" s="806"/>
      <c r="WHA44" s="806"/>
      <c r="WHB44" s="806"/>
      <c r="WHC44" s="806"/>
      <c r="WHD44" s="806"/>
      <c r="WHE44" s="806"/>
      <c r="WHF44" s="806"/>
      <c r="WHG44" s="806"/>
      <c r="WHH44" s="806"/>
      <c r="WHI44" s="806"/>
      <c r="WHJ44" s="806"/>
      <c r="WHK44" s="806"/>
      <c r="WHL44" s="806"/>
      <c r="WHM44" s="806"/>
      <c r="WHN44" s="806"/>
      <c r="WHO44" s="806"/>
      <c r="WHP44" s="806"/>
      <c r="WHQ44" s="806"/>
      <c r="WHR44" s="806"/>
      <c r="WHS44" s="806"/>
      <c r="WHT44" s="806"/>
      <c r="WHU44" s="806"/>
      <c r="WHV44" s="806"/>
      <c r="WHW44" s="806"/>
      <c r="WHX44" s="806"/>
      <c r="WHY44" s="806"/>
      <c r="WHZ44" s="806"/>
      <c r="WIA44" s="806"/>
      <c r="WIB44" s="806"/>
      <c r="WIC44" s="806"/>
      <c r="WID44" s="806"/>
      <c r="WIE44" s="806"/>
      <c r="WIF44" s="806"/>
      <c r="WIG44" s="806"/>
      <c r="WIH44" s="806"/>
      <c r="WII44" s="806"/>
      <c r="WIJ44" s="806"/>
      <c r="WIK44" s="806"/>
      <c r="WIL44" s="806"/>
      <c r="WIM44" s="806"/>
      <c r="WIN44" s="806"/>
      <c r="WIO44" s="806"/>
      <c r="WIP44" s="806"/>
      <c r="WIQ44" s="806"/>
      <c r="WIR44" s="806"/>
      <c r="WIS44" s="806"/>
      <c r="WIT44" s="806"/>
      <c r="WIU44" s="806"/>
      <c r="WIV44" s="806"/>
      <c r="WIW44" s="806"/>
      <c r="WIX44" s="806"/>
      <c r="WIY44" s="806"/>
      <c r="WIZ44" s="806"/>
      <c r="WJA44" s="806"/>
      <c r="WJB44" s="806"/>
      <c r="WJC44" s="806"/>
      <c r="WJD44" s="806"/>
      <c r="WJE44" s="806"/>
      <c r="WJF44" s="806"/>
      <c r="WJG44" s="806"/>
      <c r="WJH44" s="806"/>
      <c r="WJI44" s="806"/>
      <c r="WJJ44" s="806"/>
      <c r="WJK44" s="806"/>
      <c r="WJL44" s="806"/>
      <c r="WJM44" s="806"/>
      <c r="WJN44" s="806"/>
      <c r="WJO44" s="806"/>
      <c r="WJP44" s="806"/>
      <c r="WJQ44" s="806"/>
      <c r="WJR44" s="806"/>
      <c r="WJS44" s="806"/>
      <c r="WJT44" s="806"/>
      <c r="WJU44" s="806"/>
      <c r="WJV44" s="806"/>
      <c r="WJW44" s="806"/>
      <c r="WJX44" s="806"/>
      <c r="WJY44" s="806"/>
      <c r="WJZ44" s="806"/>
      <c r="WKA44" s="806"/>
      <c r="WKB44" s="806"/>
      <c r="WKC44" s="806"/>
      <c r="WKD44" s="806"/>
      <c r="WKE44" s="806"/>
      <c r="WKF44" s="806"/>
      <c r="WKG44" s="806"/>
      <c r="WKH44" s="806"/>
      <c r="WKI44" s="806"/>
      <c r="WKJ44" s="806"/>
      <c r="WKK44" s="806"/>
      <c r="WKL44" s="806"/>
      <c r="WKM44" s="806"/>
      <c r="WKN44" s="806"/>
      <c r="WKO44" s="806"/>
      <c r="WKP44" s="806"/>
      <c r="WKQ44" s="806"/>
      <c r="WKR44" s="806"/>
      <c r="WKS44" s="806"/>
      <c r="WKT44" s="806"/>
      <c r="WKU44" s="806"/>
      <c r="WKV44" s="806"/>
      <c r="WKW44" s="806"/>
      <c r="WKX44" s="806"/>
      <c r="WKY44" s="806"/>
      <c r="WKZ44" s="806"/>
      <c r="WLA44" s="806"/>
      <c r="WLB44" s="806"/>
      <c r="WLC44" s="806"/>
      <c r="WLD44" s="806"/>
      <c r="WLE44" s="806"/>
      <c r="WLF44" s="806"/>
      <c r="WLG44" s="806"/>
      <c r="WLH44" s="806"/>
      <c r="WLI44" s="806"/>
      <c r="WLJ44" s="806"/>
      <c r="WLK44" s="806"/>
      <c r="WLL44" s="806"/>
      <c r="WLM44" s="806"/>
      <c r="WLN44" s="806"/>
      <c r="WLO44" s="806"/>
      <c r="WLP44" s="806"/>
      <c r="WLQ44" s="806"/>
      <c r="WLR44" s="806"/>
      <c r="WLS44" s="806"/>
      <c r="WLT44" s="806"/>
      <c r="WLU44" s="806"/>
      <c r="WLV44" s="806"/>
      <c r="WLW44" s="806"/>
      <c r="WLX44" s="806"/>
      <c r="WLY44" s="806"/>
      <c r="WLZ44" s="806"/>
      <c r="WMA44" s="806"/>
      <c r="WMB44" s="806"/>
      <c r="WMC44" s="806"/>
      <c r="WMD44" s="806"/>
      <c r="WME44" s="806"/>
      <c r="WMF44" s="806"/>
      <c r="WMG44" s="806"/>
      <c r="WMH44" s="806"/>
      <c r="WMI44" s="806"/>
      <c r="WMJ44" s="806"/>
      <c r="WMK44" s="806"/>
      <c r="WML44" s="806"/>
      <c r="WMM44" s="806"/>
      <c r="WMN44" s="806"/>
      <c r="WMO44" s="806"/>
      <c r="WMP44" s="806"/>
      <c r="WMQ44" s="806"/>
      <c r="WMR44" s="806"/>
      <c r="WMS44" s="806"/>
      <c r="WMT44" s="806"/>
      <c r="WMU44" s="806"/>
      <c r="WMV44" s="806"/>
      <c r="WMW44" s="806"/>
      <c r="WMX44" s="806"/>
      <c r="WMY44" s="806"/>
      <c r="WMZ44" s="806"/>
      <c r="WNA44" s="806"/>
      <c r="WNB44" s="806"/>
      <c r="WNC44" s="806"/>
      <c r="WND44" s="806"/>
      <c r="WNE44" s="806"/>
      <c r="WNF44" s="806"/>
      <c r="WNG44" s="806"/>
      <c r="WNH44" s="806"/>
      <c r="WNI44" s="806"/>
      <c r="WNJ44" s="806"/>
      <c r="WNK44" s="806"/>
      <c r="WNL44" s="806"/>
      <c r="WNM44" s="806"/>
      <c r="WNN44" s="806"/>
      <c r="WNO44" s="806"/>
      <c r="WNP44" s="806"/>
      <c r="WNQ44" s="806"/>
      <c r="WNR44" s="806"/>
      <c r="WNS44" s="806"/>
      <c r="WNT44" s="806"/>
      <c r="WNU44" s="806"/>
      <c r="WNV44" s="806"/>
      <c r="WNW44" s="806"/>
      <c r="WNX44" s="806"/>
      <c r="WNY44" s="806"/>
      <c r="WNZ44" s="806"/>
      <c r="WOA44" s="806"/>
      <c r="WOB44" s="806"/>
      <c r="WOC44" s="806"/>
      <c r="WOD44" s="806"/>
      <c r="WOE44" s="806"/>
      <c r="WOF44" s="806"/>
      <c r="WOG44" s="806"/>
      <c r="WOH44" s="806"/>
      <c r="WOI44" s="806"/>
      <c r="WOJ44" s="806"/>
      <c r="WOK44" s="806"/>
      <c r="WOL44" s="806"/>
      <c r="WOM44" s="806"/>
      <c r="WON44" s="806"/>
      <c r="WOO44" s="806"/>
      <c r="WOP44" s="806"/>
      <c r="WOQ44" s="806"/>
      <c r="WOR44" s="806"/>
      <c r="WOS44" s="806"/>
      <c r="WOT44" s="806"/>
      <c r="WOU44" s="806"/>
      <c r="WOV44" s="806"/>
      <c r="WOW44" s="806"/>
      <c r="WOX44" s="806"/>
      <c r="WOY44" s="806"/>
      <c r="WOZ44" s="806"/>
      <c r="WPA44" s="806"/>
      <c r="WPB44" s="806"/>
      <c r="WPC44" s="806"/>
      <c r="WPD44" s="806"/>
      <c r="WPE44" s="806"/>
      <c r="WPF44" s="806"/>
      <c r="WPG44" s="806"/>
      <c r="WPH44" s="806"/>
      <c r="WPI44" s="806"/>
      <c r="WPJ44" s="806"/>
      <c r="WPK44" s="806"/>
      <c r="WPL44" s="806"/>
      <c r="WPM44" s="806"/>
      <c r="WPN44" s="806"/>
      <c r="WPO44" s="806"/>
      <c r="WPP44" s="806"/>
      <c r="WPQ44" s="806"/>
      <c r="WPR44" s="806"/>
      <c r="WPS44" s="806"/>
      <c r="WPT44" s="806"/>
      <c r="WPU44" s="806"/>
      <c r="WPV44" s="806"/>
      <c r="WPW44" s="806"/>
      <c r="WPX44" s="806"/>
      <c r="WPY44" s="806"/>
      <c r="WPZ44" s="806"/>
      <c r="WQA44" s="806"/>
      <c r="WQB44" s="806"/>
      <c r="WQC44" s="806"/>
      <c r="WQD44" s="806"/>
      <c r="WQE44" s="806"/>
      <c r="WQF44" s="806"/>
      <c r="WQG44" s="806"/>
      <c r="WQH44" s="806"/>
      <c r="WQI44" s="806"/>
      <c r="WQJ44" s="806"/>
      <c r="WQK44" s="806"/>
      <c r="WQL44" s="806"/>
      <c r="WQM44" s="806"/>
      <c r="WQN44" s="806"/>
      <c r="WQO44" s="806"/>
      <c r="WQP44" s="806"/>
      <c r="WQQ44" s="806"/>
      <c r="WQR44" s="806"/>
      <c r="WQS44" s="806"/>
      <c r="WQT44" s="806"/>
      <c r="WQU44" s="806"/>
      <c r="WQV44" s="806"/>
      <c r="WQW44" s="806"/>
      <c r="WQX44" s="806"/>
      <c r="WQY44" s="806"/>
      <c r="WQZ44" s="806"/>
      <c r="WRA44" s="806"/>
      <c r="WRB44" s="806"/>
      <c r="WRC44" s="806"/>
      <c r="WRD44" s="806"/>
      <c r="WRE44" s="806"/>
      <c r="WRF44" s="806"/>
      <c r="WRG44" s="806"/>
      <c r="WRH44" s="806"/>
      <c r="WRI44" s="806"/>
      <c r="WRJ44" s="806"/>
      <c r="WRK44" s="806"/>
      <c r="WRL44" s="806"/>
      <c r="WRM44" s="806"/>
      <c r="WRN44" s="806"/>
      <c r="WRO44" s="806"/>
      <c r="WRP44" s="806"/>
      <c r="WRQ44" s="806"/>
      <c r="WRR44" s="806"/>
      <c r="WRS44" s="806"/>
      <c r="WRT44" s="806"/>
      <c r="WRU44" s="806"/>
      <c r="WRV44" s="806"/>
      <c r="WRW44" s="806"/>
      <c r="WRX44" s="806"/>
      <c r="WRY44" s="806"/>
      <c r="WRZ44" s="806"/>
      <c r="WSA44" s="806"/>
      <c r="WSB44" s="806"/>
      <c r="WSC44" s="806"/>
      <c r="WSD44" s="806"/>
      <c r="WSE44" s="806"/>
      <c r="WSF44" s="806"/>
      <c r="WSG44" s="806"/>
      <c r="WSH44" s="806"/>
      <c r="WSI44" s="806"/>
      <c r="WSJ44" s="806"/>
      <c r="WSK44" s="806"/>
      <c r="WSL44" s="806"/>
      <c r="WSM44" s="806"/>
      <c r="WSN44" s="806"/>
      <c r="WSO44" s="806"/>
      <c r="WSP44" s="806"/>
      <c r="WSQ44" s="806"/>
      <c r="WSR44" s="806"/>
      <c r="WSS44" s="806"/>
      <c r="WST44" s="806"/>
      <c r="WSU44" s="806"/>
      <c r="WSV44" s="806"/>
      <c r="WSW44" s="806"/>
      <c r="WSX44" s="806"/>
      <c r="WSY44" s="806"/>
      <c r="WSZ44" s="806"/>
      <c r="WTA44" s="806"/>
      <c r="WTB44" s="806"/>
      <c r="WTC44" s="806"/>
      <c r="WTD44" s="806"/>
      <c r="WTE44" s="806"/>
      <c r="WTF44" s="806"/>
      <c r="WTG44" s="806"/>
      <c r="WTH44" s="806"/>
      <c r="WTI44" s="806"/>
      <c r="WTJ44" s="806"/>
      <c r="WTK44" s="806"/>
      <c r="WTL44" s="806"/>
      <c r="WTM44" s="806"/>
      <c r="WTN44" s="806"/>
      <c r="WTO44" s="806"/>
      <c r="WTP44" s="806"/>
      <c r="WTQ44" s="806"/>
      <c r="WTR44" s="806"/>
      <c r="WTS44" s="806"/>
      <c r="WTT44" s="806"/>
      <c r="WTU44" s="806"/>
      <c r="WTV44" s="806"/>
      <c r="WTW44" s="806"/>
      <c r="WTX44" s="806"/>
      <c r="WTY44" s="806"/>
      <c r="WTZ44" s="806"/>
      <c r="WUA44" s="806"/>
      <c r="WUB44" s="806"/>
      <c r="WUC44" s="806"/>
      <c r="WUD44" s="806"/>
      <c r="WUE44" s="806"/>
      <c r="WUF44" s="806"/>
      <c r="WUG44" s="806"/>
      <c r="WUH44" s="806"/>
      <c r="WUI44" s="806"/>
      <c r="WUJ44" s="806"/>
      <c r="WUK44" s="806"/>
      <c r="WUL44" s="806"/>
      <c r="WUM44" s="806"/>
      <c r="WUN44" s="806"/>
      <c r="WUO44" s="806"/>
      <c r="WUP44" s="806"/>
      <c r="WUQ44" s="806"/>
      <c r="WUR44" s="806"/>
      <c r="WUS44" s="806"/>
      <c r="WUT44" s="806"/>
      <c r="WUU44" s="806"/>
      <c r="WUV44" s="806"/>
      <c r="WUW44" s="806"/>
      <c r="WUX44" s="806"/>
      <c r="WUY44" s="806"/>
      <c r="WUZ44" s="806"/>
      <c r="WVA44" s="806"/>
      <c r="WVB44" s="806"/>
      <c r="WVC44" s="806"/>
      <c r="WVD44" s="806"/>
      <c r="WVE44" s="806"/>
      <c r="WVF44" s="806"/>
      <c r="WVG44" s="806"/>
      <c r="WVH44" s="806"/>
      <c r="WVI44" s="806"/>
      <c r="WVJ44" s="806"/>
      <c r="WVK44" s="806"/>
      <c r="WVL44" s="806"/>
      <c r="WVM44" s="806"/>
      <c r="WVN44" s="806"/>
      <c r="WVO44" s="806"/>
      <c r="WVP44" s="806"/>
      <c r="WVQ44" s="806"/>
      <c r="WVR44" s="806"/>
      <c r="WVS44" s="806"/>
      <c r="WVT44" s="806"/>
      <c r="WVU44" s="806"/>
      <c r="WVV44" s="806"/>
      <c r="WVW44" s="806"/>
      <c r="WVX44" s="806"/>
      <c r="WVY44" s="806"/>
      <c r="WVZ44" s="806"/>
      <c r="WWA44" s="806"/>
      <c r="WWB44" s="806"/>
      <c r="WWC44" s="806"/>
      <c r="WWD44" s="806"/>
      <c r="WWE44" s="806"/>
      <c r="WWF44" s="806"/>
      <c r="WWG44" s="806"/>
      <c r="WWH44" s="806"/>
      <c r="WWI44" s="806"/>
      <c r="WWJ44" s="806"/>
      <c r="WWK44" s="806"/>
      <c r="WWL44" s="806"/>
      <c r="WWM44" s="806"/>
      <c r="WWN44" s="806"/>
      <c r="WWO44" s="806"/>
      <c r="WWP44" s="806"/>
      <c r="WWQ44" s="806"/>
      <c r="WWR44" s="806"/>
      <c r="WWS44" s="806"/>
      <c r="WWT44" s="806"/>
      <c r="WWU44" s="806"/>
      <c r="WWV44" s="806"/>
      <c r="WWW44" s="806"/>
      <c r="WWX44" s="806"/>
      <c r="WWY44" s="806"/>
      <c r="WWZ44" s="806"/>
      <c r="WXA44" s="806"/>
      <c r="WXB44" s="806"/>
      <c r="WXC44" s="806"/>
      <c r="WXD44" s="806"/>
      <c r="WXE44" s="806"/>
      <c r="WXF44" s="806"/>
      <c r="WXG44" s="806"/>
      <c r="WXH44" s="806"/>
      <c r="WXI44" s="806"/>
      <c r="WXJ44" s="806"/>
      <c r="WXK44" s="806"/>
      <c r="WXL44" s="806"/>
      <c r="WXM44" s="806"/>
      <c r="WXN44" s="806"/>
      <c r="WXO44" s="806"/>
      <c r="WXP44" s="806"/>
      <c r="WXQ44" s="806"/>
      <c r="WXR44" s="806"/>
      <c r="WXS44" s="806"/>
      <c r="WXT44" s="806"/>
      <c r="WXU44" s="806"/>
      <c r="WXV44" s="806"/>
      <c r="WXW44" s="806"/>
      <c r="WXX44" s="806"/>
      <c r="WXY44" s="806"/>
      <c r="WXZ44" s="806"/>
      <c r="WYA44" s="806"/>
      <c r="WYB44" s="806"/>
      <c r="WYC44" s="806"/>
      <c r="WYD44" s="806"/>
      <c r="WYE44" s="806"/>
      <c r="WYF44" s="806"/>
      <c r="WYG44" s="806"/>
      <c r="WYH44" s="806"/>
      <c r="WYI44" s="806"/>
      <c r="WYJ44" s="806"/>
      <c r="WYK44" s="806"/>
      <c r="WYL44" s="806"/>
      <c r="WYM44" s="806"/>
      <c r="WYN44" s="806"/>
      <c r="WYO44" s="806"/>
      <c r="WYP44" s="806"/>
      <c r="WYQ44" s="806"/>
      <c r="WYR44" s="806"/>
      <c r="WYS44" s="806"/>
      <c r="WYT44" s="806"/>
      <c r="WYU44" s="806"/>
      <c r="WYV44" s="806"/>
      <c r="WYW44" s="806"/>
      <c r="WYX44" s="806"/>
      <c r="WYY44" s="806"/>
      <c r="WYZ44" s="806"/>
      <c r="WZA44" s="806"/>
      <c r="WZB44" s="806"/>
      <c r="WZC44" s="806"/>
      <c r="WZD44" s="806"/>
      <c r="WZE44" s="806"/>
      <c r="WZF44" s="806"/>
      <c r="WZG44" s="806"/>
      <c r="WZH44" s="806"/>
      <c r="WZI44" s="806"/>
      <c r="WZJ44" s="806"/>
      <c r="WZK44" s="806"/>
      <c r="WZL44" s="806"/>
      <c r="WZM44" s="806"/>
      <c r="WZN44" s="806"/>
      <c r="WZO44" s="806"/>
      <c r="WZP44" s="806"/>
      <c r="WZQ44" s="806"/>
      <c r="WZR44" s="806"/>
      <c r="WZS44" s="806"/>
      <c r="WZT44" s="806"/>
      <c r="WZU44" s="806"/>
      <c r="WZV44" s="806"/>
      <c r="WZW44" s="806"/>
      <c r="WZX44" s="806"/>
      <c r="WZY44" s="806"/>
      <c r="WZZ44" s="806"/>
      <c r="XAA44" s="806"/>
      <c r="XAB44" s="806"/>
      <c r="XAC44" s="806"/>
      <c r="XAD44" s="806"/>
      <c r="XAE44" s="806"/>
      <c r="XAF44" s="806"/>
      <c r="XAG44" s="806"/>
      <c r="XAH44" s="806"/>
      <c r="XAI44" s="806"/>
      <c r="XAJ44" s="806"/>
      <c r="XAK44" s="806"/>
      <c r="XAL44" s="806"/>
      <c r="XAM44" s="806"/>
      <c r="XAN44" s="806"/>
      <c r="XAO44" s="806"/>
      <c r="XAP44" s="806"/>
      <c r="XAQ44" s="806"/>
      <c r="XAR44" s="806"/>
      <c r="XAS44" s="806"/>
      <c r="XAT44" s="806"/>
      <c r="XAU44" s="806"/>
      <c r="XAV44" s="806"/>
      <c r="XAW44" s="806"/>
      <c r="XAX44" s="806"/>
      <c r="XAY44" s="806"/>
      <c r="XAZ44" s="806"/>
      <c r="XBA44" s="806"/>
      <c r="XBB44" s="806"/>
      <c r="XBC44" s="806"/>
      <c r="XBD44" s="806"/>
      <c r="XBE44" s="806"/>
      <c r="XBF44" s="806"/>
      <c r="XBG44" s="806"/>
      <c r="XBH44" s="806"/>
      <c r="XBI44" s="806"/>
      <c r="XBJ44" s="806"/>
      <c r="XBK44" s="806"/>
      <c r="XBL44" s="806"/>
      <c r="XBM44" s="806"/>
      <c r="XBN44" s="806"/>
      <c r="XBO44" s="806"/>
      <c r="XBP44" s="806"/>
      <c r="XBQ44" s="806"/>
      <c r="XBR44" s="806"/>
      <c r="XBS44" s="806"/>
      <c r="XBT44" s="806"/>
      <c r="XBU44" s="806"/>
      <c r="XBV44" s="806"/>
      <c r="XBW44" s="806"/>
      <c r="XBX44" s="806"/>
      <c r="XBY44" s="806"/>
      <c r="XBZ44" s="806"/>
      <c r="XCA44" s="806"/>
      <c r="XCB44" s="806"/>
      <c r="XCC44" s="806"/>
      <c r="XCD44" s="806"/>
      <c r="XCE44" s="806"/>
      <c r="XCF44" s="806"/>
      <c r="XCG44" s="806"/>
      <c r="XCH44" s="806"/>
      <c r="XCI44" s="806"/>
      <c r="XCJ44" s="806"/>
      <c r="XCK44" s="806"/>
      <c r="XCL44" s="806"/>
      <c r="XCM44" s="806"/>
      <c r="XCN44" s="806"/>
      <c r="XCO44" s="806"/>
      <c r="XCP44" s="806"/>
      <c r="XCQ44" s="806"/>
      <c r="XCR44" s="806"/>
      <c r="XCS44" s="806"/>
      <c r="XCT44" s="806"/>
      <c r="XCU44" s="806"/>
      <c r="XCV44" s="806"/>
      <c r="XCW44" s="806"/>
      <c r="XCX44" s="806"/>
      <c r="XCY44" s="806"/>
      <c r="XCZ44" s="806"/>
      <c r="XDA44" s="806"/>
      <c r="XDB44" s="806"/>
      <c r="XDC44" s="806"/>
      <c r="XDD44" s="806"/>
      <c r="XDE44" s="806"/>
      <c r="XDF44" s="806"/>
      <c r="XDG44" s="806"/>
      <c r="XDH44" s="806"/>
      <c r="XDI44" s="806"/>
      <c r="XDJ44" s="806"/>
      <c r="XDK44" s="806"/>
      <c r="XDL44" s="806"/>
      <c r="XDM44" s="806"/>
      <c r="XDN44" s="806"/>
      <c r="XDO44" s="806"/>
      <c r="XDP44" s="806"/>
      <c r="XDQ44" s="806"/>
      <c r="XDR44" s="806"/>
      <c r="XDS44" s="806"/>
      <c r="XDT44" s="806"/>
      <c r="XDU44" s="806"/>
      <c r="XDV44" s="806"/>
      <c r="XDW44" s="806"/>
      <c r="XDX44" s="806"/>
      <c r="XDY44" s="806"/>
      <c r="XDZ44" s="806"/>
    </row>
    <row r="45" spans="1:16354">
      <c r="B45" s="959"/>
      <c r="C45" s="806" t="s">
        <v>305</v>
      </c>
      <c r="D45"/>
      <c r="E45" s="856">
        <f t="shared" si="12"/>
        <v>7.5395544074911211E-2</v>
      </c>
      <c r="F45" s="856">
        <f t="shared" si="12"/>
        <v>7.3660352922130481E-2</v>
      </c>
      <c r="G45" s="856">
        <f t="shared" si="12"/>
        <v>7.5999999999999998E-2</v>
      </c>
      <c r="H45" s="856">
        <f t="shared" si="12"/>
        <v>7.6999999999999999E-2</v>
      </c>
      <c r="I45" s="856">
        <f t="shared" si="13"/>
        <v>7.8E-2</v>
      </c>
      <c r="J45" s="856">
        <f t="shared" si="13"/>
        <v>7.9000000000000001E-2</v>
      </c>
      <c r="L45" s="814" t="s">
        <v>231</v>
      </c>
      <c r="N45" s="853"/>
      <c r="O45" s="853"/>
      <c r="P45" s="852"/>
      <c r="Q45" s="852"/>
      <c r="R45" s="852"/>
      <c r="S45" s="852"/>
      <c r="T45" s="853"/>
      <c r="U45" s="1040"/>
      <c r="V45" s="846"/>
    </row>
    <row r="46" spans="1:16354">
      <c r="C46" s="806" t="s">
        <v>306</v>
      </c>
      <c r="D46"/>
      <c r="E46" s="856">
        <f t="shared" si="12"/>
        <v>0.12954320463866498</v>
      </c>
      <c r="F46" s="856">
        <f t="shared" si="12"/>
        <v>0.12970335174007963</v>
      </c>
      <c r="G46" s="856">
        <f t="shared" si="12"/>
        <v>0.13240233069116766</v>
      </c>
      <c r="H46" s="856">
        <f t="shared" si="12"/>
        <v>0.13440233069116767</v>
      </c>
      <c r="I46" s="856">
        <f t="shared" si="13"/>
        <v>0.13400000000000001</v>
      </c>
      <c r="J46" s="856">
        <f t="shared" si="13"/>
        <v>0.13400000000000001</v>
      </c>
      <c r="L46" s="825" t="s">
        <v>229</v>
      </c>
      <c r="M46" s="825"/>
      <c r="N46" s="837">
        <f>+Model!BE283</f>
        <v>2359</v>
      </c>
      <c r="O46" s="837">
        <f>+Model!BJ283</f>
        <v>2852</v>
      </c>
      <c r="P46" s="837">
        <f>+Model!BP283</f>
        <v>2745</v>
      </c>
      <c r="Q46" s="837">
        <f>+Model!BU283</f>
        <v>3099.4537401666475</v>
      </c>
      <c r="R46" s="837">
        <f>+Model!BZ283</f>
        <v>4065.1273916808254</v>
      </c>
      <c r="S46" s="837">
        <f>+Model!CE283</f>
        <v>4505.3504246467846</v>
      </c>
      <c r="T46" s="837">
        <f>+Model!CJ283</f>
        <v>4645.4848244180967</v>
      </c>
      <c r="U46" s="1040"/>
    </row>
    <row r="47" spans="1:16354">
      <c r="B47" s="959"/>
      <c r="C47" s="806" t="s">
        <v>307</v>
      </c>
      <c r="D47"/>
      <c r="E47" s="856">
        <f t="shared" si="12"/>
        <v>0.13179545087917405</v>
      </c>
      <c r="F47" s="856">
        <f t="shared" si="12"/>
        <v>0.13405909797822707</v>
      </c>
      <c r="G47" s="856">
        <f t="shared" si="12"/>
        <v>0.12461515919471917</v>
      </c>
      <c r="H47" s="856">
        <f t="shared" si="12"/>
        <v>0.12711515919471916</v>
      </c>
      <c r="I47" s="856">
        <f t="shared" si="13"/>
        <v>0.12961515919471917</v>
      </c>
      <c r="J47" s="856">
        <f t="shared" si="13"/>
        <v>0.13211515919471917</v>
      </c>
      <c r="P47" s="806"/>
      <c r="Q47" s="806"/>
      <c r="R47" s="806"/>
      <c r="S47" s="806"/>
      <c r="T47" s="806"/>
    </row>
    <row r="48" spans="1:16354">
      <c r="B48" s="959"/>
      <c r="C48" s="806" t="s">
        <v>253</v>
      </c>
      <c r="D48"/>
      <c r="E48" s="856">
        <f t="shared" si="12"/>
        <v>8.9630931458699478E-2</v>
      </c>
      <c r="F48" s="856">
        <f t="shared" si="12"/>
        <v>5.4276315789473686E-2</v>
      </c>
      <c r="G48" s="856">
        <f t="shared" si="12"/>
        <v>7.0000000000000021E-2</v>
      </c>
      <c r="H48" s="856">
        <f t="shared" si="12"/>
        <v>9.0000000000000024E-2</v>
      </c>
      <c r="I48" s="856">
        <f t="shared" si="13"/>
        <v>0.11000000000000003</v>
      </c>
      <c r="J48" s="856">
        <f t="shared" si="13"/>
        <v>0.12</v>
      </c>
      <c r="K48" s="469"/>
      <c r="L48" s="806" t="s">
        <v>129</v>
      </c>
      <c r="N48" s="817">
        <f>+Model!BE286</f>
        <v>-406</v>
      </c>
      <c r="O48" s="817">
        <f>+Model!BJ286</f>
        <v>-561</v>
      </c>
      <c r="P48" s="817">
        <f>+Model!BP286</f>
        <v>-543</v>
      </c>
      <c r="Q48" s="817">
        <f>+Model!BU286</f>
        <v>-930</v>
      </c>
      <c r="R48" s="817">
        <f>+Model!BZ286</f>
        <v>-932.97110521725028</v>
      </c>
      <c r="S48" s="817">
        <f>+Model!CE286</f>
        <v>-941.24608374903767</v>
      </c>
      <c r="T48" s="817">
        <f>+Model!CJ286</f>
        <v>-947.70710376395436</v>
      </c>
    </row>
    <row r="49" spans="2:21">
      <c r="B49" s="825"/>
      <c r="C49" s="825" t="s">
        <v>292</v>
      </c>
      <c r="D49"/>
      <c r="E49" s="857">
        <f t="shared" ref="E49:J49" si="14">+O26/O16</f>
        <v>0.1271186440677966</v>
      </c>
      <c r="F49" s="857">
        <f t="shared" si="14"/>
        <v>0.12415180684866656</v>
      </c>
      <c r="G49" s="857">
        <f t="shared" si="14"/>
        <v>0.12492999626397577</v>
      </c>
      <c r="H49" s="857">
        <f t="shared" si="14"/>
        <v>0.12762716125691914</v>
      </c>
      <c r="I49" s="857">
        <f t="shared" si="14"/>
        <v>0.12899087411809612</v>
      </c>
      <c r="J49" s="857">
        <f t="shared" si="14"/>
        <v>0.13024393267634141</v>
      </c>
      <c r="K49" s="469"/>
      <c r="L49" s="806" t="s">
        <v>220</v>
      </c>
      <c r="N49" s="817">
        <f t="shared" ref="N49:T49" si="15">+N50-N48</f>
        <v>-1338</v>
      </c>
      <c r="O49" s="817">
        <f t="shared" si="15"/>
        <v>614</v>
      </c>
      <c r="P49" s="817">
        <f t="shared" si="15"/>
        <v>-274</v>
      </c>
      <c r="Q49" s="817">
        <f t="shared" si="15"/>
        <v>0</v>
      </c>
      <c r="R49" s="817">
        <f t="shared" si="15"/>
        <v>0</v>
      </c>
      <c r="S49" s="817">
        <f t="shared" si="15"/>
        <v>0</v>
      </c>
      <c r="T49" s="817">
        <f t="shared" si="15"/>
        <v>0</v>
      </c>
    </row>
    <row r="50" spans="2:21">
      <c r="B50" s="825"/>
      <c r="C50" s="825"/>
      <c r="D50"/>
      <c r="E50" s="857"/>
      <c r="F50" s="857"/>
      <c r="G50" s="857"/>
      <c r="H50" s="819"/>
      <c r="I50" s="819"/>
      <c r="J50" s="819"/>
      <c r="K50" s="469"/>
      <c r="L50" s="825" t="s">
        <v>291</v>
      </c>
      <c r="M50" s="819"/>
      <c r="N50" s="837">
        <f>+Model!BE293</f>
        <v>-1744</v>
      </c>
      <c r="O50" s="837">
        <f>+Model!BJ293</f>
        <v>53</v>
      </c>
      <c r="P50" s="837">
        <f>+Model!BP293</f>
        <v>-817</v>
      </c>
      <c r="Q50" s="837">
        <f>+Model!BU293</f>
        <v>-930</v>
      </c>
      <c r="R50" s="837">
        <f>+Model!BZ293</f>
        <v>-932.97110521725028</v>
      </c>
      <c r="S50" s="837">
        <f>+Model!CE293</f>
        <v>-941.24608374903767</v>
      </c>
      <c r="T50" s="837">
        <f>+Model!CJ293</f>
        <v>-947.70710376395436</v>
      </c>
    </row>
    <row r="51" spans="2:21">
      <c r="B51" s="825"/>
      <c r="C51" s="825" t="s">
        <v>175</v>
      </c>
      <c r="D51"/>
      <c r="E51" s="857">
        <f t="shared" ref="E51:J51" si="16">+O33/O16</f>
        <v>0.1345962113659023</v>
      </c>
      <c r="F51" s="857">
        <f t="shared" si="16"/>
        <v>0.1669165220135711</v>
      </c>
      <c r="G51" s="857">
        <f t="shared" si="16"/>
        <v>0.16998817454079096</v>
      </c>
      <c r="H51" s="857">
        <f t="shared" si="16"/>
        <v>0.17123293144367921</v>
      </c>
      <c r="I51" s="857">
        <f t="shared" si="16"/>
        <v>0.17045350530953082</v>
      </c>
      <c r="J51" s="857">
        <f t="shared" si="16"/>
        <v>0.1692662933682457</v>
      </c>
      <c r="K51" s="469"/>
      <c r="P51" s="806"/>
      <c r="Q51" s="806"/>
      <c r="R51" s="806"/>
      <c r="S51" s="806"/>
      <c r="T51" s="806"/>
      <c r="U51" s="1037"/>
    </row>
    <row r="52" spans="2:21">
      <c r="B52"/>
      <c r="C52" s="825" t="s">
        <v>293</v>
      </c>
      <c r="D52"/>
      <c r="E52" s="857">
        <f t="shared" ref="E52:J52" si="17">+O34/O16</f>
        <v>0.15599036224659354</v>
      </c>
      <c r="F52" s="857">
        <f t="shared" si="17"/>
        <v>0.1525958655515228</v>
      </c>
      <c r="G52" s="857">
        <f t="shared" si="17"/>
        <v>0.156000743370422</v>
      </c>
      <c r="H52" s="857">
        <f t="shared" si="17"/>
        <v>0.16582048086320367</v>
      </c>
      <c r="I52" s="857">
        <f t="shared" si="17"/>
        <v>0.17430409471709993</v>
      </c>
      <c r="J52" s="857">
        <f t="shared" si="17"/>
        <v>0.17415268687696572</v>
      </c>
      <c r="K52" s="469"/>
      <c r="L52" s="858" t="s">
        <v>69</v>
      </c>
      <c r="M52" s="804"/>
      <c r="N52" s="849">
        <f>+Model!BE295</f>
        <v>-1000</v>
      </c>
      <c r="O52" s="849">
        <f>+Model!BJ295</f>
        <v>-900</v>
      </c>
      <c r="P52" s="849">
        <f>+Model!BP295</f>
        <v>-800</v>
      </c>
      <c r="Q52" s="849">
        <f>+Model!BU295</f>
        <v>-1258.3756367452613</v>
      </c>
      <c r="R52" s="849">
        <f>+Model!BZ295</f>
        <v>-2011.1072759923916</v>
      </c>
      <c r="S52" s="849">
        <f>+Model!CE295</f>
        <v>-2211.2404067127727</v>
      </c>
      <c r="T52" s="849">
        <f>+Model!CJ295</f>
        <v>-2431.5991368189229</v>
      </c>
    </row>
    <row r="53" spans="2:21">
      <c r="K53" s="469"/>
      <c r="L53" s="804" t="s">
        <v>18</v>
      </c>
      <c r="M53" s="804"/>
      <c r="N53" s="849">
        <f>+Model!BE294</f>
        <v>-797</v>
      </c>
      <c r="O53" s="849">
        <f>+Model!BJ294</f>
        <v>-850</v>
      </c>
      <c r="P53" s="849">
        <f>+Model!BP294</f>
        <v>-910</v>
      </c>
      <c r="Q53" s="849">
        <f>+Model!BU294</f>
        <v>-1008.2446636233735</v>
      </c>
      <c r="R53" s="849">
        <f>+Model!BZ294</f>
        <v>-1130.4943290877072</v>
      </c>
      <c r="S53" s="849">
        <f>+Model!CE294</f>
        <v>-1267.5667664895916</v>
      </c>
      <c r="T53" s="849">
        <f>+Model!CJ294</f>
        <v>-1421.2592369264542</v>
      </c>
    </row>
    <row r="54" spans="2:21">
      <c r="B54" s="807" t="s">
        <v>316</v>
      </c>
      <c r="C54" s="808"/>
      <c r="D54" s="808"/>
      <c r="E54" s="810">
        <v>2016</v>
      </c>
      <c r="F54" s="811">
        <v>2017</v>
      </c>
      <c r="G54" s="811">
        <v>2018</v>
      </c>
      <c r="H54" s="811">
        <v>2019</v>
      </c>
      <c r="I54" s="811">
        <v>2020</v>
      </c>
      <c r="J54" s="811">
        <v>2021</v>
      </c>
      <c r="K54" s="469"/>
      <c r="L54" s="804" t="s">
        <v>294</v>
      </c>
      <c r="M54" s="804"/>
      <c r="N54" s="849">
        <f>+Model!BE297</f>
        <v>0</v>
      </c>
      <c r="O54" s="849">
        <f>+Model!BJ297</f>
        <v>0</v>
      </c>
      <c r="P54" s="849">
        <f>+Model!BP297</f>
        <v>-291</v>
      </c>
      <c r="Q54" s="849">
        <f>+Model!BU297</f>
        <v>0</v>
      </c>
      <c r="R54" s="849">
        <f>+Model!BZ297</f>
        <v>0</v>
      </c>
      <c r="S54" s="849">
        <f>+Model!CE297</f>
        <v>0</v>
      </c>
      <c r="T54" s="849">
        <f>+Model!CJ297</f>
        <v>0</v>
      </c>
    </row>
    <row r="55" spans="2:21">
      <c r="C55" s="804" t="s">
        <v>296</v>
      </c>
      <c r="D55" s="804"/>
      <c r="E55" s="859">
        <f t="shared" ref="E55:J55" si="18">$G$10/O43</f>
        <v>29.592626811594204</v>
      </c>
      <c r="F55" s="859">
        <f t="shared" si="18"/>
        <v>28.923223624887285</v>
      </c>
      <c r="G55" s="859">
        <f t="shared" si="18"/>
        <v>22.504971948868352</v>
      </c>
      <c r="H55" s="859">
        <f t="shared" si="18"/>
        <v>19.420044259078228</v>
      </c>
      <c r="I55" s="859">
        <f t="shared" si="18"/>
        <v>16.845506249560209</v>
      </c>
      <c r="J55" s="859">
        <f t="shared" si="18"/>
        <v>15.523094360968065</v>
      </c>
      <c r="L55" s="804" t="s">
        <v>220</v>
      </c>
      <c r="M55" s="804"/>
      <c r="N55" s="849">
        <f t="shared" ref="N55:T55" si="19">+N56-N52-N53-N54</f>
        <v>288</v>
      </c>
      <c r="O55" s="849">
        <f t="shared" si="19"/>
        <v>-180</v>
      </c>
      <c r="P55" s="849">
        <f t="shared" si="19"/>
        <v>-115</v>
      </c>
      <c r="Q55" s="849">
        <f t="shared" si="19"/>
        <v>-2.2737367544323206E-13</v>
      </c>
      <c r="R55" s="849">
        <f t="shared" si="19"/>
        <v>-2.2737367544323206E-13</v>
      </c>
      <c r="S55" s="849">
        <f t="shared" si="19"/>
        <v>-2.2737367544323206E-13</v>
      </c>
      <c r="T55" s="849">
        <f t="shared" si="19"/>
        <v>-2.2737367544323206E-13</v>
      </c>
      <c r="U55" s="1046"/>
    </row>
    <row r="56" spans="2:21">
      <c r="C56" s="804" t="s">
        <v>297</v>
      </c>
      <c r="D56" s="804"/>
      <c r="E56" s="859">
        <f t="shared" ref="E56:J56" si="20">($G$10+(O67+-O65)/O42)/(O34/O42)</f>
        <v>17.942082556591213</v>
      </c>
      <c r="F56" s="859">
        <f t="shared" si="20"/>
        <v>17.011041882109616</v>
      </c>
      <c r="G56" s="859">
        <f t="shared" si="20"/>
        <v>15.541539513328575</v>
      </c>
      <c r="H56" s="859">
        <f t="shared" si="20"/>
        <v>13.529744187693012</v>
      </c>
      <c r="I56" s="859">
        <f t="shared" si="20"/>
        <v>11.865749465359707</v>
      </c>
      <c r="J56" s="859">
        <f t="shared" si="20"/>
        <v>10.988362766089903</v>
      </c>
      <c r="L56" s="839" t="s">
        <v>295</v>
      </c>
      <c r="M56" s="804"/>
      <c r="N56" s="826">
        <f>+Model!BE299</f>
        <v>-1509</v>
      </c>
      <c r="O56" s="826">
        <f>+Model!BJ299</f>
        <v>-1930</v>
      </c>
      <c r="P56" s="826">
        <f>+Model!BP299</f>
        <v>-2116</v>
      </c>
      <c r="Q56" s="826">
        <f>+Model!BU299</f>
        <v>-2266.6203003686351</v>
      </c>
      <c r="R56" s="826">
        <f>+Model!BZ299</f>
        <v>-3141.601605080099</v>
      </c>
      <c r="S56" s="826">
        <f>+Model!CE299</f>
        <v>-3478.8071732023645</v>
      </c>
      <c r="T56" s="826">
        <f>+Model!CJ299</f>
        <v>-3852.8583737453773</v>
      </c>
      <c r="U56" s="1043"/>
    </row>
    <row r="57" spans="2:21">
      <c r="C57" s="804" t="s">
        <v>298</v>
      </c>
      <c r="D57" s="804"/>
      <c r="E57" s="856">
        <f t="shared" ref="E57:J57" si="21">(O58/O42)/$G$10</f>
        <v>3.5062469658949762E-2</v>
      </c>
      <c r="F57" s="856">
        <f t="shared" si="21"/>
        <v>3.4324883935284038E-2</v>
      </c>
      <c r="G57" s="856">
        <f t="shared" si="21"/>
        <v>3.429644774613639E-2</v>
      </c>
      <c r="H57" s="856">
        <f t="shared" si="21"/>
        <v>5.0785245327939967E-2</v>
      </c>
      <c r="I57" s="856">
        <f t="shared" si="21"/>
        <v>5.9270682025645151E-2</v>
      </c>
      <c r="J57" s="856">
        <f t="shared" si="21"/>
        <v>6.3070416754179626E-2</v>
      </c>
      <c r="P57" s="806"/>
      <c r="Q57" s="806"/>
      <c r="R57" s="806"/>
      <c r="S57" s="806"/>
      <c r="T57" s="806"/>
    </row>
    <row r="58" spans="2:21">
      <c r="L58" s="860" t="s">
        <v>197</v>
      </c>
      <c r="M58" s="861"/>
      <c r="N58" s="862">
        <f t="shared" ref="N58:T58" si="22">+N46+N48</f>
        <v>1953</v>
      </c>
      <c r="O58" s="862">
        <f t="shared" si="22"/>
        <v>2291</v>
      </c>
      <c r="P58" s="862">
        <f t="shared" si="22"/>
        <v>2202</v>
      </c>
      <c r="Q58" s="862">
        <f t="shared" si="22"/>
        <v>2169.4537401666475</v>
      </c>
      <c r="R58" s="862">
        <f t="shared" si="22"/>
        <v>3132.1562864635753</v>
      </c>
      <c r="S58" s="862">
        <f t="shared" si="22"/>
        <v>3564.1043408977471</v>
      </c>
      <c r="T58" s="863">
        <f t="shared" si="22"/>
        <v>3697.7777206541423</v>
      </c>
    </row>
    <row r="59" spans="2:21">
      <c r="L59" s="864" t="s">
        <v>299</v>
      </c>
      <c r="M59" s="864"/>
      <c r="N59" s="865">
        <f t="shared" ref="N59:T59" si="23">+N58/N41</f>
        <v>0.94897959183673475</v>
      </c>
      <c r="O59" s="865">
        <f t="shared" si="23"/>
        <v>1.037590579710145</v>
      </c>
      <c r="P59" s="865">
        <f t="shared" si="23"/>
        <v>0.99278629395852114</v>
      </c>
      <c r="Q59" s="865">
        <f t="shared" si="23"/>
        <v>0.77184059447262865</v>
      </c>
      <c r="R59" s="865">
        <f t="shared" si="23"/>
        <v>0.98625171197674</v>
      </c>
      <c r="S59" s="865">
        <f t="shared" si="23"/>
        <v>0.99844464447870118</v>
      </c>
      <c r="T59" s="865">
        <f t="shared" si="23"/>
        <v>0.97904803066071144</v>
      </c>
    </row>
    <row r="60" spans="2:21">
      <c r="L60" s="819" t="s">
        <v>300</v>
      </c>
      <c r="N60" s="866">
        <f t="shared" ref="N60:T60" si="24">+N58/N42</f>
        <v>6.3990825688073398</v>
      </c>
      <c r="O60" s="866">
        <f t="shared" si="24"/>
        <v>7.7190026954177897</v>
      </c>
      <c r="P60" s="866">
        <f t="shared" si="24"/>
        <v>7.5566231983527805</v>
      </c>
      <c r="Q60" s="866">
        <f t="shared" si="24"/>
        <v>7.5503629713119267</v>
      </c>
      <c r="R60" s="866">
        <f t="shared" si="24"/>
        <v>11.180371758945984</v>
      </c>
      <c r="S60" s="866">
        <f t="shared" si="24"/>
        <v>13.04844064794578</v>
      </c>
      <c r="T60" s="866">
        <f t="shared" si="24"/>
        <v>13.884952248432645</v>
      </c>
      <c r="U60" s="1039"/>
    </row>
    <row r="61" spans="2:21">
      <c r="O61" s="960"/>
      <c r="P61" s="960"/>
      <c r="Q61" s="961"/>
      <c r="R61" s="961"/>
      <c r="S61" s="961"/>
      <c r="T61" s="853"/>
      <c r="U61" s="1039"/>
    </row>
    <row r="62" spans="2:21">
      <c r="L62" s="959" t="s">
        <v>332</v>
      </c>
      <c r="M62" s="959"/>
      <c r="N62" s="975">
        <f>-(N52+N53)/N58</f>
        <v>0.92012288786482332</v>
      </c>
      <c r="O62" s="975">
        <f>-(O52+O53)/O58</f>
        <v>0.76385857704059368</v>
      </c>
      <c r="P62" s="975">
        <f t="shared" ref="P62:T62" si="25">-(P52+P53)/P58</f>
        <v>0.77656675749318804</v>
      </c>
      <c r="Q62" s="975">
        <f t="shared" si="25"/>
        <v>1.0447884914082213</v>
      </c>
      <c r="R62" s="975">
        <f t="shared" si="25"/>
        <v>1.003015596206787</v>
      </c>
      <c r="S62" s="975">
        <f t="shared" si="25"/>
        <v>0.9760677130810661</v>
      </c>
      <c r="T62" s="975">
        <f t="shared" si="25"/>
        <v>1.0419388791881738</v>
      </c>
      <c r="U62" s="1040"/>
    </row>
    <row r="63" spans="2:21">
      <c r="Q63" s="853"/>
      <c r="R63" s="853"/>
      <c r="S63" s="853"/>
      <c r="T63" s="853"/>
    </row>
    <row r="64" spans="2:21">
      <c r="L64" s="814" t="s">
        <v>232</v>
      </c>
      <c r="P64" s="806"/>
      <c r="Q64" s="846"/>
      <c r="R64" s="846"/>
      <c r="S64" s="806"/>
      <c r="T64" s="806"/>
      <c r="U64" s="1046"/>
    </row>
    <row r="65" spans="3:27">
      <c r="L65" s="806" t="s">
        <v>283</v>
      </c>
      <c r="N65" s="817">
        <f>+Model!BE306</f>
        <v>2328</v>
      </c>
      <c r="O65" s="817">
        <f>+Model!BJ306</f>
        <v>3303</v>
      </c>
      <c r="P65" s="817">
        <f>+Model!BP306</f>
        <v>3103</v>
      </c>
      <c r="Q65" s="817">
        <f>+Model!BU306</f>
        <v>3005.8334397980125</v>
      </c>
      <c r="R65" s="817">
        <f>+Model!BZ306</f>
        <v>2996.3881211814887</v>
      </c>
      <c r="S65" s="817">
        <f>+Model!CE306</f>
        <v>3081.6852888768713</v>
      </c>
      <c r="T65" s="817">
        <f>+Model!CJ306</f>
        <v>2926.6046357856362</v>
      </c>
      <c r="V65" s="1074"/>
      <c r="W65" s="1074"/>
      <c r="X65" s="1074"/>
      <c r="Y65" s="1074"/>
      <c r="Z65" s="1074"/>
      <c r="AA65" s="1074"/>
    </row>
    <row r="66" spans="3:27">
      <c r="O66" s="813"/>
      <c r="V66" s="1075"/>
      <c r="W66" s="1075"/>
      <c r="X66" s="1075"/>
      <c r="Y66" s="1075"/>
      <c r="Z66" s="1075"/>
      <c r="AA66" s="1075"/>
    </row>
    <row r="67" spans="3:27">
      <c r="K67" s="867"/>
      <c r="L67" s="806" t="s">
        <v>301</v>
      </c>
      <c r="N67" s="817">
        <f>+Model!BE332</f>
        <v>5330</v>
      </c>
      <c r="O67" s="817">
        <f>+Model!BJ332</f>
        <v>5335</v>
      </c>
      <c r="P67" s="817">
        <f>+Model!BP332</f>
        <v>4750</v>
      </c>
      <c r="Q67" s="817">
        <f>+Model!BU332</f>
        <v>4750</v>
      </c>
      <c r="R67" s="817">
        <f>+Model!BZ332</f>
        <v>4750</v>
      </c>
      <c r="S67" s="817">
        <f>+Model!CE332</f>
        <v>4750</v>
      </c>
      <c r="T67" s="817">
        <f>+Model!CJ332</f>
        <v>4750</v>
      </c>
      <c r="V67" s="1074"/>
      <c r="W67" s="1074"/>
      <c r="X67" s="1074"/>
      <c r="Y67" s="1074"/>
      <c r="Z67" s="1074"/>
      <c r="AA67" s="1074"/>
    </row>
    <row r="68" spans="3:27">
      <c r="C68" s="895"/>
      <c r="L68" s="843" t="s">
        <v>135</v>
      </c>
      <c r="N68" s="844">
        <f t="shared" ref="N68:T68" si="26">+N67-N65</f>
        <v>3002</v>
      </c>
      <c r="O68" s="844">
        <f t="shared" si="26"/>
        <v>2032</v>
      </c>
      <c r="P68" s="844">
        <f t="shared" si="26"/>
        <v>1647</v>
      </c>
      <c r="Q68" s="844">
        <f t="shared" si="26"/>
        <v>1744.1665602019875</v>
      </c>
      <c r="R68" s="844">
        <f t="shared" si="26"/>
        <v>1753.6118788185113</v>
      </c>
      <c r="S68" s="844">
        <f t="shared" si="26"/>
        <v>1668.3147111231287</v>
      </c>
      <c r="T68" s="844">
        <f t="shared" si="26"/>
        <v>1823.3953642143638</v>
      </c>
      <c r="V68" s="1076"/>
      <c r="W68" s="1076"/>
      <c r="X68" s="1076"/>
      <c r="Y68" s="1076"/>
      <c r="Z68" s="1076"/>
      <c r="AA68" s="1076"/>
    </row>
    <row r="69" spans="3:27">
      <c r="Q69" s="844"/>
      <c r="R69" s="844"/>
      <c r="S69" s="844"/>
      <c r="T69" s="844"/>
      <c r="V69" s="1076"/>
      <c r="W69" s="1076"/>
      <c r="X69" s="1076"/>
      <c r="Y69" s="1076"/>
      <c r="Z69" s="1076"/>
      <c r="AA69" s="1076"/>
    </row>
    <row r="70" spans="3:27">
      <c r="L70" s="806" t="s">
        <v>302</v>
      </c>
      <c r="N70" s="868">
        <f t="shared" ref="N70:T70" si="27">(N67-N65)/N34</f>
        <v>0.85795941697627898</v>
      </c>
      <c r="O70" s="868">
        <f t="shared" si="27"/>
        <v>0.54114513981358192</v>
      </c>
      <c r="P70" s="868">
        <f t="shared" si="27"/>
        <v>0.42580144777662876</v>
      </c>
      <c r="Q70" s="868">
        <f t="shared" si="27"/>
        <v>0.41703065739125728</v>
      </c>
      <c r="R70" s="868">
        <f t="shared" si="27"/>
        <v>0.37405981505723529</v>
      </c>
      <c r="S70" s="868">
        <f t="shared" si="27"/>
        <v>0.32031535748376183</v>
      </c>
      <c r="T70" s="868">
        <f t="shared" si="27"/>
        <v>0.33143455520840809</v>
      </c>
      <c r="V70" s="1077"/>
      <c r="W70" s="1077"/>
      <c r="X70" s="1077"/>
      <c r="Y70" s="1077"/>
      <c r="Z70" s="1077"/>
      <c r="AA70" s="1077"/>
    </row>
    <row r="71" spans="3:27">
      <c r="L71" s="843" t="s">
        <v>303</v>
      </c>
      <c r="N71" s="868">
        <f t="shared" ref="N71:T71" si="28">(N67)/N34</f>
        <v>1.5232923692483566</v>
      </c>
      <c r="O71" s="868">
        <f t="shared" si="28"/>
        <v>1.4207723035952065</v>
      </c>
      <c r="P71" s="868">
        <f t="shared" si="28"/>
        <v>1.2280248190279215</v>
      </c>
      <c r="Q71" s="868">
        <f t="shared" si="28"/>
        <v>1.1357261787997297</v>
      </c>
      <c r="R71" s="868">
        <f t="shared" si="28"/>
        <v>1.0132140087457486</v>
      </c>
      <c r="S71" s="868">
        <f t="shared" si="28"/>
        <v>0.91199696190629331</v>
      </c>
      <c r="T71" s="868">
        <f t="shared" si="28"/>
        <v>0.86339702740127033</v>
      </c>
      <c r="V71" s="1077"/>
      <c r="W71" s="1077"/>
      <c r="X71" s="1077"/>
      <c r="Y71" s="1077"/>
      <c r="Z71" s="1077"/>
      <c r="AA71" s="1077"/>
    </row>
    <row r="74" spans="3:27">
      <c r="O74" s="844"/>
      <c r="P74" s="844"/>
      <c r="Q74" s="844"/>
      <c r="R74" s="844"/>
      <c r="S74" s="844"/>
      <c r="T74" s="844"/>
      <c r="U74" s="1044"/>
    </row>
    <row r="75" spans="3:27">
      <c r="N75" s="844"/>
      <c r="O75" s="844"/>
      <c r="P75" s="844"/>
      <c r="Q75" s="844"/>
      <c r="R75" s="844"/>
      <c r="S75" s="844"/>
      <c r="T75" s="844"/>
      <c r="U75" s="1044"/>
    </row>
    <row r="76" spans="3:27">
      <c r="N76" s="869"/>
      <c r="O76" s="973"/>
      <c r="P76" s="973"/>
      <c r="Q76" s="973"/>
      <c r="R76" s="973"/>
      <c r="S76" s="973"/>
      <c r="T76" s="973"/>
      <c r="U76" s="1044"/>
    </row>
    <row r="77" spans="3:27">
      <c r="N77" s="818"/>
      <c r="O77" s="818"/>
      <c r="P77" s="818"/>
      <c r="Q77" s="844"/>
      <c r="R77" s="844"/>
      <c r="S77" s="844"/>
      <c r="T77" s="844"/>
    </row>
    <row r="78" spans="3:27">
      <c r="N78" s="853"/>
      <c r="P78" s="806"/>
      <c r="Q78" s="806"/>
      <c r="R78" s="806"/>
      <c r="S78" s="806"/>
      <c r="T78" s="806"/>
    </row>
    <row r="79" spans="3:27">
      <c r="O79" s="972"/>
      <c r="P79" s="972"/>
      <c r="Q79" s="972"/>
      <c r="R79" s="972"/>
      <c r="S79" s="972"/>
      <c r="T79" s="972"/>
      <c r="U79" s="1047"/>
    </row>
    <row r="80" spans="3:27">
      <c r="O80" s="972"/>
      <c r="P80" s="972"/>
      <c r="Q80" s="972"/>
      <c r="R80" s="972"/>
      <c r="S80" s="972"/>
      <c r="T80" s="972"/>
      <c r="U80" s="1047"/>
    </row>
    <row r="93" spans="14:15">
      <c r="N93" s="817"/>
      <c r="O93" s="817"/>
    </row>
    <row r="94" spans="14:15">
      <c r="N94" s="817"/>
      <c r="O94" s="817"/>
    </row>
    <row r="98" spans="14:15">
      <c r="N98" s="817"/>
      <c r="O98" s="817"/>
    </row>
    <row r="106" spans="14:15">
      <c r="N106" s="817"/>
      <c r="O106" s="817"/>
    </row>
  </sheetData>
  <pageMargins left="0.25" right="0.25" top="0.75" bottom="0.75" header="0.3" footer="0.3"/>
  <pageSetup scale="55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 enableFormatConditionsCalculation="0">
    <tabColor indexed="18"/>
  </sheetPr>
  <dimension ref="A1:DC65447"/>
  <sheetViews>
    <sheetView showGridLines="0" zoomScaleNormal="100" zoomScaleSheetLayoutView="80" workbookViewId="0">
      <pane xSplit="1" ySplit="1" topLeftCell="BJ2" activePane="bottomRight" state="frozen"/>
      <selection pane="topRight" activeCell="G1" sqref="G1"/>
      <selection pane="bottomLeft" activeCell="A9" sqref="A9"/>
      <selection pane="bottomRight" activeCell="BQ1" sqref="BQ1"/>
    </sheetView>
  </sheetViews>
  <sheetFormatPr defaultRowHeight="12.75" outlineLevelRow="3" outlineLevelCol="1"/>
  <cols>
    <col min="1" max="1" width="32.28515625" style="1" customWidth="1"/>
    <col min="2" max="6" width="9.7109375" style="84" hidden="1" customWidth="1" outlineLevel="1"/>
    <col min="7" max="7" width="9.7109375" style="84" customWidth="1" collapsed="1"/>
    <col min="8" max="10" width="9.7109375" style="1" hidden="1" customWidth="1" outlineLevel="1"/>
    <col min="11" max="11" width="9.7109375" style="67" hidden="1" customWidth="1" outlineLevel="1"/>
    <col min="12" max="12" width="9.7109375" style="84" customWidth="1" collapsed="1"/>
    <col min="13" max="13" width="9.7109375" style="1" hidden="1" customWidth="1" outlineLevel="1" collapsed="1"/>
    <col min="14" max="15" width="9.7109375" style="1" hidden="1" customWidth="1" outlineLevel="1"/>
    <col min="16" max="16" width="9.7109375" style="67" hidden="1" customWidth="1" outlineLevel="1"/>
    <col min="17" max="17" width="9.7109375" style="84" customWidth="1" collapsed="1"/>
    <col min="18" max="18" width="9.7109375" style="1" hidden="1" customWidth="1" outlineLevel="1" collapsed="1"/>
    <col min="19" max="20" width="9.7109375" style="1" hidden="1" customWidth="1" outlineLevel="1"/>
    <col min="21" max="21" width="9.7109375" style="67" hidden="1" customWidth="1" outlineLevel="1"/>
    <col min="22" max="22" width="9.7109375" style="84" customWidth="1" collapsed="1"/>
    <col min="23" max="23" width="9.7109375" style="1" hidden="1" customWidth="1" outlineLevel="1" collapsed="1"/>
    <col min="24" max="25" width="9.7109375" style="1" hidden="1" customWidth="1" outlineLevel="1"/>
    <col min="26" max="26" width="9.7109375" style="67" hidden="1" customWidth="1" outlineLevel="1"/>
    <col min="27" max="27" width="9.7109375" style="84" customWidth="1" collapsed="1"/>
    <col min="28" max="30" width="9.7109375" style="1" hidden="1" customWidth="1" outlineLevel="1"/>
    <col min="31" max="31" width="9.7109375" style="67" hidden="1" customWidth="1" outlineLevel="1"/>
    <col min="32" max="32" width="9.7109375" style="84" customWidth="1" collapsed="1"/>
    <col min="33" max="33" width="9.7109375" style="1" hidden="1" customWidth="1" outlineLevel="1" collapsed="1"/>
    <col min="34" max="35" width="9.7109375" style="1" hidden="1" customWidth="1" outlineLevel="1"/>
    <col min="36" max="36" width="9.7109375" style="67" hidden="1" customWidth="1" outlineLevel="1"/>
    <col min="37" max="37" width="9.7109375" style="84" customWidth="1" collapsed="1"/>
    <col min="38" max="38" width="9.7109375" style="1" hidden="1" customWidth="1" outlineLevel="1" collapsed="1"/>
    <col min="39" max="40" width="9.7109375" style="1" hidden="1" customWidth="1" outlineLevel="1"/>
    <col min="41" max="41" width="9.7109375" style="67" hidden="1" customWidth="1" outlineLevel="1"/>
    <col min="42" max="42" width="9.7109375" style="84" customWidth="1" collapsed="1"/>
    <col min="43" max="46" width="9.7109375" style="1" hidden="1" customWidth="1" outlineLevel="1"/>
    <col min="47" max="47" width="9.7109375" style="84" customWidth="1" collapsed="1"/>
    <col min="48" max="51" width="9.7109375" style="1" hidden="1" customWidth="1" outlineLevel="1"/>
    <col min="52" max="52" width="9.7109375" style="84" customWidth="1" collapsed="1"/>
    <col min="53" max="53" width="9.7109375" style="93" hidden="1" customWidth="1" outlineLevel="1"/>
    <col min="54" max="55" width="9.7109375" style="67" hidden="1" customWidth="1" outlineLevel="1"/>
    <col min="56" max="56" width="9.7109375" style="54" hidden="1" customWidth="1" outlineLevel="1"/>
    <col min="57" max="57" width="9.7109375" style="84" customWidth="1" collapsed="1"/>
    <col min="58" max="58" width="9.7109375" style="93" hidden="1" customWidth="1" outlineLevel="1"/>
    <col min="59" max="60" width="9.7109375" style="67" hidden="1" customWidth="1" outlineLevel="1"/>
    <col min="61" max="61" width="9.7109375" style="54" hidden="1" customWidth="1" outlineLevel="1"/>
    <col min="62" max="62" width="9.7109375" style="84" customWidth="1" collapsed="1"/>
    <col min="63" max="63" width="9.7109375" style="93" customWidth="1" outlineLevel="1"/>
    <col min="64" max="65" width="9.7109375" style="67" customWidth="1" outlineLevel="1"/>
    <col min="66" max="66" width="9.7109375" style="54" customWidth="1" outlineLevel="1"/>
    <col min="67" max="68" width="9.7109375" style="84" customWidth="1"/>
    <col min="69" max="69" width="9.7109375" style="93" customWidth="1" outlineLevel="1"/>
    <col min="70" max="71" width="9.7109375" style="67" customWidth="1" outlineLevel="1"/>
    <col min="72" max="72" width="9.7109375" style="54" customWidth="1" outlineLevel="1"/>
    <col min="73" max="73" width="9.7109375" style="84" customWidth="1"/>
    <col min="74" max="74" width="9.7109375" style="93" hidden="1" customWidth="1" outlineLevel="1"/>
    <col min="75" max="76" width="9.7109375" style="67" hidden="1" customWidth="1" outlineLevel="1"/>
    <col min="77" max="77" width="9.7109375" style="54" hidden="1" customWidth="1" outlineLevel="1"/>
    <col min="78" max="78" width="9.7109375" style="84" customWidth="1" collapsed="1"/>
    <col min="79" max="79" width="9.7109375" style="93" hidden="1" customWidth="1" outlineLevel="1"/>
    <col min="80" max="81" width="9.7109375" style="67" hidden="1" customWidth="1" outlineLevel="1"/>
    <col min="82" max="82" width="9.7109375" style="54" hidden="1" customWidth="1" outlineLevel="1"/>
    <col min="83" max="83" width="9.7109375" style="84" customWidth="1" collapsed="1"/>
    <col min="84" max="84" width="9.7109375" style="93" hidden="1" customWidth="1" outlineLevel="1"/>
    <col min="85" max="86" width="9.7109375" style="67" hidden="1" customWidth="1" outlineLevel="1"/>
    <col min="87" max="87" width="9.7109375" style="54" hidden="1" customWidth="1" outlineLevel="1"/>
    <col min="88" max="88" width="9.7109375" style="84" customWidth="1" collapsed="1"/>
    <col min="89" max="89" width="1.7109375" style="317" customWidth="1"/>
    <col min="90" max="91" width="1.7109375" style="2" customWidth="1"/>
    <col min="92" max="92" width="11.5703125" style="569" customWidth="1"/>
    <col min="93" max="97" width="11.5703125" style="2" customWidth="1"/>
    <col min="98" max="98" width="1.7109375" style="317" customWidth="1"/>
    <col min="99" max="101" width="9.140625" style="141"/>
    <col min="102" max="102" width="54" bestFit="1" customWidth="1"/>
    <col min="108" max="16384" width="9.140625" style="141"/>
  </cols>
  <sheetData>
    <row r="1" spans="1:107" s="305" customFormat="1" ht="12" customHeight="1">
      <c r="A1" s="709" t="s">
        <v>209</v>
      </c>
      <c r="B1" s="68">
        <v>2001</v>
      </c>
      <c r="C1" s="86" t="s">
        <v>107</v>
      </c>
      <c r="D1" s="86" t="s">
        <v>108</v>
      </c>
      <c r="E1" s="86" t="s">
        <v>109</v>
      </c>
      <c r="F1" s="86" t="s">
        <v>110</v>
      </c>
      <c r="G1" s="86" t="s">
        <v>106</v>
      </c>
      <c r="H1" s="561" t="s">
        <v>171</v>
      </c>
      <c r="I1" s="561" t="s">
        <v>172</v>
      </c>
      <c r="J1" s="561" t="s">
        <v>173</v>
      </c>
      <c r="K1" s="561" t="s">
        <v>174</v>
      </c>
      <c r="L1" s="86" t="s">
        <v>105</v>
      </c>
      <c r="M1" s="561" t="s">
        <v>171</v>
      </c>
      <c r="N1" s="561" t="s">
        <v>172</v>
      </c>
      <c r="O1" s="561" t="s">
        <v>173</v>
      </c>
      <c r="P1" s="561" t="s">
        <v>174</v>
      </c>
      <c r="Q1" s="86" t="s">
        <v>104</v>
      </c>
      <c r="R1" s="561" t="s">
        <v>171</v>
      </c>
      <c r="S1" s="561" t="s">
        <v>172</v>
      </c>
      <c r="T1" s="561" t="s">
        <v>173</v>
      </c>
      <c r="U1" s="561" t="s">
        <v>174</v>
      </c>
      <c r="V1" s="68" t="s">
        <v>103</v>
      </c>
      <c r="W1" s="561" t="s">
        <v>171</v>
      </c>
      <c r="X1" s="561" t="s">
        <v>172</v>
      </c>
      <c r="Y1" s="561" t="s">
        <v>173</v>
      </c>
      <c r="Z1" s="561" t="s">
        <v>174</v>
      </c>
      <c r="AA1" s="86" t="s">
        <v>11</v>
      </c>
      <c r="AB1" s="561" t="s">
        <v>171</v>
      </c>
      <c r="AC1" s="561" t="s">
        <v>172</v>
      </c>
      <c r="AD1" s="561" t="s">
        <v>173</v>
      </c>
      <c r="AE1" s="561" t="s">
        <v>174</v>
      </c>
      <c r="AF1" s="86" t="s">
        <v>206</v>
      </c>
      <c r="AG1" s="561" t="s">
        <v>171</v>
      </c>
      <c r="AH1" s="561" t="s">
        <v>172</v>
      </c>
      <c r="AI1" s="561" t="s">
        <v>173</v>
      </c>
      <c r="AJ1" s="561" t="s">
        <v>174</v>
      </c>
      <c r="AK1" s="86" t="s">
        <v>200</v>
      </c>
      <c r="AL1" s="561" t="s">
        <v>171</v>
      </c>
      <c r="AM1" s="561" t="s">
        <v>172</v>
      </c>
      <c r="AN1" s="561" t="s">
        <v>173</v>
      </c>
      <c r="AO1" s="561" t="s">
        <v>174</v>
      </c>
      <c r="AP1" s="86" t="s">
        <v>7</v>
      </c>
      <c r="AQ1" s="561" t="s">
        <v>171</v>
      </c>
      <c r="AR1" s="561" t="s">
        <v>172</v>
      </c>
      <c r="AS1" s="561" t="s">
        <v>173</v>
      </c>
      <c r="AT1" s="561" t="s">
        <v>174</v>
      </c>
      <c r="AU1" s="86" t="s">
        <v>248</v>
      </c>
      <c r="AV1" s="896"/>
      <c r="AW1" s="896"/>
      <c r="AX1" s="896"/>
      <c r="AY1" s="896"/>
      <c r="AZ1" s="897" t="s">
        <v>317</v>
      </c>
      <c r="BA1" s="562" t="s">
        <v>171</v>
      </c>
      <c r="BB1" s="563" t="s">
        <v>172</v>
      </c>
      <c r="BC1" s="563" t="s">
        <v>173</v>
      </c>
      <c r="BD1" s="564" t="s">
        <v>174</v>
      </c>
      <c r="BE1" s="86" t="s">
        <v>250</v>
      </c>
      <c r="BF1" s="562" t="s">
        <v>171</v>
      </c>
      <c r="BG1" s="563" t="s">
        <v>172</v>
      </c>
      <c r="BH1" s="563" t="s">
        <v>173</v>
      </c>
      <c r="BI1" s="564" t="s">
        <v>174</v>
      </c>
      <c r="BJ1" s="1048">
        <v>2016</v>
      </c>
      <c r="BK1" s="562" t="s">
        <v>171</v>
      </c>
      <c r="BL1" s="563" t="s">
        <v>172</v>
      </c>
      <c r="BM1" s="563" t="s">
        <v>173</v>
      </c>
      <c r="BN1" s="564" t="s">
        <v>174</v>
      </c>
      <c r="BO1" s="1048">
        <f>+BJ1+1</f>
        <v>2017</v>
      </c>
      <c r="BP1" s="897" t="s">
        <v>368</v>
      </c>
      <c r="BQ1" s="562" t="s">
        <v>315</v>
      </c>
      <c r="BR1" s="563" t="s">
        <v>312</v>
      </c>
      <c r="BS1" s="563" t="s">
        <v>313</v>
      </c>
      <c r="BT1" s="564" t="s">
        <v>314</v>
      </c>
      <c r="BU1" s="86" t="s">
        <v>251</v>
      </c>
      <c r="BV1" s="562" t="s">
        <v>315</v>
      </c>
      <c r="BW1" s="563" t="s">
        <v>312</v>
      </c>
      <c r="BX1" s="563" t="s">
        <v>313</v>
      </c>
      <c r="BY1" s="564" t="s">
        <v>314</v>
      </c>
      <c r="BZ1" s="86" t="s">
        <v>252</v>
      </c>
      <c r="CA1" s="562" t="s">
        <v>315</v>
      </c>
      <c r="CB1" s="563" t="s">
        <v>312</v>
      </c>
      <c r="CC1" s="563" t="s">
        <v>313</v>
      </c>
      <c r="CD1" s="564" t="s">
        <v>314</v>
      </c>
      <c r="CE1" s="86" t="s">
        <v>310</v>
      </c>
      <c r="CF1" s="562" t="s">
        <v>315</v>
      </c>
      <c r="CG1" s="563" t="s">
        <v>312</v>
      </c>
      <c r="CH1" s="563" t="s">
        <v>313</v>
      </c>
      <c r="CI1" s="564" t="s">
        <v>314</v>
      </c>
      <c r="CJ1" s="86" t="s">
        <v>311</v>
      </c>
      <c r="CK1" s="298"/>
      <c r="CL1" s="399" t="s">
        <v>10</v>
      </c>
      <c r="CM1" s="298"/>
      <c r="CN1" s="566"/>
      <c r="CO1" s="298"/>
      <c r="CP1" s="298"/>
      <c r="CQ1" s="298"/>
      <c r="CR1" s="298"/>
      <c r="CS1" s="298"/>
      <c r="CT1" s="298"/>
      <c r="CX1"/>
      <c r="CY1"/>
      <c r="CZ1"/>
      <c r="DA1"/>
      <c r="DB1"/>
      <c r="DC1"/>
    </row>
    <row r="2" spans="1:107" s="306" customFormat="1" ht="12" customHeight="1">
      <c r="A2" s="55" t="s">
        <v>136</v>
      </c>
      <c r="B2" s="69"/>
      <c r="C2" s="69"/>
      <c r="D2" s="69"/>
      <c r="E2" s="69"/>
      <c r="F2" s="69"/>
      <c r="G2" s="69"/>
      <c r="H2" s="56"/>
      <c r="I2" s="56"/>
      <c r="J2" s="56"/>
      <c r="K2" s="66"/>
      <c r="L2" s="69"/>
      <c r="M2" s="56"/>
      <c r="N2" s="56"/>
      <c r="O2" s="56"/>
      <c r="P2" s="66"/>
      <c r="Q2" s="69"/>
      <c r="R2" s="56"/>
      <c r="S2" s="56"/>
      <c r="T2" s="56"/>
      <c r="U2" s="66"/>
      <c r="V2" s="69"/>
      <c r="W2" s="56"/>
      <c r="X2" s="56"/>
      <c r="Y2" s="56"/>
      <c r="Z2" s="66"/>
      <c r="AA2" s="69"/>
      <c r="AB2" s="56"/>
      <c r="AC2" s="56"/>
      <c r="AD2" s="56"/>
      <c r="AE2" s="66"/>
      <c r="AF2" s="69"/>
      <c r="AG2" s="56"/>
      <c r="AH2" s="56"/>
      <c r="AI2" s="56"/>
      <c r="AJ2" s="66"/>
      <c r="AK2" s="69"/>
      <c r="AL2" s="56"/>
      <c r="AM2" s="56"/>
      <c r="AN2" s="56"/>
      <c r="AO2" s="66"/>
      <c r="AP2" s="69"/>
      <c r="AQ2" s="56"/>
      <c r="AR2" s="56"/>
      <c r="AS2" s="56"/>
      <c r="AT2" s="66"/>
      <c r="AU2" s="69"/>
      <c r="AV2" s="56"/>
      <c r="AW2" s="56"/>
      <c r="AX2" s="56"/>
      <c r="AY2" s="66"/>
      <c r="AZ2" s="69"/>
      <c r="BA2" s="89"/>
      <c r="BB2" s="66"/>
      <c r="BC2" s="66"/>
      <c r="BD2" s="57"/>
      <c r="BE2" s="69"/>
      <c r="BF2" s="89"/>
      <c r="BG2" s="66"/>
      <c r="BH2" s="66"/>
      <c r="BI2" s="57"/>
      <c r="BJ2" s="69"/>
      <c r="BK2" s="89"/>
      <c r="BL2" s="66"/>
      <c r="BM2" s="66"/>
      <c r="BN2" s="57"/>
      <c r="BO2" s="69"/>
      <c r="BP2" s="69"/>
      <c r="BQ2" s="89"/>
      <c r="BR2" s="66"/>
      <c r="BS2" s="66"/>
      <c r="BT2" s="57"/>
      <c r="BU2" s="69"/>
      <c r="BV2" s="89"/>
      <c r="BW2" s="66"/>
      <c r="BX2" s="66"/>
      <c r="BY2" s="57"/>
      <c r="BZ2" s="69"/>
      <c r="CA2" s="89"/>
      <c r="CB2" s="66"/>
      <c r="CC2" s="66"/>
      <c r="CD2" s="57"/>
      <c r="CE2" s="69"/>
      <c r="CF2" s="89"/>
      <c r="CG2" s="66"/>
      <c r="CH2" s="66"/>
      <c r="CI2" s="57"/>
      <c r="CJ2" s="69"/>
      <c r="CK2" s="66"/>
      <c r="CL2" s="658"/>
      <c r="CM2" s="658"/>
      <c r="CN2" s="682"/>
      <c r="CO2" s="658"/>
      <c r="CP2" s="658"/>
      <c r="CQ2" s="658"/>
      <c r="CR2" s="658"/>
      <c r="CS2" s="658"/>
      <c r="CT2" s="66"/>
      <c r="CX2"/>
      <c r="CY2"/>
      <c r="CZ2"/>
      <c r="DA2"/>
      <c r="DB2"/>
      <c r="DC2"/>
    </row>
    <row r="3" spans="1:107" s="306" customFormat="1" ht="12" customHeight="1">
      <c r="A3" s="95" t="s">
        <v>138</v>
      </c>
      <c r="B3" s="97"/>
      <c r="C3" s="97"/>
      <c r="D3" s="97"/>
      <c r="E3" s="97"/>
      <c r="F3" s="97"/>
      <c r="G3" s="97"/>
      <c r="H3" s="96"/>
      <c r="I3" s="96"/>
      <c r="J3" s="96"/>
      <c r="K3" s="98"/>
      <c r="L3" s="97"/>
      <c r="M3" s="96"/>
      <c r="N3" s="96"/>
      <c r="O3" s="96"/>
      <c r="P3" s="98"/>
      <c r="Q3" s="97"/>
      <c r="R3" s="96"/>
      <c r="S3" s="96"/>
      <c r="T3" s="96"/>
      <c r="U3" s="98"/>
      <c r="V3" s="97"/>
      <c r="W3" s="96"/>
      <c r="X3" s="96"/>
      <c r="Y3" s="96"/>
      <c r="Z3" s="98"/>
      <c r="AA3" s="97"/>
      <c r="AB3" s="96"/>
      <c r="AC3" s="96"/>
      <c r="AD3" s="96"/>
      <c r="AE3" s="98"/>
      <c r="AF3" s="97"/>
      <c r="AG3" s="96"/>
      <c r="AH3" s="96"/>
      <c r="AI3" s="96"/>
      <c r="AJ3" s="98"/>
      <c r="AK3" s="97"/>
      <c r="AL3" s="96"/>
      <c r="AM3" s="96"/>
      <c r="AN3" s="96"/>
      <c r="AO3" s="98"/>
      <c r="AP3" s="97"/>
      <c r="AQ3" s="96"/>
      <c r="AR3" s="96"/>
      <c r="AS3" s="96"/>
      <c r="AT3" s="98"/>
      <c r="AU3" s="97"/>
      <c r="AV3" s="96"/>
      <c r="AW3" s="96"/>
      <c r="AX3" s="96"/>
      <c r="AY3" s="98"/>
      <c r="AZ3" s="97"/>
      <c r="BA3" s="99"/>
      <c r="BB3" s="98"/>
      <c r="BC3" s="98"/>
      <c r="BD3" s="100"/>
      <c r="BE3" s="97"/>
      <c r="BF3" s="99"/>
      <c r="BG3" s="98"/>
      <c r="BH3" s="98"/>
      <c r="BI3" s="100"/>
      <c r="BJ3" s="97"/>
      <c r="BK3" s="99"/>
      <c r="BL3" s="98"/>
      <c r="BM3" s="98"/>
      <c r="BN3" s="100"/>
      <c r="BO3" s="97"/>
      <c r="BP3" s="97"/>
      <c r="BQ3" s="99"/>
      <c r="BR3" s="98"/>
      <c r="BS3" s="98"/>
      <c r="BT3" s="100"/>
      <c r="BU3" s="97"/>
      <c r="BV3" s="99"/>
      <c r="BW3" s="98"/>
      <c r="BX3" s="98"/>
      <c r="BY3" s="100"/>
      <c r="BZ3" s="97"/>
      <c r="CA3" s="99"/>
      <c r="CB3" s="98"/>
      <c r="CC3" s="98"/>
      <c r="CD3" s="100"/>
      <c r="CE3" s="97"/>
      <c r="CF3" s="99"/>
      <c r="CG3" s="98"/>
      <c r="CH3" s="98"/>
      <c r="CI3" s="100"/>
      <c r="CJ3" s="97"/>
      <c r="CK3" s="66"/>
      <c r="CL3" s="658"/>
      <c r="CM3" s="658"/>
      <c r="CN3" s="682"/>
      <c r="CO3" s="658"/>
      <c r="CP3" s="658"/>
      <c r="CQ3" s="658"/>
      <c r="CR3" s="658"/>
      <c r="CS3" s="658"/>
      <c r="CT3" s="66"/>
      <c r="CX3"/>
      <c r="CY3"/>
      <c r="CZ3"/>
      <c r="DA3"/>
      <c r="DB3"/>
      <c r="DC3"/>
    </row>
    <row r="4" spans="1:107" s="204" customFormat="1">
      <c r="A4" s="127" t="s">
        <v>203</v>
      </c>
      <c r="B4" s="128">
        <v>2265</v>
      </c>
      <c r="C4" s="128">
        <v>2366</v>
      </c>
      <c r="D4" s="128">
        <v>2864</v>
      </c>
      <c r="E4" s="128">
        <v>3456</v>
      </c>
      <c r="F4" s="128">
        <v>3807</v>
      </c>
      <c r="G4" s="128">
        <v>4220</v>
      </c>
      <c r="H4" s="132">
        <v>1092</v>
      </c>
      <c r="I4" s="132">
        <v>1166</v>
      </c>
      <c r="J4" s="132">
        <v>1147</v>
      </c>
      <c r="K4" s="129">
        <v>1290</v>
      </c>
      <c r="L4" s="128">
        <f>SUM(H4:K4)</f>
        <v>4695</v>
      </c>
      <c r="M4" s="129">
        <v>1192</v>
      </c>
      <c r="N4" s="132">
        <v>1257</v>
      </c>
      <c r="O4" s="132">
        <v>1276</v>
      </c>
      <c r="P4" s="129">
        <v>1423</v>
      </c>
      <c r="Q4" s="128">
        <f>SUM(M4:P4)</f>
        <v>5148</v>
      </c>
      <c r="R4" s="129">
        <v>1262</v>
      </c>
      <c r="S4" s="132">
        <v>1335</v>
      </c>
      <c r="T4" s="132">
        <v>1387</v>
      </c>
      <c r="U4" s="129">
        <v>1541</v>
      </c>
      <c r="V4" s="128">
        <f>SUM(R4:U4)</f>
        <v>5525</v>
      </c>
      <c r="W4" s="129">
        <v>1336</v>
      </c>
      <c r="X4" s="132">
        <v>1352</v>
      </c>
      <c r="Y4" s="132">
        <v>1319</v>
      </c>
      <c r="Z4" s="129">
        <v>1463</v>
      </c>
      <c r="AA4" s="128">
        <f>SUM(W4:Z4)</f>
        <v>5470</v>
      </c>
      <c r="AB4" s="129">
        <v>1219</v>
      </c>
      <c r="AC4" s="132">
        <v>1272</v>
      </c>
      <c r="AD4" s="132">
        <v>1176</v>
      </c>
      <c r="AE4" s="129">
        <v>1291</v>
      </c>
      <c r="AF4" s="128">
        <v>6441</v>
      </c>
      <c r="AG4" s="129">
        <v>1578</v>
      </c>
      <c r="AH4" s="132">
        <v>1574</v>
      </c>
      <c r="AI4" s="132">
        <v>1610</v>
      </c>
      <c r="AJ4" s="129">
        <v>1730</v>
      </c>
      <c r="AK4" s="128">
        <f>+SUM(AG4:AJ4)</f>
        <v>6492</v>
      </c>
      <c r="AL4" s="132">
        <v>1596</v>
      </c>
      <c r="AM4" s="132">
        <v>1721</v>
      </c>
      <c r="AN4" s="132">
        <v>1603</v>
      </c>
      <c r="AO4" s="132">
        <v>1569</v>
      </c>
      <c r="AP4" s="128">
        <f>SUM(AL4:AO4)</f>
        <v>6489</v>
      </c>
      <c r="AQ4" s="132">
        <v>1481</v>
      </c>
      <c r="AR4" s="132">
        <v>1549</v>
      </c>
      <c r="AS4" s="132">
        <v>1428</v>
      </c>
      <c r="AT4" s="132">
        <v>1627</v>
      </c>
      <c r="AU4" s="128">
        <f>SUM(AQ4:AT4)</f>
        <v>6085</v>
      </c>
      <c r="AV4" s="132"/>
      <c r="AW4" s="132"/>
      <c r="AX4" s="132"/>
      <c r="AY4" s="132"/>
      <c r="AZ4" s="128">
        <v>5600</v>
      </c>
      <c r="BA4" s="132">
        <v>1307</v>
      </c>
      <c r="BB4" s="132">
        <v>1565</v>
      </c>
      <c r="BC4" s="132">
        <v>1417</v>
      </c>
      <c r="BD4" s="132">
        <v>1558</v>
      </c>
      <c r="BE4" s="128">
        <f>SUM(BA4:BD4)</f>
        <v>5847</v>
      </c>
      <c r="BF4" s="132">
        <v>1336</v>
      </c>
      <c r="BG4" s="132">
        <v>1399</v>
      </c>
      <c r="BH4" s="132">
        <v>1334</v>
      </c>
      <c r="BI4" s="132">
        <f>5476-SUM(BF4:BH4)</f>
        <v>1407</v>
      </c>
      <c r="BJ4" s="128">
        <f>SUM(BF4:BI4)</f>
        <v>5476</v>
      </c>
      <c r="BK4" s="132">
        <v>1398</v>
      </c>
      <c r="BL4" s="129">
        <v>1462</v>
      </c>
      <c r="BM4" s="132">
        <v>1391</v>
      </c>
      <c r="BN4" s="132">
        <v>1553</v>
      </c>
      <c r="BO4" s="128">
        <f>SUM(BK4:BN4)</f>
        <v>5804</v>
      </c>
      <c r="BP4" s="128">
        <f>BO4</f>
        <v>5804</v>
      </c>
      <c r="BQ4" s="130">
        <f t="shared" ref="BQ4" si="0">+BK4*(1+BQ5)</f>
        <v>1453.92</v>
      </c>
      <c r="BR4" s="129">
        <f t="shared" ref="BR4" si="1">+BL4*(1+BR5)</f>
        <v>1535.1000000000001</v>
      </c>
      <c r="BS4" s="129">
        <f t="shared" ref="BS4" si="2">+BM4*(1+BS5)</f>
        <v>1460.55</v>
      </c>
      <c r="BT4" s="129">
        <f t="shared" ref="BT4" si="3">+BN4*(1+BT5)</f>
        <v>1646.18</v>
      </c>
      <c r="BU4" s="130">
        <f>+SUM(BQ4:BT4)</f>
        <v>6095.7500000000009</v>
      </c>
      <c r="BV4" s="130"/>
      <c r="BW4" s="129"/>
      <c r="BX4" s="129"/>
      <c r="BY4" s="129"/>
      <c r="BZ4" s="130">
        <f>BU4*(1+BZ5)</f>
        <v>6461.4950000000017</v>
      </c>
      <c r="CA4" s="130"/>
      <c r="CB4" s="129"/>
      <c r="CC4" s="129"/>
      <c r="CD4" s="129"/>
      <c r="CE4" s="130">
        <f>BZ4*(1+CE5)</f>
        <v>6849.1847000000025</v>
      </c>
      <c r="CF4" s="130"/>
      <c r="CG4" s="129"/>
      <c r="CH4" s="129"/>
      <c r="CI4" s="129"/>
      <c r="CJ4" s="130">
        <f>CE4*(1+CJ5)</f>
        <v>7260.135782000003</v>
      </c>
      <c r="CK4" s="296"/>
      <c r="CL4" s="657" t="s">
        <v>339</v>
      </c>
      <c r="CM4" s="657"/>
      <c r="CN4" s="682"/>
      <c r="CO4" s="743"/>
      <c r="CP4" s="657"/>
      <c r="CQ4" s="657"/>
      <c r="CR4" s="657"/>
      <c r="CS4" s="657"/>
      <c r="CT4" s="296"/>
      <c r="CX4"/>
      <c r="CY4"/>
      <c r="CZ4"/>
      <c r="DA4"/>
      <c r="DB4"/>
      <c r="DC4"/>
    </row>
    <row r="5" spans="1:107" s="432" customFormat="1">
      <c r="A5" s="478" t="s">
        <v>137</v>
      </c>
      <c r="B5" s="474"/>
      <c r="C5" s="474">
        <f>C4/B4-1</f>
        <v>4.4591611479028792E-2</v>
      </c>
      <c r="D5" s="474">
        <f>D4/C4-1</f>
        <v>0.21048182586644115</v>
      </c>
      <c r="E5" s="474">
        <f>E4/D4-1</f>
        <v>0.2067039106145252</v>
      </c>
      <c r="F5" s="474">
        <f>F4/E4-1</f>
        <v>0.1015625</v>
      </c>
      <c r="G5" s="474">
        <f>G4/F4-1</f>
        <v>0.10848437089571838</v>
      </c>
      <c r="H5" s="431"/>
      <c r="I5" s="431"/>
      <c r="J5" s="431"/>
      <c r="K5" s="431"/>
      <c r="L5" s="474">
        <f t="shared" ref="L5:AE5" si="4">L4/G4-1</f>
        <v>0.11255924170616116</v>
      </c>
      <c r="M5" s="431">
        <f t="shared" si="4"/>
        <v>9.1575091575091472E-2</v>
      </c>
      <c r="N5" s="431">
        <f t="shared" si="4"/>
        <v>7.8044596912521413E-2</v>
      </c>
      <c r="O5" s="431">
        <f t="shared" si="4"/>
        <v>0.1124673060156931</v>
      </c>
      <c r="P5" s="431">
        <f t="shared" si="4"/>
        <v>0.10310077519379846</v>
      </c>
      <c r="Q5" s="474">
        <f t="shared" si="4"/>
        <v>9.6485623003194965E-2</v>
      </c>
      <c r="R5" s="431">
        <f t="shared" si="4"/>
        <v>5.8724832214765099E-2</v>
      </c>
      <c r="S5" s="431">
        <f t="shared" si="4"/>
        <v>6.2052505966587068E-2</v>
      </c>
      <c r="T5" s="431">
        <f t="shared" si="4"/>
        <v>8.6990595611285304E-2</v>
      </c>
      <c r="U5" s="431">
        <f t="shared" si="4"/>
        <v>8.2923401264933139E-2</v>
      </c>
      <c r="V5" s="474">
        <f t="shared" si="4"/>
        <v>7.3232323232323315E-2</v>
      </c>
      <c r="W5" s="431">
        <f t="shared" si="4"/>
        <v>5.8637083993660966E-2</v>
      </c>
      <c r="X5" s="431">
        <f t="shared" si="4"/>
        <v>1.2734082397003688E-2</v>
      </c>
      <c r="Y5" s="431">
        <f t="shared" si="4"/>
        <v>-4.9026676279740444E-2</v>
      </c>
      <c r="Z5" s="431">
        <f t="shared" si="4"/>
        <v>-5.0616482803374385E-2</v>
      </c>
      <c r="AA5" s="474">
        <f t="shared" si="4"/>
        <v>-9.9547511312216841E-3</v>
      </c>
      <c r="AB5" s="431">
        <f t="shared" si="4"/>
        <v>-8.7574850299401152E-2</v>
      </c>
      <c r="AC5" s="431">
        <f t="shared" si="4"/>
        <v>-5.9171597633136064E-2</v>
      </c>
      <c r="AD5" s="431">
        <f t="shared" si="4"/>
        <v>-0.1084154662623199</v>
      </c>
      <c r="AE5" s="431">
        <f t="shared" si="4"/>
        <v>-0.11756664388243332</v>
      </c>
      <c r="AF5" s="474"/>
      <c r="AG5" s="431">
        <f>AG4/AB4-1</f>
        <v>0.29450369155045109</v>
      </c>
      <c r="AH5" s="431">
        <f>AH4/AC4-1</f>
        <v>0.23742138364779874</v>
      </c>
      <c r="AI5" s="431">
        <f>AI4/AD4-1</f>
        <v>0.36904761904761907</v>
      </c>
      <c r="AJ5" s="431">
        <f>AJ4/AE4-1</f>
        <v>0.34004647560030987</v>
      </c>
      <c r="AK5" s="474">
        <f t="shared" ref="AK5:AS5" si="5">AK4/AF4 -1</f>
        <v>7.9180251513739641E-3</v>
      </c>
      <c r="AL5" s="431">
        <f t="shared" si="5"/>
        <v>1.1406844106463865E-2</v>
      </c>
      <c r="AM5" s="431">
        <f t="shared" si="5"/>
        <v>9.3392630241423191E-2</v>
      </c>
      <c r="AN5" s="431">
        <f t="shared" si="5"/>
        <v>-4.3478260869564966E-3</v>
      </c>
      <c r="AO5" s="431">
        <f t="shared" si="5"/>
        <v>-9.3063583815028883E-2</v>
      </c>
      <c r="AP5" s="474">
        <f t="shared" si="5"/>
        <v>-4.6210720887240875E-4</v>
      </c>
      <c r="AQ5" s="431">
        <f t="shared" si="5"/>
        <v>-7.2055137844611483E-2</v>
      </c>
      <c r="AR5" s="431">
        <f t="shared" si="5"/>
        <v>-9.9941894247530527E-2</v>
      </c>
      <c r="AS5" s="431">
        <f t="shared" si="5"/>
        <v>-0.10917030567685593</v>
      </c>
      <c r="AT5" s="431">
        <f t="shared" ref="AT5:AU5" si="6">AT4/AO4 -1</f>
        <v>3.696622052262577E-2</v>
      </c>
      <c r="AU5" s="474">
        <f t="shared" si="6"/>
        <v>-6.2259207890275836E-2</v>
      </c>
      <c r="AV5" s="431"/>
      <c r="AW5" s="431"/>
      <c r="AX5" s="431"/>
      <c r="AY5" s="431"/>
      <c r="AZ5" s="474">
        <f t="shared" ref="AZ5" si="7">AZ4/AU4 -1</f>
        <v>-7.9704190632703398E-2</v>
      </c>
      <c r="BA5" s="431">
        <f>BA4/AQ4 -1</f>
        <v>-0.11748818365968938</v>
      </c>
      <c r="BB5" s="431">
        <f>BB4/AR4 -1</f>
        <v>1.0329244673983107E-2</v>
      </c>
      <c r="BC5" s="431">
        <f>BC4/AS4 -1</f>
        <v>-7.7030812324929698E-3</v>
      </c>
      <c r="BD5" s="431">
        <f>BD4/AT4 -1</f>
        <v>-4.240934234787952E-2</v>
      </c>
      <c r="BE5" s="474">
        <f t="shared" ref="BE5:BM5" si="8">BE4/AZ4 -1</f>
        <v>4.41071428571429E-2</v>
      </c>
      <c r="BF5" s="431">
        <f t="shared" si="8"/>
        <v>2.2188217291507328E-2</v>
      </c>
      <c r="BG5" s="431">
        <f t="shared" si="8"/>
        <v>-0.10607028753993608</v>
      </c>
      <c r="BH5" s="431">
        <f t="shared" si="8"/>
        <v>-5.8574453069865862E-2</v>
      </c>
      <c r="BI5" s="431">
        <f t="shared" si="8"/>
        <v>-9.6919127086007695E-2</v>
      </c>
      <c r="BJ5" s="474">
        <f t="shared" si="8"/>
        <v>-6.3451342568838776E-2</v>
      </c>
      <c r="BK5" s="431">
        <f t="shared" si="8"/>
        <v>4.6407185628742464E-2</v>
      </c>
      <c r="BL5" s="963">
        <f t="shared" si="8"/>
        <v>4.5032165832737725E-2</v>
      </c>
      <c r="BM5" s="431">
        <f t="shared" si="8"/>
        <v>4.2728635682159011E-2</v>
      </c>
      <c r="BN5" s="431">
        <f t="shared" ref="BN5" si="9">BN4/BI4 -1</f>
        <v>0.10376687988628297</v>
      </c>
      <c r="BO5" s="474">
        <f t="shared" ref="BO5" si="10">BO4/BJ4 -1</f>
        <v>5.9897735573411159E-2</v>
      </c>
      <c r="BP5" s="474"/>
      <c r="BQ5" s="480">
        <v>0.04</v>
      </c>
      <c r="BR5" s="479">
        <v>0.05</v>
      </c>
      <c r="BS5" s="479">
        <v>0.05</v>
      </c>
      <c r="BT5" s="479">
        <v>0.06</v>
      </c>
      <c r="BU5" s="474">
        <f>BU4/BO4 -1</f>
        <v>5.0267057201929921E-2</v>
      </c>
      <c r="BV5" s="480"/>
      <c r="BW5" s="479"/>
      <c r="BX5" s="479"/>
      <c r="BY5" s="479"/>
      <c r="BZ5" s="480">
        <v>0.06</v>
      </c>
      <c r="CA5" s="480"/>
      <c r="CB5" s="479"/>
      <c r="CC5" s="479"/>
      <c r="CD5" s="479"/>
      <c r="CE5" s="480">
        <v>0.06</v>
      </c>
      <c r="CF5" s="480"/>
      <c r="CG5" s="479"/>
      <c r="CH5" s="479"/>
      <c r="CI5" s="479"/>
      <c r="CJ5" s="480">
        <v>0.06</v>
      </c>
      <c r="CK5" s="430"/>
      <c r="CL5" s="657"/>
      <c r="CM5" s="677"/>
      <c r="CN5" s="682"/>
      <c r="CO5" s="676"/>
      <c r="CP5" s="677"/>
      <c r="CQ5" s="677"/>
      <c r="CR5" s="677"/>
      <c r="CS5" s="677"/>
      <c r="CT5" s="430"/>
      <c r="CX5"/>
      <c r="CY5"/>
      <c r="CZ5"/>
      <c r="DA5"/>
      <c r="DB5"/>
      <c r="DC5"/>
    </row>
    <row r="6" spans="1:107">
      <c r="A6" s="62" t="s">
        <v>16</v>
      </c>
      <c r="B6" s="70">
        <f t="shared" ref="B6:AG6" si="11">B4/B$77</f>
        <v>0.14141224948492226</v>
      </c>
      <c r="C6" s="70">
        <f t="shared" si="11"/>
        <v>0.14116945107398568</v>
      </c>
      <c r="D6" s="70">
        <f t="shared" si="11"/>
        <v>0.15815340438456016</v>
      </c>
      <c r="E6" s="70">
        <f t="shared" si="11"/>
        <v>0.19388499298737727</v>
      </c>
      <c r="F6" s="70">
        <f t="shared" si="11"/>
        <v>0.20588394354010059</v>
      </c>
      <c r="G6" s="70">
        <f t="shared" si="11"/>
        <v>0.21413710864159943</v>
      </c>
      <c r="H6" s="118">
        <f t="shared" si="11"/>
        <v>0.22731057452123229</v>
      </c>
      <c r="I6" s="64">
        <f t="shared" si="11"/>
        <v>0.22091701402046229</v>
      </c>
      <c r="J6" s="64">
        <f t="shared" si="11"/>
        <v>0.21977390304656064</v>
      </c>
      <c r="K6" s="64">
        <f t="shared" si="11"/>
        <v>0.215</v>
      </c>
      <c r="L6" s="70">
        <f t="shared" si="11"/>
        <v>0.22041218722125722</v>
      </c>
      <c r="M6" s="64">
        <f t="shared" si="11"/>
        <v>0.22263728053791557</v>
      </c>
      <c r="N6" s="64">
        <f t="shared" si="11"/>
        <v>0.21413969335604771</v>
      </c>
      <c r="O6" s="64">
        <f t="shared" si="11"/>
        <v>0.21759890859481582</v>
      </c>
      <c r="P6" s="64">
        <f t="shared" si="11"/>
        <v>0.23381531383503121</v>
      </c>
      <c r="Q6" s="70">
        <f t="shared" si="11"/>
        <v>0.22214550789678086</v>
      </c>
      <c r="R6" s="64">
        <f t="shared" si="11"/>
        <v>0.21447994561522774</v>
      </c>
      <c r="S6" s="64">
        <f t="shared" si="11"/>
        <v>0.21795918367346939</v>
      </c>
      <c r="T6" s="64">
        <f t="shared" si="11"/>
        <v>0.22352941176470589</v>
      </c>
      <c r="U6" s="64">
        <f t="shared" si="11"/>
        <v>0.23113844307784612</v>
      </c>
      <c r="V6" s="70">
        <f t="shared" si="11"/>
        <v>0.2220569912784856</v>
      </c>
      <c r="W6" s="64">
        <f t="shared" si="11"/>
        <v>0.22071699983479268</v>
      </c>
      <c r="X6" s="64">
        <f t="shared" si="11"/>
        <v>0.22635191695965176</v>
      </c>
      <c r="Y6" s="64">
        <f t="shared" si="11"/>
        <v>0.21029974489795919</v>
      </c>
      <c r="Z6" s="64">
        <f t="shared" si="11"/>
        <v>0.21249092229484387</v>
      </c>
      <c r="AA6" s="70">
        <f t="shared" si="11"/>
        <v>0.2172100226343168</v>
      </c>
      <c r="AB6" s="64">
        <f t="shared" si="11"/>
        <v>0.20142101784534039</v>
      </c>
      <c r="AC6" s="64">
        <f t="shared" si="11"/>
        <v>0.20512820512820512</v>
      </c>
      <c r="AD6" s="64">
        <f t="shared" si="11"/>
        <v>0.19228253760627861</v>
      </c>
      <c r="AE6" s="64">
        <f t="shared" si="11"/>
        <v>0.20102771722204921</v>
      </c>
      <c r="AF6" s="121">
        <f t="shared" si="11"/>
        <v>0.25981202855875118</v>
      </c>
      <c r="AG6" s="121">
        <f t="shared" si="11"/>
        <v>0.2657460424385315</v>
      </c>
      <c r="AH6" s="64">
        <f t="shared" ref="AH6:BL6" si="12">AH4/AH$77</f>
        <v>0.26268357810413884</v>
      </c>
      <c r="AI6" s="64">
        <f t="shared" si="12"/>
        <v>0.26633581472291151</v>
      </c>
      <c r="AJ6" s="122">
        <f t="shared" si="12"/>
        <v>0.26867526013356113</v>
      </c>
      <c r="AK6" s="70">
        <f t="shared" si="12"/>
        <v>0.26591300073728191</v>
      </c>
      <c r="AL6" s="121">
        <f t="shared" si="12"/>
        <v>0.27147474060214322</v>
      </c>
      <c r="AM6" s="64">
        <f t="shared" si="12"/>
        <v>0.28143908421913327</v>
      </c>
      <c r="AN6" s="64">
        <f t="shared" si="12"/>
        <v>0.27439233139335845</v>
      </c>
      <c r="AO6" s="64">
        <f t="shared" si="12"/>
        <v>0.26729131175468485</v>
      </c>
      <c r="AP6" s="70">
        <f t="shared" si="12"/>
        <v>0.27272727272727271</v>
      </c>
      <c r="AQ6" s="121">
        <f t="shared" si="12"/>
        <v>0.26888162672476396</v>
      </c>
      <c r="AR6" s="64">
        <f t="shared" si="12"/>
        <v>0.27170671811962815</v>
      </c>
      <c r="AS6" s="64">
        <f t="shared" si="12"/>
        <v>0.2608695652173913</v>
      </c>
      <c r="AT6" s="64">
        <f t="shared" si="12"/>
        <v>0.26485430571382063</v>
      </c>
      <c r="AU6" s="70">
        <f t="shared" si="12"/>
        <v>0.2665819679313064</v>
      </c>
      <c r="AV6" s="121"/>
      <c r="AW6" s="64"/>
      <c r="AX6" s="64"/>
      <c r="AY6" s="64"/>
      <c r="AZ6" s="70">
        <f t="shared" ref="AZ6" si="13">AZ4/AZ$77</f>
        <v>0.24533426794006835</v>
      </c>
      <c r="BA6" s="121">
        <f>BA4/BA$77</f>
        <v>0.24716338880484115</v>
      </c>
      <c r="BB6" s="64">
        <f t="shared" si="12"/>
        <v>0.26761285909712723</v>
      </c>
      <c r="BC6" s="64">
        <f t="shared" si="12"/>
        <v>0.24502853190385612</v>
      </c>
      <c r="BD6" s="64">
        <f t="shared" si="12"/>
        <v>0.24620733249051832</v>
      </c>
      <c r="BE6" s="70">
        <f t="shared" si="12"/>
        <v>0.25151632468705637</v>
      </c>
      <c r="BF6" s="121">
        <f t="shared" si="12"/>
        <v>0.23026542571527059</v>
      </c>
      <c r="BG6" s="64">
        <f t="shared" si="12"/>
        <v>0.23181441590720794</v>
      </c>
      <c r="BH6" s="64">
        <f t="shared" si="12"/>
        <v>0.22111718879496103</v>
      </c>
      <c r="BI6" s="64">
        <f t="shared" si="12"/>
        <v>0.22686230248306999</v>
      </c>
      <c r="BJ6" s="70">
        <f t="shared" si="12"/>
        <v>0.2274842140245929</v>
      </c>
      <c r="BK6" s="121">
        <f t="shared" si="12"/>
        <v>0.23300000000000001</v>
      </c>
      <c r="BL6" s="64">
        <f t="shared" si="12"/>
        <v>0.23276548320331159</v>
      </c>
      <c r="BM6" s="64">
        <f t="shared" ref="BM6:BO6" si="14">BM4/BM$77</f>
        <v>0.22135582431572248</v>
      </c>
      <c r="BN6" s="64">
        <f t="shared" si="14"/>
        <v>0.22895473979065312</v>
      </c>
      <c r="BO6" s="70">
        <f t="shared" si="14"/>
        <v>0.22897270001578035</v>
      </c>
      <c r="BP6" s="70"/>
      <c r="BQ6" s="1005">
        <f t="shared" ref="BQ6:BU6" si="15">BQ4/BQ$77</f>
        <v>0.2309878294808036</v>
      </c>
      <c r="BR6" s="1006">
        <f t="shared" si="15"/>
        <v>0.23047524066691255</v>
      </c>
      <c r="BS6" s="1006">
        <f t="shared" si="15"/>
        <v>0.21976992576804485</v>
      </c>
      <c r="BT6" s="1006">
        <f t="shared" si="15"/>
        <v>0.22834982623815975</v>
      </c>
      <c r="BU6" s="70">
        <f t="shared" si="15"/>
        <v>0.22737035615140405</v>
      </c>
      <c r="BV6" s="240"/>
      <c r="BW6" s="238"/>
      <c r="BX6" s="238"/>
      <c r="BY6" s="238"/>
      <c r="BZ6" s="70">
        <f>BZ4/BZ$77</f>
        <v>0.2285487018918424</v>
      </c>
      <c r="CA6" s="240"/>
      <c r="CB6" s="238"/>
      <c r="CC6" s="238"/>
      <c r="CD6" s="238"/>
      <c r="CE6" s="70">
        <f>CE4/CE$77</f>
        <v>0.22921669664819008</v>
      </c>
      <c r="CF6" s="240"/>
      <c r="CG6" s="238"/>
      <c r="CH6" s="238"/>
      <c r="CI6" s="238"/>
      <c r="CJ6" s="70">
        <f>CJ4/CJ$77</f>
        <v>0.22982213871243556</v>
      </c>
      <c r="CK6" s="289"/>
      <c r="CL6" s="677"/>
      <c r="CM6" s="657"/>
      <c r="CN6" s="682"/>
      <c r="CO6" s="745"/>
      <c r="CP6" s="658"/>
      <c r="CQ6" s="658"/>
      <c r="CR6" s="658"/>
      <c r="CS6" s="658"/>
      <c r="CT6" s="289"/>
    </row>
    <row r="7" spans="1:107" s="180" customFormat="1" ht="12" customHeight="1">
      <c r="A7" s="376" t="s">
        <v>15</v>
      </c>
      <c r="B7" s="372">
        <v>4400</v>
      </c>
      <c r="C7" s="372">
        <v>5011</v>
      </c>
      <c r="D7" s="372">
        <v>6526</v>
      </c>
      <c r="E7" s="372">
        <v>6628</v>
      </c>
      <c r="F7" s="372">
        <v>8010</v>
      </c>
      <c r="G7" s="372">
        <v>7934</v>
      </c>
      <c r="H7" s="373">
        <v>8089</v>
      </c>
      <c r="I7" s="373">
        <v>7958</v>
      </c>
      <c r="J7" s="373">
        <v>8458</v>
      </c>
      <c r="K7" s="373">
        <v>9296</v>
      </c>
      <c r="L7" s="372">
        <v>9296</v>
      </c>
      <c r="M7" s="373">
        <v>9306</v>
      </c>
      <c r="N7" s="373">
        <v>8882</v>
      </c>
      <c r="O7" s="373">
        <v>7943</v>
      </c>
      <c r="P7" s="373">
        <v>9883</v>
      </c>
      <c r="Q7" s="372">
        <v>9883</v>
      </c>
      <c r="R7" s="373">
        <v>9684</v>
      </c>
      <c r="S7" s="373">
        <v>10342</v>
      </c>
      <c r="T7" s="373">
        <v>9823</v>
      </c>
      <c r="U7" s="373">
        <v>10665</v>
      </c>
      <c r="V7" s="372">
        <v>10665</v>
      </c>
      <c r="W7" s="373">
        <v>10046</v>
      </c>
      <c r="X7" s="373">
        <v>9463</v>
      </c>
      <c r="Y7" s="373">
        <v>8990</v>
      </c>
      <c r="Z7" s="373">
        <v>8473</v>
      </c>
      <c r="AA7" s="372">
        <v>8473</v>
      </c>
      <c r="AB7" s="373">
        <v>7993</v>
      </c>
      <c r="AC7" s="373">
        <v>9022</v>
      </c>
      <c r="AD7" s="373">
        <v>8438</v>
      </c>
      <c r="AE7" s="373">
        <v>9766</v>
      </c>
      <c r="AF7" s="372">
        <v>11547</v>
      </c>
      <c r="AG7" s="373">
        <v>10863</v>
      </c>
      <c r="AH7" s="373">
        <v>10358</v>
      </c>
      <c r="AI7" s="373">
        <v>10150</v>
      </c>
      <c r="AJ7" s="373">
        <v>11656</v>
      </c>
      <c r="AK7" s="372">
        <f>AJ7</f>
        <v>11656</v>
      </c>
      <c r="AL7" s="373">
        <v>10924</v>
      </c>
      <c r="AM7" s="373">
        <v>9913</v>
      </c>
      <c r="AN7" s="373">
        <v>9573</v>
      </c>
      <c r="AO7" s="373">
        <v>10916</v>
      </c>
      <c r="AP7" s="372">
        <f>AO7</f>
        <v>10916</v>
      </c>
      <c r="AQ7" s="373">
        <v>10596</v>
      </c>
      <c r="AR7" s="373">
        <v>9639</v>
      </c>
      <c r="AS7" s="373">
        <v>9877</v>
      </c>
      <c r="AT7" s="707">
        <v>11495</v>
      </c>
      <c r="AU7" s="372">
        <f>AT7</f>
        <v>11495</v>
      </c>
      <c r="AV7" s="373"/>
      <c r="AW7" s="373"/>
      <c r="AX7" s="373"/>
      <c r="AY7" s="707"/>
      <c r="AZ7" s="372">
        <v>10362</v>
      </c>
      <c r="BA7" s="707"/>
      <c r="BB7" s="707"/>
      <c r="BC7" s="707"/>
      <c r="BD7" s="707"/>
      <c r="BE7" s="372">
        <v>10629</v>
      </c>
      <c r="BF7" s="374">
        <v>10242</v>
      </c>
      <c r="BG7" s="373">
        <v>9959</v>
      </c>
      <c r="BH7" s="373">
        <v>9667</v>
      </c>
      <c r="BI7" s="373">
        <v>10159</v>
      </c>
      <c r="BJ7" s="372">
        <f>+BI7</f>
        <v>10159</v>
      </c>
      <c r="BK7" s="374">
        <v>10304</v>
      </c>
      <c r="BL7" s="373">
        <v>10055</v>
      </c>
      <c r="BM7" s="373">
        <v>9089</v>
      </c>
      <c r="BN7" s="998">
        <v>9186</v>
      </c>
      <c r="BO7" s="372">
        <f>+BN7</f>
        <v>9186</v>
      </c>
      <c r="BP7" s="372"/>
      <c r="BQ7" s="374"/>
      <c r="BR7" s="373"/>
      <c r="BS7" s="373"/>
      <c r="BT7" s="375"/>
      <c r="BU7" s="372"/>
      <c r="BV7" s="374"/>
      <c r="BW7" s="373"/>
      <c r="BX7" s="373"/>
      <c r="BY7" s="375"/>
      <c r="BZ7" s="372"/>
      <c r="CA7" s="374"/>
      <c r="CB7" s="373"/>
      <c r="CC7" s="373"/>
      <c r="CD7" s="375"/>
      <c r="CE7" s="372"/>
      <c r="CF7" s="374"/>
      <c r="CG7" s="373"/>
      <c r="CH7" s="373"/>
      <c r="CI7" s="375"/>
      <c r="CJ7" s="372"/>
      <c r="CK7" s="291"/>
      <c r="CL7" s="657"/>
      <c r="CM7" s="658"/>
      <c r="CN7" s="682"/>
      <c r="CO7" s="657"/>
      <c r="CP7" s="657"/>
      <c r="CQ7" s="657"/>
      <c r="CR7" s="657"/>
      <c r="CS7" s="657"/>
      <c r="CT7" s="291"/>
      <c r="CX7"/>
      <c r="CY7"/>
      <c r="CZ7"/>
      <c r="DA7"/>
      <c r="DB7"/>
      <c r="DC7"/>
    </row>
    <row r="8" spans="1:107">
      <c r="A8" s="377" t="s">
        <v>137</v>
      </c>
      <c r="B8" s="70"/>
      <c r="C8" s="70">
        <f>C7/B7-1</f>
        <v>0.13886363636363641</v>
      </c>
      <c r="D8" s="70">
        <f>D7/C7-1</f>
        <v>0.30233486330073833</v>
      </c>
      <c r="E8" s="70">
        <f>E7/D7-1</f>
        <v>1.5629788538155109E-2</v>
      </c>
      <c r="F8" s="70">
        <f>F7/E7-1</f>
        <v>0.2085093542546772</v>
      </c>
      <c r="G8" s="70">
        <f>G7/F7-1</f>
        <v>-9.4881398252184557E-3</v>
      </c>
      <c r="H8" s="118"/>
      <c r="I8" s="64"/>
      <c r="J8" s="64"/>
      <c r="K8" s="64"/>
      <c r="L8" s="70">
        <f t="shared" ref="L8:AM8" si="16">L7/G7-1</f>
        <v>0.17166624653390472</v>
      </c>
      <c r="M8" s="64">
        <f t="shared" si="16"/>
        <v>0.15045123006552097</v>
      </c>
      <c r="N8" s="64">
        <f t="shared" si="16"/>
        <v>0.11610957527016841</v>
      </c>
      <c r="O8" s="64">
        <f t="shared" si="16"/>
        <v>-6.088909907779616E-2</v>
      </c>
      <c r="P8" s="64">
        <f t="shared" si="16"/>
        <v>6.3145438898450923E-2</v>
      </c>
      <c r="Q8" s="70">
        <f t="shared" si="16"/>
        <v>6.3145438898450923E-2</v>
      </c>
      <c r="R8" s="64">
        <f t="shared" si="16"/>
        <v>4.0618955512572441E-2</v>
      </c>
      <c r="S8" s="64">
        <f t="shared" si="16"/>
        <v>0.16437739247917138</v>
      </c>
      <c r="T8" s="64">
        <f t="shared" si="16"/>
        <v>0.23668639053254448</v>
      </c>
      <c r="U8" s="64">
        <f t="shared" si="16"/>
        <v>7.9125771526864286E-2</v>
      </c>
      <c r="V8" s="70">
        <f t="shared" si="16"/>
        <v>7.9125771526864286E-2</v>
      </c>
      <c r="W8" s="64">
        <f t="shared" si="16"/>
        <v>3.7381247418422081E-2</v>
      </c>
      <c r="X8" s="64">
        <f t="shared" si="16"/>
        <v>-8.4993231483272091E-2</v>
      </c>
      <c r="Y8" s="64">
        <f t="shared" si="16"/>
        <v>-8.4800977298177704E-2</v>
      </c>
      <c r="Z8" s="64">
        <f t="shared" si="16"/>
        <v>-0.20553211439287389</v>
      </c>
      <c r="AA8" s="70">
        <f t="shared" si="16"/>
        <v>-0.20553211439287389</v>
      </c>
      <c r="AB8" s="64">
        <f t="shared" si="16"/>
        <v>-0.20435994425642046</v>
      </c>
      <c r="AC8" s="64">
        <f t="shared" si="16"/>
        <v>-4.6602557328542793E-2</v>
      </c>
      <c r="AD8" s="64">
        <f t="shared" si="16"/>
        <v>-6.1401557285873154E-2</v>
      </c>
      <c r="AE8" s="64">
        <f t="shared" si="16"/>
        <v>0.15260238404343207</v>
      </c>
      <c r="AF8" s="70"/>
      <c r="AG8" s="64">
        <f t="shared" si="16"/>
        <v>0.3590641811585138</v>
      </c>
      <c r="AH8" s="64">
        <f t="shared" si="16"/>
        <v>0.14808246508534695</v>
      </c>
      <c r="AI8" s="64">
        <f t="shared" si="16"/>
        <v>0.20289168049300788</v>
      </c>
      <c r="AJ8" s="64">
        <f t="shared" si="16"/>
        <v>0.19352856850296951</v>
      </c>
      <c r="AK8" s="70">
        <f>AK7/AF7-1</f>
        <v>9.4396813025028337E-3</v>
      </c>
      <c r="AL8" s="64">
        <f t="shared" si="16"/>
        <v>5.6153916965846484E-3</v>
      </c>
      <c r="AM8" s="64">
        <f t="shared" si="16"/>
        <v>-4.2961961768681167E-2</v>
      </c>
      <c r="AN8" s="64">
        <f t="shared" ref="AN8:AS8" si="17">AN7/AI7-1</f>
        <v>-5.6847290640394066E-2</v>
      </c>
      <c r="AO8" s="64">
        <f t="shared" si="17"/>
        <v>-6.3486616334934798E-2</v>
      </c>
      <c r="AP8" s="70">
        <f t="shared" si="17"/>
        <v>-6.3486616334934798E-2</v>
      </c>
      <c r="AQ8" s="64">
        <f t="shared" si="17"/>
        <v>-3.0025631636763084E-2</v>
      </c>
      <c r="AR8" s="64">
        <f t="shared" si="17"/>
        <v>-2.764047210733378E-2</v>
      </c>
      <c r="AS8" s="64">
        <f t="shared" si="17"/>
        <v>3.1755980361433123E-2</v>
      </c>
      <c r="AT8" s="64">
        <f t="shared" ref="AT8:AU8" si="18">AT7/AO7-1</f>
        <v>5.3041407108830985E-2</v>
      </c>
      <c r="AU8" s="70">
        <f t="shared" si="18"/>
        <v>5.3041407108830985E-2</v>
      </c>
      <c r="AV8" s="64"/>
      <c r="AW8" s="64"/>
      <c r="AX8" s="64"/>
      <c r="AY8" s="64"/>
      <c r="AZ8" s="70">
        <f>AZ7/AU7-1</f>
        <v>-9.856459330143541E-2</v>
      </c>
      <c r="BA8" s="64"/>
      <c r="BB8" s="64"/>
      <c r="BC8" s="64"/>
      <c r="BD8" s="64"/>
      <c r="BE8" s="70">
        <f>BE7/AZ7-1</f>
        <v>2.5767226404169064E-2</v>
      </c>
      <c r="BF8" s="121"/>
      <c r="BG8" s="64"/>
      <c r="BH8" s="64"/>
      <c r="BI8" s="122"/>
      <c r="BJ8" s="70">
        <f t="shared" ref="BJ8:BO8" si="19">BJ7/BE7-1</f>
        <v>-4.4218647097563291E-2</v>
      </c>
      <c r="BK8" s="121">
        <f t="shared" si="19"/>
        <v>6.0535051747705459E-3</v>
      </c>
      <c r="BL8" s="64">
        <f t="shared" si="19"/>
        <v>9.6395220403655557E-3</v>
      </c>
      <c r="BM8" s="64">
        <f t="shared" si="19"/>
        <v>-5.9791041688217694E-2</v>
      </c>
      <c r="BN8" s="122">
        <f t="shared" si="19"/>
        <v>-9.5777143419627953E-2</v>
      </c>
      <c r="BO8" s="70">
        <f t="shared" si="19"/>
        <v>-9.5777143419627953E-2</v>
      </c>
      <c r="BP8" s="70"/>
      <c r="BQ8" s="121"/>
      <c r="BR8" s="64"/>
      <c r="BS8" s="64"/>
      <c r="BT8" s="122"/>
      <c r="BU8" s="70"/>
      <c r="BV8" s="121"/>
      <c r="BW8" s="64"/>
      <c r="BX8" s="64"/>
      <c r="BY8" s="122"/>
      <c r="BZ8" s="70"/>
      <c r="CA8" s="121"/>
      <c r="CB8" s="64"/>
      <c r="CC8" s="64"/>
      <c r="CD8" s="122"/>
      <c r="CE8" s="70"/>
      <c r="CF8" s="121"/>
      <c r="CG8" s="64"/>
      <c r="CH8" s="64"/>
      <c r="CI8" s="122"/>
      <c r="CJ8" s="70"/>
      <c r="CK8" s="289"/>
      <c r="CL8" s="745"/>
      <c r="CM8" s="743"/>
      <c r="CN8" s="682"/>
      <c r="CO8" s="658"/>
      <c r="CP8" s="658"/>
      <c r="CQ8" s="658"/>
      <c r="CR8" s="658"/>
      <c r="CS8" s="658"/>
      <c r="CT8" s="289"/>
    </row>
    <row r="9" spans="1:107" s="180" customFormat="1" ht="12" customHeight="1">
      <c r="A9" s="385" t="s">
        <v>12</v>
      </c>
      <c r="B9" s="354"/>
      <c r="C9" s="354">
        <v>2375</v>
      </c>
      <c r="D9" s="354">
        <v>3318</v>
      </c>
      <c r="E9" s="354">
        <v>3454</v>
      </c>
      <c r="F9" s="354">
        <v>3009</v>
      </c>
      <c r="G9" s="354">
        <v>4088</v>
      </c>
      <c r="H9" s="357">
        <v>4156</v>
      </c>
      <c r="I9" s="357">
        <v>3879</v>
      </c>
      <c r="J9" s="357">
        <v>3399</v>
      </c>
      <c r="K9" s="358">
        <v>4781</v>
      </c>
      <c r="L9" s="354">
        <v>4781</v>
      </c>
      <c r="M9" s="358">
        <v>5382</v>
      </c>
      <c r="N9" s="357">
        <v>5044</v>
      </c>
      <c r="O9" s="357">
        <v>4334</v>
      </c>
      <c r="P9" s="358">
        <v>4802</v>
      </c>
      <c r="Q9" s="354">
        <v>4802</v>
      </c>
      <c r="R9" s="358">
        <v>5735</v>
      </c>
      <c r="S9" s="358">
        <v>5776</v>
      </c>
      <c r="T9" s="357">
        <v>5523</v>
      </c>
      <c r="U9" s="358">
        <v>5595</v>
      </c>
      <c r="V9" s="354">
        <v>5595</v>
      </c>
      <c r="W9" s="358">
        <v>5701</v>
      </c>
      <c r="X9" s="358">
        <v>5637</v>
      </c>
      <c r="Y9" s="358">
        <v>5590</v>
      </c>
      <c r="Z9" s="358">
        <v>6433</v>
      </c>
      <c r="AA9" s="354">
        <v>6433</v>
      </c>
      <c r="AB9" s="358">
        <v>6259</v>
      </c>
      <c r="AC9" s="358">
        <v>5803</v>
      </c>
      <c r="AD9" s="358">
        <v>5380</v>
      </c>
      <c r="AE9" s="358">
        <v>7100</v>
      </c>
      <c r="AF9" s="134">
        <v>8512</v>
      </c>
      <c r="AG9" s="358">
        <v>8714</v>
      </c>
      <c r="AH9" s="358">
        <v>8530</v>
      </c>
      <c r="AI9" s="358">
        <v>8171</v>
      </c>
      <c r="AJ9" s="358">
        <v>9188</v>
      </c>
      <c r="AK9" s="134">
        <f>AJ9</f>
        <v>9188</v>
      </c>
      <c r="AL9" s="358">
        <v>8841</v>
      </c>
      <c r="AM9" s="358">
        <v>8295</v>
      </c>
      <c r="AN9" s="358">
        <v>7985</v>
      </c>
      <c r="AO9" s="358">
        <v>9397</v>
      </c>
      <c r="AP9" s="134">
        <f>AO9</f>
        <v>9397</v>
      </c>
      <c r="AQ9" s="358">
        <v>8977</v>
      </c>
      <c r="AR9" s="660">
        <v>8365</v>
      </c>
      <c r="AS9" s="136">
        <v>8411</v>
      </c>
      <c r="AT9" s="660">
        <v>8939</v>
      </c>
      <c r="AU9" s="134">
        <f>AT9</f>
        <v>8939</v>
      </c>
      <c r="AV9" s="358"/>
      <c r="AW9" s="660"/>
      <c r="AX9" s="136"/>
      <c r="AY9" s="660"/>
      <c r="AZ9" s="134">
        <v>8257</v>
      </c>
      <c r="BA9" s="660"/>
      <c r="BB9" s="660"/>
      <c r="BC9" s="660"/>
      <c r="BD9" s="660"/>
      <c r="BE9" s="134">
        <v>8961</v>
      </c>
      <c r="BF9" s="901">
        <v>8776</v>
      </c>
      <c r="BG9" s="670">
        <v>8584</v>
      </c>
      <c r="BH9" s="670">
        <v>7996</v>
      </c>
      <c r="BI9" s="752"/>
      <c r="BJ9" s="748"/>
      <c r="BK9" s="901"/>
      <c r="BL9" s="181"/>
      <c r="BM9" s="353"/>
      <c r="BN9" s="752"/>
      <c r="BO9" s="748"/>
      <c r="BP9" s="748"/>
      <c r="BQ9" s="355"/>
      <c r="BR9" s="181"/>
      <c r="BS9" s="181"/>
      <c r="BT9" s="356"/>
      <c r="BU9" s="354"/>
      <c r="BV9" s="355"/>
      <c r="BW9" s="181"/>
      <c r="BX9" s="181"/>
      <c r="BY9" s="356"/>
      <c r="BZ9" s="354"/>
      <c r="CA9" s="355"/>
      <c r="CB9" s="181"/>
      <c r="CC9" s="181"/>
      <c r="CD9" s="356"/>
      <c r="CE9" s="354"/>
      <c r="CF9" s="355"/>
      <c r="CG9" s="181"/>
      <c r="CH9" s="181"/>
      <c r="CI9" s="356"/>
      <c r="CJ9" s="354"/>
      <c r="CK9" s="291"/>
      <c r="CL9" s="657"/>
      <c r="CM9" s="657"/>
      <c r="CN9" s="682"/>
      <c r="CO9" s="657"/>
      <c r="CP9" s="657"/>
      <c r="CQ9" s="657"/>
      <c r="CR9" s="657"/>
      <c r="CS9" s="657"/>
      <c r="CT9" s="291"/>
      <c r="CX9"/>
      <c r="CY9"/>
      <c r="CZ9"/>
      <c r="DA9"/>
      <c r="DB9"/>
      <c r="DC9"/>
    </row>
    <row r="10" spans="1:107" ht="12" customHeight="1">
      <c r="A10" s="385" t="s">
        <v>13</v>
      </c>
      <c r="B10" s="378"/>
      <c r="C10" s="378">
        <f t="shared" ref="C10:AM10" si="20">1-C9/C7</f>
        <v>0.52604270604669723</v>
      </c>
      <c r="D10" s="378">
        <f t="shared" si="20"/>
        <v>0.49157217284707322</v>
      </c>
      <c r="E10" s="378">
        <f t="shared" si="20"/>
        <v>0.47887748943874475</v>
      </c>
      <c r="F10" s="378">
        <f t="shared" si="20"/>
        <v>0.62434456928838955</v>
      </c>
      <c r="G10" s="378">
        <f t="shared" si="20"/>
        <v>0.48474918074111417</v>
      </c>
      <c r="H10" s="379">
        <f t="shared" si="20"/>
        <v>0.48621584868339718</v>
      </c>
      <c r="I10" s="379">
        <f t="shared" si="20"/>
        <v>0.51256597134958537</v>
      </c>
      <c r="J10" s="379">
        <f t="shared" si="20"/>
        <v>0.5981319460865453</v>
      </c>
      <c r="K10" s="380">
        <f t="shared" si="20"/>
        <v>0.48569277108433739</v>
      </c>
      <c r="L10" s="378">
        <f t="shared" si="20"/>
        <v>0.48569277108433739</v>
      </c>
      <c r="M10" s="380">
        <f t="shared" si="20"/>
        <v>0.42166344294003866</v>
      </c>
      <c r="N10" s="379">
        <f t="shared" si="20"/>
        <v>0.4321098851609998</v>
      </c>
      <c r="O10" s="379">
        <f t="shared" si="20"/>
        <v>0.45436233161274076</v>
      </c>
      <c r="P10" s="380">
        <f t="shared" si="20"/>
        <v>0.51411514722250329</v>
      </c>
      <c r="Q10" s="378">
        <f t="shared" si="20"/>
        <v>0.51411514722250329</v>
      </c>
      <c r="R10" s="380">
        <f t="shared" si="20"/>
        <v>0.40778603882693099</v>
      </c>
      <c r="S10" s="380">
        <f t="shared" si="20"/>
        <v>0.44150067685167282</v>
      </c>
      <c r="T10" s="379">
        <f t="shared" si="20"/>
        <v>0.43774814211544333</v>
      </c>
      <c r="U10" s="381">
        <f t="shared" si="20"/>
        <v>0.47538677918424754</v>
      </c>
      <c r="V10" s="378">
        <f t="shared" si="20"/>
        <v>0.47538677918424754</v>
      </c>
      <c r="W10" s="380">
        <f t="shared" si="20"/>
        <v>0.43251045192116266</v>
      </c>
      <c r="X10" s="380">
        <f t="shared" si="20"/>
        <v>0.40431152911338897</v>
      </c>
      <c r="Y10" s="382">
        <f t="shared" si="20"/>
        <v>0.37819799777530594</v>
      </c>
      <c r="Z10" s="382">
        <f t="shared" si="20"/>
        <v>0.24076478224949838</v>
      </c>
      <c r="AA10" s="378">
        <f t="shared" si="20"/>
        <v>0.24076478224949838</v>
      </c>
      <c r="AB10" s="380">
        <f t="shared" si="20"/>
        <v>0.21693982234455145</v>
      </c>
      <c r="AC10" s="380">
        <f t="shared" si="20"/>
        <v>0.35679450232764354</v>
      </c>
      <c r="AD10" s="380">
        <f t="shared" si="20"/>
        <v>0.36240815359089829</v>
      </c>
      <c r="AE10" s="380">
        <f t="shared" si="20"/>
        <v>0.27298791726397709</v>
      </c>
      <c r="AF10" s="378">
        <f t="shared" si="20"/>
        <v>0.26283883259721141</v>
      </c>
      <c r="AG10" s="380">
        <f t="shared" si="20"/>
        <v>0.19782748780263282</v>
      </c>
      <c r="AH10" s="380">
        <f t="shared" si="20"/>
        <v>0.17648194632168368</v>
      </c>
      <c r="AI10" s="380">
        <f t="shared" si="20"/>
        <v>0.1949753694581281</v>
      </c>
      <c r="AJ10" s="380">
        <f t="shared" si="20"/>
        <v>0.21173644474948528</v>
      </c>
      <c r="AK10" s="378">
        <f>1-AK9/AK7</f>
        <v>0.21173644474948528</v>
      </c>
      <c r="AL10" s="380">
        <f t="shared" si="20"/>
        <v>0.19068106920541927</v>
      </c>
      <c r="AM10" s="380">
        <f t="shared" si="20"/>
        <v>0.16322001412286891</v>
      </c>
      <c r="AN10" s="380">
        <f t="shared" ref="AN10:AS10" si="21">1-AN9/AN7</f>
        <v>0.16588321320380239</v>
      </c>
      <c r="AO10" s="380">
        <f t="shared" si="21"/>
        <v>0.13915353609380721</v>
      </c>
      <c r="AP10" s="378">
        <f t="shared" si="21"/>
        <v>0.13915353609380721</v>
      </c>
      <c r="AQ10" s="380">
        <f t="shared" si="21"/>
        <v>0.15279350698376748</v>
      </c>
      <c r="AR10" s="661">
        <f t="shared" si="21"/>
        <v>0.13217138707334786</v>
      </c>
      <c r="AS10" s="380">
        <f t="shared" si="21"/>
        <v>0.1484256353143667</v>
      </c>
      <c r="AT10" s="380">
        <f t="shared" ref="AT10:BH10" si="22">1-AT9/AT7</f>
        <v>0.22235754675946062</v>
      </c>
      <c r="AU10" s="378">
        <f t="shared" si="22"/>
        <v>0.22235754675946062</v>
      </c>
      <c r="AV10" s="380"/>
      <c r="AW10" s="661"/>
      <c r="AX10" s="380"/>
      <c r="AY10" s="380"/>
      <c r="AZ10" s="378">
        <f>1-AZ9/AZ7</f>
        <v>0.20314611078942291</v>
      </c>
      <c r="BA10" s="380"/>
      <c r="BB10" s="661"/>
      <c r="BC10" s="703"/>
      <c r="BD10" s="380"/>
      <c r="BE10" s="378">
        <f>1-BE9/BE7</f>
        <v>0.15692915608241598</v>
      </c>
      <c r="BF10" s="380">
        <f t="shared" si="22"/>
        <v>0.1431361062292521</v>
      </c>
      <c r="BG10" s="661">
        <f t="shared" si="22"/>
        <v>0.1380660708906517</v>
      </c>
      <c r="BH10" s="380">
        <f t="shared" si="22"/>
        <v>0.17285610841005483</v>
      </c>
      <c r="BI10" s="380"/>
      <c r="BJ10" s="378"/>
      <c r="BK10" s="121"/>
      <c r="BL10" s="64"/>
      <c r="BM10" s="703"/>
      <c r="BN10" s="380"/>
      <c r="BO10" s="378"/>
      <c r="BP10" s="378"/>
      <c r="BQ10" s="121"/>
      <c r="BR10" s="64"/>
      <c r="BS10" s="64"/>
      <c r="BT10" s="122"/>
      <c r="BU10" s="70"/>
      <c r="BV10" s="121"/>
      <c r="BW10" s="64"/>
      <c r="BX10" s="64"/>
      <c r="BY10" s="122"/>
      <c r="BZ10" s="70"/>
      <c r="CA10" s="121"/>
      <c r="CB10" s="64"/>
      <c r="CC10" s="64"/>
      <c r="CD10" s="122"/>
      <c r="CE10" s="70"/>
      <c r="CF10" s="121"/>
      <c r="CG10" s="64"/>
      <c r="CH10" s="64"/>
      <c r="CI10" s="122"/>
      <c r="CJ10" s="70"/>
      <c r="CK10" s="66"/>
      <c r="CL10" s="657"/>
      <c r="CM10" s="658"/>
      <c r="CN10" s="682"/>
      <c r="CO10" s="658"/>
      <c r="CP10" s="658"/>
      <c r="CQ10" s="658"/>
      <c r="CR10" s="658"/>
      <c r="CS10" s="658"/>
      <c r="CT10" s="289"/>
    </row>
    <row r="11" spans="1:107" s="180" customFormat="1" ht="12" customHeight="1">
      <c r="A11" s="385" t="s">
        <v>134</v>
      </c>
      <c r="B11" s="354">
        <v>2558</v>
      </c>
      <c r="C11" s="354">
        <v>2987</v>
      </c>
      <c r="D11" s="354">
        <v>4344</v>
      </c>
      <c r="E11" s="354">
        <v>3494</v>
      </c>
      <c r="F11" s="354">
        <v>5265</v>
      </c>
      <c r="G11" s="354">
        <v>4118</v>
      </c>
      <c r="H11" s="357">
        <v>1256</v>
      </c>
      <c r="I11" s="357">
        <v>1050</v>
      </c>
      <c r="J11" s="357">
        <v>1625</v>
      </c>
      <c r="K11" s="358">
        <v>2135</v>
      </c>
      <c r="L11" s="354">
        <v>6066</v>
      </c>
      <c r="M11" s="358">
        <v>1106</v>
      </c>
      <c r="N11" s="357">
        <v>981</v>
      </c>
      <c r="O11" s="357">
        <v>516</v>
      </c>
      <c r="P11" s="358">
        <v>3330</v>
      </c>
      <c r="Q11" s="354">
        <v>5933</v>
      </c>
      <c r="R11" s="358">
        <v>1209</v>
      </c>
      <c r="S11" s="358">
        <v>1796</v>
      </c>
      <c r="T11" s="358">
        <v>712</v>
      </c>
      <c r="U11" s="358">
        <v>2252</v>
      </c>
      <c r="V11" s="354">
        <v>5969</v>
      </c>
      <c r="W11" s="358">
        <v>735</v>
      </c>
      <c r="X11" s="358">
        <v>831</v>
      </c>
      <c r="Y11" s="358">
        <v>721</v>
      </c>
      <c r="Z11" s="181">
        <v>982</v>
      </c>
      <c r="AA11" s="354">
        <v>3269</v>
      </c>
      <c r="AB11" s="358">
        <v>636</v>
      </c>
      <c r="AC11" s="358">
        <v>2306</v>
      </c>
      <c r="AD11" s="358">
        <v>679</v>
      </c>
      <c r="AE11" s="181">
        <v>2771</v>
      </c>
      <c r="AF11" s="170">
        <v>7605</v>
      </c>
      <c r="AG11" s="358">
        <v>895</v>
      </c>
      <c r="AH11" s="358">
        <v>1148</v>
      </c>
      <c r="AI11" s="358">
        <v>1361</v>
      </c>
      <c r="AJ11" s="181">
        <v>3229</v>
      </c>
      <c r="AK11" s="354">
        <v>6633</v>
      </c>
      <c r="AL11" s="358">
        <v>926</v>
      </c>
      <c r="AM11" s="358">
        <v>802</v>
      </c>
      <c r="AN11" s="358">
        <v>1234</v>
      </c>
      <c r="AO11" s="136">
        <f>AP11-SUM(AL11:AN11)</f>
        <v>2907</v>
      </c>
      <c r="AP11" s="354">
        <v>5869</v>
      </c>
      <c r="AQ11" s="358">
        <v>1180</v>
      </c>
      <c r="AR11" s="660">
        <v>657</v>
      </c>
      <c r="AS11" s="358">
        <v>1764</v>
      </c>
      <c r="AT11" s="136">
        <f>AU11-SUM(AQ11:AS11)</f>
        <v>3352</v>
      </c>
      <c r="AU11" s="708">
        <v>6953</v>
      </c>
      <c r="AV11" s="358"/>
      <c r="AW11" s="660"/>
      <c r="AX11" s="358"/>
      <c r="AY11" s="136"/>
      <c r="AZ11" s="708">
        <v>6174</v>
      </c>
      <c r="BA11" s="660">
        <v>1328</v>
      </c>
      <c r="BB11" s="660">
        <v>2650</v>
      </c>
      <c r="BC11" s="660">
        <v>657</v>
      </c>
      <c r="BD11" s="136">
        <v>1754</v>
      </c>
      <c r="BE11" s="708">
        <f>+SUM(BA11:BD11)</f>
        <v>6389</v>
      </c>
      <c r="BF11" s="901">
        <v>1017</v>
      </c>
      <c r="BG11" s="670">
        <v>1273</v>
      </c>
      <c r="BH11" s="670">
        <v>1042</v>
      </c>
      <c r="BI11" s="892">
        <f>5389-SUM(BF11:BH11)</f>
        <v>2057</v>
      </c>
      <c r="BJ11" s="708">
        <f>SUM(BF11:BI11)</f>
        <v>5389</v>
      </c>
      <c r="BK11" s="901">
        <v>1631</v>
      </c>
      <c r="BL11" s="181">
        <v>1231</v>
      </c>
      <c r="BM11" s="670">
        <v>425</v>
      </c>
      <c r="BN11" s="1051">
        <f>4934-BM11-BL11-BK11</f>
        <v>1647</v>
      </c>
      <c r="BO11" s="708">
        <f>SUM(BK11:BN11)</f>
        <v>4934</v>
      </c>
      <c r="BP11" s="708"/>
      <c r="BQ11" s="355"/>
      <c r="BR11" s="181"/>
      <c r="BS11" s="181"/>
      <c r="BT11" s="356"/>
      <c r="BU11" s="354"/>
      <c r="BV11" s="355"/>
      <c r="BW11" s="181"/>
      <c r="BX11" s="181"/>
      <c r="BY11" s="356"/>
      <c r="BZ11" s="354"/>
      <c r="CA11" s="355"/>
      <c r="CB11" s="181"/>
      <c r="CC11" s="181"/>
      <c r="CD11" s="356"/>
      <c r="CE11" s="354"/>
      <c r="CF11" s="355"/>
      <c r="CG11" s="181"/>
      <c r="CH11" s="181"/>
      <c r="CI11" s="356"/>
      <c r="CJ11" s="354"/>
      <c r="CK11" s="291"/>
      <c r="CL11" s="743"/>
      <c r="CM11" s="657"/>
      <c r="CN11" s="682"/>
      <c r="CO11" s="657"/>
      <c r="CP11" s="657"/>
      <c r="CQ11" s="657"/>
      <c r="CR11" s="657"/>
      <c r="CS11" s="657"/>
      <c r="CT11" s="291"/>
      <c r="CX11"/>
      <c r="CY11"/>
      <c r="CZ11"/>
      <c r="DA11"/>
      <c r="DB11"/>
      <c r="DC11"/>
    </row>
    <row r="12" spans="1:107" s="652" customFormat="1" ht="12" customHeight="1">
      <c r="A12" s="644" t="s">
        <v>116</v>
      </c>
      <c r="B12" s="645">
        <f t="shared" ref="B12:AG12" si="23">+B11/B4</f>
        <v>1.1293598233995585</v>
      </c>
      <c r="C12" s="645">
        <f t="shared" si="23"/>
        <v>1.2624683009298394</v>
      </c>
      <c r="D12" s="645">
        <f t="shared" si="23"/>
        <v>1.5167597765363128</v>
      </c>
      <c r="E12" s="645">
        <f t="shared" si="23"/>
        <v>1.0109953703703705</v>
      </c>
      <c r="F12" s="645">
        <f t="shared" si="23"/>
        <v>1.3829787234042554</v>
      </c>
      <c r="G12" s="645">
        <f t="shared" si="23"/>
        <v>0.97582938388625595</v>
      </c>
      <c r="H12" s="646">
        <f t="shared" si="23"/>
        <v>1.1501831501831501</v>
      </c>
      <c r="I12" s="646">
        <f t="shared" si="23"/>
        <v>0.90051457975986282</v>
      </c>
      <c r="J12" s="646">
        <f t="shared" si="23"/>
        <v>1.4167393199651264</v>
      </c>
      <c r="K12" s="646">
        <f t="shared" si="23"/>
        <v>1.6550387596899225</v>
      </c>
      <c r="L12" s="645">
        <f t="shared" si="23"/>
        <v>1.2920127795527157</v>
      </c>
      <c r="M12" s="646">
        <f t="shared" si="23"/>
        <v>0.92785234899328861</v>
      </c>
      <c r="N12" s="646">
        <f t="shared" si="23"/>
        <v>0.78042959427207637</v>
      </c>
      <c r="O12" s="646">
        <f t="shared" si="23"/>
        <v>0.40438871473354232</v>
      </c>
      <c r="P12" s="646">
        <f t="shared" si="23"/>
        <v>2.3401264933239636</v>
      </c>
      <c r="Q12" s="645">
        <f t="shared" si="23"/>
        <v>1.1524864024864026</v>
      </c>
      <c r="R12" s="646">
        <f t="shared" si="23"/>
        <v>0.95800316957210774</v>
      </c>
      <c r="S12" s="646">
        <f t="shared" si="23"/>
        <v>1.345318352059925</v>
      </c>
      <c r="T12" s="646">
        <f t="shared" si="23"/>
        <v>0.51333813987022348</v>
      </c>
      <c r="U12" s="646">
        <f t="shared" si="23"/>
        <v>1.4613887086307593</v>
      </c>
      <c r="V12" s="645">
        <f t="shared" si="23"/>
        <v>1.0803619909502262</v>
      </c>
      <c r="W12" s="646">
        <f t="shared" si="23"/>
        <v>0.55014970059880242</v>
      </c>
      <c r="X12" s="646">
        <f t="shared" si="23"/>
        <v>0.61464497041420119</v>
      </c>
      <c r="Y12" s="646">
        <f t="shared" si="23"/>
        <v>0.54662623199393479</v>
      </c>
      <c r="Z12" s="646">
        <f t="shared" si="23"/>
        <v>0.6712235133287765</v>
      </c>
      <c r="AA12" s="645">
        <f t="shared" si="23"/>
        <v>0.59762340036563066</v>
      </c>
      <c r="AB12" s="646">
        <f t="shared" si="23"/>
        <v>0.52173913043478259</v>
      </c>
      <c r="AC12" s="646">
        <f t="shared" si="23"/>
        <v>1.8128930817610063</v>
      </c>
      <c r="AD12" s="646">
        <f t="shared" si="23"/>
        <v>0.57738095238095233</v>
      </c>
      <c r="AE12" s="646">
        <f t="shared" si="23"/>
        <v>2.1463981409759878</v>
      </c>
      <c r="AF12" s="645">
        <f t="shared" si="23"/>
        <v>1.1807172799254775</v>
      </c>
      <c r="AG12" s="646">
        <f t="shared" si="23"/>
        <v>0.56717363751584282</v>
      </c>
      <c r="AH12" s="646">
        <f t="shared" ref="AH12:BE12" si="24">+AH11/AH4</f>
        <v>0.72935196950444725</v>
      </c>
      <c r="AI12" s="646">
        <f t="shared" si="24"/>
        <v>0.84534161490683235</v>
      </c>
      <c r="AJ12" s="646">
        <f t="shared" si="24"/>
        <v>1.8664739884393065</v>
      </c>
      <c r="AK12" s="645">
        <f t="shared" si="24"/>
        <v>1.0217190388170057</v>
      </c>
      <c r="AL12" s="647">
        <f t="shared" si="24"/>
        <v>0.58020050125313283</v>
      </c>
      <c r="AM12" s="646">
        <f t="shared" si="24"/>
        <v>0.46600813480534575</v>
      </c>
      <c r="AN12" s="646">
        <f t="shared" si="24"/>
        <v>0.7698066126013724</v>
      </c>
      <c r="AO12" s="646">
        <f t="shared" si="24"/>
        <v>1.8527724665391969</v>
      </c>
      <c r="AP12" s="645">
        <f t="shared" si="24"/>
        <v>0.90445369086145788</v>
      </c>
      <c r="AQ12" s="647">
        <f t="shared" si="24"/>
        <v>0.79675894665766378</v>
      </c>
      <c r="AR12" s="646">
        <f t="shared" si="24"/>
        <v>0.42414460942543575</v>
      </c>
      <c r="AS12" s="646">
        <f t="shared" si="24"/>
        <v>1.2352941176470589</v>
      </c>
      <c r="AT12" s="646">
        <f t="shared" si="24"/>
        <v>2.0602335586969884</v>
      </c>
      <c r="AU12" s="645">
        <f t="shared" si="24"/>
        <v>1.142645850451931</v>
      </c>
      <c r="AV12" s="647"/>
      <c r="AW12" s="646"/>
      <c r="AX12" s="646"/>
      <c r="AY12" s="646"/>
      <c r="AZ12" s="645">
        <f t="shared" ref="AZ12" si="25">+AZ11/AZ4</f>
        <v>1.1025</v>
      </c>
      <c r="BA12" s="647">
        <f t="shared" si="24"/>
        <v>1.0160673297628156</v>
      </c>
      <c r="BB12" s="646">
        <f t="shared" si="24"/>
        <v>1.6932907348242812</v>
      </c>
      <c r="BC12" s="646">
        <f t="shared" si="24"/>
        <v>0.4636556104446013</v>
      </c>
      <c r="BD12" s="646">
        <f t="shared" si="24"/>
        <v>1.1258023106546855</v>
      </c>
      <c r="BE12" s="645">
        <f t="shared" si="24"/>
        <v>1.0926971096288696</v>
      </c>
      <c r="BF12" s="647">
        <f t="shared" ref="BF12" si="26">+BF11/BF4</f>
        <v>0.76122754491017963</v>
      </c>
      <c r="BG12" s="646">
        <f t="shared" ref="BG12" si="27">+BG11/BG4</f>
        <v>0.90993566833452466</v>
      </c>
      <c r="BH12" s="646">
        <f t="shared" ref="BH12" si="28">+BH11/BH4</f>
        <v>0.78110944527736137</v>
      </c>
      <c r="BI12" s="646">
        <f t="shared" ref="BI12" si="29">+BI11/BI4</f>
        <v>1.4619758351101635</v>
      </c>
      <c r="BJ12" s="645">
        <f t="shared" ref="BJ12:BK12" si="30">+BJ11/BJ4</f>
        <v>0.98411249086924768</v>
      </c>
      <c r="BK12" s="647">
        <f t="shared" si="30"/>
        <v>1.1666666666666667</v>
      </c>
      <c r="BL12" s="646">
        <f t="shared" ref="BL12:BO12" si="31">+BL11/BL4</f>
        <v>0.84199726402188779</v>
      </c>
      <c r="BM12" s="646">
        <f t="shared" si="31"/>
        <v>0.30553558590941771</v>
      </c>
      <c r="BN12" s="646">
        <f t="shared" si="31"/>
        <v>1.06052801030264</v>
      </c>
      <c r="BO12" s="645">
        <f t="shared" si="31"/>
        <v>0.85010337698139216</v>
      </c>
      <c r="BP12" s="645"/>
      <c r="BQ12" s="648"/>
      <c r="BR12" s="646"/>
      <c r="BS12" s="646"/>
      <c r="BT12" s="649"/>
      <c r="BU12" s="645"/>
      <c r="BV12" s="648"/>
      <c r="BW12" s="646"/>
      <c r="BX12" s="646"/>
      <c r="BY12" s="649"/>
      <c r="BZ12" s="645"/>
      <c r="CA12" s="648"/>
      <c r="CB12" s="646"/>
      <c r="CC12" s="646"/>
      <c r="CD12" s="649"/>
      <c r="CE12" s="645"/>
      <c r="CF12" s="648"/>
      <c r="CG12" s="646"/>
      <c r="CH12" s="646"/>
      <c r="CI12" s="649"/>
      <c r="CJ12" s="645"/>
      <c r="CK12" s="650"/>
      <c r="CL12" s="744"/>
      <c r="CM12" s="744"/>
      <c r="CN12" s="976"/>
      <c r="CO12" s="744"/>
      <c r="CP12" s="744"/>
      <c r="CQ12" s="744"/>
      <c r="CR12" s="744"/>
      <c r="CS12" s="744"/>
      <c r="CT12" s="651"/>
      <c r="CX12"/>
      <c r="CY12"/>
      <c r="CZ12"/>
      <c r="DA12"/>
      <c r="DB12"/>
      <c r="DC12"/>
    </row>
    <row r="13" spans="1:107" s="652" customFormat="1" ht="12" customHeight="1">
      <c r="A13" s="644" t="s">
        <v>1</v>
      </c>
      <c r="B13" s="645">
        <f t="shared" ref="B13:G13" si="32">B7/B4</f>
        <v>1.9426048565121412</v>
      </c>
      <c r="C13" s="645">
        <f t="shared" si="32"/>
        <v>2.117920540997464</v>
      </c>
      <c r="D13" s="645">
        <f t="shared" si="32"/>
        <v>2.2786312849162011</v>
      </c>
      <c r="E13" s="645">
        <f t="shared" si="32"/>
        <v>1.9178240740740742</v>
      </c>
      <c r="F13" s="645">
        <f t="shared" si="32"/>
        <v>2.104018912529551</v>
      </c>
      <c r="G13" s="645">
        <f t="shared" si="32"/>
        <v>1.8800947867298579</v>
      </c>
      <c r="H13" s="646">
        <f>H7/H4/4</f>
        <v>1.8518772893772895</v>
      </c>
      <c r="I13" s="646">
        <f>I7/I4/4</f>
        <v>1.7062607204116638</v>
      </c>
      <c r="J13" s="646">
        <f>J7/J4/4</f>
        <v>1.8435047951176984</v>
      </c>
      <c r="K13" s="646">
        <f>K7/K4/4</f>
        <v>1.8015503875968992</v>
      </c>
      <c r="L13" s="645">
        <f>L7/L4</f>
        <v>1.9799787007454739</v>
      </c>
      <c r="M13" s="646">
        <f>M7/M4/4</f>
        <v>1.9517617449664431</v>
      </c>
      <c r="N13" s="646">
        <f>N7/N4/4</f>
        <v>1.7665075576770088</v>
      </c>
      <c r="O13" s="646">
        <f>O7/O4/4</f>
        <v>1.5562304075235109</v>
      </c>
      <c r="P13" s="646">
        <f>P7/P4/4</f>
        <v>1.7362965565706254</v>
      </c>
      <c r="Q13" s="645">
        <f>Q7/Q4</f>
        <v>1.9197746697746698</v>
      </c>
      <c r="R13" s="646">
        <f>R7/R4/4</f>
        <v>1.9183835182250397</v>
      </c>
      <c r="S13" s="646">
        <f>S7/S4/4</f>
        <v>1.9367041198501873</v>
      </c>
      <c r="T13" s="646">
        <f>T7/T4/4</f>
        <v>1.7705479452054795</v>
      </c>
      <c r="U13" s="646">
        <f>U7/U4/4</f>
        <v>1.7302076573653471</v>
      </c>
      <c r="V13" s="645">
        <f>V7/V4</f>
        <v>1.930316742081448</v>
      </c>
      <c r="W13" s="646">
        <f>W7/W4/4</f>
        <v>1.8798652694610778</v>
      </c>
      <c r="X13" s="646">
        <f>X7/X4/4</f>
        <v>1.7498150887573964</v>
      </c>
      <c r="Y13" s="646">
        <f>Y7/Y4/4</f>
        <v>1.7039423805913572</v>
      </c>
      <c r="Z13" s="646">
        <f>Z7/Z4/4</f>
        <v>1.4478810663021189</v>
      </c>
      <c r="AA13" s="645">
        <f>AA7/AA4</f>
        <v>1.5489945155393052</v>
      </c>
      <c r="AB13" s="646">
        <f>AB7/AB4/4</f>
        <v>1.6392534864643149</v>
      </c>
      <c r="AC13" s="646">
        <f>AC7/AC4/4</f>
        <v>1.7731918238993711</v>
      </c>
      <c r="AD13" s="646">
        <f>AD7/AD4/4</f>
        <v>1.7937925170068028</v>
      </c>
      <c r="AE13" s="646">
        <f>AE7/AE4/4</f>
        <v>1.891169635941131</v>
      </c>
      <c r="AF13" s="645">
        <f>AF7/AF4</f>
        <v>1.792734047508151</v>
      </c>
      <c r="AG13" s="646">
        <f>AG7/AG4/4</f>
        <v>1.7210076045627376</v>
      </c>
      <c r="AH13" s="646">
        <f>AH7/AH4/4</f>
        <v>1.6451715374841169</v>
      </c>
      <c r="AI13" s="646">
        <f>AI7/AI4/4</f>
        <v>1.576086956521739</v>
      </c>
      <c r="AJ13" s="646">
        <f>AJ7/AJ4/4</f>
        <v>1.6843930635838151</v>
      </c>
      <c r="AK13" s="645">
        <f>AK7/AK4</f>
        <v>1.7954405422057917</v>
      </c>
      <c r="AL13" s="647">
        <f>AL7/AL4/4</f>
        <v>1.7111528822055138</v>
      </c>
      <c r="AM13" s="646">
        <f>AM7/AM4/4</f>
        <v>1.4400058105752469</v>
      </c>
      <c r="AN13" s="646">
        <f>AN7/AN4/4</f>
        <v>1.4929819089207736</v>
      </c>
      <c r="AO13" s="646">
        <f>AO7/AO4/4</f>
        <v>1.7393244104525176</v>
      </c>
      <c r="AP13" s="645">
        <f>AP7/AP4</f>
        <v>1.6822314686392357</v>
      </c>
      <c r="AQ13" s="647">
        <f>AQ7/AQ4/4</f>
        <v>1.7886563133018232</v>
      </c>
      <c r="AR13" s="646">
        <f>AR7/AR4/4</f>
        <v>1.5556810845706908</v>
      </c>
      <c r="AS13" s="646">
        <f>AS7/AS4/4</f>
        <v>1.7291666666666667</v>
      </c>
      <c r="AT13" s="646">
        <f>AT7/AT4/4</f>
        <v>1.7662876459741856</v>
      </c>
      <c r="AU13" s="645">
        <f>AU7/AU4</f>
        <v>1.8890714872637633</v>
      </c>
      <c r="AV13" s="647"/>
      <c r="AW13" s="646"/>
      <c r="AX13" s="646"/>
      <c r="AY13" s="646"/>
      <c r="AZ13" s="645">
        <f>AZ7/AZ4</f>
        <v>1.8503571428571428</v>
      </c>
      <c r="BA13" s="647"/>
      <c r="BB13" s="646"/>
      <c r="BC13" s="646"/>
      <c r="BD13" s="646"/>
      <c r="BE13" s="645">
        <f>BE7/BE4</f>
        <v>1.8178553104155977</v>
      </c>
      <c r="BF13" s="647">
        <f>BF7/BF4/4</f>
        <v>1.9165419161676647</v>
      </c>
      <c r="BG13" s="646">
        <f>BG7/BG4/4</f>
        <v>1.7796640457469621</v>
      </c>
      <c r="BH13" s="646">
        <f>BH7/BH4/4</f>
        <v>1.811656671664168</v>
      </c>
      <c r="BI13" s="646">
        <f>BI7/BI4/4</f>
        <v>1.8050817341862118</v>
      </c>
      <c r="BJ13" s="645">
        <f>BJ7/BJ4</f>
        <v>1.8551862673484296</v>
      </c>
      <c r="BK13" s="647">
        <f>BK7/BK4/4</f>
        <v>1.8426323319027182</v>
      </c>
      <c r="BL13" s="646">
        <f>BL7/BL4/4</f>
        <v>1.719391244870041</v>
      </c>
      <c r="BM13" s="646">
        <f>BM7/BM4/4</f>
        <v>1.6335370237239397</v>
      </c>
      <c r="BN13" s="646">
        <f>BN7/BN4/4</f>
        <v>1.4787508048937541</v>
      </c>
      <c r="BO13" s="645">
        <f>BO7/BO4</f>
        <v>1.5827015851137147</v>
      </c>
      <c r="BP13" s="645"/>
      <c r="BQ13" s="648"/>
      <c r="BR13" s="646"/>
      <c r="BS13" s="646"/>
      <c r="BT13" s="646"/>
      <c r="BU13" s="648"/>
      <c r="BV13" s="648"/>
      <c r="BW13" s="646"/>
      <c r="BX13" s="646"/>
      <c r="BY13" s="646"/>
      <c r="BZ13" s="648"/>
      <c r="CA13" s="648"/>
      <c r="CB13" s="646"/>
      <c r="CC13" s="646"/>
      <c r="CD13" s="646"/>
      <c r="CE13" s="648"/>
      <c r="CF13" s="648"/>
      <c r="CG13" s="646"/>
      <c r="CH13" s="646"/>
      <c r="CI13" s="646"/>
      <c r="CJ13" s="648"/>
      <c r="CK13" s="650"/>
      <c r="CL13" s="744"/>
      <c r="CM13" s="744"/>
      <c r="CN13" s="976"/>
      <c r="CO13" s="744"/>
      <c r="CP13" s="744"/>
      <c r="CQ13" s="744"/>
      <c r="CR13" s="744"/>
      <c r="CS13" s="744"/>
      <c r="CT13" s="651"/>
      <c r="CX13"/>
      <c r="CY13"/>
      <c r="CZ13"/>
      <c r="DA13"/>
      <c r="DB13"/>
      <c r="DC13"/>
    </row>
    <row r="14" spans="1:107" s="204" customFormat="1">
      <c r="A14" s="127" t="s">
        <v>132</v>
      </c>
      <c r="B14" s="128">
        <v>1736</v>
      </c>
      <c r="C14" s="128">
        <v>1887</v>
      </c>
      <c r="D14" s="128">
        <v>2045</v>
      </c>
      <c r="E14" s="128">
        <v>2334</v>
      </c>
      <c r="F14" s="128">
        <v>2509</v>
      </c>
      <c r="G14" s="128">
        <v>2560</v>
      </c>
      <c r="H14" s="132">
        <v>588</v>
      </c>
      <c r="I14" s="132">
        <v>666</v>
      </c>
      <c r="J14" s="132">
        <v>680</v>
      </c>
      <c r="K14" s="129">
        <v>808</v>
      </c>
      <c r="L14" s="128">
        <f>SUM(H14:K14)</f>
        <v>2742</v>
      </c>
      <c r="M14" s="129">
        <v>692</v>
      </c>
      <c r="N14" s="132">
        <v>829</v>
      </c>
      <c r="O14" s="132">
        <v>801</v>
      </c>
      <c r="P14" s="129">
        <v>810</v>
      </c>
      <c r="Q14" s="128">
        <f>SUM(M14:P14)</f>
        <v>3132</v>
      </c>
      <c r="R14" s="129">
        <v>784</v>
      </c>
      <c r="S14" s="132">
        <v>812</v>
      </c>
      <c r="T14" s="132">
        <v>805</v>
      </c>
      <c r="U14" s="129">
        <v>803</v>
      </c>
      <c r="V14" s="128">
        <f>SUM(R14:U14)</f>
        <v>3204</v>
      </c>
      <c r="W14" s="129">
        <v>730</v>
      </c>
      <c r="X14" s="132">
        <f>472</f>
        <v>472</v>
      </c>
      <c r="Y14" s="132">
        <v>735</v>
      </c>
      <c r="Z14" s="129">
        <v>820</v>
      </c>
      <c r="AA14" s="128">
        <f>SUM(W14:Z14)</f>
        <v>2757</v>
      </c>
      <c r="AB14" s="129">
        <v>750</v>
      </c>
      <c r="AC14" s="132">
        <v>752</v>
      </c>
      <c r="AD14" s="132">
        <v>760</v>
      </c>
      <c r="AE14" s="129">
        <v>753</v>
      </c>
      <c r="AF14" s="128">
        <v>6470</v>
      </c>
      <c r="AG14" s="129">
        <v>1588</v>
      </c>
      <c r="AH14" s="132">
        <v>1597</v>
      </c>
      <c r="AI14" s="132">
        <v>1547</v>
      </c>
      <c r="AJ14" s="129">
        <v>1603</v>
      </c>
      <c r="AK14" s="128">
        <f>+SUM(AG14:AJ14)</f>
        <v>6335</v>
      </c>
      <c r="AL14" s="132">
        <v>1521</v>
      </c>
      <c r="AM14" s="132">
        <v>1570</v>
      </c>
      <c r="AN14" s="132">
        <v>1496</v>
      </c>
      <c r="AO14" s="132">
        <v>1458</v>
      </c>
      <c r="AP14" s="128">
        <f>SUM(AL14:AO14)</f>
        <v>6045</v>
      </c>
      <c r="AQ14" s="132">
        <v>1429</v>
      </c>
      <c r="AR14" s="132">
        <v>1493</v>
      </c>
      <c r="AS14" s="132">
        <v>1450</v>
      </c>
      <c r="AT14" s="132">
        <v>1517</v>
      </c>
      <c r="AU14" s="128">
        <f>SUM(AQ14:AT14)</f>
        <v>5889</v>
      </c>
      <c r="AV14" s="132"/>
      <c r="AW14" s="132"/>
      <c r="AX14" s="132"/>
      <c r="AY14" s="132"/>
      <c r="AZ14" s="128">
        <v>6222</v>
      </c>
      <c r="BA14" s="132">
        <v>1461</v>
      </c>
      <c r="BB14" s="725">
        <v>1594</v>
      </c>
      <c r="BC14" s="725">
        <v>1519</v>
      </c>
      <c r="BD14" s="725">
        <v>1537</v>
      </c>
      <c r="BE14" s="128">
        <f>SUM(BA14:BD14)</f>
        <v>6111</v>
      </c>
      <c r="BF14" s="132">
        <v>1532</v>
      </c>
      <c r="BG14" s="132">
        <v>1642</v>
      </c>
      <c r="BH14" s="132">
        <v>1541</v>
      </c>
      <c r="BI14" s="725">
        <f>6194-SUM(BF14:BH14)</f>
        <v>1479</v>
      </c>
      <c r="BJ14" s="128">
        <f>SUM(BF14:BI14)</f>
        <v>6194</v>
      </c>
      <c r="BK14" s="132">
        <v>1507</v>
      </c>
      <c r="BL14" s="129">
        <v>1555</v>
      </c>
      <c r="BM14" s="132">
        <v>1543</v>
      </c>
      <c r="BN14" s="725">
        <v>1572</v>
      </c>
      <c r="BO14" s="128">
        <f>SUM(BK14:BN14)</f>
        <v>6177</v>
      </c>
      <c r="BP14" s="128">
        <f>BO14</f>
        <v>6177</v>
      </c>
      <c r="BQ14" s="130">
        <f t="shared" ref="BQ14" si="33">+BK14*(1+BQ15)</f>
        <v>1522.07</v>
      </c>
      <c r="BR14" s="129">
        <f t="shared" ref="BR14" si="34">+BL14*(1+BR15)</f>
        <v>1586.1000000000001</v>
      </c>
      <c r="BS14" s="129">
        <f t="shared" ref="BS14" si="35">+BM14*(1+BS15)</f>
        <v>1573.8600000000001</v>
      </c>
      <c r="BT14" s="129">
        <f t="shared" ref="BT14" si="36">+BN14*(1+BT15)</f>
        <v>1619.16</v>
      </c>
      <c r="BU14" s="130">
        <f>+SUM(BQ14:BT14)</f>
        <v>6301.1900000000005</v>
      </c>
      <c r="BV14" s="130"/>
      <c r="BW14" s="129"/>
      <c r="BX14" s="129"/>
      <c r="BY14" s="129"/>
      <c r="BZ14" s="130">
        <f>BU14*(1+BZ15)</f>
        <v>6490.2257000000009</v>
      </c>
      <c r="CA14" s="130"/>
      <c r="CB14" s="129"/>
      <c r="CC14" s="129"/>
      <c r="CD14" s="129"/>
      <c r="CE14" s="130">
        <f>BZ14*(1+CE15)</f>
        <v>6749.8347280000007</v>
      </c>
      <c r="CF14" s="130"/>
      <c r="CG14" s="129"/>
      <c r="CH14" s="129"/>
      <c r="CI14" s="129"/>
      <c r="CJ14" s="130">
        <f>CE14*(1+CJ15)</f>
        <v>7019.8281171200006</v>
      </c>
      <c r="CK14" s="296"/>
      <c r="CL14" s="657" t="s">
        <v>340</v>
      </c>
      <c r="CM14" s="657"/>
      <c r="CN14" s="682"/>
      <c r="CO14" s="743"/>
      <c r="CP14" s="745" t="s">
        <v>364</v>
      </c>
      <c r="CQ14" s="657"/>
      <c r="CR14" s="657"/>
      <c r="CS14" s="657"/>
      <c r="CT14" s="296"/>
      <c r="CX14"/>
      <c r="CY14"/>
      <c r="CZ14"/>
      <c r="DA14"/>
      <c r="DB14"/>
      <c r="DC14"/>
    </row>
    <row r="15" spans="1:107" s="432" customFormat="1">
      <c r="A15" s="478" t="s">
        <v>137</v>
      </c>
      <c r="B15" s="474"/>
      <c r="C15" s="474">
        <f>C14/B14-1</f>
        <v>8.6981566820276468E-2</v>
      </c>
      <c r="D15" s="474">
        <f>D14/C14-1</f>
        <v>8.3730789613142509E-2</v>
      </c>
      <c r="E15" s="474">
        <f>E14/D14-1</f>
        <v>0.14132029339853291</v>
      </c>
      <c r="F15" s="474">
        <f>F14/E14-1</f>
        <v>7.497857754927173E-2</v>
      </c>
      <c r="G15" s="474">
        <f>G14/F14-1</f>
        <v>2.0326823435631747E-2</v>
      </c>
      <c r="H15" s="431"/>
      <c r="I15" s="431"/>
      <c r="J15" s="431"/>
      <c r="K15" s="431"/>
      <c r="L15" s="474">
        <f t="shared" ref="L15:AE15" si="37">L14/G14-1</f>
        <v>7.1093749999999956E-2</v>
      </c>
      <c r="M15" s="431">
        <f t="shared" si="37"/>
        <v>0.1768707482993197</v>
      </c>
      <c r="N15" s="431">
        <f t="shared" si="37"/>
        <v>0.24474474474474484</v>
      </c>
      <c r="O15" s="431">
        <f t="shared" si="37"/>
        <v>0.17794117647058827</v>
      </c>
      <c r="P15" s="431">
        <f t="shared" si="37"/>
        <v>2.4752475247524774E-3</v>
      </c>
      <c r="Q15" s="474">
        <f t="shared" si="37"/>
        <v>0.14223194748358869</v>
      </c>
      <c r="R15" s="431">
        <f t="shared" si="37"/>
        <v>0.13294797687861282</v>
      </c>
      <c r="S15" s="431">
        <f t="shared" si="37"/>
        <v>-2.0506634499396825E-2</v>
      </c>
      <c r="T15" s="431">
        <f t="shared" si="37"/>
        <v>4.993757802746579E-3</v>
      </c>
      <c r="U15" s="431">
        <f t="shared" si="37"/>
        <v>-8.6419753086419693E-3</v>
      </c>
      <c r="V15" s="474">
        <f t="shared" si="37"/>
        <v>2.2988505747126409E-2</v>
      </c>
      <c r="W15" s="431">
        <f t="shared" si="37"/>
        <v>-6.8877551020408156E-2</v>
      </c>
      <c r="X15" s="431">
        <f t="shared" si="37"/>
        <v>-0.41871921182266014</v>
      </c>
      <c r="Y15" s="431">
        <f t="shared" si="37"/>
        <v>-8.6956521739130488E-2</v>
      </c>
      <c r="Z15" s="431">
        <f t="shared" si="37"/>
        <v>2.1170610211706187E-2</v>
      </c>
      <c r="AA15" s="474">
        <f t="shared" si="37"/>
        <v>-0.13951310861423216</v>
      </c>
      <c r="AB15" s="431">
        <f t="shared" si="37"/>
        <v>2.7397260273972712E-2</v>
      </c>
      <c r="AC15" s="431">
        <f t="shared" si="37"/>
        <v>0.59322033898305082</v>
      </c>
      <c r="AD15" s="431">
        <f t="shared" si="37"/>
        <v>3.4013605442176909E-2</v>
      </c>
      <c r="AE15" s="431">
        <f t="shared" si="37"/>
        <v>-8.1707317073170693E-2</v>
      </c>
      <c r="AF15" s="474"/>
      <c r="AG15" s="431">
        <f>AG14/AB14-1</f>
        <v>1.1173333333333333</v>
      </c>
      <c r="AH15" s="431">
        <f>AH14/AC14-1</f>
        <v>1.1236702127659575</v>
      </c>
      <c r="AI15" s="431">
        <f>AI14/AD14-1</f>
        <v>1.0355263157894736</v>
      </c>
      <c r="AJ15" s="431">
        <f>AJ14/AE14-1</f>
        <v>1.1288180610889773</v>
      </c>
      <c r="AK15" s="474">
        <f>AK14/AF14 -1</f>
        <v>-2.0865533230293609E-2</v>
      </c>
      <c r="AL15" s="431">
        <f>AL14/AG14 -1</f>
        <v>-4.2191435768262009E-2</v>
      </c>
      <c r="AM15" s="431">
        <f>AM14/AH14 -1</f>
        <v>-1.6906700062617408E-2</v>
      </c>
      <c r="AN15" s="431">
        <f>AN14/AI14-1</f>
        <v>-3.2967032967032961E-2</v>
      </c>
      <c r="AO15" s="431">
        <f>AO14/AJ14-1</f>
        <v>-9.0455396132252064E-2</v>
      </c>
      <c r="AP15" s="474">
        <f>AP14/AK14 -1</f>
        <v>-4.5777426992896553E-2</v>
      </c>
      <c r="AQ15" s="431">
        <f>AQ14/AL14 -1</f>
        <v>-6.0486522024983613E-2</v>
      </c>
      <c r="AR15" s="431">
        <f>AR14/AM14 -1</f>
        <v>-4.9044585987261136E-2</v>
      </c>
      <c r="AS15" s="431">
        <f>AS14/AN14-1</f>
        <v>-3.074866310160429E-2</v>
      </c>
      <c r="AT15" s="431">
        <f>AT14/AO14-1</f>
        <v>4.0466392318244226E-2</v>
      </c>
      <c r="AU15" s="474">
        <f>AU14/AP14 -1</f>
        <v>-2.5806451612903181E-2</v>
      </c>
      <c r="AV15" s="431"/>
      <c r="AW15" s="431"/>
      <c r="AX15" s="431"/>
      <c r="AY15" s="431"/>
      <c r="AZ15" s="474">
        <f>AZ14/AU14 -1</f>
        <v>5.6546102903718864E-2</v>
      </c>
      <c r="BA15" s="431">
        <f>BA14/AQ14 -1</f>
        <v>2.2393282015395366E-2</v>
      </c>
      <c r="BB15" s="431">
        <f>BB14/AR14 -1</f>
        <v>6.7649028801071598E-2</v>
      </c>
      <c r="BC15" s="431">
        <f>BC14/AS14-1</f>
        <v>4.7586206896551797E-2</v>
      </c>
      <c r="BD15" s="431">
        <f>BD14/AT14-1</f>
        <v>1.3183915622940079E-2</v>
      </c>
      <c r="BE15" s="474">
        <f>BE14/AZ14 -1</f>
        <v>-1.7839922854387624E-2</v>
      </c>
      <c r="BF15" s="431">
        <f>BF14/BA14 -1</f>
        <v>4.8596851471594871E-2</v>
      </c>
      <c r="BG15" s="431">
        <f>BG14/BB14 -1</f>
        <v>3.0112923462986219E-2</v>
      </c>
      <c r="BH15" s="431">
        <f>BH14/BC14-1</f>
        <v>1.4483212639894605E-2</v>
      </c>
      <c r="BI15" s="431">
        <f>BI14/BD14-1</f>
        <v>-3.7735849056603765E-2</v>
      </c>
      <c r="BJ15" s="474">
        <f>BJ14/BE14 -1</f>
        <v>1.3582065128456833E-2</v>
      </c>
      <c r="BK15" s="431">
        <f>BK14/BF14 -1</f>
        <v>-1.6318537859007831E-2</v>
      </c>
      <c r="BL15" s="963">
        <f>BL14/BG14 -1</f>
        <v>-5.2984165651644322E-2</v>
      </c>
      <c r="BM15" s="431">
        <f>BM14/BH14-1</f>
        <v>1.2978585334197934E-3</v>
      </c>
      <c r="BN15" s="431">
        <f>BN14/BI14-1</f>
        <v>6.2880324543610477E-2</v>
      </c>
      <c r="BO15" s="474">
        <f>BO14/BJ14 -1</f>
        <v>-2.7445915402002363E-3</v>
      </c>
      <c r="BP15" s="474"/>
      <c r="BQ15" s="480">
        <v>0.01</v>
      </c>
      <c r="BR15" s="479">
        <v>0.02</v>
      </c>
      <c r="BS15" s="479">
        <v>0.02</v>
      </c>
      <c r="BT15" s="479">
        <v>0.03</v>
      </c>
      <c r="BU15" s="474">
        <f>BU14/BO14 -1</f>
        <v>2.0105229075603193E-2</v>
      </c>
      <c r="BV15" s="480"/>
      <c r="BW15" s="479"/>
      <c r="BX15" s="479"/>
      <c r="BY15" s="479"/>
      <c r="BZ15" s="480">
        <v>0.03</v>
      </c>
      <c r="CA15" s="480"/>
      <c r="CB15" s="479"/>
      <c r="CC15" s="479"/>
      <c r="CD15" s="479"/>
      <c r="CE15" s="480">
        <v>0.04</v>
      </c>
      <c r="CF15" s="480"/>
      <c r="CG15" s="479"/>
      <c r="CH15" s="479"/>
      <c r="CI15" s="479"/>
      <c r="CJ15" s="480">
        <v>0.04</v>
      </c>
      <c r="CK15" s="430"/>
      <c r="CL15" s="657"/>
      <c r="CM15" s="657"/>
      <c r="CN15" s="682"/>
      <c r="CO15" s="676"/>
      <c r="CP15" s="677" t="s">
        <v>365</v>
      </c>
      <c r="CQ15" s="677"/>
      <c r="CR15" s="677"/>
      <c r="CS15" s="677"/>
      <c r="CT15" s="430"/>
      <c r="CX15"/>
      <c r="CY15"/>
      <c r="CZ15"/>
      <c r="DA15"/>
      <c r="DB15"/>
      <c r="DC15"/>
    </row>
    <row r="16" spans="1:107">
      <c r="A16" s="62" t="s">
        <v>16</v>
      </c>
      <c r="B16" s="70">
        <f t="shared" ref="B16:AG16" si="38">B14/B$77</f>
        <v>0.10838484110632453</v>
      </c>
      <c r="C16" s="70">
        <f t="shared" si="38"/>
        <v>0.11258949880668258</v>
      </c>
      <c r="D16" s="70">
        <f t="shared" si="38"/>
        <v>0.11292727373129383</v>
      </c>
      <c r="E16" s="70">
        <f t="shared" si="38"/>
        <v>0.13093969144460027</v>
      </c>
      <c r="F16" s="70">
        <f t="shared" si="38"/>
        <v>0.13568763182088583</v>
      </c>
      <c r="G16" s="70">
        <f t="shared" si="38"/>
        <v>0.12990308012381388</v>
      </c>
      <c r="H16" s="118">
        <f t="shared" si="38"/>
        <v>0.12239800166527894</v>
      </c>
      <c r="I16" s="64">
        <f t="shared" si="38"/>
        <v>0.12618416066691929</v>
      </c>
      <c r="J16" s="64">
        <f t="shared" si="38"/>
        <v>0.13029315960912052</v>
      </c>
      <c r="K16" s="64">
        <f t="shared" si="38"/>
        <v>0.13466666666666666</v>
      </c>
      <c r="L16" s="70">
        <f t="shared" si="38"/>
        <v>0.12872635087554574</v>
      </c>
      <c r="M16" s="64">
        <f t="shared" si="38"/>
        <v>0.12924915950691071</v>
      </c>
      <c r="N16" s="64">
        <f t="shared" si="38"/>
        <v>0.14122657580919931</v>
      </c>
      <c r="O16" s="64">
        <f t="shared" si="38"/>
        <v>0.1365961800818554</v>
      </c>
      <c r="P16" s="64">
        <f t="shared" si="38"/>
        <v>0.13309234308248438</v>
      </c>
      <c r="Q16" s="70">
        <f t="shared" si="38"/>
        <v>0.13515146284629326</v>
      </c>
      <c r="R16" s="64">
        <f t="shared" si="38"/>
        <v>0.13324269204622705</v>
      </c>
      <c r="S16" s="64">
        <f t="shared" si="38"/>
        <v>0.13257142857142856</v>
      </c>
      <c r="T16" s="64">
        <f t="shared" si="38"/>
        <v>0.1297340854149879</v>
      </c>
      <c r="U16" s="64">
        <f t="shared" si="38"/>
        <v>0.12044397780110995</v>
      </c>
      <c r="V16" s="70">
        <f t="shared" si="38"/>
        <v>0.12877295928620233</v>
      </c>
      <c r="W16" s="64">
        <f t="shared" si="38"/>
        <v>0.12060135470014868</v>
      </c>
      <c r="X16" s="64">
        <f t="shared" si="38"/>
        <v>7.9022266867570731E-2</v>
      </c>
      <c r="Y16" s="64">
        <f t="shared" si="38"/>
        <v>0.1171875</v>
      </c>
      <c r="Z16" s="64">
        <f t="shared" si="38"/>
        <v>0.11909949164851126</v>
      </c>
      <c r="AA16" s="70">
        <f t="shared" si="38"/>
        <v>0.10947861652702219</v>
      </c>
      <c r="AB16" s="64">
        <f t="shared" si="38"/>
        <v>0.12392597488433575</v>
      </c>
      <c r="AC16" s="64">
        <f t="shared" si="38"/>
        <v>0.12127076278019674</v>
      </c>
      <c r="AD16" s="64">
        <f t="shared" si="38"/>
        <v>0.12426422498364945</v>
      </c>
      <c r="AE16" s="64">
        <f t="shared" si="38"/>
        <v>0.11725319215197758</v>
      </c>
      <c r="AF16" s="70">
        <f t="shared" si="38"/>
        <v>0.26098180791416242</v>
      </c>
      <c r="AG16" s="64">
        <f t="shared" si="38"/>
        <v>0.26743011114853488</v>
      </c>
      <c r="AH16" s="64">
        <f t="shared" ref="AH16:BL16" si="39">AH14/AH$77</f>
        <v>0.26652202937249664</v>
      </c>
      <c r="AI16" s="64">
        <f t="shared" si="39"/>
        <v>0.25591397849462366</v>
      </c>
      <c r="AJ16" s="64">
        <f t="shared" si="39"/>
        <v>0.2489517005746234</v>
      </c>
      <c r="AK16" s="70">
        <f t="shared" si="39"/>
        <v>0.25948226427459653</v>
      </c>
      <c r="AL16" s="64">
        <f t="shared" si="39"/>
        <v>0.25871746895730569</v>
      </c>
      <c r="AM16" s="64">
        <f t="shared" si="39"/>
        <v>0.25674570727718726</v>
      </c>
      <c r="AN16" s="64">
        <f t="shared" si="39"/>
        <v>0.25607668606641559</v>
      </c>
      <c r="AO16" s="64">
        <f t="shared" si="39"/>
        <v>0.248381601362862</v>
      </c>
      <c r="AP16" s="70">
        <f t="shared" si="39"/>
        <v>0.25406632202748708</v>
      </c>
      <c r="AQ16" s="64">
        <f t="shared" si="39"/>
        <v>0.25944081336238201</v>
      </c>
      <c r="AR16" s="64">
        <f t="shared" si="39"/>
        <v>0.26188388002104895</v>
      </c>
      <c r="AS16" s="64">
        <f t="shared" si="39"/>
        <v>0.26488856412130068</v>
      </c>
      <c r="AT16" s="64">
        <f t="shared" si="39"/>
        <v>0.24694774540126974</v>
      </c>
      <c r="AU16" s="70">
        <f t="shared" si="39"/>
        <v>0.25799526855340399</v>
      </c>
      <c r="AV16" s="64"/>
      <c r="AW16" s="64"/>
      <c r="AX16" s="64"/>
      <c r="AY16" s="64"/>
      <c r="AZ16" s="70">
        <f t="shared" ref="AZ16" si="40">AZ14/AZ$77</f>
        <v>0.27258389555769735</v>
      </c>
      <c r="BA16" s="64">
        <f t="shared" si="39"/>
        <v>0.27628593040847199</v>
      </c>
      <c r="BB16" s="64">
        <f t="shared" si="39"/>
        <v>0.27257181942544462</v>
      </c>
      <c r="BC16" s="64">
        <f t="shared" si="39"/>
        <v>0.26266643610582741</v>
      </c>
      <c r="BD16" s="64">
        <f t="shared" si="39"/>
        <v>0.24288874841972188</v>
      </c>
      <c r="BE16" s="70">
        <f t="shared" si="39"/>
        <v>0.26287262872628725</v>
      </c>
      <c r="BF16" s="64">
        <f t="shared" si="39"/>
        <v>0.26404688038607377</v>
      </c>
      <c r="BG16" s="64">
        <f t="shared" si="39"/>
        <v>0.27207953603976803</v>
      </c>
      <c r="BH16" s="64">
        <f t="shared" si="39"/>
        <v>0.25542847671142049</v>
      </c>
      <c r="BI16" s="64">
        <f t="shared" si="39"/>
        <v>0.23847146081909062</v>
      </c>
      <c r="BJ16" s="70">
        <f t="shared" si="39"/>
        <v>0.25731139913592554</v>
      </c>
      <c r="BK16" s="64">
        <f t="shared" si="39"/>
        <v>0.25116666666666665</v>
      </c>
      <c r="BL16" s="64">
        <f t="shared" si="39"/>
        <v>0.24757204266836491</v>
      </c>
      <c r="BM16" s="64">
        <f t="shared" ref="BM16:BO16" si="41">BM14/BM$77</f>
        <v>0.24554423933800126</v>
      </c>
      <c r="BN16" s="64">
        <f t="shared" si="41"/>
        <v>0.23175586023883238</v>
      </c>
      <c r="BO16" s="70">
        <f t="shared" si="41"/>
        <v>0.24368786492030931</v>
      </c>
      <c r="BP16" s="70"/>
      <c r="BQ16" s="1005">
        <f t="shared" ref="BQ16:BU16" si="42">BQ14/BQ$77</f>
        <v>0.24181498680659644</v>
      </c>
      <c r="BR16" s="1006">
        <f t="shared" si="42"/>
        <v>0.23813222540667708</v>
      </c>
      <c r="BS16" s="1006">
        <f t="shared" si="42"/>
        <v>0.23681975650905149</v>
      </c>
      <c r="BT16" s="1007">
        <f t="shared" si="42"/>
        <v>0.22460174747098055</v>
      </c>
      <c r="BU16" s="70">
        <f t="shared" si="42"/>
        <v>0.23503323044377894</v>
      </c>
      <c r="BV16" s="240"/>
      <c r="BW16" s="238"/>
      <c r="BX16" s="238"/>
      <c r="BY16" s="241"/>
      <c r="BZ16" s="70">
        <f>BZ14/BZ$77</f>
        <v>0.22956493175651671</v>
      </c>
      <c r="CA16" s="240"/>
      <c r="CB16" s="238"/>
      <c r="CC16" s="238"/>
      <c r="CD16" s="241"/>
      <c r="CE16" s="70">
        <f>CE14/CE$77</f>
        <v>0.22589182319369985</v>
      </c>
      <c r="CF16" s="240"/>
      <c r="CG16" s="238"/>
      <c r="CH16" s="238"/>
      <c r="CI16" s="241"/>
      <c r="CJ16" s="70">
        <f>CJ14/CJ$77</f>
        <v>0.22221511548999945</v>
      </c>
      <c r="CK16" s="289"/>
      <c r="CL16" s="678"/>
      <c r="CM16" s="678"/>
      <c r="CN16" s="682"/>
      <c r="CO16" s="745"/>
      <c r="CP16" s="658"/>
      <c r="CQ16" s="658"/>
      <c r="CR16" s="658"/>
      <c r="CS16" s="658"/>
      <c r="CT16" s="289"/>
    </row>
    <row r="17" spans="1:107" s="180" customFormat="1" ht="12" customHeight="1">
      <c r="A17" s="376" t="s">
        <v>133</v>
      </c>
      <c r="B17" s="372">
        <v>3052</v>
      </c>
      <c r="C17" s="372">
        <v>3540</v>
      </c>
      <c r="D17" s="372">
        <v>4100</v>
      </c>
      <c r="E17" s="372">
        <v>4066</v>
      </c>
      <c r="F17" s="372">
        <v>4077</v>
      </c>
      <c r="G17" s="372">
        <v>3935</v>
      </c>
      <c r="H17" s="373">
        <v>3747</v>
      </c>
      <c r="I17" s="373">
        <v>3615</v>
      </c>
      <c r="J17" s="373">
        <v>4142</v>
      </c>
      <c r="K17" s="373">
        <v>5636</v>
      </c>
      <c r="L17" s="372">
        <v>5636</v>
      </c>
      <c r="M17" s="373">
        <v>5831</v>
      </c>
      <c r="N17" s="373">
        <v>5756</v>
      </c>
      <c r="O17" s="373">
        <v>5518</v>
      </c>
      <c r="P17" s="373">
        <v>5137</v>
      </c>
      <c r="Q17" s="372">
        <v>5137</v>
      </c>
      <c r="R17" s="373">
        <v>4818</v>
      </c>
      <c r="S17" s="373">
        <v>4678</v>
      </c>
      <c r="T17" s="373">
        <v>4349</v>
      </c>
      <c r="U17" s="373">
        <v>4360</v>
      </c>
      <c r="V17" s="372">
        <v>4360</v>
      </c>
      <c r="W17" s="373">
        <v>5295</v>
      </c>
      <c r="X17" s="373">
        <v>4619</v>
      </c>
      <c r="Y17" s="373">
        <v>4528</v>
      </c>
      <c r="Z17" s="373">
        <v>4319</v>
      </c>
      <c r="AA17" s="372">
        <v>4319</v>
      </c>
      <c r="AB17" s="373">
        <v>4389</v>
      </c>
      <c r="AC17" s="373">
        <v>4370</v>
      </c>
      <c r="AD17" s="373">
        <v>4495</v>
      </c>
      <c r="AE17" s="373">
        <v>4366</v>
      </c>
      <c r="AF17" s="372">
        <v>7027</v>
      </c>
      <c r="AG17" s="373">
        <v>6441</v>
      </c>
      <c r="AH17" s="373">
        <v>6413</v>
      </c>
      <c r="AI17" s="373">
        <v>6853</v>
      </c>
      <c r="AJ17" s="373">
        <v>6409</v>
      </c>
      <c r="AK17" s="372">
        <f>AJ17</f>
        <v>6409</v>
      </c>
      <c r="AL17" s="373">
        <v>5831</v>
      </c>
      <c r="AM17" s="373">
        <v>5754</v>
      </c>
      <c r="AN17" s="373">
        <v>5888</v>
      </c>
      <c r="AO17" s="373">
        <v>5856</v>
      </c>
      <c r="AP17" s="372">
        <f>AO17</f>
        <v>5856</v>
      </c>
      <c r="AQ17" s="373">
        <v>5579</v>
      </c>
      <c r="AR17" s="373">
        <v>6298</v>
      </c>
      <c r="AS17" s="707">
        <v>6210</v>
      </c>
      <c r="AT17" s="707">
        <v>5825</v>
      </c>
      <c r="AU17" s="372">
        <f>AT17</f>
        <v>5825</v>
      </c>
      <c r="AV17" s="373"/>
      <c r="AW17" s="373"/>
      <c r="AX17" s="707"/>
      <c r="AY17" s="707"/>
      <c r="AZ17" s="372">
        <v>6958</v>
      </c>
      <c r="BA17" s="707"/>
      <c r="BB17" s="707"/>
      <c r="BC17" s="707"/>
      <c r="BD17" s="707"/>
      <c r="BE17" s="372">
        <v>6367</v>
      </c>
      <c r="BF17" s="374">
        <v>6075</v>
      </c>
      <c r="BG17" s="373">
        <v>6060</v>
      </c>
      <c r="BH17" s="373">
        <v>6127</v>
      </c>
      <c r="BI17" s="375">
        <v>5662</v>
      </c>
      <c r="BJ17" s="372">
        <f>+BI17</f>
        <v>5662</v>
      </c>
      <c r="BK17" s="374">
        <v>5965</v>
      </c>
      <c r="BL17" s="373">
        <v>5908</v>
      </c>
      <c r="BM17" s="373">
        <v>6368</v>
      </c>
      <c r="BN17" s="1049">
        <v>6503</v>
      </c>
      <c r="BO17" s="372">
        <f>+BN17</f>
        <v>6503</v>
      </c>
      <c r="BP17" s="372"/>
      <c r="BQ17" s="374"/>
      <c r="BR17" s="373"/>
      <c r="BS17" s="373"/>
      <c r="BT17" s="375"/>
      <c r="BU17" s="372"/>
      <c r="BV17" s="374"/>
      <c r="BW17" s="373"/>
      <c r="BX17" s="373"/>
      <c r="BY17" s="375"/>
      <c r="BZ17" s="372"/>
      <c r="CA17" s="374"/>
      <c r="CB17" s="373"/>
      <c r="CC17" s="373"/>
      <c r="CD17" s="375"/>
      <c r="CE17" s="372"/>
      <c r="CF17" s="374"/>
      <c r="CG17" s="373"/>
      <c r="CH17" s="373"/>
      <c r="CI17" s="375"/>
      <c r="CJ17" s="372"/>
      <c r="CK17" s="291"/>
      <c r="CL17" s="657"/>
      <c r="CM17" s="657"/>
      <c r="CN17" s="682"/>
      <c r="CO17" s="657"/>
      <c r="CP17" s="657"/>
      <c r="CQ17" s="657"/>
      <c r="CR17" s="657"/>
      <c r="CS17" s="657"/>
      <c r="CT17" s="291"/>
      <c r="CX17"/>
      <c r="CY17"/>
      <c r="CZ17"/>
      <c r="DA17"/>
      <c r="DB17"/>
      <c r="DC17"/>
    </row>
    <row r="18" spans="1:107">
      <c r="A18" s="377" t="s">
        <v>137</v>
      </c>
      <c r="B18" s="70"/>
      <c r="C18" s="70">
        <f>C17/B17-1</f>
        <v>0.15989515072083882</v>
      </c>
      <c r="D18" s="70">
        <f>D17/C17-1</f>
        <v>0.15819209039548032</v>
      </c>
      <c r="E18" s="70">
        <f>E17/D17-1</f>
        <v>-8.2926829268292757E-3</v>
      </c>
      <c r="F18" s="70">
        <f>F17/E17-1</f>
        <v>2.7053615346777082E-3</v>
      </c>
      <c r="G18" s="70">
        <f>G17/F17-1</f>
        <v>-3.4829531518273282E-2</v>
      </c>
      <c r="H18" s="118"/>
      <c r="I18" s="64"/>
      <c r="J18" s="64"/>
      <c r="K18" s="64"/>
      <c r="L18" s="70">
        <f t="shared" ref="L18:AS18" si="43">L17/G17-1</f>
        <v>0.43227445997458713</v>
      </c>
      <c r="M18" s="64">
        <f t="shared" si="43"/>
        <v>0.55617827595409652</v>
      </c>
      <c r="N18" s="64">
        <f t="shared" si="43"/>
        <v>0.59225449515905937</v>
      </c>
      <c r="O18" s="64">
        <f t="shared" si="43"/>
        <v>0.33220666344760974</v>
      </c>
      <c r="P18" s="64">
        <f t="shared" si="43"/>
        <v>-8.8537970191625237E-2</v>
      </c>
      <c r="Q18" s="70">
        <f t="shared" si="43"/>
        <v>-8.8537970191625237E-2</v>
      </c>
      <c r="R18" s="64">
        <f t="shared" si="43"/>
        <v>-0.17372663351054707</v>
      </c>
      <c r="S18" s="64">
        <f t="shared" si="43"/>
        <v>-0.18728283530229328</v>
      </c>
      <c r="T18" s="64">
        <f t="shared" si="43"/>
        <v>-0.21185212033345413</v>
      </c>
      <c r="U18" s="64">
        <f t="shared" si="43"/>
        <v>-0.15125559665174226</v>
      </c>
      <c r="V18" s="70">
        <f t="shared" si="43"/>
        <v>-0.15125559665174226</v>
      </c>
      <c r="W18" s="64">
        <f t="shared" si="43"/>
        <v>9.9003735990037312E-2</v>
      </c>
      <c r="X18" s="64">
        <f t="shared" si="43"/>
        <v>-1.2612227447627244E-2</v>
      </c>
      <c r="Y18" s="64">
        <f t="shared" si="43"/>
        <v>4.1158887100482877E-2</v>
      </c>
      <c r="Z18" s="64">
        <f t="shared" si="43"/>
        <v>-9.4036697247706913E-3</v>
      </c>
      <c r="AA18" s="70">
        <f t="shared" si="43"/>
        <v>-9.4036697247706913E-3</v>
      </c>
      <c r="AB18" s="64">
        <f t="shared" si="43"/>
        <v>-0.17110481586402271</v>
      </c>
      <c r="AC18" s="64">
        <f t="shared" si="43"/>
        <v>-5.3907772245074703E-2</v>
      </c>
      <c r="AD18" s="64">
        <f t="shared" si="43"/>
        <v>-7.2879858657244334E-3</v>
      </c>
      <c r="AE18" s="64">
        <f t="shared" si="43"/>
        <v>1.0882148645519729E-2</v>
      </c>
      <c r="AF18" s="70">
        <f t="shared" si="43"/>
        <v>0.62699699004399156</v>
      </c>
      <c r="AG18" s="64">
        <f t="shared" si="43"/>
        <v>0.46753246753246747</v>
      </c>
      <c r="AH18" s="64">
        <f t="shared" si="43"/>
        <v>0.46750572082379871</v>
      </c>
      <c r="AI18" s="64">
        <f t="shared" si="43"/>
        <v>0.52458286985539493</v>
      </c>
      <c r="AJ18" s="64">
        <f t="shared" si="43"/>
        <v>0.46793403573064585</v>
      </c>
      <c r="AK18" s="70">
        <f t="shared" si="43"/>
        <v>-8.7946492101892648E-2</v>
      </c>
      <c r="AL18" s="64">
        <f>AL17/AG17-1</f>
        <v>-9.4705791026238106E-2</v>
      </c>
      <c r="AM18" s="64">
        <f t="shared" si="43"/>
        <v>-0.10276001871199125</v>
      </c>
      <c r="AN18" s="64">
        <f t="shared" si="43"/>
        <v>-0.14081424193783743</v>
      </c>
      <c r="AO18" s="64">
        <f t="shared" si="43"/>
        <v>-8.6284911842721135E-2</v>
      </c>
      <c r="AP18" s="70">
        <f t="shared" si="43"/>
        <v>-8.6284911842721135E-2</v>
      </c>
      <c r="AQ18" s="64">
        <f>AQ17/AL17-1</f>
        <v>-4.3217286914765896E-2</v>
      </c>
      <c r="AR18" s="64">
        <f t="shared" si="43"/>
        <v>9.4542926659715087E-2</v>
      </c>
      <c r="AS18" s="64">
        <f t="shared" si="43"/>
        <v>5.46875E-2</v>
      </c>
      <c r="AT18" s="64">
        <f t="shared" ref="AT18:AU18" si="44">AT17/AO17-1</f>
        <v>-5.2937158469945622E-3</v>
      </c>
      <c r="AU18" s="70">
        <f t="shared" si="44"/>
        <v>-5.2937158469945622E-3</v>
      </c>
      <c r="AV18" s="64"/>
      <c r="AW18" s="64"/>
      <c r="AX18" s="64"/>
      <c r="AY18" s="64"/>
      <c r="AZ18" s="70">
        <f t="shared" ref="AZ18" si="45">AZ17/AU17-1</f>
        <v>0.19450643776824039</v>
      </c>
      <c r="BA18" s="64"/>
      <c r="BB18" s="64"/>
      <c r="BC18" s="64"/>
      <c r="BD18" s="64"/>
      <c r="BE18" s="70">
        <f>BE17/AZ17-1</f>
        <v>-8.4938200632365568E-2</v>
      </c>
      <c r="BF18" s="121"/>
      <c r="BG18" s="64"/>
      <c r="BH18" s="64"/>
      <c r="BI18" s="122"/>
      <c r="BJ18" s="70">
        <f t="shared" ref="BJ18:BO18" si="46">BJ17/BE17-1</f>
        <v>-0.11072718705826923</v>
      </c>
      <c r="BK18" s="121">
        <f t="shared" si="46"/>
        <v>-1.8106995884773713E-2</v>
      </c>
      <c r="BL18" s="64">
        <f t="shared" si="46"/>
        <v>-2.5082508250825031E-2</v>
      </c>
      <c r="BM18" s="64">
        <f t="shared" si="46"/>
        <v>3.9334094989391222E-2</v>
      </c>
      <c r="BN18" s="122">
        <f t="shared" si="46"/>
        <v>0.14853408689509018</v>
      </c>
      <c r="BO18" s="70">
        <f t="shared" si="46"/>
        <v>0.14853408689509018</v>
      </c>
      <c r="BP18" s="70"/>
      <c r="BQ18" s="121"/>
      <c r="BR18" s="64"/>
      <c r="BS18" s="64"/>
      <c r="BT18" s="122"/>
      <c r="BU18" s="70"/>
      <c r="BV18" s="121"/>
      <c r="BW18" s="64"/>
      <c r="BX18" s="64"/>
      <c r="BY18" s="122"/>
      <c r="BZ18" s="70"/>
      <c r="CA18" s="121"/>
      <c r="CB18" s="64"/>
      <c r="CC18" s="64"/>
      <c r="CD18" s="122"/>
      <c r="CE18" s="70"/>
      <c r="CF18" s="121"/>
      <c r="CG18" s="64"/>
      <c r="CH18" s="64"/>
      <c r="CI18" s="122"/>
      <c r="CJ18" s="70"/>
      <c r="CK18" s="289"/>
      <c r="CL18" s="658"/>
      <c r="CM18" s="658"/>
      <c r="CN18" s="682"/>
      <c r="CO18" s="658"/>
      <c r="CP18" s="658"/>
      <c r="CQ18" s="658"/>
      <c r="CR18" s="658"/>
      <c r="CS18" s="658"/>
      <c r="CT18" s="289"/>
    </row>
    <row r="19" spans="1:107" s="180" customFormat="1" ht="12" customHeight="1">
      <c r="A19" s="385" t="s">
        <v>12</v>
      </c>
      <c r="B19" s="354"/>
      <c r="C19" s="354">
        <v>595</v>
      </c>
      <c r="D19" s="354">
        <v>717</v>
      </c>
      <c r="E19" s="354">
        <v>811</v>
      </c>
      <c r="F19" s="354">
        <v>642</v>
      </c>
      <c r="G19" s="354">
        <v>893</v>
      </c>
      <c r="H19" s="357">
        <v>909</v>
      </c>
      <c r="I19" s="357">
        <v>877</v>
      </c>
      <c r="J19" s="357">
        <v>925</v>
      </c>
      <c r="K19" s="358">
        <f>L19</f>
        <v>2325</v>
      </c>
      <c r="L19" s="354">
        <v>2325</v>
      </c>
      <c r="M19" s="358">
        <v>2641</v>
      </c>
      <c r="N19" s="357">
        <v>2554</v>
      </c>
      <c r="O19" s="357">
        <v>2199</v>
      </c>
      <c r="P19" s="358">
        <v>1890</v>
      </c>
      <c r="Q19" s="354">
        <v>1890</v>
      </c>
      <c r="R19" s="358">
        <v>1761</v>
      </c>
      <c r="S19" s="358">
        <v>1843</v>
      </c>
      <c r="T19" s="357">
        <v>1692</v>
      </c>
      <c r="U19" s="358">
        <v>1588</v>
      </c>
      <c r="V19" s="354">
        <v>1588</v>
      </c>
      <c r="W19" s="358">
        <v>1574</v>
      </c>
      <c r="X19" s="358">
        <v>1013</v>
      </c>
      <c r="Y19" s="358">
        <v>916</v>
      </c>
      <c r="Z19" s="358">
        <v>725</v>
      </c>
      <c r="AA19" s="354">
        <v>725</v>
      </c>
      <c r="AB19" s="358">
        <v>789</v>
      </c>
      <c r="AC19" s="358">
        <v>862</v>
      </c>
      <c r="AD19" s="358">
        <v>927</v>
      </c>
      <c r="AE19" s="358">
        <v>829</v>
      </c>
      <c r="AF19" s="134">
        <v>2821</v>
      </c>
      <c r="AG19" s="358">
        <v>2878</v>
      </c>
      <c r="AH19" s="358">
        <v>2991</v>
      </c>
      <c r="AI19" s="358">
        <v>3029</v>
      </c>
      <c r="AJ19" s="358">
        <v>2848</v>
      </c>
      <c r="AK19" s="134">
        <f>AJ19</f>
        <v>2848</v>
      </c>
      <c r="AL19" s="358">
        <v>2459</v>
      </c>
      <c r="AM19" s="358">
        <v>2531</v>
      </c>
      <c r="AN19" s="358">
        <v>2689</v>
      </c>
      <c r="AO19" s="358">
        <v>2592</v>
      </c>
      <c r="AP19" s="134">
        <f>AO19</f>
        <v>2592</v>
      </c>
      <c r="AQ19" s="358">
        <v>2585</v>
      </c>
      <c r="AR19" s="660">
        <v>3147</v>
      </c>
      <c r="AS19" s="136">
        <v>2964</v>
      </c>
      <c r="AT19" s="660">
        <v>2854</v>
      </c>
      <c r="AU19" s="134">
        <f>AT19</f>
        <v>2854</v>
      </c>
      <c r="AV19" s="358"/>
      <c r="AW19" s="660"/>
      <c r="AX19" s="136"/>
      <c r="AY19" s="660"/>
      <c r="AZ19" s="134">
        <v>3536</v>
      </c>
      <c r="BA19" s="660"/>
      <c r="BB19" s="660"/>
      <c r="BC19" s="660"/>
      <c r="BD19" s="660"/>
      <c r="BE19" s="134">
        <v>2933</v>
      </c>
      <c r="BF19" s="901">
        <v>2962</v>
      </c>
      <c r="BG19" s="670">
        <v>2745</v>
      </c>
      <c r="BH19" s="670">
        <v>2833</v>
      </c>
      <c r="BI19" s="752"/>
      <c r="BJ19" s="748"/>
      <c r="BK19" s="901"/>
      <c r="BL19" s="181"/>
      <c r="BM19" s="353"/>
      <c r="BN19" s="752"/>
      <c r="BO19" s="748"/>
      <c r="BP19" s="748"/>
      <c r="BQ19" s="355"/>
      <c r="BR19" s="181"/>
      <c r="BS19" s="181"/>
      <c r="BT19" s="356"/>
      <c r="BU19" s="354"/>
      <c r="BV19" s="355"/>
      <c r="BW19" s="181"/>
      <c r="BX19" s="181"/>
      <c r="BY19" s="356"/>
      <c r="BZ19" s="354"/>
      <c r="CA19" s="355"/>
      <c r="CB19" s="181"/>
      <c r="CC19" s="181"/>
      <c r="CD19" s="356"/>
      <c r="CE19" s="354"/>
      <c r="CF19" s="355"/>
      <c r="CG19" s="181"/>
      <c r="CH19" s="181"/>
      <c r="CI19" s="356"/>
      <c r="CJ19" s="354"/>
      <c r="CK19" s="291"/>
      <c r="CL19" s="657"/>
      <c r="CM19" s="657"/>
      <c r="CN19" s="682"/>
      <c r="CO19" s="657"/>
      <c r="CP19" s="657"/>
      <c r="CQ19" s="657"/>
      <c r="CR19" s="657"/>
      <c r="CS19" s="657"/>
      <c r="CT19" s="291"/>
      <c r="CX19"/>
      <c r="CY19"/>
      <c r="CZ19"/>
      <c r="DA19"/>
      <c r="DB19"/>
      <c r="DC19"/>
    </row>
    <row r="20" spans="1:107" ht="12" customHeight="1">
      <c r="A20" s="385" t="s">
        <v>13</v>
      </c>
      <c r="B20" s="378"/>
      <c r="C20" s="378">
        <f t="shared" ref="C20:AR20" si="47">1-C19/C17</f>
        <v>0.83192090395480223</v>
      </c>
      <c r="D20" s="378">
        <f t="shared" si="47"/>
        <v>0.82512195121951226</v>
      </c>
      <c r="E20" s="378">
        <f t="shared" si="47"/>
        <v>0.8005410723069355</v>
      </c>
      <c r="F20" s="378">
        <f t="shared" si="47"/>
        <v>0.84253127299484909</v>
      </c>
      <c r="G20" s="378">
        <f t="shared" si="47"/>
        <v>0.77306226175349435</v>
      </c>
      <c r="H20" s="379">
        <f t="shared" si="47"/>
        <v>0.75740592473979185</v>
      </c>
      <c r="I20" s="379">
        <f t="shared" si="47"/>
        <v>0.75739972337482708</v>
      </c>
      <c r="J20" s="379">
        <f t="shared" si="47"/>
        <v>0.77667793336552393</v>
      </c>
      <c r="K20" s="380">
        <f t="shared" si="47"/>
        <v>0.58747338537970184</v>
      </c>
      <c r="L20" s="378">
        <f t="shared" si="47"/>
        <v>0.58747338537970184</v>
      </c>
      <c r="M20" s="380">
        <f t="shared" si="47"/>
        <v>0.54707597324644142</v>
      </c>
      <c r="N20" s="379">
        <f t="shared" si="47"/>
        <v>0.55628908964558721</v>
      </c>
      <c r="O20" s="379">
        <f t="shared" si="47"/>
        <v>0.60148604566872055</v>
      </c>
      <c r="P20" s="380">
        <f t="shared" si="47"/>
        <v>0.63208098111738376</v>
      </c>
      <c r="Q20" s="378">
        <f t="shared" si="47"/>
        <v>0.63208098111738376</v>
      </c>
      <c r="R20" s="380">
        <f t="shared" si="47"/>
        <v>0.6344956413449564</v>
      </c>
      <c r="S20" s="380">
        <f t="shared" si="47"/>
        <v>0.60602821718683197</v>
      </c>
      <c r="T20" s="379">
        <f t="shared" si="47"/>
        <v>0.61094504483789369</v>
      </c>
      <c r="U20" s="381">
        <f t="shared" si="47"/>
        <v>0.63577981651376148</v>
      </c>
      <c r="V20" s="378">
        <f t="shared" si="47"/>
        <v>0.63577981651376148</v>
      </c>
      <c r="W20" s="380">
        <f t="shared" si="47"/>
        <v>0.7027384324834749</v>
      </c>
      <c r="X20" s="380">
        <f t="shared" si="47"/>
        <v>0.78068846070578046</v>
      </c>
      <c r="Y20" s="382">
        <f t="shared" si="47"/>
        <v>0.79770318021201414</v>
      </c>
      <c r="Z20" s="382">
        <f t="shared" si="47"/>
        <v>0.83213706876591798</v>
      </c>
      <c r="AA20" s="378">
        <f t="shared" si="47"/>
        <v>0.83213706876591798</v>
      </c>
      <c r="AB20" s="380">
        <f t="shared" si="47"/>
        <v>0.82023239917976754</v>
      </c>
      <c r="AC20" s="380">
        <f t="shared" si="47"/>
        <v>0.80274599542334091</v>
      </c>
      <c r="AD20" s="380">
        <f t="shared" si="47"/>
        <v>0.79377085650723023</v>
      </c>
      <c r="AE20" s="380">
        <f t="shared" si="47"/>
        <v>0.8101236830050389</v>
      </c>
      <c r="AF20" s="378">
        <f t="shared" si="47"/>
        <v>0.5985484559555998</v>
      </c>
      <c r="AG20" s="380">
        <f t="shared" si="47"/>
        <v>0.55317497283030592</v>
      </c>
      <c r="AH20" s="380">
        <f t="shared" si="47"/>
        <v>0.5336036176516451</v>
      </c>
      <c r="AI20" s="380">
        <f t="shared" si="47"/>
        <v>0.55800379395885014</v>
      </c>
      <c r="AJ20" s="380">
        <f t="shared" si="47"/>
        <v>0.55562490248088625</v>
      </c>
      <c r="AK20" s="378">
        <f t="shared" si="47"/>
        <v>0.55562490248088625</v>
      </c>
      <c r="AL20" s="380">
        <f t="shared" si="47"/>
        <v>0.57828845824043906</v>
      </c>
      <c r="AM20" s="380">
        <f t="shared" si="47"/>
        <v>0.56013208202989229</v>
      </c>
      <c r="AN20" s="380">
        <f t="shared" si="47"/>
        <v>0.54330842391304346</v>
      </c>
      <c r="AO20" s="380">
        <f>1-AO19/AO17</f>
        <v>0.55737704918032782</v>
      </c>
      <c r="AP20" s="378">
        <f t="shared" si="47"/>
        <v>0.55737704918032782</v>
      </c>
      <c r="AQ20" s="380">
        <f>1-AQ19/AQ17</f>
        <v>0.53665531457250404</v>
      </c>
      <c r="AR20" s="661">
        <f t="shared" si="47"/>
        <v>0.50031756113051762</v>
      </c>
      <c r="AS20" s="380">
        <f t="shared" ref="AS20:AU20" si="48">1-AS19/AS17</f>
        <v>0.5227053140096618</v>
      </c>
      <c r="AT20" s="380">
        <f t="shared" si="48"/>
        <v>0.51004291845493555</v>
      </c>
      <c r="AU20" s="378">
        <f t="shared" si="48"/>
        <v>0.51004291845493555</v>
      </c>
      <c r="AV20" s="380"/>
      <c r="AW20" s="661"/>
      <c r="AX20" s="380"/>
      <c r="AY20" s="380"/>
      <c r="AZ20" s="378">
        <f t="shared" ref="AZ20" si="49">1-AZ19/AZ17</f>
        <v>0.49180799080195459</v>
      </c>
      <c r="BA20" s="380"/>
      <c r="BB20" s="661"/>
      <c r="BC20" s="703"/>
      <c r="BD20" s="380"/>
      <c r="BE20" s="378">
        <f t="shared" ref="BE20" si="50">1-BE19/BE17</f>
        <v>0.53934348986964031</v>
      </c>
      <c r="BF20" s="380">
        <f>1-BF19/BF17</f>
        <v>0.51242798353909458</v>
      </c>
      <c r="BG20" s="661">
        <f t="shared" ref="BG20:BH20" si="51">1-BG19/BG17</f>
        <v>0.54702970297029707</v>
      </c>
      <c r="BH20" s="380">
        <f t="shared" si="51"/>
        <v>0.5376203688591481</v>
      </c>
      <c r="BI20" s="380"/>
      <c r="BJ20" s="378"/>
      <c r="BK20" s="121"/>
      <c r="BL20" s="64"/>
      <c r="BM20" s="703"/>
      <c r="BN20" s="380"/>
      <c r="BO20" s="378"/>
      <c r="BP20" s="378"/>
      <c r="BQ20" s="121"/>
      <c r="BR20" s="64"/>
      <c r="BS20" s="64"/>
      <c r="BT20" s="122"/>
      <c r="BU20" s="70"/>
      <c r="BV20" s="121"/>
      <c r="BW20" s="64"/>
      <c r="BX20" s="64"/>
      <c r="BY20" s="122"/>
      <c r="BZ20" s="70"/>
      <c r="CA20" s="121"/>
      <c r="CB20" s="64"/>
      <c r="CC20" s="64"/>
      <c r="CD20" s="122"/>
      <c r="CE20" s="70"/>
      <c r="CF20" s="121"/>
      <c r="CG20" s="64"/>
      <c r="CH20" s="64"/>
      <c r="CI20" s="122"/>
      <c r="CJ20" s="70"/>
      <c r="CK20" s="66"/>
      <c r="CL20" s="658"/>
      <c r="CM20" s="658"/>
      <c r="CN20" s="682"/>
      <c r="CO20" s="658"/>
      <c r="CP20" s="658"/>
      <c r="CQ20" s="658"/>
      <c r="CR20" s="658"/>
      <c r="CS20" s="658"/>
      <c r="CT20" s="289"/>
    </row>
    <row r="21" spans="1:107" s="180" customFormat="1" ht="12" customHeight="1">
      <c r="A21" s="385" t="s">
        <v>134</v>
      </c>
      <c r="B21" s="354">
        <v>1957</v>
      </c>
      <c r="C21" s="354">
        <v>2478</v>
      </c>
      <c r="D21" s="354">
        <v>2473</v>
      </c>
      <c r="E21" s="354">
        <v>2272</v>
      </c>
      <c r="F21" s="354">
        <v>2537</v>
      </c>
      <c r="G21" s="354">
        <v>2701</v>
      </c>
      <c r="H21" s="357">
        <v>535</v>
      </c>
      <c r="I21" s="357">
        <v>564</v>
      </c>
      <c r="J21" s="357">
        <v>1441</v>
      </c>
      <c r="K21" s="358">
        <v>2360</v>
      </c>
      <c r="L21" s="354">
        <v>4900</v>
      </c>
      <c r="M21" s="358">
        <v>1019</v>
      </c>
      <c r="N21" s="357">
        <v>776</v>
      </c>
      <c r="O21" s="357">
        <v>698</v>
      </c>
      <c r="P21" s="358">
        <v>711</v>
      </c>
      <c r="Q21" s="354">
        <v>3204</v>
      </c>
      <c r="R21" s="358">
        <v>503</v>
      </c>
      <c r="S21" s="358">
        <v>589</v>
      </c>
      <c r="T21" s="358">
        <v>510</v>
      </c>
      <c r="U21" s="358">
        <v>927</v>
      </c>
      <c r="V21" s="354">
        <v>2529</v>
      </c>
      <c r="W21" s="358">
        <v>1721</v>
      </c>
      <c r="X21" s="358">
        <v>648</v>
      </c>
      <c r="Y21" s="358">
        <v>703</v>
      </c>
      <c r="Z21" s="181">
        <v>637</v>
      </c>
      <c r="AA21" s="354">
        <v>3709</v>
      </c>
      <c r="AB21" s="358">
        <v>828</v>
      </c>
      <c r="AC21" s="358">
        <v>757</v>
      </c>
      <c r="AD21" s="358">
        <v>938</v>
      </c>
      <c r="AE21" s="181">
        <v>694</v>
      </c>
      <c r="AF21" s="170">
        <v>6158</v>
      </c>
      <c r="AG21" s="358">
        <v>891</v>
      </c>
      <c r="AH21" s="358">
        <v>1520</v>
      </c>
      <c r="AI21" s="358">
        <v>1870</v>
      </c>
      <c r="AJ21" s="181">
        <v>1189</v>
      </c>
      <c r="AK21" s="354">
        <v>5470</v>
      </c>
      <c r="AL21" s="358">
        <v>830</v>
      </c>
      <c r="AM21" s="358">
        <v>1396</v>
      </c>
      <c r="AN21" s="358">
        <v>1471</v>
      </c>
      <c r="AO21" s="136">
        <f>AP21-SUM(AL21:AN21)</f>
        <v>1349</v>
      </c>
      <c r="AP21" s="354">
        <v>5046</v>
      </c>
      <c r="AQ21" s="358">
        <v>1011</v>
      </c>
      <c r="AR21" s="660">
        <v>2030</v>
      </c>
      <c r="AS21" s="136">
        <v>1230</v>
      </c>
      <c r="AT21" s="136">
        <f>AU21-SUM(AQ21:AS21)</f>
        <v>1035</v>
      </c>
      <c r="AU21" s="708">
        <v>5306</v>
      </c>
      <c r="AV21" s="358"/>
      <c r="AW21" s="660"/>
      <c r="AX21" s="136"/>
      <c r="AY21" s="136"/>
      <c r="AZ21" s="708">
        <v>5984</v>
      </c>
      <c r="BA21" s="660">
        <v>1088</v>
      </c>
      <c r="BB21" s="660">
        <v>1425</v>
      </c>
      <c r="BC21" s="660">
        <v>1532</v>
      </c>
      <c r="BD21" s="136">
        <v>1371</v>
      </c>
      <c r="BE21" s="708">
        <f>+SUM(BA21:BD21)</f>
        <v>5416</v>
      </c>
      <c r="BF21" s="901">
        <v>1253</v>
      </c>
      <c r="BG21" s="670">
        <v>1599</v>
      </c>
      <c r="BH21" s="670">
        <v>1731</v>
      </c>
      <c r="BI21" s="892">
        <v>980</v>
      </c>
      <c r="BJ21" s="708">
        <f>SUM(BF21:BI21)</f>
        <v>5563</v>
      </c>
      <c r="BK21" s="901">
        <v>1734</v>
      </c>
      <c r="BL21" s="181">
        <v>1373</v>
      </c>
      <c r="BM21" s="353">
        <v>2003</v>
      </c>
      <c r="BN21" s="1051">
        <f>6615-BM21-BL21-BK21</f>
        <v>1505</v>
      </c>
      <c r="BO21" s="708">
        <f>SUM(BK21:BN21)</f>
        <v>6615</v>
      </c>
      <c r="BP21" s="708"/>
      <c r="BQ21" s="355"/>
      <c r="BR21" s="181"/>
      <c r="BS21" s="181"/>
      <c r="BT21" s="356"/>
      <c r="BU21" s="354"/>
      <c r="BV21" s="355"/>
      <c r="BW21" s="181"/>
      <c r="BX21" s="181"/>
      <c r="BY21" s="356"/>
      <c r="BZ21" s="354"/>
      <c r="CA21" s="355"/>
      <c r="CB21" s="181"/>
      <c r="CC21" s="181"/>
      <c r="CD21" s="356"/>
      <c r="CE21" s="354"/>
      <c r="CF21" s="355"/>
      <c r="CG21" s="181"/>
      <c r="CH21" s="181"/>
      <c r="CI21" s="356"/>
      <c r="CJ21" s="354"/>
      <c r="CK21" s="291"/>
      <c r="CL21" s="657"/>
      <c r="CM21" s="657"/>
      <c r="CN21" s="682"/>
      <c r="CO21" s="657"/>
      <c r="CP21" s="657"/>
      <c r="CQ21" s="657"/>
      <c r="CR21" s="657"/>
      <c r="CS21" s="657"/>
      <c r="CT21" s="291"/>
      <c r="CX21"/>
      <c r="CY21"/>
      <c r="CZ21"/>
      <c r="DA21"/>
      <c r="DB21"/>
      <c r="DC21"/>
    </row>
    <row r="22" spans="1:107" s="652" customFormat="1" ht="12" customHeight="1">
      <c r="A22" s="644" t="s">
        <v>116</v>
      </c>
      <c r="B22" s="645">
        <f t="shared" ref="B22:AG22" si="52">+B21/B14</f>
        <v>1.1273041474654377</v>
      </c>
      <c r="C22" s="645">
        <f t="shared" si="52"/>
        <v>1.3131955484896662</v>
      </c>
      <c r="D22" s="645">
        <f t="shared" si="52"/>
        <v>1.2092909535452323</v>
      </c>
      <c r="E22" s="645">
        <f t="shared" si="52"/>
        <v>0.97343616109682951</v>
      </c>
      <c r="F22" s="645">
        <f t="shared" si="52"/>
        <v>1.0111598246313271</v>
      </c>
      <c r="G22" s="645">
        <f t="shared" si="52"/>
        <v>1.0550781250000001</v>
      </c>
      <c r="H22" s="646">
        <f t="shared" si="52"/>
        <v>0.90986394557823125</v>
      </c>
      <c r="I22" s="646">
        <f t="shared" si="52"/>
        <v>0.84684684684684686</v>
      </c>
      <c r="J22" s="646">
        <f t="shared" si="52"/>
        <v>2.1191176470588236</v>
      </c>
      <c r="K22" s="646">
        <f t="shared" si="52"/>
        <v>2.9207920792079207</v>
      </c>
      <c r="L22" s="645">
        <f t="shared" si="52"/>
        <v>1.7870167760758571</v>
      </c>
      <c r="M22" s="646">
        <f t="shared" si="52"/>
        <v>1.472543352601156</v>
      </c>
      <c r="N22" s="646">
        <f t="shared" si="52"/>
        <v>0.93606755126658625</v>
      </c>
      <c r="O22" s="646">
        <f t="shared" si="52"/>
        <v>0.87141073657927592</v>
      </c>
      <c r="P22" s="646">
        <f t="shared" si="52"/>
        <v>0.87777777777777777</v>
      </c>
      <c r="Q22" s="645">
        <f t="shared" si="52"/>
        <v>1.0229885057471264</v>
      </c>
      <c r="R22" s="646">
        <f t="shared" si="52"/>
        <v>0.64158163265306123</v>
      </c>
      <c r="S22" s="646">
        <f t="shared" si="52"/>
        <v>0.72536945812807885</v>
      </c>
      <c r="T22" s="646">
        <f t="shared" si="52"/>
        <v>0.63354037267080743</v>
      </c>
      <c r="U22" s="646">
        <f t="shared" si="52"/>
        <v>1.1544209215442092</v>
      </c>
      <c r="V22" s="645">
        <f t="shared" si="52"/>
        <v>0.7893258426966292</v>
      </c>
      <c r="W22" s="646">
        <f t="shared" si="52"/>
        <v>2.3575342465753426</v>
      </c>
      <c r="X22" s="646">
        <f t="shared" si="52"/>
        <v>1.3728813559322033</v>
      </c>
      <c r="Y22" s="646">
        <f t="shared" si="52"/>
        <v>0.9564625850340136</v>
      </c>
      <c r="Z22" s="646">
        <f t="shared" si="52"/>
        <v>0.77682926829268295</v>
      </c>
      <c r="AA22" s="645">
        <f t="shared" si="52"/>
        <v>1.3453028654334422</v>
      </c>
      <c r="AB22" s="646">
        <f t="shared" si="52"/>
        <v>1.1040000000000001</v>
      </c>
      <c r="AC22" s="646">
        <f t="shared" si="52"/>
        <v>1.0066489361702127</v>
      </c>
      <c r="AD22" s="646">
        <f t="shared" si="52"/>
        <v>1.2342105263157894</v>
      </c>
      <c r="AE22" s="646">
        <f t="shared" si="52"/>
        <v>0.92164674634794153</v>
      </c>
      <c r="AF22" s="645">
        <f t="shared" si="52"/>
        <v>0.95177743431221018</v>
      </c>
      <c r="AG22" s="646">
        <f t="shared" si="52"/>
        <v>0.56108312342569266</v>
      </c>
      <c r="AH22" s="646">
        <f t="shared" ref="AH22:BE22" si="53">+AH21/AH14</f>
        <v>0.9517845961177207</v>
      </c>
      <c r="AI22" s="646">
        <f t="shared" si="53"/>
        <v>1.2087912087912087</v>
      </c>
      <c r="AJ22" s="646">
        <f t="shared" si="53"/>
        <v>0.74173424828446666</v>
      </c>
      <c r="AK22" s="645">
        <f t="shared" si="53"/>
        <v>0.8634569850039463</v>
      </c>
      <c r="AL22" s="646">
        <f t="shared" si="53"/>
        <v>0.54569362261669951</v>
      </c>
      <c r="AM22" s="646">
        <f t="shared" si="53"/>
        <v>0.88917197452229302</v>
      </c>
      <c r="AN22" s="646">
        <f t="shared" si="53"/>
        <v>0.98328877005347592</v>
      </c>
      <c r="AO22" s="646">
        <f t="shared" si="53"/>
        <v>0.92524005486968453</v>
      </c>
      <c r="AP22" s="645">
        <f t="shared" si="53"/>
        <v>0.83473945409429284</v>
      </c>
      <c r="AQ22" s="646">
        <f t="shared" si="53"/>
        <v>0.70748775367389782</v>
      </c>
      <c r="AR22" s="646">
        <f t="shared" si="53"/>
        <v>1.3596784996651039</v>
      </c>
      <c r="AS22" s="646">
        <f t="shared" si="53"/>
        <v>0.84827586206896555</v>
      </c>
      <c r="AT22" s="646">
        <f t="shared" si="53"/>
        <v>0.6822676334871457</v>
      </c>
      <c r="AU22" s="645">
        <f t="shared" si="53"/>
        <v>0.90100186788928516</v>
      </c>
      <c r="AV22" s="646"/>
      <c r="AW22" s="646"/>
      <c r="AX22" s="646"/>
      <c r="AY22" s="646"/>
      <c r="AZ22" s="645">
        <f t="shared" ref="AZ22" si="54">+AZ21/AZ14</f>
        <v>0.96174863387978138</v>
      </c>
      <c r="BA22" s="646">
        <f t="shared" si="53"/>
        <v>0.74469541409993156</v>
      </c>
      <c r="BB22" s="646">
        <f t="shared" si="53"/>
        <v>0.89397741530740271</v>
      </c>
      <c r="BC22" s="646">
        <f t="shared" si="53"/>
        <v>1.0085582620144833</v>
      </c>
      <c r="BD22" s="646">
        <f t="shared" si="53"/>
        <v>0.89199739752765128</v>
      </c>
      <c r="BE22" s="645">
        <f t="shared" si="53"/>
        <v>0.88627065946653572</v>
      </c>
      <c r="BF22" s="646">
        <f t="shared" ref="BF22:BI22" si="55">+BF21/BF14</f>
        <v>0.81788511749347259</v>
      </c>
      <c r="BG22" s="646">
        <f t="shared" si="55"/>
        <v>0.97381242387332523</v>
      </c>
      <c r="BH22" s="646">
        <f t="shared" si="55"/>
        <v>1.1232965606748864</v>
      </c>
      <c r="BI22" s="646">
        <f t="shared" si="55"/>
        <v>0.66260987153482087</v>
      </c>
      <c r="BJ22" s="645">
        <f t="shared" ref="BJ22:BK22" si="56">+BJ21/BJ14</f>
        <v>0.89812721989021638</v>
      </c>
      <c r="BK22" s="646">
        <f t="shared" si="56"/>
        <v>1.1506303915063039</v>
      </c>
      <c r="BL22" s="646">
        <f t="shared" ref="BL22:BO22" si="57">+BL21/BL14</f>
        <v>0.88295819935691322</v>
      </c>
      <c r="BM22" s="646">
        <f t="shared" si="57"/>
        <v>1.2981205443940376</v>
      </c>
      <c r="BN22" s="646">
        <f t="shared" si="57"/>
        <v>0.95737913486005088</v>
      </c>
      <c r="BO22" s="645">
        <f t="shared" si="57"/>
        <v>1.0709082078678971</v>
      </c>
      <c r="BP22" s="645"/>
      <c r="BQ22" s="648"/>
      <c r="BR22" s="646"/>
      <c r="BS22" s="646"/>
      <c r="BT22" s="649"/>
      <c r="BU22" s="645"/>
      <c r="BV22" s="648"/>
      <c r="BW22" s="646"/>
      <c r="BX22" s="646"/>
      <c r="BY22" s="649"/>
      <c r="BZ22" s="645"/>
      <c r="CA22" s="648"/>
      <c r="CB22" s="646"/>
      <c r="CC22" s="646"/>
      <c r="CD22" s="649"/>
      <c r="CE22" s="645"/>
      <c r="CF22" s="648"/>
      <c r="CG22" s="646"/>
      <c r="CH22" s="646"/>
      <c r="CI22" s="649"/>
      <c r="CJ22" s="645"/>
      <c r="CK22" s="650"/>
      <c r="CL22" s="744"/>
      <c r="CM22" s="744"/>
      <c r="CN22" s="744"/>
      <c r="CO22" s="744"/>
      <c r="CP22" s="744"/>
      <c r="CQ22" s="744"/>
      <c r="CR22" s="744"/>
      <c r="CS22" s="744"/>
      <c r="CT22" s="651"/>
      <c r="CX22"/>
      <c r="CY22"/>
      <c r="CZ22"/>
      <c r="DA22"/>
      <c r="DB22"/>
      <c r="DC22"/>
    </row>
    <row r="23" spans="1:107" s="652" customFormat="1" ht="12" customHeight="1">
      <c r="A23" s="644" t="s">
        <v>1</v>
      </c>
      <c r="B23" s="645">
        <f t="shared" ref="B23:G23" si="58">B17/B14</f>
        <v>1.7580645161290323</v>
      </c>
      <c r="C23" s="645">
        <f t="shared" si="58"/>
        <v>1.875993640699523</v>
      </c>
      <c r="D23" s="645">
        <f t="shared" si="58"/>
        <v>2.0048899755501224</v>
      </c>
      <c r="E23" s="645">
        <f t="shared" si="58"/>
        <v>1.7420736932305056</v>
      </c>
      <c r="F23" s="645">
        <f t="shared" si="58"/>
        <v>1.6249501793543244</v>
      </c>
      <c r="G23" s="645">
        <f t="shared" si="58"/>
        <v>1.537109375</v>
      </c>
      <c r="H23" s="646">
        <f>H17/H14/4</f>
        <v>1.5931122448979591</v>
      </c>
      <c r="I23" s="646">
        <f>I17/I14/4</f>
        <v>1.3569819819819819</v>
      </c>
      <c r="J23" s="646">
        <f>J17/J14/4</f>
        <v>1.5227941176470587</v>
      </c>
      <c r="K23" s="646">
        <f>K17/K14/4</f>
        <v>1.7438118811881189</v>
      </c>
      <c r="L23" s="645">
        <f>L17/L14</f>
        <v>2.0554339897884755</v>
      </c>
      <c r="M23" s="646">
        <f>M17/M14/4</f>
        <v>2.1065751445086707</v>
      </c>
      <c r="N23" s="646">
        <f>N17/N14/4</f>
        <v>1.735826296743064</v>
      </c>
      <c r="O23" s="646">
        <f>O17/O14/4</f>
        <v>1.7222222222222223</v>
      </c>
      <c r="P23" s="646">
        <f>P17/P14/4</f>
        <v>1.5854938271604939</v>
      </c>
      <c r="Q23" s="645">
        <f>Q17/Q14</f>
        <v>1.6401660280970627</v>
      </c>
      <c r="R23" s="646">
        <f>R17/R14/4</f>
        <v>1.5363520408163265</v>
      </c>
      <c r="S23" s="646">
        <f>S17/S14/4</f>
        <v>1.4402709359605912</v>
      </c>
      <c r="T23" s="646">
        <f>T17/T14/4</f>
        <v>1.3506211180124224</v>
      </c>
      <c r="U23" s="646">
        <f>U17/U14/4</f>
        <v>1.3574097135740972</v>
      </c>
      <c r="V23" s="645">
        <f>V17/V14</f>
        <v>1.3607990012484394</v>
      </c>
      <c r="W23" s="646">
        <f>W17/W14/4</f>
        <v>1.8133561643835616</v>
      </c>
      <c r="X23" s="646">
        <f>X17/X14/4</f>
        <v>2.4465042372881354</v>
      </c>
      <c r="Y23" s="646">
        <f>Y17/Y14/4</f>
        <v>1.5401360544217686</v>
      </c>
      <c r="Z23" s="646">
        <f>Z17/Z14/4</f>
        <v>1.3167682926829267</v>
      </c>
      <c r="AA23" s="645">
        <f>AA17/AA14</f>
        <v>1.5665578527384838</v>
      </c>
      <c r="AB23" s="646">
        <f>AB17/AB14/4</f>
        <v>1.4630000000000001</v>
      </c>
      <c r="AC23" s="646">
        <f>AC17/AC14/4</f>
        <v>1.4527925531914894</v>
      </c>
      <c r="AD23" s="646">
        <f>AD17/AD14/4</f>
        <v>1.4786184210526316</v>
      </c>
      <c r="AE23" s="646">
        <f>AE17/AE14/4</f>
        <v>1.4495351925630811</v>
      </c>
      <c r="AF23" s="645">
        <f>AF17/AF14</f>
        <v>1.0860896445131376</v>
      </c>
      <c r="AG23" s="646">
        <f>AG17/AG14/4</f>
        <v>1.0140113350125946</v>
      </c>
      <c r="AH23" s="646">
        <f>AH17/AH14/4</f>
        <v>1.0039135879774577</v>
      </c>
      <c r="AI23" s="646">
        <f>AI17/AI14/4</f>
        <v>1.1074660633484164</v>
      </c>
      <c r="AJ23" s="646">
        <f>AJ17/AJ14/4</f>
        <v>0.99953212726138485</v>
      </c>
      <c r="AK23" s="645">
        <f>AK17/AK14</f>
        <v>1.0116811365430149</v>
      </c>
      <c r="AL23" s="647">
        <f>AL17/AL14/4</f>
        <v>0.95841551610782383</v>
      </c>
      <c r="AM23" s="646">
        <f>AM17/AM14/4</f>
        <v>0.91624203821656047</v>
      </c>
      <c r="AN23" s="646">
        <f>AN17/AN14/4</f>
        <v>0.98395721925133695</v>
      </c>
      <c r="AO23" s="646">
        <f>AO17/AO14/4</f>
        <v>1.0041152263374487</v>
      </c>
      <c r="AP23" s="645">
        <f>AP17/AP14</f>
        <v>0.96873449131513645</v>
      </c>
      <c r="AQ23" s="647">
        <f>AQ17/AQ14/4</f>
        <v>0.97603219034289712</v>
      </c>
      <c r="AR23" s="646">
        <f>AR17/AR14/4</f>
        <v>1.0545880776959142</v>
      </c>
      <c r="AS23" s="646">
        <f>AS17/AS14/4</f>
        <v>1.0706896551724139</v>
      </c>
      <c r="AT23" s="646">
        <f>AT17/AT14/4</f>
        <v>0.95995385629531971</v>
      </c>
      <c r="AU23" s="645">
        <f>AU17/AU14</f>
        <v>0.98913228052300894</v>
      </c>
      <c r="AV23" s="647"/>
      <c r="AW23" s="646"/>
      <c r="AX23" s="646"/>
      <c r="AY23" s="646"/>
      <c r="AZ23" s="645">
        <f>AZ17/AZ14</f>
        <v>1.1182899389263903</v>
      </c>
      <c r="BA23" s="647"/>
      <c r="BB23" s="646"/>
      <c r="BC23" s="646"/>
      <c r="BD23" s="646"/>
      <c r="BE23" s="645">
        <f>BE17/BE14</f>
        <v>1.0418916707576502</v>
      </c>
      <c r="BF23" s="647">
        <f>BF17/BF14/4</f>
        <v>0.9913511749347258</v>
      </c>
      <c r="BG23" s="646">
        <f>BG17/BG14/4</f>
        <v>0.92265529841656513</v>
      </c>
      <c r="BH23" s="646">
        <f>BH17/BH14/4</f>
        <v>0.99399740428293315</v>
      </c>
      <c r="BI23" s="646">
        <f>BI17/BI14/4</f>
        <v>0.95706558485463156</v>
      </c>
      <c r="BJ23" s="645">
        <f>BJ17/BJ14</f>
        <v>0.91411042944785281</v>
      </c>
      <c r="BK23" s="647">
        <f>BK17/BK14/4</f>
        <v>0.98954877239548777</v>
      </c>
      <c r="BL23" s="646">
        <f>BL17/BL14/4</f>
        <v>0.9498392282958199</v>
      </c>
      <c r="BM23" s="646">
        <f>BM17/BM14/4</f>
        <v>1.0317563188593648</v>
      </c>
      <c r="BN23" s="646">
        <f>BN17/BN14/4</f>
        <v>1.0341921119592876</v>
      </c>
      <c r="BO23" s="645">
        <f>BO17/BO14</f>
        <v>1.0527764286870649</v>
      </c>
      <c r="BP23" s="645"/>
      <c r="BQ23" s="648"/>
      <c r="BR23" s="646"/>
      <c r="BS23" s="646"/>
      <c r="BT23" s="646"/>
      <c r="BU23" s="648"/>
      <c r="BV23" s="648"/>
      <c r="BW23" s="646"/>
      <c r="BX23" s="646"/>
      <c r="BY23" s="646"/>
      <c r="BZ23" s="648"/>
      <c r="CA23" s="648"/>
      <c r="CB23" s="646"/>
      <c r="CC23" s="646"/>
      <c r="CD23" s="646"/>
      <c r="CE23" s="648"/>
      <c r="CF23" s="648"/>
      <c r="CG23" s="646"/>
      <c r="CH23" s="646"/>
      <c r="CI23" s="646"/>
      <c r="CJ23" s="648"/>
      <c r="CK23" s="650"/>
      <c r="CL23" s="744"/>
      <c r="CM23" s="744"/>
      <c r="CN23" s="976"/>
      <c r="CO23" s="744"/>
      <c r="CP23" s="744"/>
      <c r="CQ23" s="744"/>
      <c r="CR23" s="744"/>
      <c r="CS23" s="744"/>
      <c r="CT23" s="651"/>
      <c r="CX23"/>
      <c r="CY23"/>
      <c r="CZ23"/>
      <c r="DA23"/>
      <c r="DB23"/>
      <c r="DC23"/>
    </row>
    <row r="24" spans="1:107" s="204" customFormat="1">
      <c r="A24" s="127" t="s">
        <v>201</v>
      </c>
      <c r="B24" s="128">
        <v>2901</v>
      </c>
      <c r="C24" s="128">
        <v>3038</v>
      </c>
      <c r="D24" s="128">
        <v>3538</v>
      </c>
      <c r="E24" s="128">
        <v>3844</v>
      </c>
      <c r="F24" s="128">
        <v>4124</v>
      </c>
      <c r="G24" s="128">
        <v>4503</v>
      </c>
      <c r="H24" s="132">
        <v>1140</v>
      </c>
      <c r="I24" s="132">
        <v>1244</v>
      </c>
      <c r="J24" s="132">
        <v>1247</v>
      </c>
      <c r="K24" s="129">
        <v>1362</v>
      </c>
      <c r="L24" s="128">
        <v>5026</v>
      </c>
      <c r="M24" s="129">
        <v>1319</v>
      </c>
      <c r="N24" s="132">
        <v>1363</v>
      </c>
      <c r="O24" s="132">
        <v>1360</v>
      </c>
      <c r="P24" s="129">
        <v>1366</v>
      </c>
      <c r="Q24" s="128">
        <f>SUM(M24:P24)</f>
        <v>5408</v>
      </c>
      <c r="R24" s="129">
        <v>1368</v>
      </c>
      <c r="S24" s="132">
        <v>1384</v>
      </c>
      <c r="T24" s="132">
        <v>1396</v>
      </c>
      <c r="U24" s="129">
        <v>1413</v>
      </c>
      <c r="V24" s="128">
        <f>SUM(R24:U24)</f>
        <v>5561</v>
      </c>
      <c r="W24" s="129">
        <v>1361</v>
      </c>
      <c r="X24" s="132">
        <v>1415</v>
      </c>
      <c r="Y24" s="132">
        <v>1391</v>
      </c>
      <c r="Z24" s="129">
        <v>1565</v>
      </c>
      <c r="AA24" s="128">
        <f>SUM(W24:Z24)</f>
        <v>5732</v>
      </c>
      <c r="AB24" s="129">
        <v>1329</v>
      </c>
      <c r="AC24" s="132">
        <v>1366</v>
      </c>
      <c r="AD24" s="132">
        <v>1413</v>
      </c>
      <c r="AE24" s="129">
        <v>1482</v>
      </c>
      <c r="AF24" s="128">
        <v>6801</v>
      </c>
      <c r="AG24" s="129">
        <v>1601</v>
      </c>
      <c r="AH24" s="132">
        <v>1580</v>
      </c>
      <c r="AI24" s="132">
        <v>1677</v>
      </c>
      <c r="AJ24" s="129">
        <v>1781</v>
      </c>
      <c r="AK24" s="128">
        <f>+SUM(AG24:AJ24)</f>
        <v>6639</v>
      </c>
      <c r="AL24" s="132">
        <v>1636</v>
      </c>
      <c r="AM24" s="132">
        <v>1690</v>
      </c>
      <c r="AN24" s="132">
        <v>1635</v>
      </c>
      <c r="AO24" s="132">
        <v>1638</v>
      </c>
      <c r="AP24" s="128">
        <f>SUM(AL24:AO24)</f>
        <v>6599</v>
      </c>
      <c r="AQ24" s="132">
        <v>1574</v>
      </c>
      <c r="AR24" s="132">
        <v>1539</v>
      </c>
      <c r="AS24" s="132">
        <v>1477</v>
      </c>
      <c r="AT24" s="132">
        <v>1719</v>
      </c>
      <c r="AU24" s="128">
        <f>SUM(AQ24:AT24)</f>
        <v>6309</v>
      </c>
      <c r="AV24" s="132"/>
      <c r="AW24" s="132"/>
      <c r="AX24" s="132"/>
      <c r="AY24" s="132"/>
      <c r="AZ24" s="128">
        <v>6309</v>
      </c>
      <c r="BA24" s="132">
        <v>1473</v>
      </c>
      <c r="BB24" s="132">
        <v>1559</v>
      </c>
      <c r="BC24" s="132">
        <v>1645</v>
      </c>
      <c r="BD24" s="132">
        <v>1879</v>
      </c>
      <c r="BE24" s="128">
        <f>SUM(BA24:BD24)</f>
        <v>6556</v>
      </c>
      <c r="BF24" s="132">
        <v>1723</v>
      </c>
      <c r="BG24" s="132">
        <v>1656</v>
      </c>
      <c r="BH24" s="132">
        <v>1800</v>
      </c>
      <c r="BI24" s="132">
        <f>7071-SUM(BF24:BH24)</f>
        <v>1892</v>
      </c>
      <c r="BJ24" s="128">
        <f>SUM(BF24:BI24)</f>
        <v>7071</v>
      </c>
      <c r="BK24" s="132">
        <v>1756</v>
      </c>
      <c r="BL24" s="129">
        <v>1901</v>
      </c>
      <c r="BM24" s="132">
        <v>1945</v>
      </c>
      <c r="BN24" s="132">
        <v>2185</v>
      </c>
      <c r="BO24" s="128">
        <f>SUM(BK24:BN24)</f>
        <v>7787</v>
      </c>
      <c r="BP24" s="128">
        <f>BO24</f>
        <v>7787</v>
      </c>
      <c r="BQ24" s="130">
        <f t="shared" ref="BQ24" si="59">BK24*(1+BQ25)</f>
        <v>1914.0400000000002</v>
      </c>
      <c r="BR24" s="129">
        <f t="shared" ref="BR24" si="60">BL24*(1+BR25)</f>
        <v>2091.1000000000004</v>
      </c>
      <c r="BS24" s="129">
        <f t="shared" ref="BS24" si="61">BM24*(1+BS25)</f>
        <v>2139.5</v>
      </c>
      <c r="BT24" s="129">
        <f t="shared" ref="BT24" si="62">BN24*(1+BT25)</f>
        <v>2425.3500000000004</v>
      </c>
      <c r="BU24" s="130">
        <f>+SUM(BQ24:BT24)</f>
        <v>8569.9900000000016</v>
      </c>
      <c r="BV24" s="130"/>
      <c r="BW24" s="129"/>
      <c r="BX24" s="129"/>
      <c r="BY24" s="129"/>
      <c r="BZ24" s="130">
        <f>BU24*(1+BZ25)</f>
        <v>9169.8893000000025</v>
      </c>
      <c r="CA24" s="130"/>
      <c r="CB24" s="129"/>
      <c r="CC24" s="129"/>
      <c r="CD24" s="129"/>
      <c r="CE24" s="130">
        <f>BZ24*(1+CE25)</f>
        <v>9811.7815510000037</v>
      </c>
      <c r="CF24" s="130"/>
      <c r="CG24" s="129"/>
      <c r="CH24" s="129"/>
      <c r="CI24" s="129"/>
      <c r="CJ24" s="130">
        <f>CE24*(1+CJ25)</f>
        <v>10498.606259570004</v>
      </c>
      <c r="CK24" s="296"/>
      <c r="CL24" s="657" t="s">
        <v>341</v>
      </c>
      <c r="CM24" s="657"/>
      <c r="CN24" s="682"/>
      <c r="CO24" s="743"/>
      <c r="CP24" s="657"/>
      <c r="CQ24" s="657"/>
      <c r="CR24" s="657"/>
      <c r="CS24" s="657"/>
      <c r="CT24" s="296"/>
      <c r="CX24"/>
      <c r="CY24"/>
      <c r="CZ24"/>
      <c r="DA24"/>
      <c r="DB24"/>
      <c r="DC24"/>
    </row>
    <row r="25" spans="1:107" s="432" customFormat="1">
      <c r="A25" s="478" t="s">
        <v>137</v>
      </c>
      <c r="B25" s="474"/>
      <c r="C25" s="474">
        <f>C24/B24-1</f>
        <v>4.7225094794898226E-2</v>
      </c>
      <c r="D25" s="474">
        <f>D24/C24-1</f>
        <v>0.16458196181698481</v>
      </c>
      <c r="E25" s="474">
        <f>E24/D24-1</f>
        <v>8.6489542114188911E-2</v>
      </c>
      <c r="F25" s="474">
        <f>F24/E24-1</f>
        <v>7.2840790842872094E-2</v>
      </c>
      <c r="G25" s="474">
        <f>G24/F24-1</f>
        <v>9.19010669253153E-2</v>
      </c>
      <c r="H25" s="431"/>
      <c r="I25" s="431"/>
      <c r="J25" s="431"/>
      <c r="K25" s="431"/>
      <c r="L25" s="474">
        <f t="shared" ref="L25:AE25" si="63">L24/G24-1</f>
        <v>0.11614479236064845</v>
      </c>
      <c r="M25" s="431">
        <f t="shared" si="63"/>
        <v>0.15701754385964906</v>
      </c>
      <c r="N25" s="431">
        <f t="shared" si="63"/>
        <v>9.5659163987138252E-2</v>
      </c>
      <c r="O25" s="431">
        <f t="shared" si="63"/>
        <v>9.0617481956696055E-2</v>
      </c>
      <c r="P25" s="431">
        <f t="shared" si="63"/>
        <v>2.936857562408246E-3</v>
      </c>
      <c r="Q25" s="474">
        <f t="shared" si="63"/>
        <v>7.6004775169120631E-2</v>
      </c>
      <c r="R25" s="431">
        <f t="shared" si="63"/>
        <v>3.7149355572403397E-2</v>
      </c>
      <c r="S25" s="431">
        <f t="shared" si="63"/>
        <v>1.5407190022010298E-2</v>
      </c>
      <c r="T25" s="431">
        <f t="shared" si="63"/>
        <v>2.6470588235294024E-2</v>
      </c>
      <c r="U25" s="431">
        <f t="shared" si="63"/>
        <v>3.4407027818448066E-2</v>
      </c>
      <c r="V25" s="474">
        <f t="shared" si="63"/>
        <v>2.8291420118343291E-2</v>
      </c>
      <c r="W25" s="431">
        <f t="shared" si="63"/>
        <v>-5.1169590643275198E-3</v>
      </c>
      <c r="X25" s="431">
        <f t="shared" si="63"/>
        <v>2.2398843930635737E-2</v>
      </c>
      <c r="Y25" s="431">
        <f t="shared" si="63"/>
        <v>-3.5816618911175269E-3</v>
      </c>
      <c r="Z25" s="431">
        <f t="shared" si="63"/>
        <v>0.1075725406935597</v>
      </c>
      <c r="AA25" s="474">
        <f t="shared" si="63"/>
        <v>3.0749865132170484E-2</v>
      </c>
      <c r="AB25" s="431">
        <f t="shared" si="63"/>
        <v>-2.3512123438648058E-2</v>
      </c>
      <c r="AC25" s="431">
        <f t="shared" si="63"/>
        <v>-3.4628975265017625E-2</v>
      </c>
      <c r="AD25" s="431">
        <f t="shared" si="63"/>
        <v>1.5815959741193319E-2</v>
      </c>
      <c r="AE25" s="431">
        <f t="shared" si="63"/>
        <v>-5.3035143769968096E-2</v>
      </c>
      <c r="AF25" s="474"/>
      <c r="AG25" s="431">
        <f>AG24/AB24-1</f>
        <v>0.20466516177577132</v>
      </c>
      <c r="AH25" s="431">
        <f>AH24/AC24-1</f>
        <v>0.15666178623718885</v>
      </c>
      <c r="AI25" s="431">
        <f>AI24/AD24-1</f>
        <v>0.18683651804670909</v>
      </c>
      <c r="AJ25" s="431">
        <f>AJ24/AE24-1</f>
        <v>0.20175438596491224</v>
      </c>
      <c r="AK25" s="474">
        <f>AK24/AF24 -1</f>
        <v>-2.382002646669612E-2</v>
      </c>
      <c r="AL25" s="431">
        <f>AL24/AG24 -1</f>
        <v>2.1861336664584563E-2</v>
      </c>
      <c r="AM25" s="431">
        <f>AM24/AH24 -1</f>
        <v>6.9620253164556889E-2</v>
      </c>
      <c r="AN25" s="431">
        <f>AN24/AI24-1</f>
        <v>-2.5044722719141377E-2</v>
      </c>
      <c r="AO25" s="431">
        <f>AO24/AJ24-1</f>
        <v>-8.0291970802919721E-2</v>
      </c>
      <c r="AP25" s="474">
        <f>AP24/AK24 -1</f>
        <v>-6.0250037656273125E-3</v>
      </c>
      <c r="AQ25" s="431">
        <f>AQ24/AL24 -1</f>
        <v>-3.7897310513447469E-2</v>
      </c>
      <c r="AR25" s="431">
        <f>AR24/AM24 -1</f>
        <v>-8.9349112426035493E-2</v>
      </c>
      <c r="AS25" s="431">
        <f>AS24/AN24-1</f>
        <v>-9.6636085626911283E-2</v>
      </c>
      <c r="AT25" s="431">
        <f>AT24/AO24-1</f>
        <v>4.9450549450549497E-2</v>
      </c>
      <c r="AU25" s="474">
        <f>AU24/AP24 -1</f>
        <v>-4.3946052432186744E-2</v>
      </c>
      <c r="AV25" s="431"/>
      <c r="AW25" s="431"/>
      <c r="AX25" s="431"/>
      <c r="AY25" s="431"/>
      <c r="AZ25" s="474">
        <f>AZ24/AU24 -1</f>
        <v>0</v>
      </c>
      <c r="BA25" s="431">
        <f>BA24/AQ24 -1</f>
        <v>-6.4167725540025367E-2</v>
      </c>
      <c r="BB25" s="431">
        <f>BB24/AR24 -1</f>
        <v>1.2995451591942819E-2</v>
      </c>
      <c r="BC25" s="431">
        <f>BC24/AS24-1</f>
        <v>0.11374407582938395</v>
      </c>
      <c r="BD25" s="431">
        <f>BD24/AT24-1</f>
        <v>9.3077370564281559E-2</v>
      </c>
      <c r="BE25" s="474">
        <f>BE24/AZ24 -1</f>
        <v>3.9150420034870903E-2</v>
      </c>
      <c r="BF25" s="431">
        <f>BF24/BA24 -1</f>
        <v>0.16972165648336723</v>
      </c>
      <c r="BG25" s="431">
        <f>BG24/BB24 -1</f>
        <v>6.221937139191791E-2</v>
      </c>
      <c r="BH25" s="431">
        <f>BH24/BC24-1</f>
        <v>9.4224924012157985E-2</v>
      </c>
      <c r="BI25" s="431">
        <f>BI24/BD24-1</f>
        <v>6.9185737094199506E-3</v>
      </c>
      <c r="BJ25" s="474">
        <f>BJ24/BE24 -1</f>
        <v>7.8553996339231213E-2</v>
      </c>
      <c r="BK25" s="431">
        <f>BK24/BF24 -1</f>
        <v>1.9152640742890359E-2</v>
      </c>
      <c r="BL25" s="963">
        <f>BL24/BG24 -1</f>
        <v>0.14794685990338174</v>
      </c>
      <c r="BM25" s="431">
        <f>BM24/BH24-1</f>
        <v>8.0555555555555491E-2</v>
      </c>
      <c r="BN25" s="431">
        <f>BN24/BI24-1</f>
        <v>0.15486257928118397</v>
      </c>
      <c r="BO25" s="474">
        <f>BO24/BJ24 -1</f>
        <v>0.10125866214113977</v>
      </c>
      <c r="BP25" s="474"/>
      <c r="BQ25" s="480">
        <v>0.09</v>
      </c>
      <c r="BR25" s="479">
        <v>0.1</v>
      </c>
      <c r="BS25" s="479">
        <v>0.1</v>
      </c>
      <c r="BT25" s="479">
        <v>0.11</v>
      </c>
      <c r="BU25" s="474">
        <f>BU24/BO24 -1</f>
        <v>0.10055091819699524</v>
      </c>
      <c r="BV25" s="480"/>
      <c r="BW25" s="479"/>
      <c r="BX25" s="479"/>
      <c r="BY25" s="479"/>
      <c r="BZ25" s="480">
        <v>7.0000000000000007E-2</v>
      </c>
      <c r="CA25" s="480"/>
      <c r="CB25" s="479"/>
      <c r="CC25" s="479"/>
      <c r="CD25" s="479"/>
      <c r="CE25" s="480">
        <v>7.0000000000000007E-2</v>
      </c>
      <c r="CF25" s="480"/>
      <c r="CG25" s="479"/>
      <c r="CH25" s="479"/>
      <c r="CI25" s="479"/>
      <c r="CJ25" s="480">
        <v>7.0000000000000007E-2</v>
      </c>
      <c r="CK25" s="430"/>
      <c r="CL25" s="657"/>
      <c r="CM25" s="657"/>
      <c r="CN25" s="682"/>
      <c r="CO25" s="676"/>
      <c r="CP25" s="677"/>
      <c r="CQ25" s="677"/>
      <c r="CR25" s="677"/>
      <c r="CS25" s="677"/>
      <c r="CT25" s="430"/>
      <c r="CX25"/>
      <c r="CY25"/>
      <c r="CZ25"/>
      <c r="DA25"/>
      <c r="DB25"/>
      <c r="DC25"/>
    </row>
    <row r="26" spans="1:107">
      <c r="A26" s="62" t="s">
        <v>16</v>
      </c>
      <c r="B26" s="70">
        <f t="shared" ref="B26:AG26" si="64">B24/B$77</f>
        <v>0.18112005993631766</v>
      </c>
      <c r="C26" s="70">
        <f t="shared" si="64"/>
        <v>0.18126491646778042</v>
      </c>
      <c r="D26" s="70">
        <f t="shared" si="64"/>
        <v>0.19537246672925065</v>
      </c>
      <c r="E26" s="70">
        <f t="shared" si="64"/>
        <v>0.21565217391304348</v>
      </c>
      <c r="F26" s="70">
        <f t="shared" si="64"/>
        <v>0.22302741874425397</v>
      </c>
      <c r="G26" s="70">
        <f t="shared" si="64"/>
        <v>0.22849748820216167</v>
      </c>
      <c r="H26" s="118">
        <f t="shared" si="64"/>
        <v>0.2373022481265612</v>
      </c>
      <c r="I26" s="64">
        <f t="shared" si="64"/>
        <v>0.23569533914361501</v>
      </c>
      <c r="J26" s="64">
        <f t="shared" si="64"/>
        <v>0.23893466181260778</v>
      </c>
      <c r="K26" s="64">
        <f t="shared" si="64"/>
        <v>0.22700000000000001</v>
      </c>
      <c r="L26" s="70">
        <f t="shared" si="64"/>
        <v>0.23595136378573775</v>
      </c>
      <c r="M26" s="64">
        <f t="shared" si="64"/>
        <v>0.24635786327979081</v>
      </c>
      <c r="N26" s="64">
        <f t="shared" si="64"/>
        <v>0.23219761499148212</v>
      </c>
      <c r="O26" s="64">
        <f t="shared" si="64"/>
        <v>0.23192360163710776</v>
      </c>
      <c r="P26" s="64">
        <f t="shared" si="64"/>
        <v>0.22444955635885638</v>
      </c>
      <c r="Q26" s="70">
        <f t="shared" si="64"/>
        <v>0.23336497799257788</v>
      </c>
      <c r="R26" s="64">
        <f t="shared" si="64"/>
        <v>0.23249490142760026</v>
      </c>
      <c r="S26" s="64">
        <f t="shared" si="64"/>
        <v>0.2259591836734694</v>
      </c>
      <c r="T26" s="64">
        <f t="shared" si="64"/>
        <v>0.2249798549556809</v>
      </c>
      <c r="U26" s="64">
        <f t="shared" si="64"/>
        <v>0.21193940302984851</v>
      </c>
      <c r="V26" s="70">
        <f t="shared" si="64"/>
        <v>0.22350387846147662</v>
      </c>
      <c r="W26" s="64">
        <f t="shared" si="64"/>
        <v>0.22484718321493474</v>
      </c>
      <c r="X26" s="64">
        <f t="shared" si="64"/>
        <v>0.23689938054578938</v>
      </c>
      <c r="Y26" s="64">
        <f t="shared" si="64"/>
        <v>0.22177933673469388</v>
      </c>
      <c r="Z26" s="64">
        <f t="shared" si="64"/>
        <v>0.22730573710965868</v>
      </c>
      <c r="AA26" s="70">
        <f t="shared" si="64"/>
        <v>0.22761386649724019</v>
      </c>
      <c r="AB26" s="64">
        <f t="shared" si="64"/>
        <v>0.21959682749504297</v>
      </c>
      <c r="AC26" s="64">
        <f t="shared" si="64"/>
        <v>0.22028705047572972</v>
      </c>
      <c r="AD26" s="64">
        <f t="shared" si="64"/>
        <v>0.23103335513407455</v>
      </c>
      <c r="AE26" s="64">
        <f t="shared" si="64"/>
        <v>0.23076923076923078</v>
      </c>
      <c r="AF26" s="70">
        <f t="shared" si="64"/>
        <v>0.27433342745351136</v>
      </c>
      <c r="AG26" s="64">
        <f t="shared" si="64"/>
        <v>0.26961940047153926</v>
      </c>
      <c r="AH26" s="64">
        <f t="shared" ref="AH26:BL26" si="65">AH24/AH$77</f>
        <v>0.2636849132176235</v>
      </c>
      <c r="AI26" s="64">
        <f t="shared" si="65"/>
        <v>0.27741935483870966</v>
      </c>
      <c r="AJ26" s="64">
        <f t="shared" si="65"/>
        <v>0.27659574468085107</v>
      </c>
      <c r="AK26" s="70">
        <f t="shared" si="65"/>
        <v>0.27193413615138856</v>
      </c>
      <c r="AL26" s="64">
        <f t="shared" si="65"/>
        <v>0.27827861881272326</v>
      </c>
      <c r="AM26" s="64">
        <f t="shared" si="65"/>
        <v>0.27636958299264103</v>
      </c>
      <c r="AN26" s="64">
        <f t="shared" si="65"/>
        <v>0.27986990756590208</v>
      </c>
      <c r="AO26" s="64">
        <f t="shared" si="65"/>
        <v>0.27904599659284496</v>
      </c>
      <c r="AP26" s="70">
        <f t="shared" si="65"/>
        <v>0.27735048123397638</v>
      </c>
      <c r="AQ26" s="64">
        <f t="shared" si="65"/>
        <v>0.28576615831517793</v>
      </c>
      <c r="AR26" s="64">
        <f t="shared" si="65"/>
        <v>0.26995263988773899</v>
      </c>
      <c r="AS26" s="64">
        <f t="shared" si="65"/>
        <v>0.26982097186700765</v>
      </c>
      <c r="AT26" s="64">
        <f t="shared" si="65"/>
        <v>0.2798307016115904</v>
      </c>
      <c r="AU26" s="70">
        <f t="shared" si="65"/>
        <v>0.27639533864890914</v>
      </c>
      <c r="AV26" s="64"/>
      <c r="AW26" s="64"/>
      <c r="AX26" s="64"/>
      <c r="AY26" s="64"/>
      <c r="AZ26" s="70">
        <f t="shared" ref="AZ26" si="66">AZ24/AZ$77</f>
        <v>0.27639533864890914</v>
      </c>
      <c r="BA26" s="64">
        <f t="shared" si="65"/>
        <v>0.27855521936459909</v>
      </c>
      <c r="BB26" s="64">
        <f t="shared" si="65"/>
        <v>0.26658686730506154</v>
      </c>
      <c r="BC26" s="64">
        <f t="shared" si="65"/>
        <v>0.28445443541414489</v>
      </c>
      <c r="BD26" s="64">
        <f t="shared" si="65"/>
        <v>0.29693426042983567</v>
      </c>
      <c r="BE26" s="70">
        <f t="shared" si="65"/>
        <v>0.28201488364089988</v>
      </c>
      <c r="BF26" s="64">
        <f t="shared" si="65"/>
        <v>0.29696656325405035</v>
      </c>
      <c r="BG26" s="64">
        <f t="shared" si="65"/>
        <v>0.27439933719966858</v>
      </c>
      <c r="BH26" s="64">
        <f t="shared" si="65"/>
        <v>0.29835902536051717</v>
      </c>
      <c r="BI26" s="64">
        <f t="shared" si="65"/>
        <v>0.30506288294098677</v>
      </c>
      <c r="BJ26" s="70">
        <f t="shared" si="65"/>
        <v>0.29374376869391827</v>
      </c>
      <c r="BK26" s="64">
        <f t="shared" si="65"/>
        <v>0.29266666666666669</v>
      </c>
      <c r="BL26" s="64">
        <f t="shared" si="65"/>
        <v>0.30265881229103647</v>
      </c>
      <c r="BM26" s="64">
        <f t="shared" ref="BM26:BO26" si="67">BM24/BM$77</f>
        <v>0.30951623169955444</v>
      </c>
      <c r="BN26" s="64">
        <f t="shared" si="67"/>
        <v>0.32212885154061627</v>
      </c>
      <c r="BO26" s="70">
        <f t="shared" si="67"/>
        <v>0.30720372415969704</v>
      </c>
      <c r="BP26" s="70"/>
      <c r="BQ26" s="1005">
        <f t="shared" ref="BQ26:BU26" si="68">BQ24/BQ$77</f>
        <v>0.30408822021805693</v>
      </c>
      <c r="BR26" s="1006">
        <f t="shared" si="68"/>
        <v>0.31395138802591421</v>
      </c>
      <c r="BS26" s="1006">
        <f t="shared" si="68"/>
        <v>0.32193198191142514</v>
      </c>
      <c r="BT26" s="1007">
        <f t="shared" si="68"/>
        <v>0.33643237742331994</v>
      </c>
      <c r="BU26" s="70">
        <f t="shared" si="68"/>
        <v>0.31965905401533384</v>
      </c>
      <c r="BV26" s="240"/>
      <c r="BW26" s="238"/>
      <c r="BX26" s="238"/>
      <c r="BY26" s="241"/>
      <c r="BZ26" s="70">
        <f>BZ24/BZ$77</f>
        <v>0.32434696552529957</v>
      </c>
      <c r="CA26" s="240"/>
      <c r="CB26" s="238"/>
      <c r="CC26" s="238"/>
      <c r="CD26" s="241"/>
      <c r="CE26" s="70">
        <f>CE24/CE$77</f>
        <v>0.32836377669211853</v>
      </c>
      <c r="CF26" s="240"/>
      <c r="CG26" s="238"/>
      <c r="CH26" s="238"/>
      <c r="CI26" s="241"/>
      <c r="CJ26" s="70">
        <f>CJ24/CJ$77</f>
        <v>0.33233705491517218</v>
      </c>
      <c r="CK26" s="289"/>
      <c r="CL26" s="657"/>
      <c r="CM26" s="657"/>
      <c r="CN26" s="682"/>
      <c r="CO26" s="658"/>
      <c r="CP26" s="658"/>
      <c r="CQ26" s="658"/>
      <c r="CR26" s="658"/>
      <c r="CS26" s="658"/>
      <c r="CT26" s="289"/>
    </row>
    <row r="27" spans="1:107" s="180" customFormat="1" ht="12" customHeight="1">
      <c r="A27" s="537" t="s">
        <v>14</v>
      </c>
      <c r="B27" s="372">
        <v>3437</v>
      </c>
      <c r="C27" s="372">
        <v>3509</v>
      </c>
      <c r="D27" s="372">
        <v>5028</v>
      </c>
      <c r="E27" s="372">
        <v>8341</v>
      </c>
      <c r="F27" s="372">
        <v>8040</v>
      </c>
      <c r="G27" s="372">
        <v>9504</v>
      </c>
      <c r="H27" s="373">
        <v>9638</v>
      </c>
      <c r="I27" s="373">
        <v>9356</v>
      </c>
      <c r="J27" s="373">
        <v>9078</v>
      </c>
      <c r="K27" s="373">
        <v>9456</v>
      </c>
      <c r="L27" s="372">
        <v>9456</v>
      </c>
      <c r="M27" s="373">
        <v>9661</v>
      </c>
      <c r="N27" s="373">
        <v>10250</v>
      </c>
      <c r="O27" s="373">
        <v>9949</v>
      </c>
      <c r="P27" s="373">
        <v>9937</v>
      </c>
      <c r="Q27" s="372">
        <v>9937</v>
      </c>
      <c r="R27" s="373">
        <v>9355</v>
      </c>
      <c r="S27" s="373">
        <v>7644</v>
      </c>
      <c r="T27" s="373">
        <v>7688</v>
      </c>
      <c r="U27" s="373">
        <v>7657</v>
      </c>
      <c r="V27" s="372">
        <v>7657</v>
      </c>
      <c r="W27" s="373">
        <v>7868</v>
      </c>
      <c r="X27" s="373">
        <v>7838</v>
      </c>
      <c r="Y27" s="373">
        <v>8617</v>
      </c>
      <c r="Z27" s="373">
        <v>8212</v>
      </c>
      <c r="AA27" s="372">
        <v>8212</v>
      </c>
      <c r="AB27" s="373">
        <v>7717</v>
      </c>
      <c r="AC27" s="373">
        <v>7736</v>
      </c>
      <c r="AD27" s="373">
        <v>8581</v>
      </c>
      <c r="AE27" s="373">
        <v>8570</v>
      </c>
      <c r="AF27" s="372">
        <v>9446</v>
      </c>
      <c r="AG27" s="373">
        <v>9300</v>
      </c>
      <c r="AH27" s="373">
        <v>9655</v>
      </c>
      <c r="AI27" s="373">
        <v>10476</v>
      </c>
      <c r="AJ27" s="373">
        <v>10676</v>
      </c>
      <c r="AK27" s="372">
        <f>AJ27</f>
        <v>10676</v>
      </c>
      <c r="AL27" s="373">
        <v>9648</v>
      </c>
      <c r="AM27" s="373">
        <v>9695</v>
      </c>
      <c r="AN27" s="373">
        <v>9619</v>
      </c>
      <c r="AO27" s="373">
        <v>9162</v>
      </c>
      <c r="AP27" s="372">
        <f>AO27</f>
        <v>9162</v>
      </c>
      <c r="AQ27" s="373">
        <v>8667</v>
      </c>
      <c r="AR27" s="373">
        <v>9635</v>
      </c>
      <c r="AS27" s="373">
        <v>9611</v>
      </c>
      <c r="AT27" s="707">
        <v>9269</v>
      </c>
      <c r="AU27" s="372">
        <f>AT27</f>
        <v>9269</v>
      </c>
      <c r="AV27" s="373"/>
      <c r="AW27" s="373"/>
      <c r="AX27" s="373"/>
      <c r="AY27" s="707"/>
      <c r="AZ27" s="372">
        <v>9269</v>
      </c>
      <c r="BA27" s="707"/>
      <c r="BB27" s="707"/>
      <c r="BC27" s="707"/>
      <c r="BD27" s="707"/>
      <c r="BE27" s="372">
        <v>10885</v>
      </c>
      <c r="BF27" s="374">
        <v>10822</v>
      </c>
      <c r="BG27" s="373">
        <v>10943</v>
      </c>
      <c r="BH27" s="373">
        <v>11077</v>
      </c>
      <c r="BI27" s="375">
        <v>11568</v>
      </c>
      <c r="BJ27" s="372">
        <f>+BI27</f>
        <v>11568</v>
      </c>
      <c r="BK27" s="374">
        <v>10517</v>
      </c>
      <c r="BL27" s="373">
        <v>11382</v>
      </c>
      <c r="BM27" s="373">
        <v>11943</v>
      </c>
      <c r="BN27" s="1049">
        <v>13426</v>
      </c>
      <c r="BO27" s="372">
        <f>+BN27</f>
        <v>13426</v>
      </c>
      <c r="BP27" s="372"/>
      <c r="BQ27" s="374"/>
      <c r="BR27" s="373"/>
      <c r="BS27" s="373"/>
      <c r="BT27" s="375"/>
      <c r="BU27" s="372"/>
      <c r="BV27" s="374"/>
      <c r="BW27" s="373"/>
      <c r="BX27" s="373"/>
      <c r="BY27" s="375"/>
      <c r="BZ27" s="372"/>
      <c r="CA27" s="374"/>
      <c r="CB27" s="373"/>
      <c r="CC27" s="373"/>
      <c r="CD27" s="375"/>
      <c r="CE27" s="372"/>
      <c r="CF27" s="374"/>
      <c r="CG27" s="373"/>
      <c r="CH27" s="373"/>
      <c r="CI27" s="375"/>
      <c r="CJ27" s="372"/>
      <c r="CK27" s="291"/>
      <c r="CL27" s="657"/>
      <c r="CM27" s="657"/>
      <c r="CN27" s="682"/>
      <c r="CO27" s="657"/>
      <c r="CP27" s="657"/>
      <c r="CQ27" s="657"/>
      <c r="CR27" s="657"/>
      <c r="CS27" s="657"/>
      <c r="CT27" s="291"/>
      <c r="CX27"/>
      <c r="CY27"/>
      <c r="CZ27"/>
      <c r="DA27"/>
      <c r="DB27"/>
      <c r="DC27"/>
    </row>
    <row r="28" spans="1:107">
      <c r="A28" s="377" t="s">
        <v>137</v>
      </c>
      <c r="B28" s="70"/>
      <c r="C28" s="70">
        <f>C27/B27-1</f>
        <v>2.0948501600232872E-2</v>
      </c>
      <c r="D28" s="70">
        <f>D27/C27-1</f>
        <v>0.43288686235394702</v>
      </c>
      <c r="E28" s="70">
        <f>E27/D27-1</f>
        <v>0.65891010342084333</v>
      </c>
      <c r="F28" s="70">
        <f>F27/E27-1</f>
        <v>-3.608680014386767E-2</v>
      </c>
      <c r="G28" s="70">
        <f>G27/F27-1</f>
        <v>0.18208955223880596</v>
      </c>
      <c r="H28" s="118"/>
      <c r="I28" s="64"/>
      <c r="J28" s="64"/>
      <c r="K28" s="64"/>
      <c r="L28" s="70">
        <f t="shared" ref="L28:AS28" si="69">L27/G27-1</f>
        <v>-5.050505050505083E-3</v>
      </c>
      <c r="M28" s="64">
        <f t="shared" si="69"/>
        <v>2.3863872172649181E-3</v>
      </c>
      <c r="N28" s="64">
        <f t="shared" si="69"/>
        <v>9.555365540829408E-2</v>
      </c>
      <c r="O28" s="64">
        <f t="shared" si="69"/>
        <v>9.5946243666005682E-2</v>
      </c>
      <c r="P28" s="64">
        <f t="shared" si="69"/>
        <v>5.0867174280879945E-2</v>
      </c>
      <c r="Q28" s="70">
        <f t="shared" si="69"/>
        <v>5.0867174280879945E-2</v>
      </c>
      <c r="R28" s="64">
        <f t="shared" si="69"/>
        <v>-3.1673739778490861E-2</v>
      </c>
      <c r="S28" s="64">
        <f t="shared" si="69"/>
        <v>-0.25424390243902439</v>
      </c>
      <c r="T28" s="64">
        <f t="shared" si="69"/>
        <v>-0.22725902100713635</v>
      </c>
      <c r="U28" s="64">
        <f t="shared" si="69"/>
        <v>-0.22944550669216057</v>
      </c>
      <c r="V28" s="70">
        <f t="shared" si="69"/>
        <v>-0.22944550669216057</v>
      </c>
      <c r="W28" s="64">
        <f t="shared" si="69"/>
        <v>-0.15895243185462316</v>
      </c>
      <c r="X28" s="64">
        <f t="shared" si="69"/>
        <v>2.5379382522239702E-2</v>
      </c>
      <c r="Y28" s="64">
        <f t="shared" si="69"/>
        <v>0.12083766909469307</v>
      </c>
      <c r="Z28" s="64">
        <f t="shared" si="69"/>
        <v>7.2482695572678502E-2</v>
      </c>
      <c r="AA28" s="70">
        <f t="shared" si="69"/>
        <v>7.2482695572678502E-2</v>
      </c>
      <c r="AB28" s="64">
        <f t="shared" si="69"/>
        <v>-1.9191662430096623E-2</v>
      </c>
      <c r="AC28" s="64">
        <f t="shared" si="69"/>
        <v>-1.3013523858127041E-2</v>
      </c>
      <c r="AD28" s="64">
        <f t="shared" si="69"/>
        <v>-4.1777880933039357E-3</v>
      </c>
      <c r="AE28" s="64">
        <f t="shared" si="69"/>
        <v>4.3594739405747651E-2</v>
      </c>
      <c r="AF28" s="70">
        <f t="shared" si="69"/>
        <v>0.15026790063321971</v>
      </c>
      <c r="AG28" s="64">
        <f t="shared" si="69"/>
        <v>0.20513152779577548</v>
      </c>
      <c r="AH28" s="64">
        <f t="shared" si="69"/>
        <v>0.24806101344364007</v>
      </c>
      <c r="AI28" s="64">
        <f t="shared" si="69"/>
        <v>0.22083673231558087</v>
      </c>
      <c r="AJ28" s="64">
        <f t="shared" si="69"/>
        <v>0.24574095682613772</v>
      </c>
      <c r="AK28" s="70">
        <f t="shared" si="69"/>
        <v>0.13021384713106077</v>
      </c>
      <c r="AL28" s="64">
        <f t="shared" si="69"/>
        <v>3.7419354838709618E-2</v>
      </c>
      <c r="AM28" s="64">
        <f t="shared" si="69"/>
        <v>4.1429311237701771E-3</v>
      </c>
      <c r="AN28" s="64">
        <f t="shared" si="69"/>
        <v>-8.180603283696064E-2</v>
      </c>
      <c r="AO28" s="64">
        <f>AO27/AJ27-1</f>
        <v>-0.14181341326339458</v>
      </c>
      <c r="AP28" s="70">
        <f t="shared" si="69"/>
        <v>-0.14181341326339458</v>
      </c>
      <c r="AQ28" s="64">
        <f t="shared" si="69"/>
        <v>-0.10167910447761197</v>
      </c>
      <c r="AR28" s="64">
        <f t="shared" si="69"/>
        <v>-6.1887570912841916E-3</v>
      </c>
      <c r="AS28" s="64">
        <f t="shared" si="69"/>
        <v>-8.3168728558058458E-4</v>
      </c>
      <c r="AT28" s="64">
        <f t="shared" ref="AT28:AU28" si="70">AT27/AO27-1</f>
        <v>1.1678672778869137E-2</v>
      </c>
      <c r="AU28" s="70">
        <f t="shared" si="70"/>
        <v>1.1678672778869137E-2</v>
      </c>
      <c r="AV28" s="64"/>
      <c r="AW28" s="64"/>
      <c r="AX28" s="64"/>
      <c r="AY28" s="64"/>
      <c r="AZ28" s="70">
        <f t="shared" ref="AZ28" si="71">AZ27/AU27-1</f>
        <v>0</v>
      </c>
      <c r="BA28" s="64"/>
      <c r="BB28" s="64"/>
      <c r="BC28" s="64"/>
      <c r="BD28" s="64"/>
      <c r="BE28" s="70">
        <f>BE27/AZ27-1</f>
        <v>0.1743445894918545</v>
      </c>
      <c r="BF28" s="121"/>
      <c r="BG28" s="64"/>
      <c r="BH28" s="64"/>
      <c r="BI28" s="122"/>
      <c r="BJ28" s="70">
        <f t="shared" ref="BJ28:BO28" si="72">BJ27/BE27-1</f>
        <v>6.2746899402847944E-2</v>
      </c>
      <c r="BK28" s="121">
        <f t="shared" si="72"/>
        <v>-2.8183330253187977E-2</v>
      </c>
      <c r="BL28" s="64">
        <f t="shared" si="72"/>
        <v>4.0116969752353127E-2</v>
      </c>
      <c r="BM28" s="64">
        <f t="shared" si="72"/>
        <v>7.8180012638801033E-2</v>
      </c>
      <c r="BN28" s="122">
        <f t="shared" si="72"/>
        <v>0.16061549100968198</v>
      </c>
      <c r="BO28" s="70">
        <f t="shared" si="72"/>
        <v>0.16061549100968198</v>
      </c>
      <c r="BP28" s="70"/>
      <c r="BQ28" s="121"/>
      <c r="BR28" s="64"/>
      <c r="BS28" s="64"/>
      <c r="BT28" s="122"/>
      <c r="BU28" s="70"/>
      <c r="BV28" s="121"/>
      <c r="BW28" s="64"/>
      <c r="BX28" s="64"/>
      <c r="BY28" s="122"/>
      <c r="BZ28" s="70"/>
      <c r="CA28" s="121"/>
      <c r="CB28" s="64"/>
      <c r="CC28" s="64"/>
      <c r="CD28" s="122"/>
      <c r="CE28" s="70"/>
      <c r="CF28" s="121"/>
      <c r="CG28" s="64"/>
      <c r="CH28" s="64"/>
      <c r="CI28" s="122"/>
      <c r="CJ28" s="70"/>
      <c r="CK28" s="289"/>
      <c r="CL28" s="658"/>
      <c r="CM28" s="658"/>
      <c r="CN28" s="682"/>
      <c r="CO28" s="658"/>
      <c r="CP28" s="658"/>
      <c r="CQ28" s="658"/>
      <c r="CR28" s="658"/>
      <c r="CS28" s="658"/>
      <c r="CT28" s="289"/>
    </row>
    <row r="29" spans="1:107" s="180" customFormat="1" ht="12" customHeight="1">
      <c r="A29" s="385" t="s">
        <v>12</v>
      </c>
      <c r="B29" s="354"/>
      <c r="C29" s="354">
        <v>3263</v>
      </c>
      <c r="D29" s="354">
        <v>4069</v>
      </c>
      <c r="E29" s="354">
        <v>4517</v>
      </c>
      <c r="F29" s="354">
        <v>4443</v>
      </c>
      <c r="G29" s="354">
        <v>5135</v>
      </c>
      <c r="H29" s="357">
        <v>5386</v>
      </c>
      <c r="I29" s="357">
        <v>5071</v>
      </c>
      <c r="J29" s="357">
        <v>4866</v>
      </c>
      <c r="K29" s="358">
        <v>5295</v>
      </c>
      <c r="L29" s="354">
        <v>5295</v>
      </c>
      <c r="M29" s="358">
        <v>5674</v>
      </c>
      <c r="N29" s="357">
        <v>5873</v>
      </c>
      <c r="O29" s="357">
        <v>5514</v>
      </c>
      <c r="P29" s="358">
        <v>6082</v>
      </c>
      <c r="Q29" s="354">
        <v>6082</v>
      </c>
      <c r="R29" s="358">
        <v>5605</v>
      </c>
      <c r="S29" s="358">
        <v>6288</v>
      </c>
      <c r="T29" s="357">
        <v>6281</v>
      </c>
      <c r="U29" s="358">
        <v>6454</v>
      </c>
      <c r="V29" s="354">
        <v>6454</v>
      </c>
      <c r="W29" s="358">
        <v>6244</v>
      </c>
      <c r="X29" s="358">
        <v>6296</v>
      </c>
      <c r="Y29" s="358">
        <v>6746</v>
      </c>
      <c r="Z29" s="358">
        <v>6385</v>
      </c>
      <c r="AA29" s="354">
        <v>6385</v>
      </c>
      <c r="AB29" s="358">
        <v>5964</v>
      </c>
      <c r="AC29" s="358">
        <v>5842</v>
      </c>
      <c r="AD29" s="358">
        <v>6388</v>
      </c>
      <c r="AE29" s="358">
        <v>6205</v>
      </c>
      <c r="AF29" s="134">
        <v>6957</v>
      </c>
      <c r="AG29" s="358">
        <v>7171</v>
      </c>
      <c r="AH29" s="358">
        <v>7037</v>
      </c>
      <c r="AI29" s="358">
        <v>7069</v>
      </c>
      <c r="AJ29" s="358">
        <v>7535</v>
      </c>
      <c r="AK29" s="134">
        <f>AJ29</f>
        <v>7535</v>
      </c>
      <c r="AL29" s="358">
        <v>6656</v>
      </c>
      <c r="AM29" s="358">
        <v>6789</v>
      </c>
      <c r="AN29" s="358">
        <v>7119</v>
      </c>
      <c r="AO29" s="358">
        <v>6859</v>
      </c>
      <c r="AP29" s="134">
        <f>AO29</f>
        <v>6859</v>
      </c>
      <c r="AQ29" s="358">
        <v>6564</v>
      </c>
      <c r="AR29" s="660">
        <v>7267</v>
      </c>
      <c r="AS29" s="136">
        <v>7234</v>
      </c>
      <c r="AT29" s="660">
        <v>6992</v>
      </c>
      <c r="AU29" s="134">
        <f>AT29</f>
        <v>6992</v>
      </c>
      <c r="AV29" s="358"/>
      <c r="AW29" s="660"/>
      <c r="AX29" s="136"/>
      <c r="AY29" s="660"/>
      <c r="AZ29" s="134">
        <v>6992</v>
      </c>
      <c r="BA29" s="660"/>
      <c r="BB29" s="660"/>
      <c r="BC29" s="660"/>
      <c r="BD29" s="660"/>
      <c r="BE29" s="134">
        <v>7998</v>
      </c>
      <c r="BF29" s="901">
        <v>8332</v>
      </c>
      <c r="BG29" s="670">
        <v>8646</v>
      </c>
      <c r="BH29" s="670">
        <v>8998</v>
      </c>
      <c r="BI29" s="752"/>
      <c r="BJ29" s="748"/>
      <c r="BK29" s="901"/>
      <c r="BL29" s="181"/>
      <c r="BM29" s="353"/>
      <c r="BN29" s="752"/>
      <c r="BO29" s="748"/>
      <c r="BP29" s="748"/>
      <c r="BQ29" s="355"/>
      <c r="BR29" s="181"/>
      <c r="BS29" s="181"/>
      <c r="BT29" s="356"/>
      <c r="BU29" s="354"/>
      <c r="BV29" s="355"/>
      <c r="BW29" s="181"/>
      <c r="BX29" s="181"/>
      <c r="BY29" s="356"/>
      <c r="BZ29" s="354"/>
      <c r="CA29" s="355"/>
      <c r="CB29" s="181"/>
      <c r="CC29" s="181"/>
      <c r="CD29" s="356"/>
      <c r="CE29" s="354"/>
      <c r="CF29" s="355"/>
      <c r="CG29" s="181"/>
      <c r="CH29" s="181"/>
      <c r="CI29" s="356"/>
      <c r="CJ29" s="354"/>
      <c r="CK29" s="291"/>
      <c r="CL29" s="657"/>
      <c r="CM29" s="657"/>
      <c r="CN29" s="682"/>
      <c r="CO29" s="657"/>
      <c r="CP29" s="657"/>
      <c r="CQ29" s="657"/>
      <c r="CR29" s="657"/>
      <c r="CS29" s="657"/>
      <c r="CT29" s="291"/>
      <c r="CX29"/>
      <c r="CY29"/>
      <c r="CZ29"/>
      <c r="DA29"/>
      <c r="DB29"/>
      <c r="DC29"/>
    </row>
    <row r="30" spans="1:107" ht="12" customHeight="1">
      <c r="A30" s="385" t="s">
        <v>13</v>
      </c>
      <c r="B30" s="378"/>
      <c r="C30" s="378">
        <f t="shared" ref="C30:AR30" si="73">1-C29/C27</f>
        <v>7.010544314619549E-2</v>
      </c>
      <c r="D30" s="378">
        <f t="shared" si="73"/>
        <v>0.19073190135242646</v>
      </c>
      <c r="E30" s="378">
        <f t="shared" si="73"/>
        <v>0.45845821843903611</v>
      </c>
      <c r="F30" s="378">
        <f t="shared" si="73"/>
        <v>0.44738805970149254</v>
      </c>
      <c r="G30" s="378">
        <f t="shared" si="73"/>
        <v>0.45970117845117842</v>
      </c>
      <c r="H30" s="379">
        <f t="shared" si="73"/>
        <v>0.44117036729611958</v>
      </c>
      <c r="I30" s="379">
        <f t="shared" si="73"/>
        <v>0.45799486960239422</v>
      </c>
      <c r="J30" s="379">
        <f t="shared" si="73"/>
        <v>0.46397884996695304</v>
      </c>
      <c r="K30" s="380">
        <f t="shared" si="73"/>
        <v>0.4400380710659898</v>
      </c>
      <c r="L30" s="378">
        <f t="shared" si="73"/>
        <v>0.4400380710659898</v>
      </c>
      <c r="M30" s="380">
        <f t="shared" si="73"/>
        <v>0.41269019770210125</v>
      </c>
      <c r="N30" s="379">
        <f t="shared" si="73"/>
        <v>0.42702439024390249</v>
      </c>
      <c r="O30" s="379">
        <f t="shared" si="73"/>
        <v>0.44577344456729318</v>
      </c>
      <c r="P30" s="380">
        <f t="shared" si="73"/>
        <v>0.38794404749924527</v>
      </c>
      <c r="Q30" s="378">
        <f t="shared" si="73"/>
        <v>0.38794404749924527</v>
      </c>
      <c r="R30" s="380">
        <f t="shared" si="73"/>
        <v>0.40085515766969537</v>
      </c>
      <c r="S30" s="380">
        <f t="shared" si="73"/>
        <v>0.17739403453689173</v>
      </c>
      <c r="T30" s="379">
        <f t="shared" si="73"/>
        <v>0.18301248699271588</v>
      </c>
      <c r="U30" s="381">
        <f t="shared" si="73"/>
        <v>0.15711114013321148</v>
      </c>
      <c r="V30" s="378">
        <f t="shared" si="73"/>
        <v>0.15711114013321148</v>
      </c>
      <c r="W30" s="380">
        <f t="shared" si="73"/>
        <v>0.20640569395017794</v>
      </c>
      <c r="X30" s="380">
        <f t="shared" si="73"/>
        <v>0.19673386067874454</v>
      </c>
      <c r="Y30" s="382">
        <f t="shared" si="73"/>
        <v>0.21712893118254617</v>
      </c>
      <c r="Z30" s="382">
        <f t="shared" si="73"/>
        <v>0.22247929858743298</v>
      </c>
      <c r="AA30" s="378">
        <f t="shared" si="73"/>
        <v>0.22247929858743298</v>
      </c>
      <c r="AB30" s="380">
        <f t="shared" si="73"/>
        <v>0.22716081378774133</v>
      </c>
      <c r="AC30" s="380">
        <f t="shared" si="73"/>
        <v>0.24482936918304032</v>
      </c>
      <c r="AD30" s="380">
        <f t="shared" si="73"/>
        <v>0.25556461950821585</v>
      </c>
      <c r="AE30" s="380">
        <f t="shared" si="73"/>
        <v>0.27596266044340723</v>
      </c>
      <c r="AF30" s="378">
        <f t="shared" si="73"/>
        <v>0.26349777683675635</v>
      </c>
      <c r="AG30" s="380">
        <f t="shared" si="73"/>
        <v>0.22892473118279566</v>
      </c>
      <c r="AH30" s="380">
        <f t="shared" si="73"/>
        <v>0.27115484205075091</v>
      </c>
      <c r="AI30" s="380">
        <f t="shared" si="73"/>
        <v>0.32521954944635356</v>
      </c>
      <c r="AJ30" s="380">
        <f t="shared" si="73"/>
        <v>0.29421131509928811</v>
      </c>
      <c r="AK30" s="378">
        <f t="shared" si="73"/>
        <v>0.29421131509928811</v>
      </c>
      <c r="AL30" s="380">
        <f t="shared" si="73"/>
        <v>0.31011608623548925</v>
      </c>
      <c r="AM30" s="380">
        <f t="shared" si="73"/>
        <v>0.29974213512119652</v>
      </c>
      <c r="AN30" s="380">
        <f t="shared" si="73"/>
        <v>0.25990227674394428</v>
      </c>
      <c r="AO30" s="380">
        <f t="shared" si="73"/>
        <v>0.25136433093211086</v>
      </c>
      <c r="AP30" s="378">
        <f t="shared" si="73"/>
        <v>0.25136433093211086</v>
      </c>
      <c r="AQ30" s="380">
        <f t="shared" si="73"/>
        <v>0.24264451367255102</v>
      </c>
      <c r="AR30" s="380">
        <f t="shared" si="73"/>
        <v>0.24577062791904514</v>
      </c>
      <c r="AS30" s="703">
        <f t="shared" ref="AS30:AU30" si="74">1-AS29/AS27</f>
        <v>0.2473207782748934</v>
      </c>
      <c r="AT30" s="380">
        <f t="shared" si="74"/>
        <v>0.24565756823821339</v>
      </c>
      <c r="AU30" s="378">
        <f t="shared" si="74"/>
        <v>0.24565756823821339</v>
      </c>
      <c r="AV30" s="380"/>
      <c r="AW30" s="380"/>
      <c r="AX30" s="703"/>
      <c r="AY30" s="380"/>
      <c r="AZ30" s="378">
        <f t="shared" ref="AZ30" si="75">1-AZ29/AZ27</f>
        <v>0.24565756823821339</v>
      </c>
      <c r="BA30" s="380"/>
      <c r="BB30" s="661"/>
      <c r="BC30" s="703"/>
      <c r="BD30" s="380"/>
      <c r="BE30" s="378">
        <f t="shared" ref="BE30:BH30" si="76">1-BE29/BE27</f>
        <v>0.26522737712448319</v>
      </c>
      <c r="BF30" s="380">
        <f t="shared" si="76"/>
        <v>0.23008686009979673</v>
      </c>
      <c r="BG30" s="380">
        <f t="shared" si="76"/>
        <v>0.20990587590240339</v>
      </c>
      <c r="BH30" s="703">
        <f t="shared" si="76"/>
        <v>0.1876861966236345</v>
      </c>
      <c r="BI30" s="380"/>
      <c r="BJ30" s="70"/>
      <c r="BK30" s="121"/>
      <c r="BL30" s="64"/>
      <c r="BM30" s="703"/>
      <c r="BN30" s="380"/>
      <c r="BO30" s="70"/>
      <c r="BP30" s="70"/>
      <c r="BQ30" s="121"/>
      <c r="BR30" s="64"/>
      <c r="BS30" s="64"/>
      <c r="BT30" s="122"/>
      <c r="BU30" s="70"/>
      <c r="BV30" s="121"/>
      <c r="BW30" s="64"/>
      <c r="BX30" s="64"/>
      <c r="BY30" s="122"/>
      <c r="BZ30" s="70"/>
      <c r="CA30" s="121"/>
      <c r="CB30" s="64"/>
      <c r="CC30" s="64"/>
      <c r="CD30" s="122"/>
      <c r="CE30" s="70"/>
      <c r="CF30" s="121"/>
      <c r="CG30" s="64"/>
      <c r="CH30" s="64"/>
      <c r="CI30" s="122"/>
      <c r="CJ30" s="70"/>
      <c r="CK30" s="66"/>
      <c r="CL30" s="658"/>
      <c r="CM30" s="658"/>
      <c r="CN30" s="682"/>
      <c r="CO30" s="658"/>
      <c r="CP30" s="658"/>
      <c r="CQ30" s="658"/>
      <c r="CR30" s="658"/>
      <c r="CS30" s="658"/>
      <c r="CT30" s="289"/>
    </row>
    <row r="31" spans="1:107" s="180" customFormat="1" ht="12" customHeight="1">
      <c r="A31" s="385" t="s">
        <v>134</v>
      </c>
      <c r="B31" s="354">
        <v>3236</v>
      </c>
      <c r="C31" s="354">
        <v>3110</v>
      </c>
      <c r="D31" s="354">
        <v>5117</v>
      </c>
      <c r="E31" s="354">
        <v>7179</v>
      </c>
      <c r="F31" s="354">
        <v>3808</v>
      </c>
      <c r="G31" s="354">
        <v>6021</v>
      </c>
      <c r="H31" s="357">
        <v>1312</v>
      </c>
      <c r="I31" s="357">
        <v>1005</v>
      </c>
      <c r="J31" s="357">
        <v>965</v>
      </c>
      <c r="K31" s="358">
        <v>1672</v>
      </c>
      <c r="L31" s="354">
        <v>4954</v>
      </c>
      <c r="M31" s="358">
        <v>1642</v>
      </c>
      <c r="N31" s="357">
        <v>1941</v>
      </c>
      <c r="O31" s="357">
        <v>1102</v>
      </c>
      <c r="P31" s="358">
        <v>1358</v>
      </c>
      <c r="Q31" s="354">
        <v>6043</v>
      </c>
      <c r="R31" s="358">
        <v>775</v>
      </c>
      <c r="S31" s="358">
        <v>2040</v>
      </c>
      <c r="T31" s="358">
        <v>1395</v>
      </c>
      <c r="U31" s="358">
        <v>1338</v>
      </c>
      <c r="V31" s="354">
        <v>5548</v>
      </c>
      <c r="W31" s="358">
        <v>1718</v>
      </c>
      <c r="X31" s="358">
        <v>1280</v>
      </c>
      <c r="Y31" s="358">
        <v>2179</v>
      </c>
      <c r="Z31" s="181">
        <v>1308</v>
      </c>
      <c r="AA31" s="354">
        <v>6485</v>
      </c>
      <c r="AB31" s="358">
        <v>894</v>
      </c>
      <c r="AC31" s="358">
        <v>1315</v>
      </c>
      <c r="AD31" s="136">
        <v>2264</v>
      </c>
      <c r="AE31" s="181">
        <v>1475</v>
      </c>
      <c r="AF31" s="170">
        <v>6747</v>
      </c>
      <c r="AG31" s="358">
        <v>1452</v>
      </c>
      <c r="AH31" s="358">
        <v>1977</v>
      </c>
      <c r="AI31" s="136">
        <v>2418</v>
      </c>
      <c r="AJ31" s="181">
        <v>1947</v>
      </c>
      <c r="AK31" s="354">
        <v>7794</v>
      </c>
      <c r="AL31" s="136">
        <v>811</v>
      </c>
      <c r="AM31" s="136">
        <v>1739</v>
      </c>
      <c r="AN31" s="136">
        <v>1517</v>
      </c>
      <c r="AO31" s="136">
        <f>AP31-SUM(AL31:AN31)</f>
        <v>1154</v>
      </c>
      <c r="AP31" s="354">
        <v>5221</v>
      </c>
      <c r="AQ31" s="401">
        <v>1083</v>
      </c>
      <c r="AR31" s="660">
        <v>2482</v>
      </c>
      <c r="AS31" s="136">
        <v>1430</v>
      </c>
      <c r="AT31" s="136">
        <f>AU31-SUM(AQ31:AS31)</f>
        <v>1388</v>
      </c>
      <c r="AU31" s="354">
        <v>6383</v>
      </c>
      <c r="AV31" s="401"/>
      <c r="AW31" s="660"/>
      <c r="AX31" s="136"/>
      <c r="AY31" s="136"/>
      <c r="AZ31" s="708">
        <v>6383</v>
      </c>
      <c r="BA31" s="660">
        <v>1405</v>
      </c>
      <c r="BB31" s="660">
        <v>2216</v>
      </c>
      <c r="BC31" s="660">
        <v>1780</v>
      </c>
      <c r="BD31" s="136">
        <v>2733</v>
      </c>
      <c r="BE31" s="708">
        <f>+SUM(BA31:BD31)</f>
        <v>8134</v>
      </c>
      <c r="BF31" s="901">
        <v>1632</v>
      </c>
      <c r="BG31" s="670">
        <v>1906</v>
      </c>
      <c r="BH31" s="670">
        <v>1932</v>
      </c>
      <c r="BI31" s="892">
        <v>2439</v>
      </c>
      <c r="BJ31" s="708">
        <f>SUM(BF31:BI31)</f>
        <v>7909</v>
      </c>
      <c r="BK31" s="901">
        <v>743</v>
      </c>
      <c r="BL31" s="670">
        <v>2755</v>
      </c>
      <c r="BM31" s="353">
        <v>2506</v>
      </c>
      <c r="BN31" s="1051">
        <f>9672-BM31-BL31-BK31</f>
        <v>3668</v>
      </c>
      <c r="BO31" s="708">
        <f>SUM(BK31:BN31)</f>
        <v>9672</v>
      </c>
      <c r="BP31" s="708"/>
      <c r="BQ31" s="355"/>
      <c r="BR31" s="181"/>
      <c r="BS31" s="181"/>
      <c r="BT31" s="356"/>
      <c r="BU31" s="354"/>
      <c r="BV31" s="355"/>
      <c r="BW31" s="181"/>
      <c r="BX31" s="181"/>
      <c r="BY31" s="356"/>
      <c r="BZ31" s="354"/>
      <c r="CA31" s="355"/>
      <c r="CB31" s="181"/>
      <c r="CC31" s="181"/>
      <c r="CD31" s="356"/>
      <c r="CE31" s="354"/>
      <c r="CF31" s="355"/>
      <c r="CG31" s="181"/>
      <c r="CH31" s="181"/>
      <c r="CI31" s="356"/>
      <c r="CJ31" s="354"/>
      <c r="CK31" s="291"/>
      <c r="CL31" s="657"/>
      <c r="CM31" s="657"/>
      <c r="CN31" s="682"/>
      <c r="CO31" s="657"/>
      <c r="CP31" s="657"/>
      <c r="CQ31" s="657"/>
      <c r="CR31" s="657"/>
      <c r="CS31" s="657"/>
      <c r="CT31" s="291"/>
      <c r="CX31"/>
      <c r="CY31"/>
      <c r="CZ31"/>
      <c r="DA31"/>
      <c r="DB31"/>
      <c r="DC31"/>
    </row>
    <row r="32" spans="1:107" s="652" customFormat="1" ht="12" customHeight="1">
      <c r="A32" s="644" t="s">
        <v>116</v>
      </c>
      <c r="B32" s="645">
        <f t="shared" ref="B32:AG32" si="77">+B31/B24</f>
        <v>1.1154774215787659</v>
      </c>
      <c r="C32" s="645">
        <f t="shared" si="77"/>
        <v>1.0236998025016457</v>
      </c>
      <c r="D32" s="645">
        <f t="shared" si="77"/>
        <v>1.4462973431317128</v>
      </c>
      <c r="E32" s="645">
        <f t="shared" si="77"/>
        <v>1.8675858480749219</v>
      </c>
      <c r="F32" s="645">
        <f t="shared" si="77"/>
        <v>0.92337536372453932</v>
      </c>
      <c r="G32" s="645">
        <f t="shared" si="77"/>
        <v>1.3371085942704863</v>
      </c>
      <c r="H32" s="646">
        <f t="shared" si="77"/>
        <v>1.1508771929824562</v>
      </c>
      <c r="I32" s="646">
        <f t="shared" si="77"/>
        <v>0.80787781350482313</v>
      </c>
      <c r="J32" s="646">
        <f t="shared" si="77"/>
        <v>0.77385725741780276</v>
      </c>
      <c r="K32" s="646">
        <f t="shared" si="77"/>
        <v>1.2276064610866373</v>
      </c>
      <c r="L32" s="645">
        <f t="shared" si="77"/>
        <v>0.98567449263828089</v>
      </c>
      <c r="M32" s="646">
        <f t="shared" si="77"/>
        <v>1.2448824867323731</v>
      </c>
      <c r="N32" s="646">
        <f t="shared" si="77"/>
        <v>1.4240645634629494</v>
      </c>
      <c r="O32" s="646">
        <f t="shared" si="77"/>
        <v>0.81029411764705883</v>
      </c>
      <c r="P32" s="646">
        <f t="shared" si="77"/>
        <v>0.99414348462664714</v>
      </c>
      <c r="Q32" s="645">
        <f t="shared" si="77"/>
        <v>1.1174186390532543</v>
      </c>
      <c r="R32" s="646">
        <f t="shared" si="77"/>
        <v>0.56652046783625731</v>
      </c>
      <c r="S32" s="646">
        <f t="shared" si="77"/>
        <v>1.4739884393063585</v>
      </c>
      <c r="T32" s="646">
        <f t="shared" si="77"/>
        <v>0.99928366762177645</v>
      </c>
      <c r="U32" s="646">
        <f t="shared" si="77"/>
        <v>0.94692144373673037</v>
      </c>
      <c r="V32" s="645">
        <f t="shared" si="77"/>
        <v>0.99766229095486425</v>
      </c>
      <c r="W32" s="646">
        <f t="shared" si="77"/>
        <v>1.2623071271124173</v>
      </c>
      <c r="X32" s="646">
        <f t="shared" si="77"/>
        <v>0.90459363957597172</v>
      </c>
      <c r="Y32" s="646">
        <f t="shared" si="77"/>
        <v>1.5664989216391085</v>
      </c>
      <c r="Z32" s="646">
        <f t="shared" si="77"/>
        <v>0.83578274760383386</v>
      </c>
      <c r="AA32" s="645">
        <f t="shared" si="77"/>
        <v>1.1313677599441732</v>
      </c>
      <c r="AB32" s="646">
        <f t="shared" si="77"/>
        <v>0.67268623024830698</v>
      </c>
      <c r="AC32" s="646">
        <f t="shared" si="77"/>
        <v>0.96266471449487556</v>
      </c>
      <c r="AD32" s="646">
        <f t="shared" si="77"/>
        <v>1.6022646850672329</v>
      </c>
      <c r="AE32" s="646">
        <f t="shared" si="77"/>
        <v>0.99527665317139002</v>
      </c>
      <c r="AF32" s="645">
        <f t="shared" si="77"/>
        <v>0.992059991177768</v>
      </c>
      <c r="AG32" s="646">
        <f t="shared" si="77"/>
        <v>0.9069331667707683</v>
      </c>
      <c r="AH32" s="646">
        <f t="shared" ref="AH32:BK32" si="78">+AH31/AH24</f>
        <v>1.2512658227848101</v>
      </c>
      <c r="AI32" s="646">
        <f t="shared" si="78"/>
        <v>1.441860465116279</v>
      </c>
      <c r="AJ32" s="646">
        <f t="shared" si="78"/>
        <v>1.0932060640089838</v>
      </c>
      <c r="AK32" s="645">
        <f t="shared" si="78"/>
        <v>1.1739719837324898</v>
      </c>
      <c r="AL32" s="646">
        <f t="shared" si="78"/>
        <v>0.49572127139364303</v>
      </c>
      <c r="AM32" s="646">
        <f t="shared" si="78"/>
        <v>1.0289940828402366</v>
      </c>
      <c r="AN32" s="646">
        <f t="shared" si="78"/>
        <v>0.92782874617736999</v>
      </c>
      <c r="AO32" s="646">
        <f t="shared" si="78"/>
        <v>0.70451770451770457</v>
      </c>
      <c r="AP32" s="645">
        <f t="shared" si="78"/>
        <v>0.79118048189119561</v>
      </c>
      <c r="AQ32" s="646">
        <f t="shared" si="78"/>
        <v>0.68805590851334175</v>
      </c>
      <c r="AR32" s="646">
        <f t="shared" si="78"/>
        <v>1.612735542560104</v>
      </c>
      <c r="AS32" s="646">
        <f t="shared" si="78"/>
        <v>0.96817874069058907</v>
      </c>
      <c r="AT32" s="646">
        <f t="shared" si="78"/>
        <v>0.80744618964514248</v>
      </c>
      <c r="AU32" s="645">
        <f t="shared" si="78"/>
        <v>1.0117292756379774</v>
      </c>
      <c r="AV32" s="646"/>
      <c r="AW32" s="646"/>
      <c r="AX32" s="646"/>
      <c r="AY32" s="646"/>
      <c r="AZ32" s="645">
        <f t="shared" ref="AZ32" si="79">+AZ31/AZ24</f>
        <v>1.0117292756379774</v>
      </c>
      <c r="BA32" s="646">
        <f t="shared" si="78"/>
        <v>0.95383570943652407</v>
      </c>
      <c r="BB32" s="646">
        <f t="shared" si="78"/>
        <v>1.4214239897370109</v>
      </c>
      <c r="BC32" s="646">
        <f t="shared" si="78"/>
        <v>1.0820668693009119</v>
      </c>
      <c r="BD32" s="646">
        <f t="shared" si="78"/>
        <v>1.4544970729111228</v>
      </c>
      <c r="BE32" s="645">
        <f t="shared" si="78"/>
        <v>1.2406955460646736</v>
      </c>
      <c r="BF32" s="646">
        <f t="shared" ref="BF32" si="80">+BF31/BF24</f>
        <v>0.94718514219384797</v>
      </c>
      <c r="BG32" s="646">
        <f t="shared" ref="BG32" si="81">+BG31/BG24</f>
        <v>1.1509661835748792</v>
      </c>
      <c r="BH32" s="646">
        <f t="shared" ref="BH32" si="82">+BH31/BH24</f>
        <v>1.0733333333333333</v>
      </c>
      <c r="BI32" s="646">
        <f t="shared" ref="BI32" si="83">+BI31/BI24</f>
        <v>1.2891120507399578</v>
      </c>
      <c r="BJ32" s="645">
        <f t="shared" si="78"/>
        <v>1.1185122330646302</v>
      </c>
      <c r="BK32" s="646">
        <f t="shared" si="78"/>
        <v>0.42312072892938496</v>
      </c>
      <c r="BL32" s="646">
        <f t="shared" ref="BL32:BO32" si="84">+BL31/BL24</f>
        <v>1.4492372435560232</v>
      </c>
      <c r="BM32" s="646">
        <f t="shared" si="84"/>
        <v>1.2884318766066838</v>
      </c>
      <c r="BN32" s="646">
        <f t="shared" si="84"/>
        <v>1.6787185354691077</v>
      </c>
      <c r="BO32" s="645">
        <f t="shared" si="84"/>
        <v>1.2420701168614356</v>
      </c>
      <c r="BP32" s="645"/>
      <c r="BQ32" s="648"/>
      <c r="BR32" s="646"/>
      <c r="BS32" s="646"/>
      <c r="BT32" s="649"/>
      <c r="BU32" s="645"/>
      <c r="BV32" s="648"/>
      <c r="BW32" s="646"/>
      <c r="BX32" s="646"/>
      <c r="BY32" s="649"/>
      <c r="BZ32" s="645"/>
      <c r="CA32" s="648"/>
      <c r="CB32" s="646"/>
      <c r="CC32" s="646"/>
      <c r="CD32" s="649"/>
      <c r="CE32" s="645"/>
      <c r="CF32" s="648"/>
      <c r="CG32" s="646"/>
      <c r="CH32" s="646"/>
      <c r="CI32" s="649"/>
      <c r="CJ32" s="645"/>
      <c r="CK32" s="650"/>
      <c r="CL32" s="744"/>
      <c r="CM32" s="744"/>
      <c r="CN32" s="744"/>
      <c r="CO32" s="744"/>
      <c r="CP32" s="744"/>
      <c r="CQ32" s="744"/>
      <c r="CR32" s="744"/>
      <c r="CS32" s="744"/>
      <c r="CT32" s="651"/>
      <c r="CX32"/>
      <c r="CY32"/>
      <c r="CZ32"/>
      <c r="DA32"/>
      <c r="DB32"/>
      <c r="DC32"/>
    </row>
    <row r="33" spans="1:107" s="652" customFormat="1" ht="12" customHeight="1">
      <c r="A33" s="644" t="s">
        <v>1</v>
      </c>
      <c r="B33" s="645">
        <f t="shared" ref="B33:G33" si="85">B27/B24</f>
        <v>1.1847638745260256</v>
      </c>
      <c r="C33" s="645">
        <f t="shared" si="85"/>
        <v>1.1550362080315997</v>
      </c>
      <c r="D33" s="645">
        <f t="shared" si="85"/>
        <v>1.4211418880723572</v>
      </c>
      <c r="E33" s="645">
        <f t="shared" si="85"/>
        <v>2.1698751300728407</v>
      </c>
      <c r="F33" s="645">
        <f t="shared" si="85"/>
        <v>1.9495635305528614</v>
      </c>
      <c r="G33" s="645">
        <f t="shared" si="85"/>
        <v>2.110592938041306</v>
      </c>
      <c r="H33" s="646">
        <f>H27/H24/4</f>
        <v>2.11359649122807</v>
      </c>
      <c r="I33" s="646">
        <f>I27/I24/4</f>
        <v>1.880225080385852</v>
      </c>
      <c r="J33" s="646">
        <f>J27/J24/4</f>
        <v>1.8199679230152366</v>
      </c>
      <c r="K33" s="646">
        <f>K27/K24/4</f>
        <v>1.7356828193832599</v>
      </c>
      <c r="L33" s="645">
        <f>L27/L24</f>
        <v>1.88141663350577</v>
      </c>
      <c r="M33" s="646">
        <f>M27/M24/4</f>
        <v>1.8311220621683093</v>
      </c>
      <c r="N33" s="646">
        <f>N27/N24/4</f>
        <v>1.8800440205429201</v>
      </c>
      <c r="O33" s="646">
        <f>O27/O24/4</f>
        <v>1.8288602941176471</v>
      </c>
      <c r="P33" s="646">
        <f>P27/P24/4</f>
        <v>1.8186310395314789</v>
      </c>
      <c r="Q33" s="645">
        <f>Q27/Q24</f>
        <v>1.8374630177514792</v>
      </c>
      <c r="R33" s="646">
        <f>R27/R24/4</f>
        <v>1.7096125730994152</v>
      </c>
      <c r="S33" s="646">
        <f>S27/S24/4</f>
        <v>1.3807803468208093</v>
      </c>
      <c r="T33" s="646">
        <f>T27/T24/4</f>
        <v>1.3767908309455588</v>
      </c>
      <c r="U33" s="646">
        <f>U27/U24/4</f>
        <v>1.3547416843595188</v>
      </c>
      <c r="V33" s="645">
        <f>V27/V24</f>
        <v>1.3769106275849667</v>
      </c>
      <c r="W33" s="646">
        <f>W27/W24/4</f>
        <v>1.4452608376193976</v>
      </c>
      <c r="X33" s="646">
        <f>X27/X24/4</f>
        <v>1.3848056537102473</v>
      </c>
      <c r="Y33" s="646">
        <f>Y27/Y24/4</f>
        <v>1.5487059669302661</v>
      </c>
      <c r="Z33" s="646">
        <f>Z27/Z24/4</f>
        <v>1.3118210862619808</v>
      </c>
      <c r="AA33" s="645">
        <f>AA27/AA24</f>
        <v>1.4326587578506629</v>
      </c>
      <c r="AB33" s="646">
        <f>AB27/AB24/4</f>
        <v>1.4516553799849512</v>
      </c>
      <c r="AC33" s="646">
        <f>AC27/AC24/4</f>
        <v>1.4158125915080526</v>
      </c>
      <c r="AD33" s="646">
        <f>AD27/AD24/4</f>
        <v>1.5182236376503893</v>
      </c>
      <c r="AE33" s="646">
        <f>AE27/AE24/4</f>
        <v>1.4456815114709851</v>
      </c>
      <c r="AF33" s="645">
        <f>AF27/AF24</f>
        <v>1.3889133950889576</v>
      </c>
      <c r="AG33" s="646">
        <f>AG27/AG24/4</f>
        <v>1.4522173641474079</v>
      </c>
      <c r="AH33" s="646">
        <f>AH27/AH24/4</f>
        <v>1.5276898734177216</v>
      </c>
      <c r="AI33" s="646">
        <f>AI27/AI24/4</f>
        <v>1.5617173524150267</v>
      </c>
      <c r="AJ33" s="646">
        <f>AJ27/AJ24/4</f>
        <v>1.4985962942167321</v>
      </c>
      <c r="AK33" s="645">
        <f>AK27/AK24</f>
        <v>1.6080735050459407</v>
      </c>
      <c r="AL33" s="647">
        <f>AL27/AL24/4</f>
        <v>1.4743276283618583</v>
      </c>
      <c r="AM33" s="646">
        <f>AM27/AM24/4</f>
        <v>1.4341715976331362</v>
      </c>
      <c r="AN33" s="646">
        <f>AN27/AN24/4</f>
        <v>1.4707951070336391</v>
      </c>
      <c r="AO33" s="646">
        <f>AO27/AO24/4</f>
        <v>1.3983516483516483</v>
      </c>
      <c r="AP33" s="645">
        <f>AP27/AP24</f>
        <v>1.3883921806334294</v>
      </c>
      <c r="AQ33" s="647">
        <f>AQ27/AQ24/4</f>
        <v>1.3765883100381195</v>
      </c>
      <c r="AR33" s="646">
        <f>AR27/AR24/4</f>
        <v>1.5651397011046133</v>
      </c>
      <c r="AS33" s="646">
        <f>AS27/AS24/4</f>
        <v>1.6267772511848342</v>
      </c>
      <c r="AT33" s="646">
        <f>AT27/AT24/4</f>
        <v>1.3480221058755091</v>
      </c>
      <c r="AU33" s="645">
        <f>AU27/AU24</f>
        <v>1.4691710255190997</v>
      </c>
      <c r="AV33" s="647"/>
      <c r="AW33" s="646"/>
      <c r="AX33" s="646"/>
      <c r="AY33" s="646"/>
      <c r="AZ33" s="645">
        <f>AZ27/AZ24</f>
        <v>1.4691710255190997</v>
      </c>
      <c r="BA33" s="647"/>
      <c r="BB33" s="646"/>
      <c r="BC33" s="646"/>
      <c r="BD33" s="646"/>
      <c r="BE33" s="645">
        <f>BE27/BE24</f>
        <v>1.6603111653447225</v>
      </c>
      <c r="BF33" s="647">
        <f>BF27/BF24/4</f>
        <v>1.5702263493905977</v>
      </c>
      <c r="BG33" s="646">
        <f>BG27/BG24/4</f>
        <v>1.6520229468599035</v>
      </c>
      <c r="BH33" s="646">
        <f>BH27/BH24/4</f>
        <v>1.5384722222222222</v>
      </c>
      <c r="BI33" s="646">
        <f>BI27/BI24/4</f>
        <v>1.5285412262156448</v>
      </c>
      <c r="BJ33" s="645">
        <f>BJ27/BJ24</f>
        <v>1.635977938056852</v>
      </c>
      <c r="BK33" s="647">
        <f>BK27/BK24/4</f>
        <v>1.4972949886104783</v>
      </c>
      <c r="BL33" s="646">
        <f>BL27/BL24/4</f>
        <v>1.4968437664387164</v>
      </c>
      <c r="BM33" s="646">
        <f>BM27/BM24/4</f>
        <v>1.535089974293059</v>
      </c>
      <c r="BN33" s="646">
        <f>BN27/BN24/4</f>
        <v>1.5361556064073227</v>
      </c>
      <c r="BO33" s="645">
        <f>BO27/BO24</f>
        <v>1.724155644022088</v>
      </c>
      <c r="BP33" s="645"/>
      <c r="BQ33" s="648"/>
      <c r="BR33" s="646"/>
      <c r="BS33" s="646"/>
      <c r="BT33" s="646"/>
      <c r="BU33" s="648"/>
      <c r="BV33" s="648"/>
      <c r="BW33" s="646"/>
      <c r="BX33" s="646"/>
      <c r="BY33" s="646"/>
      <c r="BZ33" s="648"/>
      <c r="CA33" s="648"/>
      <c r="CB33" s="646"/>
      <c r="CC33" s="646"/>
      <c r="CD33" s="646"/>
      <c r="CE33" s="648"/>
      <c r="CF33" s="648"/>
      <c r="CG33" s="646"/>
      <c r="CH33" s="646"/>
      <c r="CI33" s="646"/>
      <c r="CJ33" s="648"/>
      <c r="CK33" s="650"/>
      <c r="CL33" s="744"/>
      <c r="CM33" s="744"/>
      <c r="CN33" s="976"/>
      <c r="CO33" s="744"/>
      <c r="CP33" s="744"/>
      <c r="CQ33" s="744"/>
      <c r="CR33" s="744"/>
      <c r="CS33" s="744"/>
      <c r="CT33" s="651"/>
      <c r="CX33"/>
      <c r="CY33"/>
      <c r="CZ33"/>
      <c r="DA33"/>
      <c r="DB33"/>
      <c r="DC33"/>
    </row>
    <row r="34" spans="1:107" s="204" customFormat="1">
      <c r="A34" s="127" t="s">
        <v>204</v>
      </c>
      <c r="B34" s="128">
        <v>2738</v>
      </c>
      <c r="C34" s="128">
        <v>3243</v>
      </c>
      <c r="D34" s="128">
        <v>3677</v>
      </c>
      <c r="E34" s="128">
        <v>4068</v>
      </c>
      <c r="F34" s="128">
        <v>4175</v>
      </c>
      <c r="G34" s="128">
        <v>4319</v>
      </c>
      <c r="H34" s="132">
        <v>964</v>
      </c>
      <c r="I34" s="132">
        <v>1065</v>
      </c>
      <c r="J34" s="132">
        <v>1016</v>
      </c>
      <c r="K34" s="129">
        <v>1243</v>
      </c>
      <c r="L34" s="128">
        <v>4202</v>
      </c>
      <c r="M34" s="129">
        <v>977</v>
      </c>
      <c r="N34" s="132">
        <v>1072</v>
      </c>
      <c r="O34" s="132">
        <v>1065</v>
      </c>
      <c r="P34" s="129">
        <v>1166</v>
      </c>
      <c r="Q34" s="128">
        <f>SUM(M34:P34)</f>
        <v>4280</v>
      </c>
      <c r="R34" s="129">
        <v>1046</v>
      </c>
      <c r="S34" s="132">
        <v>1136</v>
      </c>
      <c r="T34" s="132">
        <v>1134</v>
      </c>
      <c r="U34" s="129">
        <v>1266</v>
      </c>
      <c r="V34" s="128">
        <f>SUM(R34:U34)</f>
        <v>4582</v>
      </c>
      <c r="W34" s="129">
        <v>1095</v>
      </c>
      <c r="X34" s="132">
        <v>1197</v>
      </c>
      <c r="Y34" s="132">
        <v>1238</v>
      </c>
      <c r="Z34" s="129">
        <v>1300</v>
      </c>
      <c r="AA34" s="128">
        <f>SUM(W34:Z34)</f>
        <v>4830</v>
      </c>
      <c r="AB34" s="129">
        <v>1265</v>
      </c>
      <c r="AC34" s="132">
        <v>1344</v>
      </c>
      <c r="AD34" s="132">
        <v>1305</v>
      </c>
      <c r="AE34" s="129">
        <v>1341</v>
      </c>
      <c r="AF34" s="128">
        <v>6818</v>
      </c>
      <c r="AG34" s="129">
        <v>1616</v>
      </c>
      <c r="AH34" s="132">
        <v>1709</v>
      </c>
      <c r="AI34" s="132">
        <v>1678</v>
      </c>
      <c r="AJ34" s="129">
        <v>1820</v>
      </c>
      <c r="AK34" s="128">
        <f>+SUM(AG34:AJ34)</f>
        <v>6823</v>
      </c>
      <c r="AL34" s="132">
        <v>1582</v>
      </c>
      <c r="AM34" s="132">
        <v>1620</v>
      </c>
      <c r="AN34" s="132">
        <v>1556</v>
      </c>
      <c r="AO34" s="132">
        <v>1613</v>
      </c>
      <c r="AP34" s="128">
        <f>SUM(AL34:AO34)</f>
        <v>6371</v>
      </c>
      <c r="AQ34" s="132">
        <v>1398</v>
      </c>
      <c r="AR34" s="132">
        <v>1505</v>
      </c>
      <c r="AS34" s="132">
        <v>1509</v>
      </c>
      <c r="AT34" s="132">
        <v>1660</v>
      </c>
      <c r="AU34" s="128">
        <f>SUM(AQ34:AT34)</f>
        <v>6072</v>
      </c>
      <c r="AV34" s="132"/>
      <c r="AW34" s="132"/>
      <c r="AX34" s="132"/>
      <c r="AY34" s="132"/>
      <c r="AZ34" s="128">
        <v>6075</v>
      </c>
      <c r="BA34" s="132">
        <v>1358</v>
      </c>
      <c r="BB34" s="132">
        <v>1416</v>
      </c>
      <c r="BC34" s="132">
        <v>1446</v>
      </c>
      <c r="BD34" s="132">
        <v>1576</v>
      </c>
      <c r="BE34" s="128">
        <f>SUM(BA34:BD34)</f>
        <v>5796</v>
      </c>
      <c r="BF34" s="132">
        <v>1445</v>
      </c>
      <c r="BG34" s="132">
        <v>1547</v>
      </c>
      <c r="BH34" s="132">
        <v>1590</v>
      </c>
      <c r="BI34" s="132">
        <f>6199-SUM(BF34:BH34)</f>
        <v>1617</v>
      </c>
      <c r="BJ34" s="128">
        <f>SUM(BF34:BI34)</f>
        <v>6199</v>
      </c>
      <c r="BK34" s="132">
        <v>1555</v>
      </c>
      <c r="BL34" s="129">
        <v>1608</v>
      </c>
      <c r="BM34" s="132">
        <v>1597</v>
      </c>
      <c r="BN34" s="132">
        <v>1670</v>
      </c>
      <c r="BO34" s="128">
        <f>SUM(BK34:BN34)</f>
        <v>6430</v>
      </c>
      <c r="BP34" s="128">
        <f>BO34</f>
        <v>6430</v>
      </c>
      <c r="BQ34" s="130">
        <f t="shared" ref="BQ34" si="86">BK34*(1+BQ35)</f>
        <v>1601.65</v>
      </c>
      <c r="BR34" s="129">
        <f t="shared" ref="BR34" si="87">BL34*(1+BR35)</f>
        <v>1672.3200000000002</v>
      </c>
      <c r="BS34" s="129">
        <f t="shared" ref="BS34" si="88">BM34*(1+BS35)</f>
        <v>1660.88</v>
      </c>
      <c r="BT34" s="129">
        <f t="shared" ref="BT34" si="89">BN34*(1+BT35)</f>
        <v>1753.5</v>
      </c>
      <c r="BU34" s="130">
        <f>+SUM(BQ34:BT34)</f>
        <v>6688.35</v>
      </c>
      <c r="BV34" s="130"/>
      <c r="BW34" s="129"/>
      <c r="BX34" s="129"/>
      <c r="BY34" s="129"/>
      <c r="BZ34" s="130">
        <f>BU34*(1+BZ35)</f>
        <v>7022.7675000000008</v>
      </c>
      <c r="CA34" s="130"/>
      <c r="CB34" s="129"/>
      <c r="CC34" s="129"/>
      <c r="CD34" s="129"/>
      <c r="CE34" s="130">
        <f>BZ34*(1+CE35)</f>
        <v>7373.9058750000013</v>
      </c>
      <c r="CF34" s="130"/>
      <c r="CG34" s="129"/>
      <c r="CH34" s="129"/>
      <c r="CI34" s="129"/>
      <c r="CJ34" s="130">
        <f>CE34*(1+CJ35)</f>
        <v>7742.6011687500013</v>
      </c>
      <c r="CK34" s="296"/>
      <c r="CL34" s="657" t="s">
        <v>342</v>
      </c>
      <c r="CM34" s="657"/>
      <c r="CN34" s="682"/>
      <c r="CO34" s="657"/>
      <c r="CP34" s="657"/>
      <c r="CQ34" s="657"/>
      <c r="CR34" s="657"/>
      <c r="CS34" s="657"/>
      <c r="CT34" s="296"/>
      <c r="CX34"/>
      <c r="CY34"/>
      <c r="CZ34"/>
      <c r="DA34"/>
      <c r="DB34"/>
      <c r="DC34"/>
    </row>
    <row r="35" spans="1:107" s="432" customFormat="1">
      <c r="A35" s="478" t="s">
        <v>137</v>
      </c>
      <c r="B35" s="474"/>
      <c r="C35" s="474">
        <f>C34/B34-1</f>
        <v>0.18444119795471137</v>
      </c>
      <c r="D35" s="474">
        <f>D34/C34-1</f>
        <v>0.13382670366944183</v>
      </c>
      <c r="E35" s="474">
        <f>E34/D34-1</f>
        <v>0.10633668751699754</v>
      </c>
      <c r="F35" s="474">
        <f>F34/E34-1</f>
        <v>2.6302851524090398E-2</v>
      </c>
      <c r="G35" s="474">
        <f>G34/F34-1</f>
        <v>3.4491017964071835E-2</v>
      </c>
      <c r="H35" s="431"/>
      <c r="I35" s="431"/>
      <c r="J35" s="431"/>
      <c r="K35" s="431"/>
      <c r="L35" s="474">
        <f t="shared" ref="L35:AE35" si="90">L34/G34-1</f>
        <v>-2.7089604075017371E-2</v>
      </c>
      <c r="M35" s="431">
        <f t="shared" si="90"/>
        <v>1.3485477178423189E-2</v>
      </c>
      <c r="N35" s="431">
        <f t="shared" si="90"/>
        <v>6.5727699530515604E-3</v>
      </c>
      <c r="O35" s="431">
        <f t="shared" si="90"/>
        <v>4.8228346456692828E-2</v>
      </c>
      <c r="P35" s="431">
        <f t="shared" si="90"/>
        <v>-6.1946902654867242E-2</v>
      </c>
      <c r="Q35" s="474">
        <f t="shared" si="90"/>
        <v>1.856258924321752E-2</v>
      </c>
      <c r="R35" s="431">
        <f t="shared" si="90"/>
        <v>7.0624360286591692E-2</v>
      </c>
      <c r="S35" s="431">
        <f t="shared" si="90"/>
        <v>5.9701492537313383E-2</v>
      </c>
      <c r="T35" s="431">
        <f t="shared" si="90"/>
        <v>6.4788732394366111E-2</v>
      </c>
      <c r="U35" s="431">
        <f t="shared" si="90"/>
        <v>8.5763293310463062E-2</v>
      </c>
      <c r="V35" s="474">
        <f t="shared" si="90"/>
        <v>7.0560747663551471E-2</v>
      </c>
      <c r="W35" s="431">
        <f t="shared" si="90"/>
        <v>4.684512428298282E-2</v>
      </c>
      <c r="X35" s="431">
        <f t="shared" si="90"/>
        <v>5.3697183098591506E-2</v>
      </c>
      <c r="Y35" s="431">
        <f t="shared" si="90"/>
        <v>9.1710758377425039E-2</v>
      </c>
      <c r="Z35" s="431">
        <f t="shared" si="90"/>
        <v>2.6856240126382325E-2</v>
      </c>
      <c r="AA35" s="474">
        <f t="shared" si="90"/>
        <v>5.4124836316019165E-2</v>
      </c>
      <c r="AB35" s="431">
        <f t="shared" si="90"/>
        <v>0.15525114155251152</v>
      </c>
      <c r="AC35" s="431">
        <f t="shared" si="90"/>
        <v>0.12280701754385959</v>
      </c>
      <c r="AD35" s="431">
        <f t="shared" si="90"/>
        <v>5.4119547657512035E-2</v>
      </c>
      <c r="AE35" s="431">
        <f t="shared" si="90"/>
        <v>3.1538461538461515E-2</v>
      </c>
      <c r="AF35" s="474"/>
      <c r="AG35" s="431">
        <f>AG34/AB34-1</f>
        <v>0.27747035573122525</v>
      </c>
      <c r="AH35" s="431">
        <f>AH34/AC34-1</f>
        <v>0.27157738095238093</v>
      </c>
      <c r="AI35" s="431">
        <f>AI34/AD34-1</f>
        <v>0.28582375478927213</v>
      </c>
      <c r="AJ35" s="431">
        <f>AJ34/AE34-1</f>
        <v>0.35719612229679343</v>
      </c>
      <c r="AK35" s="474">
        <f>AK34/AF34 -1</f>
        <v>7.3335288941045462E-4</v>
      </c>
      <c r="AL35" s="431">
        <f>AL34/AG34-1</f>
        <v>-2.1039603960396058E-2</v>
      </c>
      <c r="AM35" s="431">
        <f>AM34/AH34-1</f>
        <v>-5.2077238150965433E-2</v>
      </c>
      <c r="AN35" s="431">
        <f>AN34/AI34-1</f>
        <v>-7.2705601907032236E-2</v>
      </c>
      <c r="AO35" s="431">
        <f>AO34/AJ34-1</f>
        <v>-0.11373626373626378</v>
      </c>
      <c r="AP35" s="474">
        <f>AP34/AK34 -1</f>
        <v>-6.6246519126483938E-2</v>
      </c>
      <c r="AQ35" s="431">
        <f>AQ34/AL34-1</f>
        <v>-0.11630847029077118</v>
      </c>
      <c r="AR35" s="431">
        <f>AR34/AM34-1</f>
        <v>-7.0987654320987637E-2</v>
      </c>
      <c r="AS35" s="431">
        <f>AS34/AN34-1</f>
        <v>-3.0205655526992281E-2</v>
      </c>
      <c r="AT35" s="431">
        <f>AT34/AO34-1</f>
        <v>2.91382517048977E-2</v>
      </c>
      <c r="AU35" s="474">
        <f>AU34/AP34 -1</f>
        <v>-4.6931407942238268E-2</v>
      </c>
      <c r="AV35" s="431"/>
      <c r="AW35" s="431"/>
      <c r="AX35" s="431"/>
      <c r="AY35" s="431"/>
      <c r="AZ35" s="474">
        <f>AZ34/AU34 -1</f>
        <v>4.9407114624511195E-4</v>
      </c>
      <c r="BA35" s="431">
        <f>BA34/AQ34-1</f>
        <v>-2.8612303290414864E-2</v>
      </c>
      <c r="BB35" s="431">
        <f>BB34/AR34-1</f>
        <v>-5.9136212624584683E-2</v>
      </c>
      <c r="BC35" s="431">
        <f>BC34/AS34-1</f>
        <v>-4.1749502982107334E-2</v>
      </c>
      <c r="BD35" s="431">
        <f>BD34/AT34-1</f>
        <v>-5.0602409638554224E-2</v>
      </c>
      <c r="BE35" s="474">
        <f>BE34/AZ34 -1</f>
        <v>-4.5925925925925926E-2</v>
      </c>
      <c r="BF35" s="431">
        <f>BF34/BA34-1</f>
        <v>6.4064801178203234E-2</v>
      </c>
      <c r="BG35" s="431">
        <f>BG34/BB34-1</f>
        <v>9.2514124293785249E-2</v>
      </c>
      <c r="BH35" s="431">
        <f>BH34/BC34-1</f>
        <v>9.9585062240663991E-2</v>
      </c>
      <c r="BI35" s="431">
        <f>BI34/BD34-1</f>
        <v>2.601522842639592E-2</v>
      </c>
      <c r="BJ35" s="474">
        <f>BJ34/BE34 -1</f>
        <v>6.9530710835058684E-2</v>
      </c>
      <c r="BK35" s="431">
        <f>BK34/BF34-1</f>
        <v>7.6124567474048499E-2</v>
      </c>
      <c r="BL35" s="963">
        <f>BL34/BG34-1</f>
        <v>3.9431157078215984E-2</v>
      </c>
      <c r="BM35" s="431">
        <f>BM34/BH34-1</f>
        <v>4.4025157232705503E-3</v>
      </c>
      <c r="BN35" s="431">
        <f>BN34/BI34-1</f>
        <v>3.2776747062461364E-2</v>
      </c>
      <c r="BO35" s="474">
        <f>BO34/BJ34 -1</f>
        <v>3.7264074850782425E-2</v>
      </c>
      <c r="BP35" s="474"/>
      <c r="BQ35" s="480">
        <v>0.03</v>
      </c>
      <c r="BR35" s="479">
        <v>0.04</v>
      </c>
      <c r="BS35" s="479">
        <v>0.04</v>
      </c>
      <c r="BT35" s="479">
        <v>0.05</v>
      </c>
      <c r="BU35" s="474">
        <f>BU34/BO34 -1</f>
        <v>4.0178849144634654E-2</v>
      </c>
      <c r="BV35" s="480"/>
      <c r="BW35" s="479"/>
      <c r="BX35" s="479"/>
      <c r="BY35" s="479"/>
      <c r="BZ35" s="480">
        <v>0.05</v>
      </c>
      <c r="CA35" s="480"/>
      <c r="CB35" s="479"/>
      <c r="CC35" s="479"/>
      <c r="CD35" s="479"/>
      <c r="CE35" s="480">
        <v>0.05</v>
      </c>
      <c r="CF35" s="480"/>
      <c r="CG35" s="479"/>
      <c r="CH35" s="479"/>
      <c r="CI35" s="479"/>
      <c r="CJ35" s="480">
        <v>0.05</v>
      </c>
      <c r="CK35" s="430"/>
      <c r="CL35" s="657"/>
      <c r="CM35" s="677"/>
      <c r="CN35" s="682"/>
      <c r="CO35" s="677"/>
      <c r="CP35" s="677"/>
      <c r="CQ35" s="677"/>
      <c r="CR35" s="677"/>
      <c r="CS35" s="677"/>
      <c r="CT35" s="430"/>
      <c r="CX35"/>
      <c r="CY35"/>
      <c r="CZ35"/>
      <c r="DA35"/>
      <c r="DB35"/>
      <c r="DC35"/>
    </row>
    <row r="36" spans="1:107">
      <c r="A36" s="62" t="s">
        <v>16</v>
      </c>
      <c r="B36" s="70">
        <f t="shared" ref="B36:AG36" si="91">B34/B$77</f>
        <v>0.1709433726665418</v>
      </c>
      <c r="C36" s="70">
        <f t="shared" si="91"/>
        <v>0.19349642004773271</v>
      </c>
      <c r="D36" s="70">
        <f t="shared" si="91"/>
        <v>0.20304820807333371</v>
      </c>
      <c r="E36" s="70">
        <f t="shared" si="91"/>
        <v>0.22821879382889201</v>
      </c>
      <c r="F36" s="70">
        <f t="shared" si="91"/>
        <v>0.2257855172786761</v>
      </c>
      <c r="G36" s="70">
        <f t="shared" si="91"/>
        <v>0.21916070431826254</v>
      </c>
      <c r="H36" s="118">
        <f t="shared" si="91"/>
        <v>0.2006661115736886</v>
      </c>
      <c r="I36" s="64">
        <f t="shared" si="91"/>
        <v>0.20178097764304662</v>
      </c>
      <c r="J36" s="64">
        <f t="shared" si="91"/>
        <v>0.1946733090630389</v>
      </c>
      <c r="K36" s="64">
        <f t="shared" si="91"/>
        <v>0.20716666666666667</v>
      </c>
      <c r="L36" s="70">
        <f t="shared" si="91"/>
        <v>0.19726773390920613</v>
      </c>
      <c r="M36" s="64">
        <f t="shared" si="91"/>
        <v>0.18248038849458348</v>
      </c>
      <c r="N36" s="64">
        <f t="shared" si="91"/>
        <v>0.18262350936967631</v>
      </c>
      <c r="O36" s="64">
        <f t="shared" si="91"/>
        <v>0.18161664392905866</v>
      </c>
      <c r="P36" s="64">
        <f t="shared" si="91"/>
        <v>0.19158724942490962</v>
      </c>
      <c r="Q36" s="70">
        <f t="shared" si="91"/>
        <v>0.18468973850004314</v>
      </c>
      <c r="R36" s="64">
        <f t="shared" si="91"/>
        <v>0.17777022433718559</v>
      </c>
      <c r="S36" s="64">
        <f t="shared" si="91"/>
        <v>0.18546938775510205</v>
      </c>
      <c r="T36" s="64">
        <f t="shared" si="91"/>
        <v>0.18275584206285253</v>
      </c>
      <c r="U36" s="64">
        <f t="shared" si="91"/>
        <v>0.18989050547472627</v>
      </c>
      <c r="V36" s="70">
        <f t="shared" si="91"/>
        <v>0.18415658534624815</v>
      </c>
      <c r="W36" s="64">
        <f t="shared" si="91"/>
        <v>0.18090203205022304</v>
      </c>
      <c r="X36" s="64">
        <f t="shared" si="91"/>
        <v>0.20040180813661476</v>
      </c>
      <c r="Y36" s="64">
        <f t="shared" si="91"/>
        <v>0.19738520408163265</v>
      </c>
      <c r="Z36" s="64">
        <f t="shared" si="91"/>
        <v>0.18881626724763981</v>
      </c>
      <c r="AA36" s="70">
        <f t="shared" si="91"/>
        <v>0.19179605289282453</v>
      </c>
      <c r="AB36" s="64">
        <f t="shared" si="91"/>
        <v>0.20902181097157965</v>
      </c>
      <c r="AC36" s="64">
        <f t="shared" si="91"/>
        <v>0.21673923560716013</v>
      </c>
      <c r="AD36" s="64">
        <f t="shared" si="91"/>
        <v>0.2133747547416612</v>
      </c>
      <c r="AE36" s="64">
        <f t="shared" si="91"/>
        <v>0.208813453752725</v>
      </c>
      <c r="AF36" s="70">
        <f t="shared" si="91"/>
        <v>0.27501916017909728</v>
      </c>
      <c r="AG36" s="64">
        <f t="shared" si="91"/>
        <v>0.27214550353654426</v>
      </c>
      <c r="AH36" s="64">
        <f t="shared" ref="AH36:BJ36" si="92">AH34/AH$77</f>
        <v>0.28521361815754337</v>
      </c>
      <c r="AI36" s="64">
        <f t="shared" si="92"/>
        <v>0.27758478081058724</v>
      </c>
      <c r="AJ36" s="64">
        <f t="shared" si="92"/>
        <v>0.28265258580524927</v>
      </c>
      <c r="AK36" s="70">
        <f t="shared" si="92"/>
        <v>0.27947079544523634</v>
      </c>
      <c r="AL36" s="64">
        <f t="shared" si="92"/>
        <v>0.26909338322844023</v>
      </c>
      <c r="AM36" s="64">
        <f t="shared" si="92"/>
        <v>0.26492232215862632</v>
      </c>
      <c r="AN36" s="64">
        <f t="shared" si="92"/>
        <v>0.26634714138993493</v>
      </c>
      <c r="AO36" s="64">
        <f t="shared" si="92"/>
        <v>0.27478705281090288</v>
      </c>
      <c r="AP36" s="70">
        <f t="shared" si="92"/>
        <v>0.26776783087462697</v>
      </c>
      <c r="AQ36" s="64">
        <f t="shared" si="92"/>
        <v>0.25381263616557737</v>
      </c>
      <c r="AR36" s="64">
        <f t="shared" si="92"/>
        <v>0.26398877389931591</v>
      </c>
      <c r="AS36" s="64">
        <f t="shared" si="92"/>
        <v>0.27566678845451226</v>
      </c>
      <c r="AT36" s="64">
        <f t="shared" si="92"/>
        <v>0.27022627380758585</v>
      </c>
      <c r="AU36" s="70">
        <f t="shared" si="92"/>
        <v>0.26601244195215984</v>
      </c>
      <c r="AV36" s="64"/>
      <c r="AW36" s="64"/>
      <c r="AX36" s="64"/>
      <c r="AY36" s="64"/>
      <c r="AZ36" s="70">
        <f t="shared" ref="AZ36" si="93">AZ34/AZ$77</f>
        <v>0.26614387102427056</v>
      </c>
      <c r="BA36" s="64">
        <f t="shared" si="92"/>
        <v>0.25680786686838125</v>
      </c>
      <c r="BB36" s="64">
        <f t="shared" si="92"/>
        <v>0.24213406292749659</v>
      </c>
      <c r="BC36" s="64">
        <f t="shared" si="92"/>
        <v>0.2500432301573578</v>
      </c>
      <c r="BD36" s="64">
        <f t="shared" si="92"/>
        <v>0.24905183312262957</v>
      </c>
      <c r="BE36" s="70">
        <f t="shared" si="92"/>
        <v>0.24932249322493225</v>
      </c>
      <c r="BF36" s="64">
        <f t="shared" si="92"/>
        <v>0.24905205101689074</v>
      </c>
      <c r="BG36" s="64">
        <f t="shared" si="92"/>
        <v>0.25633802816901408</v>
      </c>
      <c r="BH36" s="64">
        <f t="shared" si="92"/>
        <v>0.26355047240179014</v>
      </c>
      <c r="BI36" s="64">
        <f t="shared" si="92"/>
        <v>0.26072234762979685</v>
      </c>
      <c r="BJ36" s="70">
        <f t="shared" si="92"/>
        <v>0.25751910933865069</v>
      </c>
      <c r="BK36" s="64">
        <f t="shared" ref="BK36:BO36" si="94">BK34/BK$77</f>
        <v>0.25916666666666666</v>
      </c>
      <c r="BL36" s="64">
        <f t="shared" si="94"/>
        <v>0.25601018946027704</v>
      </c>
      <c r="BM36" s="64">
        <f t="shared" si="94"/>
        <v>0.25413749204328451</v>
      </c>
      <c r="BN36" s="64">
        <f t="shared" si="94"/>
        <v>0.24620374465575703</v>
      </c>
      <c r="BO36" s="70">
        <f t="shared" si="94"/>
        <v>0.25366892851507022</v>
      </c>
      <c r="BP36" s="70"/>
      <c r="BQ36" s="1005">
        <f t="shared" ref="BQ36:BT36" si="95">BQ34/BQ$77</f>
        <v>0.25445805621212247</v>
      </c>
      <c r="BR36" s="1006">
        <f t="shared" si="95"/>
        <v>0.25107703372554963</v>
      </c>
      <c r="BS36" s="1006">
        <f t="shared" si="95"/>
        <v>0.24991371353916703</v>
      </c>
      <c r="BT36" s="1007">
        <f t="shared" si="95"/>
        <v>0.24323671792186341</v>
      </c>
      <c r="BU36" s="70">
        <f>BU34/BU$77</f>
        <v>0.24947422738223238</v>
      </c>
      <c r="BV36" s="240"/>
      <c r="BW36" s="238"/>
      <c r="BX36" s="238"/>
      <c r="BY36" s="241"/>
      <c r="BZ36" s="70">
        <f>BZ34/BZ$77</f>
        <v>0.24840139871859673</v>
      </c>
      <c r="CA36" s="240"/>
      <c r="CB36" s="238"/>
      <c r="CC36" s="238"/>
      <c r="CD36" s="241"/>
      <c r="CE36" s="70">
        <f>CE34/CE$77</f>
        <v>0.24677715963217947</v>
      </c>
      <c r="CF36" s="240"/>
      <c r="CG36" s="238"/>
      <c r="CH36" s="238"/>
      <c r="CI36" s="241"/>
      <c r="CJ36" s="70">
        <f>CJ34/CJ$77</f>
        <v>0.24509474935871492</v>
      </c>
      <c r="CK36" s="289"/>
      <c r="CL36" s="677"/>
      <c r="CM36" s="677"/>
      <c r="CN36" s="682"/>
      <c r="CO36" s="658"/>
      <c r="CP36" s="658"/>
      <c r="CQ36" s="658"/>
      <c r="CR36" s="658"/>
      <c r="CS36" s="658"/>
      <c r="CT36" s="289"/>
    </row>
    <row r="37" spans="1:107" s="180" customFormat="1" ht="12" customHeight="1">
      <c r="A37" s="376" t="s">
        <v>71</v>
      </c>
      <c r="B37" s="372">
        <v>5075</v>
      </c>
      <c r="C37" s="372">
        <v>4523</v>
      </c>
      <c r="D37" s="372">
        <v>4865</v>
      </c>
      <c r="E37" s="372">
        <v>5216</v>
      </c>
      <c r="F37" s="372">
        <v>5220</v>
      </c>
      <c r="G37" s="372">
        <v>5591</v>
      </c>
      <c r="H37" s="373">
        <v>5210</v>
      </c>
      <c r="I37" s="373">
        <v>5115</v>
      </c>
      <c r="J37" s="373">
        <v>4900</v>
      </c>
      <c r="K37" s="373">
        <v>5199</v>
      </c>
      <c r="L37" s="372">
        <v>5199</v>
      </c>
      <c r="M37" s="373">
        <v>5277</v>
      </c>
      <c r="N37" s="373">
        <v>5102</v>
      </c>
      <c r="O37" s="373">
        <v>5246</v>
      </c>
      <c r="P37" s="373">
        <v>5442</v>
      </c>
      <c r="Q37" s="372">
        <v>5442</v>
      </c>
      <c r="R37" s="373">
        <v>5613</v>
      </c>
      <c r="S37" s="373">
        <v>6153</v>
      </c>
      <c r="T37" s="373">
        <v>6078</v>
      </c>
      <c r="U37" s="373">
        <v>5921</v>
      </c>
      <c r="V37" s="372">
        <v>5921</v>
      </c>
      <c r="W37" s="373">
        <v>5760</v>
      </c>
      <c r="X37" s="373">
        <v>5930</v>
      </c>
      <c r="Y37" s="373">
        <v>5795</v>
      </c>
      <c r="Z37" s="373">
        <v>5981</v>
      </c>
      <c r="AA37" s="372">
        <v>5981</v>
      </c>
      <c r="AB37" s="373">
        <v>6322</v>
      </c>
      <c r="AC37" s="373">
        <v>6070</v>
      </c>
      <c r="AD37" s="373">
        <v>6012</v>
      </c>
      <c r="AE37" s="373">
        <v>5864</v>
      </c>
      <c r="AF37" s="372">
        <v>7292</v>
      </c>
      <c r="AG37" s="373">
        <v>7699</v>
      </c>
      <c r="AH37" s="373">
        <v>7497</v>
      </c>
      <c r="AI37" s="373">
        <v>7536</v>
      </c>
      <c r="AJ37" s="373">
        <v>7440</v>
      </c>
      <c r="AK37" s="372">
        <f>AJ37</f>
        <v>7440</v>
      </c>
      <c r="AL37" s="373">
        <v>7143</v>
      </c>
      <c r="AM37" s="373">
        <v>7073</v>
      </c>
      <c r="AN37" s="373">
        <v>7155</v>
      </c>
      <c r="AO37" s="373">
        <v>7751</v>
      </c>
      <c r="AP37" s="372">
        <f>AO37</f>
        <v>7751</v>
      </c>
      <c r="AQ37" s="373">
        <v>7341</v>
      </c>
      <c r="AR37" s="373">
        <v>7447</v>
      </c>
      <c r="AS37" s="373">
        <v>7549</v>
      </c>
      <c r="AT37" s="707">
        <v>6930</v>
      </c>
      <c r="AU37" s="372">
        <f>AT37</f>
        <v>6930</v>
      </c>
      <c r="AV37" s="373"/>
      <c r="AW37" s="373"/>
      <c r="AX37" s="373"/>
      <c r="AY37" s="707"/>
      <c r="AZ37" s="372">
        <v>6930</v>
      </c>
      <c r="BA37" s="707"/>
      <c r="BB37" s="707"/>
      <c r="BC37" s="707"/>
      <c r="BD37" s="707"/>
      <c r="BE37" s="372">
        <v>6309</v>
      </c>
      <c r="BF37" s="374">
        <v>7147</v>
      </c>
      <c r="BG37" s="373">
        <v>7877</v>
      </c>
      <c r="BH37" s="373">
        <v>8435</v>
      </c>
      <c r="BI37" s="375">
        <v>8834</v>
      </c>
      <c r="BJ37" s="372">
        <f>+BI37</f>
        <v>8834</v>
      </c>
      <c r="BK37" s="374">
        <v>8817</v>
      </c>
      <c r="BL37" s="373">
        <v>8398</v>
      </c>
      <c r="BM37" s="373">
        <v>8826</v>
      </c>
      <c r="BN37" s="1049">
        <v>8611</v>
      </c>
      <c r="BO37" s="372">
        <f>+BN37</f>
        <v>8611</v>
      </c>
      <c r="BP37" s="372"/>
      <c r="BQ37" s="374"/>
      <c r="BR37" s="373"/>
      <c r="BS37" s="373"/>
      <c r="BT37" s="375"/>
      <c r="BU37" s="372"/>
      <c r="BV37" s="374"/>
      <c r="BW37" s="373"/>
      <c r="BX37" s="373"/>
      <c r="BY37" s="375"/>
      <c r="BZ37" s="372"/>
      <c r="CA37" s="374"/>
      <c r="CB37" s="373"/>
      <c r="CC37" s="373"/>
      <c r="CD37" s="375"/>
      <c r="CE37" s="372"/>
      <c r="CF37" s="374"/>
      <c r="CG37" s="373"/>
      <c r="CH37" s="373"/>
      <c r="CI37" s="375"/>
      <c r="CJ37" s="372"/>
      <c r="CK37" s="291"/>
      <c r="CL37" s="657"/>
      <c r="CM37" s="657"/>
      <c r="CN37" s="682"/>
      <c r="CO37" s="657"/>
      <c r="CP37" s="657"/>
      <c r="CQ37" s="657"/>
      <c r="CR37" s="657"/>
      <c r="CS37" s="657"/>
      <c r="CT37" s="291"/>
      <c r="CX37"/>
      <c r="CY37"/>
      <c r="CZ37"/>
      <c r="DA37"/>
      <c r="DB37"/>
      <c r="DC37"/>
    </row>
    <row r="38" spans="1:107">
      <c r="A38" s="377" t="s">
        <v>137</v>
      </c>
      <c r="B38" s="70"/>
      <c r="C38" s="70">
        <f>C37/B37-1</f>
        <v>-0.1087684729064039</v>
      </c>
      <c r="D38" s="70">
        <f>D37/C37-1</f>
        <v>7.5613530842361332E-2</v>
      </c>
      <c r="E38" s="70">
        <f>E37/D37-1</f>
        <v>7.2147995889003003E-2</v>
      </c>
      <c r="F38" s="70">
        <f>F37/E37-1</f>
        <v>7.6687116564411184E-4</v>
      </c>
      <c r="G38" s="70">
        <f>G37/F37-1</f>
        <v>7.1072796934865901E-2</v>
      </c>
      <c r="H38" s="118"/>
      <c r="I38" s="64"/>
      <c r="J38" s="64"/>
      <c r="K38" s="64"/>
      <c r="L38" s="70">
        <f t="shared" ref="L38:AS38" si="96">L37/G37-1</f>
        <v>-7.0112681094616325E-2</v>
      </c>
      <c r="M38" s="64">
        <f t="shared" si="96"/>
        <v>1.2859884836852187E-2</v>
      </c>
      <c r="N38" s="64">
        <f t="shared" si="96"/>
        <v>-2.5415444770283679E-3</v>
      </c>
      <c r="O38" s="64">
        <f t="shared" si="96"/>
        <v>7.0612244897959142E-2</v>
      </c>
      <c r="P38" s="64">
        <f t="shared" si="96"/>
        <v>4.6739757645701152E-2</v>
      </c>
      <c r="Q38" s="70">
        <f t="shared" si="96"/>
        <v>4.6739757645701152E-2</v>
      </c>
      <c r="R38" s="64">
        <f t="shared" si="96"/>
        <v>6.3672541216600376E-2</v>
      </c>
      <c r="S38" s="64">
        <f t="shared" si="96"/>
        <v>0.20599764798118381</v>
      </c>
      <c r="T38" s="64">
        <f t="shared" si="96"/>
        <v>0.15859702630575678</v>
      </c>
      <c r="U38" s="64">
        <f t="shared" si="96"/>
        <v>8.8019110621095242E-2</v>
      </c>
      <c r="V38" s="70">
        <f t="shared" si="96"/>
        <v>8.8019110621095242E-2</v>
      </c>
      <c r="W38" s="64">
        <f t="shared" si="96"/>
        <v>2.6189203634420011E-2</v>
      </c>
      <c r="X38" s="64">
        <f t="shared" si="96"/>
        <v>-3.6242483341459408E-2</v>
      </c>
      <c r="Y38" s="64">
        <f t="shared" si="96"/>
        <v>-4.6561368871339215E-2</v>
      </c>
      <c r="Z38" s="64">
        <f t="shared" si="96"/>
        <v>1.0133423408207998E-2</v>
      </c>
      <c r="AA38" s="70">
        <f t="shared" si="96"/>
        <v>1.0133423408207998E-2</v>
      </c>
      <c r="AB38" s="64">
        <f t="shared" si="96"/>
        <v>9.7569444444444375E-2</v>
      </c>
      <c r="AC38" s="64">
        <f t="shared" si="96"/>
        <v>2.3608768971332239E-2</v>
      </c>
      <c r="AD38" s="64">
        <f t="shared" si="96"/>
        <v>3.7446074201898272E-2</v>
      </c>
      <c r="AE38" s="64">
        <f t="shared" si="96"/>
        <v>-1.9561946162849009E-2</v>
      </c>
      <c r="AF38" s="70">
        <f t="shared" si="96"/>
        <v>0.21919411469653904</v>
      </c>
      <c r="AG38" s="64">
        <f t="shared" si="96"/>
        <v>0.2178108193609618</v>
      </c>
      <c r="AH38" s="64">
        <f t="shared" si="96"/>
        <v>0.23509060955518946</v>
      </c>
      <c r="AI38" s="64">
        <f t="shared" si="96"/>
        <v>0.25349301397205593</v>
      </c>
      <c r="AJ38" s="64">
        <f t="shared" si="96"/>
        <v>0.26875852660300126</v>
      </c>
      <c r="AK38" s="70">
        <f t="shared" si="96"/>
        <v>2.0296215030169984E-2</v>
      </c>
      <c r="AL38" s="64">
        <f t="shared" si="96"/>
        <v>-7.2217171061176755E-2</v>
      </c>
      <c r="AM38" s="64">
        <f t="shared" si="96"/>
        <v>-5.6555955715619555E-2</v>
      </c>
      <c r="AN38" s="64">
        <f t="shared" si="96"/>
        <v>-5.0557324840764362E-2</v>
      </c>
      <c r="AO38" s="64">
        <f t="shared" si="96"/>
        <v>4.1801075268817156E-2</v>
      </c>
      <c r="AP38" s="70">
        <f t="shared" si="96"/>
        <v>4.1801075268817156E-2</v>
      </c>
      <c r="AQ38" s="64">
        <f t="shared" si="96"/>
        <v>2.7719445611087856E-2</v>
      </c>
      <c r="AR38" s="64">
        <f t="shared" si="96"/>
        <v>5.2877138413685909E-2</v>
      </c>
      <c r="AS38" s="64">
        <f t="shared" si="96"/>
        <v>5.5066387141858852E-2</v>
      </c>
      <c r="AT38" s="716">
        <f t="shared" ref="AT38:AU38" si="97">AT37/AO37-1</f>
        <v>-0.10592181653980126</v>
      </c>
      <c r="AU38" s="70">
        <f t="shared" si="97"/>
        <v>-0.10592181653980126</v>
      </c>
      <c r="AV38" s="64"/>
      <c r="AW38" s="64"/>
      <c r="AX38" s="64"/>
      <c r="AY38" s="716"/>
      <c r="AZ38" s="70">
        <f t="shared" ref="AZ38" si="98">AZ37/AU37-1</f>
        <v>0</v>
      </c>
      <c r="BA38" s="64"/>
      <c r="BB38" s="64"/>
      <c r="BC38" s="64"/>
      <c r="BD38" s="64"/>
      <c r="BE38" s="70">
        <f>BE37/AZ37-1</f>
        <v>-8.9610389610389585E-2</v>
      </c>
      <c r="BF38" s="121"/>
      <c r="BG38" s="64"/>
      <c r="BH38" s="64"/>
      <c r="BI38" s="122"/>
      <c r="BJ38" s="70">
        <f t="shared" ref="BJ38:BO38" si="99">BJ37/BE37-1</f>
        <v>0.40022190521477263</v>
      </c>
      <c r="BK38" s="121">
        <f t="shared" si="99"/>
        <v>0.23366447460472917</v>
      </c>
      <c r="BL38" s="64">
        <f t="shared" si="99"/>
        <v>6.6141932207693266E-2</v>
      </c>
      <c r="BM38" s="64">
        <f t="shared" si="99"/>
        <v>4.6354475400118611E-2</v>
      </c>
      <c r="BN38" s="122">
        <f t="shared" si="99"/>
        <v>-2.5243377858274796E-2</v>
      </c>
      <c r="BO38" s="70">
        <f t="shared" si="99"/>
        <v>-2.5243377858274796E-2</v>
      </c>
      <c r="BP38" s="70"/>
      <c r="BQ38" s="121"/>
      <c r="BR38" s="64"/>
      <c r="BS38" s="64"/>
      <c r="BT38" s="122"/>
      <c r="BU38" s="70"/>
      <c r="BV38" s="121"/>
      <c r="BW38" s="64"/>
      <c r="BX38" s="64"/>
      <c r="BY38" s="122"/>
      <c r="BZ38" s="70"/>
      <c r="CA38" s="121"/>
      <c r="CB38" s="64"/>
      <c r="CC38" s="64"/>
      <c r="CD38" s="122"/>
      <c r="CE38" s="70"/>
      <c r="CF38" s="121"/>
      <c r="CG38" s="64"/>
      <c r="CH38" s="64"/>
      <c r="CI38" s="122"/>
      <c r="CJ38" s="70"/>
      <c r="CK38" s="289"/>
      <c r="CL38" s="745"/>
      <c r="CM38" s="658"/>
      <c r="CN38" s="682"/>
      <c r="CO38" s="658"/>
      <c r="CP38" s="658"/>
      <c r="CQ38" s="658"/>
      <c r="CR38" s="658"/>
      <c r="CS38" s="658"/>
      <c r="CT38" s="289"/>
    </row>
    <row r="39" spans="1:107" s="180" customFormat="1" ht="12" customHeight="1">
      <c r="A39" s="385" t="s">
        <v>12</v>
      </c>
      <c r="B39" s="354"/>
      <c r="C39" s="354">
        <v>3229</v>
      </c>
      <c r="D39" s="354">
        <v>3801</v>
      </c>
      <c r="E39" s="354">
        <v>3127</v>
      </c>
      <c r="F39" s="354">
        <v>2851</v>
      </c>
      <c r="G39" s="354">
        <v>2770</v>
      </c>
      <c r="H39" s="357">
        <v>2784</v>
      </c>
      <c r="I39" s="357">
        <v>2968</v>
      </c>
      <c r="J39" s="357">
        <v>2907</v>
      </c>
      <c r="K39" s="358">
        <v>2960</v>
      </c>
      <c r="L39" s="354">
        <v>2960</v>
      </c>
      <c r="M39" s="358">
        <v>3341</v>
      </c>
      <c r="N39" s="357">
        <v>3301</v>
      </c>
      <c r="O39" s="357">
        <v>3164</v>
      </c>
      <c r="P39" s="358">
        <v>2731</v>
      </c>
      <c r="Q39" s="354">
        <v>2731</v>
      </c>
      <c r="R39" s="358">
        <v>3284</v>
      </c>
      <c r="S39" s="358">
        <v>3585</v>
      </c>
      <c r="T39" s="357">
        <v>3718</v>
      </c>
      <c r="U39" s="358">
        <v>3402</v>
      </c>
      <c r="V39" s="354">
        <v>3402</v>
      </c>
      <c r="W39" s="358">
        <v>3549</v>
      </c>
      <c r="X39" s="358">
        <v>3215</v>
      </c>
      <c r="Y39" s="358">
        <v>3156</v>
      </c>
      <c r="Z39" s="358">
        <v>3266</v>
      </c>
      <c r="AA39" s="354">
        <v>3266</v>
      </c>
      <c r="AB39" s="358">
        <v>3332</v>
      </c>
      <c r="AC39" s="358">
        <v>3161</v>
      </c>
      <c r="AD39" s="358">
        <v>3306</v>
      </c>
      <c r="AE39" s="358">
        <v>3104</v>
      </c>
      <c r="AF39" s="134">
        <v>4172</v>
      </c>
      <c r="AG39" s="358">
        <v>4207</v>
      </c>
      <c r="AH39" s="358">
        <v>4527</v>
      </c>
      <c r="AI39" s="358">
        <v>4617</v>
      </c>
      <c r="AJ39" s="358">
        <v>4476</v>
      </c>
      <c r="AK39" s="134">
        <f>AJ39</f>
        <v>4476</v>
      </c>
      <c r="AL39" s="358">
        <v>4567</v>
      </c>
      <c r="AM39" s="358">
        <v>4554</v>
      </c>
      <c r="AN39" s="358">
        <v>4351</v>
      </c>
      <c r="AO39" s="358">
        <v>4166</v>
      </c>
      <c r="AP39" s="134">
        <f>AO39</f>
        <v>4166</v>
      </c>
      <c r="AQ39" s="358">
        <v>4619</v>
      </c>
      <c r="AR39" s="660">
        <v>4801</v>
      </c>
      <c r="AS39" s="136">
        <v>4279</v>
      </c>
      <c r="AT39" s="660">
        <v>4259</v>
      </c>
      <c r="AU39" s="134">
        <f>AT39</f>
        <v>4259</v>
      </c>
      <c r="AV39" s="358"/>
      <c r="AW39" s="660"/>
      <c r="AX39" s="136"/>
      <c r="AY39" s="660"/>
      <c r="AZ39" s="134">
        <v>4259</v>
      </c>
      <c r="BA39" s="660"/>
      <c r="BB39" s="660"/>
      <c r="BC39" s="660"/>
      <c r="BD39" s="660"/>
      <c r="BE39" s="134">
        <v>4692</v>
      </c>
      <c r="BF39" s="901">
        <v>5618</v>
      </c>
      <c r="BG39" s="670">
        <v>5691</v>
      </c>
      <c r="BH39" s="670">
        <v>5336</v>
      </c>
      <c r="BI39" s="752"/>
      <c r="BJ39" s="748"/>
      <c r="BK39" s="716"/>
      <c r="BL39" s="64"/>
      <c r="BM39" s="670"/>
      <c r="BN39" s="752"/>
      <c r="BO39" s="748"/>
      <c r="BP39" s="748"/>
      <c r="BQ39" s="355"/>
      <c r="BR39" s="181"/>
      <c r="BS39" s="181"/>
      <c r="BT39" s="356"/>
      <c r="BU39" s="354"/>
      <c r="BV39" s="355"/>
      <c r="BW39" s="181"/>
      <c r="BX39" s="181"/>
      <c r="BY39" s="356"/>
      <c r="BZ39" s="354"/>
      <c r="CA39" s="355"/>
      <c r="CB39" s="181"/>
      <c r="CC39" s="181"/>
      <c r="CD39" s="356"/>
      <c r="CE39" s="354"/>
      <c r="CF39" s="355"/>
      <c r="CG39" s="181"/>
      <c r="CH39" s="181"/>
      <c r="CI39" s="356"/>
      <c r="CJ39" s="354"/>
      <c r="CK39" s="291"/>
      <c r="CL39" s="657"/>
      <c r="CM39" s="657"/>
      <c r="CN39" s="682"/>
      <c r="CO39" s="657"/>
      <c r="CP39" s="657"/>
      <c r="CQ39" s="657"/>
      <c r="CR39" s="657"/>
      <c r="CS39" s="657"/>
      <c r="CT39" s="291"/>
      <c r="CX39"/>
      <c r="CY39"/>
      <c r="CZ39"/>
      <c r="DA39"/>
      <c r="DB39"/>
      <c r="DC39"/>
    </row>
    <row r="40" spans="1:107" ht="12" customHeight="1">
      <c r="A40" s="385" t="s">
        <v>13</v>
      </c>
      <c r="B40" s="378"/>
      <c r="C40" s="378">
        <f t="shared" ref="C40:AR40" si="100">1-C39/C37</f>
        <v>0.286093300906478</v>
      </c>
      <c r="D40" s="378">
        <f t="shared" si="100"/>
        <v>0.21870503597122304</v>
      </c>
      <c r="E40" s="378">
        <f t="shared" si="100"/>
        <v>0.40049846625766872</v>
      </c>
      <c r="F40" s="378">
        <f t="shared" si="100"/>
        <v>0.45383141762452106</v>
      </c>
      <c r="G40" s="378">
        <f t="shared" si="100"/>
        <v>0.50456090144875687</v>
      </c>
      <c r="H40" s="379">
        <f t="shared" si="100"/>
        <v>0.46564299424184263</v>
      </c>
      <c r="I40" s="379">
        <f t="shared" si="100"/>
        <v>0.41974584555229721</v>
      </c>
      <c r="J40" s="379">
        <f t="shared" si="100"/>
        <v>0.40673469387755101</v>
      </c>
      <c r="K40" s="380">
        <f t="shared" si="100"/>
        <v>0.43065974225812653</v>
      </c>
      <c r="L40" s="378">
        <f t="shared" si="100"/>
        <v>0.43065974225812653</v>
      </c>
      <c r="M40" s="380">
        <f t="shared" si="100"/>
        <v>0.36687511843850673</v>
      </c>
      <c r="N40" s="379">
        <f t="shared" si="100"/>
        <v>0.3529988239905919</v>
      </c>
      <c r="O40" s="379">
        <f t="shared" si="100"/>
        <v>0.39687380861608845</v>
      </c>
      <c r="P40" s="380">
        <f t="shared" si="100"/>
        <v>0.49816244027930912</v>
      </c>
      <c r="Q40" s="378">
        <f t="shared" si="100"/>
        <v>0.49816244027930912</v>
      </c>
      <c r="R40" s="380">
        <f t="shared" si="100"/>
        <v>0.414929627650098</v>
      </c>
      <c r="S40" s="380">
        <f t="shared" si="100"/>
        <v>0.41735738664066313</v>
      </c>
      <c r="T40" s="379">
        <f t="shared" si="100"/>
        <v>0.3882856202698256</v>
      </c>
      <c r="U40" s="381">
        <f t="shared" si="100"/>
        <v>0.42543489275460222</v>
      </c>
      <c r="V40" s="378">
        <f t="shared" si="100"/>
        <v>0.42543489275460222</v>
      </c>
      <c r="W40" s="380">
        <f t="shared" si="100"/>
        <v>0.38385416666666672</v>
      </c>
      <c r="X40" s="380">
        <f t="shared" si="100"/>
        <v>0.45784148397976387</v>
      </c>
      <c r="Y40" s="382">
        <f t="shared" si="100"/>
        <v>0.45539257981018122</v>
      </c>
      <c r="Z40" s="382">
        <f t="shared" si="100"/>
        <v>0.45393746865072726</v>
      </c>
      <c r="AA40" s="378">
        <f t="shared" si="100"/>
        <v>0.45393746865072726</v>
      </c>
      <c r="AB40" s="380">
        <f t="shared" si="100"/>
        <v>0.4729515975956976</v>
      </c>
      <c r="AC40" s="380">
        <f t="shared" si="100"/>
        <v>0.4792421746293245</v>
      </c>
      <c r="AD40" s="380">
        <f t="shared" si="100"/>
        <v>0.45009980039920161</v>
      </c>
      <c r="AE40" s="380">
        <f t="shared" si="100"/>
        <v>0.47066848567530695</v>
      </c>
      <c r="AF40" s="378">
        <f t="shared" si="100"/>
        <v>0.42786615469007128</v>
      </c>
      <c r="AG40" s="380">
        <f t="shared" si="100"/>
        <v>0.45356539810364982</v>
      </c>
      <c r="AH40" s="380">
        <f t="shared" si="100"/>
        <v>0.3961584633853541</v>
      </c>
      <c r="AI40" s="380">
        <f t="shared" si="100"/>
        <v>0.38734076433121023</v>
      </c>
      <c r="AJ40" s="380">
        <f t="shared" si="100"/>
        <v>0.39838709677419359</v>
      </c>
      <c r="AK40" s="378">
        <f t="shared" si="100"/>
        <v>0.39838709677419359</v>
      </c>
      <c r="AL40" s="380">
        <f t="shared" si="100"/>
        <v>0.36063278734425308</v>
      </c>
      <c r="AM40" s="380">
        <f t="shared" si="100"/>
        <v>0.35614307931570766</v>
      </c>
      <c r="AN40" s="380">
        <f t="shared" si="100"/>
        <v>0.39189378057302582</v>
      </c>
      <c r="AO40" s="380">
        <f t="shared" si="100"/>
        <v>0.46252096503676943</v>
      </c>
      <c r="AP40" s="378">
        <f t="shared" si="100"/>
        <v>0.46252096503676943</v>
      </c>
      <c r="AQ40" s="380">
        <f>1-AQ39/AQ37</f>
        <v>0.37079416973164414</v>
      </c>
      <c r="AR40" s="380">
        <f t="shared" si="100"/>
        <v>0.35531086343494023</v>
      </c>
      <c r="AS40" s="380">
        <f t="shared" ref="AS40:AU40" si="101">1-AS39/AS37</f>
        <v>0.43316995628560073</v>
      </c>
      <c r="AT40" s="380">
        <f t="shared" si="101"/>
        <v>0.38542568542568545</v>
      </c>
      <c r="AU40" s="378">
        <f t="shared" si="101"/>
        <v>0.38542568542568545</v>
      </c>
      <c r="AV40" s="380"/>
      <c r="AW40" s="380"/>
      <c r="AX40" s="380"/>
      <c r="AY40" s="380"/>
      <c r="AZ40" s="378">
        <f t="shared" ref="AZ40" si="102">1-AZ39/AZ37</f>
        <v>0.38542568542568545</v>
      </c>
      <c r="BA40" s="380"/>
      <c r="BB40" s="661"/>
      <c r="BC40" s="703"/>
      <c r="BD40" s="380"/>
      <c r="BE40" s="378">
        <f t="shared" ref="BE40" si="103">1-BE39/BE37</f>
        <v>0.25630052306229201</v>
      </c>
      <c r="BF40" s="380">
        <f>1-BF39/BF37</f>
        <v>0.2139359171680425</v>
      </c>
      <c r="BG40" s="380">
        <f t="shared" ref="BG40:BH40" si="104">1-BG39/BG37</f>
        <v>0.2775168211247937</v>
      </c>
      <c r="BH40" s="380">
        <f t="shared" si="104"/>
        <v>0.36739774748073506</v>
      </c>
      <c r="BI40" s="380"/>
      <c r="BJ40" s="378"/>
      <c r="BK40" s="64"/>
      <c r="BL40" s="64"/>
      <c r="BM40" s="380"/>
      <c r="BN40" s="380"/>
      <c r="BO40" s="378"/>
      <c r="BP40" s="378"/>
      <c r="BQ40" s="121"/>
      <c r="BR40" s="64"/>
      <c r="BS40" s="64"/>
      <c r="BT40" s="122"/>
      <c r="BU40" s="70"/>
      <c r="BV40" s="121"/>
      <c r="BW40" s="64"/>
      <c r="BX40" s="64"/>
      <c r="BY40" s="122"/>
      <c r="BZ40" s="70"/>
      <c r="CA40" s="121"/>
      <c r="CB40" s="64"/>
      <c r="CC40" s="64"/>
      <c r="CD40" s="122"/>
      <c r="CE40" s="70"/>
      <c r="CF40" s="121"/>
      <c r="CG40" s="64"/>
      <c r="CH40" s="64"/>
      <c r="CI40" s="122"/>
      <c r="CJ40" s="70"/>
      <c r="CK40" s="66"/>
      <c r="CL40" s="658"/>
      <c r="CM40" s="658"/>
      <c r="CN40" s="682"/>
      <c r="CO40" s="658"/>
      <c r="CP40" s="658"/>
      <c r="CQ40" s="658"/>
      <c r="CR40" s="658"/>
      <c r="CS40" s="658"/>
      <c r="CT40" s="289"/>
    </row>
    <row r="41" spans="1:107" s="180" customFormat="1" ht="12" customHeight="1">
      <c r="A41" s="385" t="s">
        <v>134</v>
      </c>
      <c r="B41" s="354">
        <v>2471</v>
      </c>
      <c r="C41" s="354">
        <v>2372</v>
      </c>
      <c r="D41" s="354">
        <v>3619</v>
      </c>
      <c r="E41" s="354">
        <v>3901</v>
      </c>
      <c r="F41" s="354">
        <v>3996</v>
      </c>
      <c r="G41" s="354">
        <v>4021</v>
      </c>
      <c r="H41" s="357">
        <v>477</v>
      </c>
      <c r="I41" s="357">
        <v>790</v>
      </c>
      <c r="J41" s="357">
        <v>917</v>
      </c>
      <c r="K41" s="358">
        <v>1784</v>
      </c>
      <c r="L41" s="354">
        <v>3968</v>
      </c>
      <c r="M41" s="358">
        <v>728</v>
      </c>
      <c r="N41" s="357">
        <v>809</v>
      </c>
      <c r="O41" s="357">
        <v>1087</v>
      </c>
      <c r="P41" s="358">
        <v>1303</v>
      </c>
      <c r="Q41" s="354">
        <v>3927</v>
      </c>
      <c r="R41" s="358">
        <v>1037</v>
      </c>
      <c r="S41" s="358">
        <v>1493</v>
      </c>
      <c r="T41" s="358">
        <v>940</v>
      </c>
      <c r="U41" s="358">
        <v>976</v>
      </c>
      <c r="V41" s="354">
        <v>4446</v>
      </c>
      <c r="W41" s="358">
        <v>810</v>
      </c>
      <c r="X41" s="358">
        <v>1231</v>
      </c>
      <c r="Y41" s="358">
        <v>947</v>
      </c>
      <c r="Z41" s="181">
        <v>1333</v>
      </c>
      <c r="AA41" s="354">
        <v>4321</v>
      </c>
      <c r="AB41" s="358">
        <v>1350</v>
      </c>
      <c r="AC41" s="358">
        <v>1039</v>
      </c>
      <c r="AD41" s="358">
        <v>1135</v>
      </c>
      <c r="AE41" s="181">
        <v>1068</v>
      </c>
      <c r="AF41" s="170">
        <v>6045</v>
      </c>
      <c r="AG41" s="358">
        <v>1924</v>
      </c>
      <c r="AH41" s="358">
        <v>1512</v>
      </c>
      <c r="AI41" s="358">
        <v>1644</v>
      </c>
      <c r="AJ41" s="181">
        <v>1527</v>
      </c>
      <c r="AK41" s="354">
        <v>6607</v>
      </c>
      <c r="AL41" s="358">
        <v>1039</v>
      </c>
      <c r="AM41" s="358">
        <v>1387</v>
      </c>
      <c r="AN41" s="358">
        <v>1463</v>
      </c>
      <c r="AO41" s="181">
        <f>AP41-SUM(AL41:AN41)</f>
        <v>2107</v>
      </c>
      <c r="AP41" s="354">
        <v>5996</v>
      </c>
      <c r="AQ41" s="358">
        <v>1019</v>
      </c>
      <c r="AR41" s="660">
        <v>1581</v>
      </c>
      <c r="AS41" s="136">
        <v>1454</v>
      </c>
      <c r="AT41" s="181">
        <f>AU41-SUM(AQ41:AS41)</f>
        <v>1356</v>
      </c>
      <c r="AU41" s="354">
        <v>5410</v>
      </c>
      <c r="AV41" s="358"/>
      <c r="AW41" s="660"/>
      <c r="AX41" s="136"/>
      <c r="AY41" s="181"/>
      <c r="AZ41" s="708">
        <v>5410</v>
      </c>
      <c r="BA41" s="660">
        <v>631</v>
      </c>
      <c r="BB41" s="660">
        <v>1240</v>
      </c>
      <c r="BC41" s="660">
        <v>1217</v>
      </c>
      <c r="BD41" s="136">
        <v>1848</v>
      </c>
      <c r="BE41" s="708">
        <f>+SUM(BA41:BD41)</f>
        <v>4936</v>
      </c>
      <c r="BF41" s="901">
        <v>2202</v>
      </c>
      <c r="BG41" s="670">
        <v>2217</v>
      </c>
      <c r="BH41" s="670">
        <v>2060</v>
      </c>
      <c r="BI41" s="892">
        <v>1935</v>
      </c>
      <c r="BJ41" s="708">
        <f>SUM(BF41:BI41)</f>
        <v>8414</v>
      </c>
      <c r="BK41" s="901">
        <v>1475</v>
      </c>
      <c r="BL41" s="64">
        <v>10.58</v>
      </c>
      <c r="BM41" s="670">
        <v>2025</v>
      </c>
      <c r="BN41" s="1051">
        <f>5907-BM41-BL41-BK41</f>
        <v>2396.42</v>
      </c>
      <c r="BO41" s="708">
        <f>SUM(BK41:BN41)</f>
        <v>5907</v>
      </c>
      <c r="BP41" s="708"/>
      <c r="BQ41" s="355"/>
      <c r="BR41" s="181"/>
      <c r="BS41" s="181"/>
      <c r="BT41" s="356"/>
      <c r="BU41" s="354"/>
      <c r="BV41" s="355"/>
      <c r="BW41" s="181"/>
      <c r="BX41" s="181"/>
      <c r="BY41" s="356"/>
      <c r="BZ41" s="354"/>
      <c r="CA41" s="355"/>
      <c r="CB41" s="181"/>
      <c r="CC41" s="181"/>
      <c r="CD41" s="356"/>
      <c r="CE41" s="354"/>
      <c r="CF41" s="355"/>
      <c r="CG41" s="181"/>
      <c r="CH41" s="181"/>
      <c r="CI41" s="356"/>
      <c r="CJ41" s="354"/>
      <c r="CK41" s="291"/>
      <c r="CL41" s="659"/>
      <c r="CM41" s="657"/>
      <c r="CN41" s="682"/>
      <c r="CO41" s="657"/>
      <c r="CP41" s="657"/>
      <c r="CQ41" s="657"/>
      <c r="CR41" s="657"/>
      <c r="CS41" s="657"/>
      <c r="CT41" s="291"/>
      <c r="CX41"/>
      <c r="CY41"/>
      <c r="CZ41"/>
      <c r="DA41"/>
      <c r="DB41"/>
      <c r="DC41"/>
    </row>
    <row r="42" spans="1:107" s="652" customFormat="1" ht="12" customHeight="1">
      <c r="A42" s="644" t="s">
        <v>116</v>
      </c>
      <c r="B42" s="645">
        <f t="shared" ref="B42:AG42" si="105">+B41/B34</f>
        <v>0.90248356464572677</v>
      </c>
      <c r="C42" s="645">
        <f t="shared" si="105"/>
        <v>0.7314215232809127</v>
      </c>
      <c r="D42" s="645">
        <f t="shared" si="105"/>
        <v>0.98422627141691599</v>
      </c>
      <c r="E42" s="645">
        <f t="shared" si="105"/>
        <v>0.95894788593903635</v>
      </c>
      <c r="F42" s="645">
        <f t="shared" si="105"/>
        <v>0.95712574850299403</v>
      </c>
      <c r="G42" s="645">
        <f t="shared" si="105"/>
        <v>0.93100254688585315</v>
      </c>
      <c r="H42" s="646">
        <f t="shared" si="105"/>
        <v>0.49481327800829877</v>
      </c>
      <c r="I42" s="646">
        <f t="shared" si="105"/>
        <v>0.74178403755868549</v>
      </c>
      <c r="J42" s="646">
        <f t="shared" si="105"/>
        <v>0.90255905511811019</v>
      </c>
      <c r="K42" s="646">
        <f t="shared" si="105"/>
        <v>1.4352373290426388</v>
      </c>
      <c r="L42" s="645">
        <f t="shared" si="105"/>
        <v>0.94431223227034744</v>
      </c>
      <c r="M42" s="646">
        <f t="shared" si="105"/>
        <v>0.74513817809621286</v>
      </c>
      <c r="N42" s="646">
        <f t="shared" si="105"/>
        <v>0.75466417910447758</v>
      </c>
      <c r="O42" s="646">
        <f t="shared" si="105"/>
        <v>1.0206572769953051</v>
      </c>
      <c r="P42" s="646">
        <f t="shared" si="105"/>
        <v>1.1174957118353346</v>
      </c>
      <c r="Q42" s="645">
        <f t="shared" si="105"/>
        <v>0.91752336448598126</v>
      </c>
      <c r="R42" s="646">
        <f t="shared" si="105"/>
        <v>0.99139579349904394</v>
      </c>
      <c r="S42" s="646">
        <f t="shared" si="105"/>
        <v>1.3142605633802817</v>
      </c>
      <c r="T42" s="646">
        <f t="shared" si="105"/>
        <v>0.82892416225749554</v>
      </c>
      <c r="U42" s="646">
        <f t="shared" si="105"/>
        <v>0.7709320695102686</v>
      </c>
      <c r="V42" s="645">
        <f t="shared" si="105"/>
        <v>0.97031863814927977</v>
      </c>
      <c r="W42" s="646">
        <f t="shared" si="105"/>
        <v>0.73972602739726023</v>
      </c>
      <c r="X42" s="646">
        <f t="shared" si="105"/>
        <v>1.028404344193818</v>
      </c>
      <c r="Y42" s="646">
        <f t="shared" si="105"/>
        <v>0.76494345718901458</v>
      </c>
      <c r="Z42" s="646">
        <f t="shared" si="105"/>
        <v>1.0253846153846153</v>
      </c>
      <c r="AA42" s="645">
        <f t="shared" si="105"/>
        <v>0.8946169772256729</v>
      </c>
      <c r="AB42" s="646">
        <f t="shared" si="105"/>
        <v>1.0671936758893281</v>
      </c>
      <c r="AC42" s="646">
        <f t="shared" si="105"/>
        <v>0.77306547619047616</v>
      </c>
      <c r="AD42" s="646">
        <f t="shared" si="105"/>
        <v>0.86973180076628354</v>
      </c>
      <c r="AE42" s="646">
        <f t="shared" si="105"/>
        <v>0.79642058165548102</v>
      </c>
      <c r="AF42" s="645">
        <f t="shared" si="105"/>
        <v>0.8866236432971546</v>
      </c>
      <c r="AG42" s="646">
        <f t="shared" si="105"/>
        <v>1.1905940594059405</v>
      </c>
      <c r="AH42" s="646">
        <f t="shared" ref="AH42:BE42" si="106">+AH41/AH34</f>
        <v>0.88472791105909887</v>
      </c>
      <c r="AI42" s="646">
        <f t="shared" si="106"/>
        <v>0.97973778307508941</v>
      </c>
      <c r="AJ42" s="646">
        <f t="shared" si="106"/>
        <v>0.83901098901098903</v>
      </c>
      <c r="AK42" s="645">
        <f t="shared" si="106"/>
        <v>0.96834237139088375</v>
      </c>
      <c r="AL42" s="647">
        <f t="shared" si="106"/>
        <v>0.65676359039190901</v>
      </c>
      <c r="AM42" s="646">
        <f t="shared" si="106"/>
        <v>0.85617283950617284</v>
      </c>
      <c r="AN42" s="646">
        <f t="shared" si="106"/>
        <v>0.94023136246786632</v>
      </c>
      <c r="AO42" s="646">
        <f t="shared" si="106"/>
        <v>1.3062616243025418</v>
      </c>
      <c r="AP42" s="645">
        <f t="shared" si="106"/>
        <v>0.94113953853398213</v>
      </c>
      <c r="AQ42" s="647">
        <f t="shared" si="106"/>
        <v>0.72889842632331903</v>
      </c>
      <c r="AR42" s="646">
        <f t="shared" si="106"/>
        <v>1.0504983388704319</v>
      </c>
      <c r="AS42" s="646">
        <f t="shared" si="106"/>
        <v>0.96355202120609673</v>
      </c>
      <c r="AT42" s="646">
        <f t="shared" si="106"/>
        <v>0.81686746987951808</v>
      </c>
      <c r="AU42" s="645">
        <f t="shared" si="106"/>
        <v>0.89097496706192358</v>
      </c>
      <c r="AV42" s="647"/>
      <c r="AW42" s="646"/>
      <c r="AX42" s="646"/>
      <c r="AY42" s="646"/>
      <c r="AZ42" s="645">
        <f t="shared" ref="AZ42" si="107">+AZ41/AZ34</f>
        <v>0.89053497942386828</v>
      </c>
      <c r="BA42" s="647">
        <f t="shared" si="106"/>
        <v>0.46465390279823271</v>
      </c>
      <c r="BB42" s="646">
        <f t="shared" si="106"/>
        <v>0.87570621468926557</v>
      </c>
      <c r="BC42" s="646">
        <f t="shared" si="106"/>
        <v>0.84163208852005533</v>
      </c>
      <c r="BD42" s="646">
        <f t="shared" si="106"/>
        <v>1.1725888324873097</v>
      </c>
      <c r="BE42" s="645">
        <f t="shared" si="106"/>
        <v>0.85162180814354727</v>
      </c>
      <c r="BF42" s="647">
        <f t="shared" ref="BF42:BJ42" si="108">+BF41/BF34</f>
        <v>1.5238754325259516</v>
      </c>
      <c r="BG42" s="646">
        <f t="shared" si="108"/>
        <v>1.4330963154492566</v>
      </c>
      <c r="BH42" s="646">
        <f t="shared" si="108"/>
        <v>1.2955974842767295</v>
      </c>
      <c r="BI42" s="646">
        <f t="shared" si="108"/>
        <v>1.1966604823747682</v>
      </c>
      <c r="BJ42" s="645">
        <f t="shared" si="108"/>
        <v>1.357315696080013</v>
      </c>
      <c r="BK42" s="647">
        <f t="shared" ref="BK42" si="109">+BK41/BK34</f>
        <v>0.94855305466237938</v>
      </c>
      <c r="BL42" s="64">
        <f t="shared" ref="BL42:BO42" si="110">+BL41/BL34</f>
        <v>6.5796019900497514E-3</v>
      </c>
      <c r="BM42" s="646">
        <f t="shared" si="110"/>
        <v>1.2680025046963055</v>
      </c>
      <c r="BN42" s="646">
        <f t="shared" si="110"/>
        <v>1.4349820359281438</v>
      </c>
      <c r="BO42" s="645">
        <f t="shared" si="110"/>
        <v>0.91866251944012445</v>
      </c>
      <c r="BP42" s="645"/>
      <c r="BQ42" s="648"/>
      <c r="BR42" s="646"/>
      <c r="BS42" s="646"/>
      <c r="BT42" s="649"/>
      <c r="BU42" s="645"/>
      <c r="BV42" s="648"/>
      <c r="BW42" s="646"/>
      <c r="BX42" s="646"/>
      <c r="BY42" s="649"/>
      <c r="BZ42" s="645"/>
      <c r="CA42" s="648"/>
      <c r="CB42" s="646"/>
      <c r="CC42" s="646"/>
      <c r="CD42" s="649"/>
      <c r="CE42" s="645"/>
      <c r="CF42" s="648"/>
      <c r="CG42" s="646"/>
      <c r="CH42" s="646"/>
      <c r="CI42" s="649"/>
      <c r="CJ42" s="645"/>
      <c r="CK42" s="650"/>
      <c r="CL42" s="744"/>
      <c r="CM42" s="744"/>
      <c r="CN42" s="744"/>
      <c r="CO42" s="744"/>
      <c r="CP42" s="744"/>
      <c r="CQ42" s="744"/>
      <c r="CR42" s="744"/>
      <c r="CS42" s="744"/>
      <c r="CT42" s="651"/>
      <c r="CX42"/>
      <c r="CY42"/>
      <c r="CZ42"/>
      <c r="DA42"/>
      <c r="DB42"/>
      <c r="DC42"/>
    </row>
    <row r="43" spans="1:107" s="652" customFormat="1" ht="12" customHeight="1">
      <c r="A43" s="644" t="s">
        <v>1</v>
      </c>
      <c r="B43" s="645">
        <f t="shared" ref="B43:G43" si="111">B37/B34</f>
        <v>1.8535427319211104</v>
      </c>
      <c r="C43" s="645">
        <f t="shared" si="111"/>
        <v>1.3946962688868332</v>
      </c>
      <c r="D43" s="645">
        <f t="shared" si="111"/>
        <v>1.3230894751155833</v>
      </c>
      <c r="E43" s="645">
        <f t="shared" si="111"/>
        <v>1.2822025565388397</v>
      </c>
      <c r="F43" s="645">
        <f t="shared" si="111"/>
        <v>1.2502994011976047</v>
      </c>
      <c r="G43" s="645">
        <f t="shared" si="111"/>
        <v>1.2945126186617273</v>
      </c>
      <c r="H43" s="646">
        <f>H37/H34/4</f>
        <v>1.3511410788381744</v>
      </c>
      <c r="I43" s="646">
        <f>I37/I34/4</f>
        <v>1.2007042253521127</v>
      </c>
      <c r="J43" s="646">
        <f>J37/J34/4</f>
        <v>1.2057086614173229</v>
      </c>
      <c r="K43" s="646">
        <f>K37/K34/4</f>
        <v>1.0456556717618664</v>
      </c>
      <c r="L43" s="645">
        <f>L37/L34</f>
        <v>1.2372679676344598</v>
      </c>
      <c r="M43" s="646">
        <f>M37/M34/4</f>
        <v>1.3503070624360287</v>
      </c>
      <c r="N43" s="646">
        <f>N37/N34/4</f>
        <v>1.1898320895522387</v>
      </c>
      <c r="O43" s="646">
        <f>O37/O34/4</f>
        <v>1.2314553990610329</v>
      </c>
      <c r="P43" s="646">
        <f>P37/P34/4</f>
        <v>1.1668096054888508</v>
      </c>
      <c r="Q43" s="645">
        <f>Q37/Q34</f>
        <v>1.2714953271028038</v>
      </c>
      <c r="R43" s="646">
        <f>R37/R34/4</f>
        <v>1.3415391969407267</v>
      </c>
      <c r="S43" s="646">
        <f>S37/S34/4</f>
        <v>1.354093309859155</v>
      </c>
      <c r="T43" s="646">
        <f>T37/T34/4</f>
        <v>1.33994708994709</v>
      </c>
      <c r="U43" s="646">
        <f>U37/U34/4</f>
        <v>1.1692338072669826</v>
      </c>
      <c r="V43" s="645">
        <f>V37/V34</f>
        <v>1.2922304670449585</v>
      </c>
      <c r="W43" s="646">
        <f>W37/W34/4</f>
        <v>1.3150684931506849</v>
      </c>
      <c r="X43" s="646">
        <f>X37/X34/4</f>
        <v>1.2385129490392648</v>
      </c>
      <c r="Y43" s="646">
        <f>Y37/Y34/4</f>
        <v>1.1702342487883683</v>
      </c>
      <c r="Z43" s="646">
        <f>Z37/Z34/4</f>
        <v>1.1501923076923077</v>
      </c>
      <c r="AA43" s="645">
        <f>AA37/AA34</f>
        <v>1.2383022774327122</v>
      </c>
      <c r="AB43" s="646">
        <f>AB37/AB34/4</f>
        <v>1.2494071146245058</v>
      </c>
      <c r="AC43" s="646">
        <f>AC37/AC34/4</f>
        <v>1.1290922619047619</v>
      </c>
      <c r="AD43" s="646">
        <f>AD37/AD34/4</f>
        <v>1.1517241379310346</v>
      </c>
      <c r="AE43" s="646">
        <f>AE37/AE34/4</f>
        <v>1.093214019388516</v>
      </c>
      <c r="AF43" s="645">
        <f>AF37/AF34</f>
        <v>1.0695218539161044</v>
      </c>
      <c r="AG43" s="646">
        <f>AG37/AG34/4</f>
        <v>1.1910581683168318</v>
      </c>
      <c r="AH43" s="646">
        <f>AH37/AH34/4</f>
        <v>1.0966939730836747</v>
      </c>
      <c r="AI43" s="646">
        <f>AI37/AI34/4</f>
        <v>1.1227651966626937</v>
      </c>
      <c r="AJ43" s="646">
        <f>AJ37/AJ34/4</f>
        <v>1.0219780219780219</v>
      </c>
      <c r="AK43" s="645">
        <f>AK37/AK34</f>
        <v>1.0904294298695589</v>
      </c>
      <c r="AL43" s="647">
        <f>AL37/AL34/4</f>
        <v>1.1287926675094817</v>
      </c>
      <c r="AM43" s="646">
        <f>AM37/AM34/4</f>
        <v>1.0915123456790123</v>
      </c>
      <c r="AN43" s="646">
        <f>AN37/AN34/4</f>
        <v>1.149582262210797</v>
      </c>
      <c r="AO43" s="646">
        <f>AO37/AO34/4</f>
        <v>1.2013329200247984</v>
      </c>
      <c r="AP43" s="645">
        <f>AP37/AP34</f>
        <v>1.2166064981949458</v>
      </c>
      <c r="AQ43" s="647">
        <f>AQ37/AQ34/4</f>
        <v>1.3127682403433476</v>
      </c>
      <c r="AR43" s="646">
        <f>AR37/AR34/4</f>
        <v>1.2370431893687708</v>
      </c>
      <c r="AS43" s="646">
        <f>AS37/AS34/4</f>
        <v>1.2506626905235254</v>
      </c>
      <c r="AT43" s="646">
        <f>AT37/AT34/4</f>
        <v>1.0436746987951808</v>
      </c>
      <c r="AU43" s="645">
        <f>AU37/AU34</f>
        <v>1.1413043478260869</v>
      </c>
      <c r="AV43" s="647"/>
      <c r="AW43" s="646"/>
      <c r="AX43" s="646"/>
      <c r="AY43" s="646"/>
      <c r="AZ43" s="645">
        <f>AZ37/AZ34</f>
        <v>1.1407407407407408</v>
      </c>
      <c r="BA43" s="647"/>
      <c r="BB43" s="646"/>
      <c r="BC43" s="646"/>
      <c r="BD43" s="646"/>
      <c r="BE43" s="645">
        <f>BE37/BE34</f>
        <v>1.0885093167701863</v>
      </c>
      <c r="BF43" s="647">
        <f>BF37/BF34/4</f>
        <v>1.2365051903114186</v>
      </c>
      <c r="BG43" s="646">
        <f>BG37/BG34/4</f>
        <v>1.2729476405946993</v>
      </c>
      <c r="BH43" s="646">
        <f>BH37/BH34/4</f>
        <v>1.3262578616352201</v>
      </c>
      <c r="BI43" s="646">
        <f>BI37/BI34/4</f>
        <v>1.3658008658008658</v>
      </c>
      <c r="BJ43" s="645">
        <f>BJ37/BJ34</f>
        <v>1.4250685594450718</v>
      </c>
      <c r="BK43" s="647">
        <f>BK37/BK34/4</f>
        <v>1.4175241157556271</v>
      </c>
      <c r="BL43" s="646">
        <f>BL37/BL34/4</f>
        <v>1.3056592039800996</v>
      </c>
      <c r="BM43" s="646">
        <f>BM37/BM34/4</f>
        <v>1.3816530995616783</v>
      </c>
      <c r="BN43" s="646">
        <f>BN37/BN34/4</f>
        <v>1.289071856287425</v>
      </c>
      <c r="BO43" s="645">
        <f>BO37/BO34</f>
        <v>1.3391912908242614</v>
      </c>
      <c r="BP43" s="645"/>
      <c r="BQ43" s="648"/>
      <c r="BR43" s="646"/>
      <c r="BS43" s="646"/>
      <c r="BT43" s="646"/>
      <c r="BU43" s="648"/>
      <c r="BV43" s="648"/>
      <c r="BW43" s="646"/>
      <c r="BX43" s="646"/>
      <c r="BY43" s="646"/>
      <c r="BZ43" s="648"/>
      <c r="CA43" s="648"/>
      <c r="CB43" s="646"/>
      <c r="CC43" s="646"/>
      <c r="CD43" s="646"/>
      <c r="CE43" s="648"/>
      <c r="CF43" s="648"/>
      <c r="CG43" s="646"/>
      <c r="CH43" s="646"/>
      <c r="CI43" s="646"/>
      <c r="CJ43" s="648"/>
      <c r="CK43" s="650"/>
      <c r="CL43" s="744"/>
      <c r="CM43" s="744"/>
      <c r="CN43" s="976"/>
      <c r="CO43" s="744"/>
      <c r="CP43" s="744"/>
      <c r="CQ43" s="744"/>
      <c r="CR43" s="744"/>
      <c r="CS43" s="744"/>
      <c r="CT43" s="651"/>
      <c r="CX43"/>
      <c r="CY43"/>
      <c r="CZ43"/>
      <c r="DA43"/>
      <c r="DB43"/>
      <c r="DC43"/>
    </row>
    <row r="44" spans="1:107" s="204" customFormat="1" hidden="1" outlineLevel="1">
      <c r="A44" s="127" t="s">
        <v>202</v>
      </c>
      <c r="B44" s="128">
        <v>2865</v>
      </c>
      <c r="C44" s="128">
        <v>3091</v>
      </c>
      <c r="D44" s="128">
        <v>2809</v>
      </c>
      <c r="E44" s="128">
        <v>3050</v>
      </c>
      <c r="F44" s="128">
        <v>3205</v>
      </c>
      <c r="G44" s="128">
        <v>3561</v>
      </c>
      <c r="H44" s="132">
        <v>929</v>
      </c>
      <c r="I44" s="132">
        <v>1052</v>
      </c>
      <c r="J44" s="132">
        <v>1036</v>
      </c>
      <c r="K44" s="129">
        <v>1147</v>
      </c>
      <c r="L44" s="128">
        <v>4164</v>
      </c>
      <c r="M44" s="129">
        <v>1067</v>
      </c>
      <c r="N44" s="132">
        <v>1173</v>
      </c>
      <c r="O44" s="132">
        <v>1145</v>
      </c>
      <c r="P44" s="129">
        <v>1125</v>
      </c>
      <c r="Q44" s="128">
        <v>4510</v>
      </c>
      <c r="R44" s="129">
        <v>1154</v>
      </c>
      <c r="S44" s="132">
        <v>1197</v>
      </c>
      <c r="T44" s="132">
        <v>1212</v>
      </c>
      <c r="U44" s="129">
        <v>1259</v>
      </c>
      <c r="V44" s="128">
        <f>SUM(R44:U44)</f>
        <v>4822</v>
      </c>
      <c r="W44" s="129">
        <v>1176</v>
      </c>
      <c r="X44" s="132">
        <v>1205</v>
      </c>
      <c r="Y44" s="132">
        <v>1227</v>
      </c>
      <c r="Z44" s="129">
        <v>1310</v>
      </c>
      <c r="AA44" s="128">
        <f>SUM(W44:Z44)</f>
        <v>4918</v>
      </c>
      <c r="AB44" s="129">
        <v>1121</v>
      </c>
      <c r="AC44" s="132">
        <v>1135</v>
      </c>
      <c r="AD44" s="132">
        <v>1104</v>
      </c>
      <c r="AE44" s="129">
        <v>1137</v>
      </c>
      <c r="AF44" s="128">
        <f>SUM(AB44:AE44)</f>
        <v>4497</v>
      </c>
      <c r="AG44" s="132">
        <v>1000</v>
      </c>
      <c r="AH44" s="132">
        <v>962</v>
      </c>
      <c r="AI44" s="132">
        <v>963</v>
      </c>
      <c r="AJ44" s="129">
        <f>AK44-SUM(AG44:AI44)</f>
        <v>1133</v>
      </c>
      <c r="AK44" s="128">
        <v>4058</v>
      </c>
      <c r="AL44" s="132">
        <v>931</v>
      </c>
      <c r="AM44" s="132"/>
      <c r="AN44" s="132"/>
      <c r="AO44" s="129"/>
      <c r="AP44" s="128"/>
      <c r="AQ44" s="132"/>
      <c r="AR44" s="132"/>
      <c r="AS44" s="132"/>
      <c r="AT44" s="129"/>
      <c r="AU44" s="128"/>
      <c r="AV44" s="132"/>
      <c r="AW44" s="132"/>
      <c r="AX44" s="132"/>
      <c r="AY44" s="129"/>
      <c r="AZ44" s="128"/>
      <c r="BA44" s="132"/>
      <c r="BB44" s="132"/>
      <c r="BC44" s="132"/>
      <c r="BD44" s="129"/>
      <c r="BE44" s="128"/>
      <c r="BF44" s="130"/>
      <c r="BG44" s="129"/>
      <c r="BH44" s="129"/>
      <c r="BI44" s="131"/>
      <c r="BJ44" s="128"/>
      <c r="BK44" s="130"/>
      <c r="BL44" s="129"/>
      <c r="BM44" s="129"/>
      <c r="BN44" s="131"/>
      <c r="BO44" s="128"/>
      <c r="BP44" s="128"/>
      <c r="BQ44" s="130"/>
      <c r="BR44" s="129"/>
      <c r="BS44" s="129"/>
      <c r="BT44" s="131"/>
      <c r="BU44" s="128"/>
      <c r="BV44" s="130"/>
      <c r="BW44" s="129"/>
      <c r="BX44" s="129"/>
      <c r="BY44" s="131"/>
      <c r="BZ44" s="128"/>
      <c r="CA44" s="130"/>
      <c r="CB44" s="129"/>
      <c r="CC44" s="129"/>
      <c r="CD44" s="131"/>
      <c r="CE44" s="128"/>
      <c r="CF44" s="130"/>
      <c r="CG44" s="129"/>
      <c r="CH44" s="129"/>
      <c r="CI44" s="131"/>
      <c r="CJ44" s="128"/>
      <c r="CK44" s="296"/>
      <c r="CL44" s="957"/>
      <c r="CM44" s="657"/>
      <c r="CN44" s="682"/>
      <c r="CO44" s="657"/>
      <c r="CP44" s="657"/>
      <c r="CQ44" s="657"/>
      <c r="CR44" s="657"/>
      <c r="CS44" s="657"/>
      <c r="CT44" s="296"/>
      <c r="CX44"/>
      <c r="CY44"/>
      <c r="CZ44"/>
      <c r="DA44"/>
      <c r="DB44"/>
      <c r="DC44"/>
    </row>
    <row r="45" spans="1:107" hidden="1" outlineLevel="1">
      <c r="A45" s="62" t="s">
        <v>137</v>
      </c>
      <c r="B45" s="70"/>
      <c r="C45" s="70">
        <f>C44/B44-1</f>
        <v>7.8883071553228712E-2</v>
      </c>
      <c r="D45" s="70">
        <f>D44/C44-1</f>
        <v>-9.1232610805564551E-2</v>
      </c>
      <c r="E45" s="70">
        <f>E44/D44-1</f>
        <v>8.5795656817372778E-2</v>
      </c>
      <c r="F45" s="70">
        <f>F44/E44-1</f>
        <v>5.0819672131147575E-2</v>
      </c>
      <c r="G45" s="70">
        <f>G44/F44-1</f>
        <v>0.11107644305772224</v>
      </c>
      <c r="H45" s="118"/>
      <c r="I45" s="64"/>
      <c r="J45" s="64"/>
      <c r="K45" s="64"/>
      <c r="L45" s="70">
        <f t="shared" ref="L45:AL45" si="112">L44/G44-1</f>
        <v>0.16933445661331081</v>
      </c>
      <c r="M45" s="64">
        <f t="shared" si="112"/>
        <v>0.14854682454251877</v>
      </c>
      <c r="N45" s="64">
        <f t="shared" si="112"/>
        <v>0.11501901140684412</v>
      </c>
      <c r="O45" s="64">
        <f t="shared" si="112"/>
        <v>0.10521235521235517</v>
      </c>
      <c r="P45" s="64">
        <f t="shared" si="112"/>
        <v>-1.9180470793374038E-2</v>
      </c>
      <c r="Q45" s="70">
        <f t="shared" si="112"/>
        <v>8.3093179634966319E-2</v>
      </c>
      <c r="R45" s="64">
        <f t="shared" si="112"/>
        <v>8.1537019681349632E-2</v>
      </c>
      <c r="S45" s="64">
        <f t="shared" si="112"/>
        <v>2.0460358056265893E-2</v>
      </c>
      <c r="T45" s="64">
        <f t="shared" si="112"/>
        <v>5.8515283842794696E-2</v>
      </c>
      <c r="U45" s="64">
        <f t="shared" si="112"/>
        <v>0.11911111111111117</v>
      </c>
      <c r="V45" s="70">
        <f t="shared" si="112"/>
        <v>6.917960088691788E-2</v>
      </c>
      <c r="W45" s="64">
        <f t="shared" si="112"/>
        <v>1.906412478336228E-2</v>
      </c>
      <c r="X45" s="64">
        <f t="shared" si="112"/>
        <v>6.6833751044277356E-3</v>
      </c>
      <c r="Y45" s="64">
        <f t="shared" si="112"/>
        <v>1.2376237623762387E-2</v>
      </c>
      <c r="Z45" s="64">
        <f t="shared" si="112"/>
        <v>4.0508339952343153E-2</v>
      </c>
      <c r="AA45" s="70">
        <f t="shared" si="112"/>
        <v>1.9908751555371307E-2</v>
      </c>
      <c r="AB45" s="64">
        <f t="shared" si="112"/>
        <v>-4.6768707482993221E-2</v>
      </c>
      <c r="AC45" s="64">
        <f t="shared" si="112"/>
        <v>-5.8091286307053958E-2</v>
      </c>
      <c r="AD45" s="64">
        <f t="shared" si="112"/>
        <v>-0.10024449877750607</v>
      </c>
      <c r="AE45" s="64">
        <f t="shared" si="112"/>
        <v>-0.13206106870229006</v>
      </c>
      <c r="AF45" s="70">
        <f t="shared" si="112"/>
        <v>-8.56039040260268E-2</v>
      </c>
      <c r="AG45" s="64">
        <f t="shared" si="112"/>
        <v>-0.10793933987511151</v>
      </c>
      <c r="AH45" s="64">
        <f t="shared" si="112"/>
        <v>-0.15242290748898679</v>
      </c>
      <c r="AI45" s="64">
        <f t="shared" si="112"/>
        <v>-0.12771739130434778</v>
      </c>
      <c r="AJ45" s="64">
        <f t="shared" si="112"/>
        <v>-3.5180299032542273E-3</v>
      </c>
      <c r="AK45" s="70">
        <f t="shared" si="112"/>
        <v>-9.7620635979541959E-2</v>
      </c>
      <c r="AL45" s="64">
        <f t="shared" si="112"/>
        <v>-6.899999999999995E-2</v>
      </c>
      <c r="AM45" s="64"/>
      <c r="AN45" s="64"/>
      <c r="AO45" s="64"/>
      <c r="AP45" s="70"/>
      <c r="AQ45" s="64"/>
      <c r="AR45" s="64"/>
      <c r="AS45" s="64"/>
      <c r="AT45" s="64"/>
      <c r="AU45" s="70"/>
      <c r="AV45" s="64"/>
      <c r="AW45" s="64"/>
      <c r="AX45" s="64"/>
      <c r="AY45" s="64"/>
      <c r="AZ45" s="70"/>
      <c r="BA45" s="64"/>
      <c r="BB45" s="64"/>
      <c r="BC45" s="64"/>
      <c r="BD45" s="64"/>
      <c r="BE45" s="70"/>
      <c r="BF45" s="121"/>
      <c r="BG45" s="64"/>
      <c r="BH45" s="64"/>
      <c r="BI45" s="122"/>
      <c r="BJ45" s="70"/>
      <c r="BK45" s="121"/>
      <c r="BL45" s="64"/>
      <c r="BM45" s="64"/>
      <c r="BN45" s="122"/>
      <c r="BO45" s="70"/>
      <c r="BP45" s="70"/>
      <c r="BQ45" s="121"/>
      <c r="BR45" s="64"/>
      <c r="BS45" s="64"/>
      <c r="BT45" s="122"/>
      <c r="BU45" s="70"/>
      <c r="BV45" s="121"/>
      <c r="BW45" s="64"/>
      <c r="BX45" s="64"/>
      <c r="BY45" s="122"/>
      <c r="BZ45" s="70"/>
      <c r="CA45" s="121"/>
      <c r="CB45" s="64"/>
      <c r="CC45" s="64"/>
      <c r="CD45" s="122"/>
      <c r="CE45" s="70"/>
      <c r="CF45" s="121"/>
      <c r="CG45" s="64"/>
      <c r="CH45" s="64"/>
      <c r="CI45" s="122"/>
      <c r="CJ45" s="70"/>
      <c r="CK45" s="289"/>
      <c r="CL45" s="658"/>
      <c r="CM45" s="658"/>
      <c r="CN45" s="682"/>
      <c r="CO45" s="658"/>
      <c r="CP45" s="658"/>
      <c r="CQ45" s="658"/>
      <c r="CR45" s="658"/>
      <c r="CS45" s="658"/>
      <c r="CT45" s="289"/>
    </row>
    <row r="46" spans="1:107" hidden="1" outlineLevel="1">
      <c r="A46" s="62" t="s">
        <v>16</v>
      </c>
      <c r="B46" s="70">
        <f t="shared" ref="B46:AL46" si="113">B44/B$77</f>
        <v>0.17887244802397453</v>
      </c>
      <c r="C46" s="70">
        <f t="shared" si="113"/>
        <v>0.1844272076372315</v>
      </c>
      <c r="D46" s="70">
        <f t="shared" si="113"/>
        <v>0.15511624054337622</v>
      </c>
      <c r="E46" s="70">
        <f t="shared" si="113"/>
        <v>0.17110799438990182</v>
      </c>
      <c r="F46" s="70">
        <f t="shared" si="113"/>
        <v>0.1733275647612352</v>
      </c>
      <c r="G46" s="70">
        <f t="shared" si="113"/>
        <v>0.18069721418785203</v>
      </c>
      <c r="H46" s="118">
        <f t="shared" si="113"/>
        <v>0.1933805162364696</v>
      </c>
      <c r="I46" s="64">
        <f t="shared" si="113"/>
        <v>0.1993179234558545</v>
      </c>
      <c r="J46" s="64">
        <f t="shared" si="113"/>
        <v>0.19850546081624831</v>
      </c>
      <c r="K46" s="64">
        <f t="shared" si="113"/>
        <v>0.19116666666666668</v>
      </c>
      <c r="L46" s="70">
        <f t="shared" si="113"/>
        <v>0.19548378010422046</v>
      </c>
      <c r="M46" s="64">
        <f t="shared" si="113"/>
        <v>0.19929025028016437</v>
      </c>
      <c r="N46" s="64">
        <f t="shared" si="113"/>
        <v>0.19982964224872232</v>
      </c>
      <c r="O46" s="64">
        <f t="shared" si="113"/>
        <v>0.19525920873124147</v>
      </c>
      <c r="P46" s="64">
        <f t="shared" si="113"/>
        <v>0.18485047650345054</v>
      </c>
      <c r="Q46" s="70">
        <f t="shared" si="113"/>
        <v>0.19461465435401742</v>
      </c>
      <c r="R46" s="64">
        <f t="shared" si="113"/>
        <v>0.19612508497620665</v>
      </c>
      <c r="S46" s="64">
        <f t="shared" si="113"/>
        <v>0.19542857142857142</v>
      </c>
      <c r="T46" s="64">
        <f t="shared" si="113"/>
        <v>0.19532634971796939</v>
      </c>
      <c r="U46" s="64">
        <f t="shared" si="113"/>
        <v>0.18884055797210139</v>
      </c>
      <c r="V46" s="70">
        <f t="shared" si="113"/>
        <v>0.19380249989952172</v>
      </c>
      <c r="W46" s="64">
        <f t="shared" si="113"/>
        <v>0.19428382620188336</v>
      </c>
      <c r="X46" s="64">
        <f t="shared" si="113"/>
        <v>0.20174116859199731</v>
      </c>
      <c r="Y46" s="64">
        <f t="shared" si="113"/>
        <v>0.19563137755102042</v>
      </c>
      <c r="Z46" s="64">
        <f t="shared" si="113"/>
        <v>0.19026870007262164</v>
      </c>
      <c r="AA46" s="70">
        <f t="shared" si="113"/>
        <v>0.1952904737322797</v>
      </c>
      <c r="AB46" s="64">
        <f t="shared" si="113"/>
        <v>0.18522802379378717</v>
      </c>
      <c r="AC46" s="64">
        <f t="shared" si="113"/>
        <v>0.18303499435574908</v>
      </c>
      <c r="AD46" s="64">
        <f t="shared" si="113"/>
        <v>0.18051013734466972</v>
      </c>
      <c r="AE46" s="64">
        <f t="shared" si="113"/>
        <v>0.17704764870756773</v>
      </c>
      <c r="AF46" s="70">
        <f t="shared" si="113"/>
        <v>0.1813964745270461</v>
      </c>
      <c r="AG46" s="64">
        <f t="shared" si="113"/>
        <v>0.16840687100033683</v>
      </c>
      <c r="AH46" s="64">
        <f t="shared" si="113"/>
        <v>0.16054739652870495</v>
      </c>
      <c r="AI46" s="64">
        <f t="shared" si="113"/>
        <v>0.15930521091811414</v>
      </c>
      <c r="AJ46" s="64">
        <f t="shared" si="113"/>
        <v>0.17595899984469637</v>
      </c>
      <c r="AK46" s="70">
        <f t="shared" si="113"/>
        <v>0.1662161055132301</v>
      </c>
      <c r="AL46" s="64">
        <f t="shared" si="113"/>
        <v>0.15836026535125022</v>
      </c>
      <c r="AM46" s="64"/>
      <c r="AN46" s="64"/>
      <c r="AO46" s="64"/>
      <c r="AP46" s="70"/>
      <c r="AQ46" s="64"/>
      <c r="AR46" s="64"/>
      <c r="AS46" s="64"/>
      <c r="AT46" s="64"/>
      <c r="AU46" s="70"/>
      <c r="AV46" s="64"/>
      <c r="AW46" s="64"/>
      <c r="AX46" s="64"/>
      <c r="AY46" s="64"/>
      <c r="AZ46" s="70"/>
      <c r="BA46" s="64"/>
      <c r="BB46" s="64"/>
      <c r="BC46" s="64"/>
      <c r="BD46" s="64"/>
      <c r="BE46" s="70"/>
      <c r="BF46" s="240"/>
      <c r="BG46" s="238"/>
      <c r="BH46" s="238"/>
      <c r="BI46" s="241"/>
      <c r="BJ46" s="70"/>
      <c r="BK46" s="240"/>
      <c r="BL46" s="238"/>
      <c r="BM46" s="238"/>
      <c r="BN46" s="241"/>
      <c r="BO46" s="70"/>
      <c r="BP46" s="70"/>
      <c r="BQ46" s="240"/>
      <c r="BR46" s="238"/>
      <c r="BS46" s="238"/>
      <c r="BT46" s="241"/>
      <c r="BU46" s="70"/>
      <c r="BV46" s="240"/>
      <c r="BW46" s="238"/>
      <c r="BX46" s="238"/>
      <c r="BY46" s="241"/>
      <c r="BZ46" s="70"/>
      <c r="CA46" s="240"/>
      <c r="CB46" s="238"/>
      <c r="CC46" s="238"/>
      <c r="CD46" s="241"/>
      <c r="CE46" s="70"/>
      <c r="CF46" s="240"/>
      <c r="CG46" s="238"/>
      <c r="CH46" s="238"/>
      <c r="CI46" s="241"/>
      <c r="CJ46" s="70"/>
      <c r="CK46" s="289"/>
      <c r="CL46" s="658"/>
      <c r="CM46" s="658"/>
      <c r="CN46" s="682"/>
      <c r="CO46" s="658"/>
      <c r="CP46" s="658"/>
      <c r="CQ46" s="658"/>
      <c r="CR46" s="658"/>
      <c r="CS46" s="658"/>
      <c r="CT46" s="289"/>
    </row>
    <row r="47" spans="1:107" s="180" customFormat="1" ht="12" hidden="1" customHeight="1" outlineLevel="1">
      <c r="A47" s="376" t="s">
        <v>20</v>
      </c>
      <c r="B47" s="372">
        <v>3208</v>
      </c>
      <c r="C47" s="372">
        <v>2853</v>
      </c>
      <c r="D47" s="372">
        <v>3167</v>
      </c>
      <c r="E47" s="372">
        <v>3587</v>
      </c>
      <c r="F47" s="372">
        <v>4307</v>
      </c>
      <c r="G47" s="372">
        <v>5059</v>
      </c>
      <c r="H47" s="373">
        <v>5146</v>
      </c>
      <c r="I47" s="373">
        <v>5328</v>
      </c>
      <c r="J47" s="373">
        <v>5407</v>
      </c>
      <c r="K47" s="373">
        <f>L47</f>
        <v>5102</v>
      </c>
      <c r="L47" s="372">
        <v>5102</v>
      </c>
      <c r="M47" s="373">
        <v>5696</v>
      </c>
      <c r="N47" s="373">
        <v>5479</v>
      </c>
      <c r="O47" s="373">
        <v>5498</v>
      </c>
      <c r="P47" s="373">
        <f>Q47</f>
        <v>5733</v>
      </c>
      <c r="Q47" s="372">
        <v>5733</v>
      </c>
      <c r="R47" s="373">
        <v>5850</v>
      </c>
      <c r="S47" s="373">
        <v>5558</v>
      </c>
      <c r="T47" s="373">
        <v>5123</v>
      </c>
      <c r="U47" s="373">
        <f>V47</f>
        <v>5501</v>
      </c>
      <c r="V47" s="372">
        <v>5501</v>
      </c>
      <c r="W47" s="373">
        <v>5301</v>
      </c>
      <c r="X47" s="373">
        <v>5143</v>
      </c>
      <c r="Y47" s="373">
        <v>4805</v>
      </c>
      <c r="Z47" s="373">
        <f>+AA47</f>
        <v>4912</v>
      </c>
      <c r="AA47" s="372">
        <v>4912</v>
      </c>
      <c r="AB47" s="373">
        <v>4729</v>
      </c>
      <c r="AC47" s="373">
        <v>4366</v>
      </c>
      <c r="AD47" s="373">
        <v>4512</v>
      </c>
      <c r="AE47" s="373">
        <v>4160</v>
      </c>
      <c r="AF47" s="372">
        <f>AE47</f>
        <v>4160</v>
      </c>
      <c r="AG47" s="373">
        <v>3772</v>
      </c>
      <c r="AH47" s="373">
        <v>3819</v>
      </c>
      <c r="AI47" s="373">
        <v>3941</v>
      </c>
      <c r="AJ47" s="373">
        <f>AK47</f>
        <v>4364</v>
      </c>
      <c r="AK47" s="372">
        <v>4364</v>
      </c>
      <c r="AL47" s="373">
        <v>4081</v>
      </c>
      <c r="AM47" s="373"/>
      <c r="AN47" s="373"/>
      <c r="AO47" s="373"/>
      <c r="AP47" s="372"/>
      <c r="AQ47" s="373"/>
      <c r="AR47" s="373"/>
      <c r="AS47" s="373"/>
      <c r="AT47" s="373"/>
      <c r="AU47" s="372"/>
      <c r="AV47" s="373"/>
      <c r="AW47" s="373"/>
      <c r="AX47" s="373"/>
      <c r="AY47" s="373"/>
      <c r="AZ47" s="372"/>
      <c r="BA47" s="373"/>
      <c r="BB47" s="373"/>
      <c r="BC47" s="373"/>
      <c r="BD47" s="373"/>
      <c r="BE47" s="372"/>
      <c r="BF47" s="374"/>
      <c r="BG47" s="373"/>
      <c r="BH47" s="373"/>
      <c r="BI47" s="375"/>
      <c r="BJ47" s="372"/>
      <c r="BK47" s="374"/>
      <c r="BL47" s="373"/>
      <c r="BM47" s="373"/>
      <c r="BN47" s="375"/>
      <c r="BO47" s="372"/>
      <c r="BP47" s="372"/>
      <c r="BQ47" s="374"/>
      <c r="BR47" s="373"/>
      <c r="BS47" s="373"/>
      <c r="BT47" s="375"/>
      <c r="BU47" s="372"/>
      <c r="BV47" s="374"/>
      <c r="BW47" s="373"/>
      <c r="BX47" s="373"/>
      <c r="BY47" s="375"/>
      <c r="BZ47" s="372"/>
      <c r="CA47" s="374"/>
      <c r="CB47" s="373"/>
      <c r="CC47" s="373"/>
      <c r="CD47" s="375"/>
      <c r="CE47" s="372"/>
      <c r="CF47" s="374"/>
      <c r="CG47" s="373"/>
      <c r="CH47" s="373"/>
      <c r="CI47" s="375"/>
      <c r="CJ47" s="372"/>
      <c r="CK47" s="291"/>
      <c r="CL47" s="657"/>
      <c r="CM47" s="657"/>
      <c r="CN47" s="682"/>
      <c r="CO47" s="657"/>
      <c r="CP47" s="657"/>
      <c r="CQ47" s="657"/>
      <c r="CR47" s="657"/>
      <c r="CS47" s="657"/>
      <c r="CT47" s="291"/>
      <c r="CX47"/>
      <c r="CY47"/>
      <c r="CZ47"/>
      <c r="DA47"/>
      <c r="DB47"/>
      <c r="DC47"/>
    </row>
    <row r="48" spans="1:107" hidden="1" outlineLevel="1">
      <c r="A48" s="377" t="s">
        <v>137</v>
      </c>
      <c r="B48" s="70"/>
      <c r="C48" s="70">
        <f>C47/B47-1</f>
        <v>-0.11066084788029928</v>
      </c>
      <c r="D48" s="70">
        <f>D47/C47-1</f>
        <v>0.11005958640028046</v>
      </c>
      <c r="E48" s="70">
        <f>E47/D47-1</f>
        <v>0.1326176191979791</v>
      </c>
      <c r="F48" s="70">
        <f>F47/E47-1</f>
        <v>0.20072483969891275</v>
      </c>
      <c r="G48" s="70">
        <f>G47/F47-1</f>
        <v>0.174599489203622</v>
      </c>
      <c r="H48" s="118"/>
      <c r="I48" s="64"/>
      <c r="J48" s="64"/>
      <c r="K48" s="64"/>
      <c r="L48" s="70">
        <f t="shared" ref="L48:AL48" si="114">L47/G47-1</f>
        <v>8.4997034987150943E-3</v>
      </c>
      <c r="M48" s="64">
        <f t="shared" si="114"/>
        <v>0.10687912942090949</v>
      </c>
      <c r="N48" s="64">
        <f t="shared" si="114"/>
        <v>2.8340840840840764E-2</v>
      </c>
      <c r="O48" s="64">
        <f t="shared" si="114"/>
        <v>1.683003513963377E-2</v>
      </c>
      <c r="P48" s="64">
        <f t="shared" si="114"/>
        <v>0.12367698941591532</v>
      </c>
      <c r="Q48" s="70">
        <f t="shared" si="114"/>
        <v>0.12367698941591532</v>
      </c>
      <c r="R48" s="64">
        <f t="shared" si="114"/>
        <v>2.7036516853932602E-2</v>
      </c>
      <c r="S48" s="64">
        <f t="shared" si="114"/>
        <v>1.4418689541887186E-2</v>
      </c>
      <c r="T48" s="64">
        <f t="shared" si="114"/>
        <v>-6.8206620589305156E-2</v>
      </c>
      <c r="U48" s="64">
        <f t="shared" si="114"/>
        <v>-4.0467469038897641E-2</v>
      </c>
      <c r="V48" s="70">
        <f t="shared" si="114"/>
        <v>-4.0467469038897641E-2</v>
      </c>
      <c r="W48" s="64">
        <f t="shared" si="114"/>
        <v>-9.3846153846153801E-2</v>
      </c>
      <c r="X48" s="64">
        <f t="shared" si="114"/>
        <v>-7.4667146455559608E-2</v>
      </c>
      <c r="Y48" s="64">
        <f t="shared" si="114"/>
        <v>-6.2073004099160611E-2</v>
      </c>
      <c r="Z48" s="64">
        <f t="shared" si="114"/>
        <v>-0.10707144155608073</v>
      </c>
      <c r="AA48" s="70">
        <f t="shared" si="114"/>
        <v>-0.10707144155608073</v>
      </c>
      <c r="AB48" s="64">
        <f t="shared" si="114"/>
        <v>-0.10790416902471234</v>
      </c>
      <c r="AC48" s="64">
        <f t="shared" si="114"/>
        <v>-0.15107913669064743</v>
      </c>
      <c r="AD48" s="64">
        <f t="shared" si="114"/>
        <v>-6.0978147762747126E-2</v>
      </c>
      <c r="AE48" s="64">
        <f t="shared" si="114"/>
        <v>-0.15309446254071657</v>
      </c>
      <c r="AF48" s="70">
        <f t="shared" si="114"/>
        <v>-0.15309446254071657</v>
      </c>
      <c r="AG48" s="64">
        <f t="shared" si="114"/>
        <v>-0.20236836540494818</v>
      </c>
      <c r="AH48" s="64">
        <f t="shared" si="114"/>
        <v>-0.12528630325240497</v>
      </c>
      <c r="AI48" s="64">
        <f t="shared" si="114"/>
        <v>-0.12655141843971629</v>
      </c>
      <c r="AJ48" s="64">
        <f t="shared" si="114"/>
        <v>4.9038461538461586E-2</v>
      </c>
      <c r="AK48" s="70">
        <f>AK47/AF47-1</f>
        <v>4.9038461538461586E-2</v>
      </c>
      <c r="AL48" s="64">
        <f t="shared" si="114"/>
        <v>8.191940615058324E-2</v>
      </c>
      <c r="AM48" s="64"/>
      <c r="AN48" s="64"/>
      <c r="AO48" s="64"/>
      <c r="AP48" s="70"/>
      <c r="AQ48" s="64"/>
      <c r="AR48" s="64"/>
      <c r="AS48" s="64"/>
      <c r="AT48" s="64"/>
      <c r="AU48" s="70"/>
      <c r="AV48" s="64"/>
      <c r="AW48" s="64"/>
      <c r="AX48" s="64"/>
      <c r="AY48" s="64"/>
      <c r="AZ48" s="70"/>
      <c r="BA48" s="64"/>
      <c r="BB48" s="64"/>
      <c r="BC48" s="64"/>
      <c r="BD48" s="64"/>
      <c r="BE48" s="70"/>
      <c r="BF48" s="121"/>
      <c r="BG48" s="64"/>
      <c r="BH48" s="64"/>
      <c r="BI48" s="122"/>
      <c r="BJ48" s="70"/>
      <c r="BK48" s="121"/>
      <c r="BL48" s="64"/>
      <c r="BM48" s="64"/>
      <c r="BN48" s="122"/>
      <c r="BO48" s="70"/>
      <c r="BP48" s="70"/>
      <c r="BQ48" s="121"/>
      <c r="BR48" s="64"/>
      <c r="BS48" s="64"/>
      <c r="BT48" s="122"/>
      <c r="BU48" s="70"/>
      <c r="BV48" s="121"/>
      <c r="BW48" s="64"/>
      <c r="BX48" s="64"/>
      <c r="BY48" s="122"/>
      <c r="BZ48" s="70"/>
      <c r="CA48" s="121"/>
      <c r="CB48" s="64"/>
      <c r="CC48" s="64"/>
      <c r="CD48" s="122"/>
      <c r="CE48" s="70"/>
      <c r="CF48" s="121"/>
      <c r="CG48" s="64"/>
      <c r="CH48" s="64"/>
      <c r="CI48" s="122"/>
      <c r="CJ48" s="70"/>
      <c r="CK48" s="289"/>
      <c r="CL48" s="658"/>
      <c r="CM48" s="658"/>
      <c r="CN48" s="682"/>
      <c r="CO48" s="658"/>
      <c r="CP48" s="658"/>
      <c r="CQ48" s="658"/>
      <c r="CR48" s="658"/>
      <c r="CS48" s="658"/>
      <c r="CT48" s="289"/>
    </row>
    <row r="49" spans="1:107" s="180" customFormat="1" ht="12" hidden="1" customHeight="1" outlineLevel="1">
      <c r="A49" s="385" t="s">
        <v>12</v>
      </c>
      <c r="B49" s="354"/>
      <c r="C49" s="354">
        <v>2293</v>
      </c>
      <c r="D49" s="354">
        <v>2396</v>
      </c>
      <c r="E49" s="354">
        <v>2623</v>
      </c>
      <c r="F49" s="354">
        <v>2839</v>
      </c>
      <c r="G49" s="354">
        <v>4037</v>
      </c>
      <c r="H49" s="357">
        <v>4041</v>
      </c>
      <c r="I49" s="357">
        <v>4031</v>
      </c>
      <c r="J49" s="357">
        <v>4094</v>
      </c>
      <c r="K49" s="358">
        <f>L49</f>
        <v>3957</v>
      </c>
      <c r="L49" s="354">
        <v>3957</v>
      </c>
      <c r="M49" s="358">
        <v>4547</v>
      </c>
      <c r="N49" s="357">
        <v>4244</v>
      </c>
      <c r="O49" s="357">
        <v>4045</v>
      </c>
      <c r="P49" s="358">
        <f>Q49</f>
        <v>4593</v>
      </c>
      <c r="Q49" s="354">
        <v>4593</v>
      </c>
      <c r="R49" s="358">
        <v>4816</v>
      </c>
      <c r="S49" s="358">
        <v>4504</v>
      </c>
      <c r="T49" s="357">
        <v>4068</v>
      </c>
      <c r="U49" s="358">
        <f>V49</f>
        <v>4389</v>
      </c>
      <c r="V49" s="354">
        <v>4389</v>
      </c>
      <c r="W49" s="358">
        <v>4388</v>
      </c>
      <c r="X49" s="358">
        <v>4221</v>
      </c>
      <c r="Y49" s="358">
        <v>3937</v>
      </c>
      <c r="Z49" s="358">
        <f>+AA49</f>
        <v>3740</v>
      </c>
      <c r="AA49" s="354">
        <v>3740</v>
      </c>
      <c r="AB49" s="358">
        <v>3650</v>
      </c>
      <c r="AC49" s="358">
        <v>3422</v>
      </c>
      <c r="AD49" s="358">
        <v>3760</v>
      </c>
      <c r="AE49" s="358">
        <v>3267</v>
      </c>
      <c r="AF49" s="134">
        <f>AE49</f>
        <v>3267</v>
      </c>
      <c r="AG49" s="358">
        <v>2957</v>
      </c>
      <c r="AH49" s="180">
        <v>2989</v>
      </c>
      <c r="AI49" s="358">
        <v>3159</v>
      </c>
      <c r="AJ49" s="358">
        <f>AK49</f>
        <v>3583</v>
      </c>
      <c r="AK49" s="134">
        <v>3583</v>
      </c>
      <c r="AL49" s="358">
        <v>3226</v>
      </c>
      <c r="AM49" s="358"/>
      <c r="AN49" s="358"/>
      <c r="AO49" s="358"/>
      <c r="AP49" s="354"/>
      <c r="AQ49" s="358"/>
      <c r="AR49" s="358"/>
      <c r="AS49" s="358"/>
      <c r="AT49" s="358"/>
      <c r="AU49" s="354"/>
      <c r="AV49" s="358"/>
      <c r="AW49" s="358"/>
      <c r="AX49" s="358"/>
      <c r="AY49" s="358"/>
      <c r="AZ49" s="354"/>
      <c r="BA49" s="358"/>
      <c r="BB49" s="358"/>
      <c r="BC49" s="358"/>
      <c r="BD49" s="358"/>
      <c r="BE49" s="354"/>
      <c r="BF49" s="355"/>
      <c r="BG49" s="181"/>
      <c r="BH49" s="181"/>
      <c r="BI49" s="356"/>
      <c r="BJ49" s="354"/>
      <c r="BK49" s="355"/>
      <c r="BL49" s="181"/>
      <c r="BM49" s="181"/>
      <c r="BN49" s="356"/>
      <c r="BO49" s="354"/>
      <c r="BP49" s="354"/>
      <c r="BQ49" s="355"/>
      <c r="BR49" s="181"/>
      <c r="BS49" s="181"/>
      <c r="BT49" s="356"/>
      <c r="BU49" s="354"/>
      <c r="BV49" s="355"/>
      <c r="BW49" s="181"/>
      <c r="BX49" s="181"/>
      <c r="BY49" s="356"/>
      <c r="BZ49" s="354"/>
      <c r="CA49" s="355"/>
      <c r="CB49" s="181"/>
      <c r="CC49" s="181"/>
      <c r="CD49" s="356"/>
      <c r="CE49" s="354"/>
      <c r="CF49" s="355"/>
      <c r="CG49" s="181"/>
      <c r="CH49" s="181"/>
      <c r="CI49" s="356"/>
      <c r="CJ49" s="354"/>
      <c r="CK49" s="291"/>
      <c r="CL49" s="657"/>
      <c r="CM49" s="657"/>
      <c r="CN49" s="682"/>
      <c r="CO49" s="657"/>
      <c r="CP49" s="657"/>
      <c r="CQ49" s="657"/>
      <c r="CR49" s="657"/>
      <c r="CS49" s="657"/>
      <c r="CT49" s="291"/>
      <c r="CX49"/>
      <c r="CY49"/>
      <c r="CZ49"/>
      <c r="DA49"/>
      <c r="DB49"/>
      <c r="DC49"/>
    </row>
    <row r="50" spans="1:107" ht="12" hidden="1" customHeight="1" outlineLevel="1">
      <c r="A50" s="385" t="s">
        <v>13</v>
      </c>
      <c r="B50" s="378"/>
      <c r="C50" s="378">
        <f t="shared" ref="C50:AF50" si="115">1-C49/C47</f>
        <v>0.19628461268839814</v>
      </c>
      <c r="D50" s="378">
        <f t="shared" si="115"/>
        <v>0.24344805809914749</v>
      </c>
      <c r="E50" s="378">
        <f t="shared" si="115"/>
        <v>0.26874825759687759</v>
      </c>
      <c r="F50" s="378">
        <f t="shared" si="115"/>
        <v>0.34084049222196422</v>
      </c>
      <c r="G50" s="378">
        <f t="shared" si="115"/>
        <v>0.20201620873690451</v>
      </c>
      <c r="H50" s="379">
        <f t="shared" si="115"/>
        <v>0.21472988729109987</v>
      </c>
      <c r="I50" s="379">
        <f t="shared" si="115"/>
        <v>0.24343093093093093</v>
      </c>
      <c r="J50" s="379">
        <f t="shared" si="115"/>
        <v>0.24283336415757351</v>
      </c>
      <c r="K50" s="380">
        <f t="shared" si="115"/>
        <v>0.22442179537436302</v>
      </c>
      <c r="L50" s="378">
        <f t="shared" si="115"/>
        <v>0.22442179537436302</v>
      </c>
      <c r="M50" s="380">
        <f t="shared" si="115"/>
        <v>0.2017205056179775</v>
      </c>
      <c r="N50" s="379">
        <f t="shared" si="115"/>
        <v>0.22540609600292028</v>
      </c>
      <c r="O50" s="379">
        <f t="shared" si="115"/>
        <v>0.26427791924336119</v>
      </c>
      <c r="P50" s="380">
        <f t="shared" si="115"/>
        <v>0.19884877027734171</v>
      </c>
      <c r="Q50" s="378">
        <f t="shared" si="115"/>
        <v>0.19884877027734171</v>
      </c>
      <c r="R50" s="380">
        <f t="shared" si="115"/>
        <v>0.17675213675213675</v>
      </c>
      <c r="S50" s="380">
        <f t="shared" si="115"/>
        <v>0.18963655991363804</v>
      </c>
      <c r="T50" s="379">
        <f t="shared" si="115"/>
        <v>0.20593402303337893</v>
      </c>
      <c r="U50" s="381">
        <f t="shared" si="115"/>
        <v>0.20214506453372116</v>
      </c>
      <c r="V50" s="378">
        <f t="shared" si="115"/>
        <v>0.20214506453372116</v>
      </c>
      <c r="W50" s="380">
        <f t="shared" si="115"/>
        <v>0.17223165440482924</v>
      </c>
      <c r="X50" s="380">
        <f t="shared" si="115"/>
        <v>0.17927279797783391</v>
      </c>
      <c r="Y50" s="382">
        <f t="shared" si="115"/>
        <v>0.1806451612903226</v>
      </c>
      <c r="Z50" s="382">
        <f t="shared" si="115"/>
        <v>0.23859934853420195</v>
      </c>
      <c r="AA50" s="378">
        <f t="shared" si="115"/>
        <v>0.23859934853420195</v>
      </c>
      <c r="AB50" s="380">
        <f t="shared" si="115"/>
        <v>0.22816663142313387</v>
      </c>
      <c r="AC50" s="380">
        <f t="shared" si="115"/>
        <v>0.21621621621621623</v>
      </c>
      <c r="AD50" s="380">
        <f t="shared" si="115"/>
        <v>0.16666666666666663</v>
      </c>
      <c r="AE50" s="380">
        <f t="shared" si="115"/>
        <v>0.2146634615384615</v>
      </c>
      <c r="AF50" s="378">
        <f t="shared" si="115"/>
        <v>0.2146634615384615</v>
      </c>
      <c r="AG50" s="380">
        <f>1-AG49/AG47</f>
        <v>0.21606574761399788</v>
      </c>
      <c r="AH50" s="380">
        <f>1-AH51/AH47</f>
        <v>0.74234092694422626</v>
      </c>
      <c r="AI50" s="380">
        <f>1-AI49/AI47</f>
        <v>0.19842679522963713</v>
      </c>
      <c r="AJ50" s="380">
        <f>1-AJ49/AJ47</f>
        <v>0.17896425297891838</v>
      </c>
      <c r="AK50" s="378">
        <f>1-AK49/AK47</f>
        <v>0.17896425297891838</v>
      </c>
      <c r="AL50" s="380">
        <f>1-AL49/AL47</f>
        <v>0.20950747365841704</v>
      </c>
      <c r="AM50" s="380"/>
      <c r="AN50" s="380"/>
      <c r="AO50" s="64"/>
      <c r="AP50" s="378"/>
      <c r="AQ50" s="380"/>
      <c r="AR50" s="380"/>
      <c r="AS50" s="380"/>
      <c r="AT50" s="64"/>
      <c r="AU50" s="378"/>
      <c r="AV50" s="380"/>
      <c r="AW50" s="380"/>
      <c r="AX50" s="380"/>
      <c r="AY50" s="64"/>
      <c r="AZ50" s="378"/>
      <c r="BA50" s="380"/>
      <c r="BB50" s="380"/>
      <c r="BC50" s="380"/>
      <c r="BD50" s="64"/>
      <c r="BE50" s="378"/>
      <c r="BF50" s="121"/>
      <c r="BG50" s="64"/>
      <c r="BH50" s="64"/>
      <c r="BI50" s="122"/>
      <c r="BJ50" s="70"/>
      <c r="BK50" s="121"/>
      <c r="BL50" s="64"/>
      <c r="BM50" s="64"/>
      <c r="BN50" s="122"/>
      <c r="BO50" s="70"/>
      <c r="BP50" s="70"/>
      <c r="BQ50" s="121"/>
      <c r="BR50" s="64"/>
      <c r="BS50" s="64"/>
      <c r="BT50" s="122"/>
      <c r="BU50" s="70"/>
      <c r="BV50" s="121"/>
      <c r="BW50" s="64"/>
      <c r="BX50" s="64"/>
      <c r="BY50" s="122"/>
      <c r="BZ50" s="70"/>
      <c r="CA50" s="121"/>
      <c r="CB50" s="64"/>
      <c r="CC50" s="64"/>
      <c r="CD50" s="122"/>
      <c r="CE50" s="70"/>
      <c r="CF50" s="121"/>
      <c r="CG50" s="64"/>
      <c r="CH50" s="64"/>
      <c r="CI50" s="122"/>
      <c r="CJ50" s="70"/>
      <c r="CK50" s="66"/>
      <c r="CL50" s="658"/>
      <c r="CM50" s="658"/>
      <c r="CN50" s="682"/>
      <c r="CO50" s="658"/>
      <c r="CP50" s="658"/>
      <c r="CQ50" s="658"/>
      <c r="CR50" s="658"/>
      <c r="CS50" s="658"/>
      <c r="CT50" s="289"/>
    </row>
    <row r="51" spans="1:107" s="180" customFormat="1" ht="12" hidden="1" customHeight="1" outlineLevel="1">
      <c r="A51" s="385" t="s">
        <v>134</v>
      </c>
      <c r="B51" s="354">
        <v>2534</v>
      </c>
      <c r="C51" s="354">
        <v>2582</v>
      </c>
      <c r="D51" s="354">
        <v>3043</v>
      </c>
      <c r="E51" s="354">
        <v>3219</v>
      </c>
      <c r="F51" s="354">
        <v>3698</v>
      </c>
      <c r="G51" s="354">
        <v>4037</v>
      </c>
      <c r="H51" s="357">
        <v>964</v>
      </c>
      <c r="I51" s="357">
        <v>1165</v>
      </c>
      <c r="J51" s="357">
        <v>1034</v>
      </c>
      <c r="K51" s="358">
        <v>741</v>
      </c>
      <c r="L51" s="354">
        <v>3904</v>
      </c>
      <c r="M51" s="358">
        <v>1592</v>
      </c>
      <c r="N51" s="357">
        <v>895</v>
      </c>
      <c r="O51" s="357">
        <v>1090</v>
      </c>
      <c r="P51" s="358">
        <v>1361</v>
      </c>
      <c r="Q51" s="354">
        <v>4938</v>
      </c>
      <c r="R51" s="358">
        <v>1234</v>
      </c>
      <c r="S51" s="358">
        <v>783</v>
      </c>
      <c r="T51" s="358">
        <v>698</v>
      </c>
      <c r="U51" s="358">
        <v>1218</v>
      </c>
      <c r="V51" s="354">
        <v>3933</v>
      </c>
      <c r="W51" s="358">
        <v>964</v>
      </c>
      <c r="X51" s="358">
        <v>964</v>
      </c>
      <c r="Y51" s="358">
        <v>792</v>
      </c>
      <c r="Z51" s="181">
        <v>1314</v>
      </c>
      <c r="AA51" s="354">
        <v>4034</v>
      </c>
      <c r="AB51" s="358">
        <v>860</v>
      </c>
      <c r="AC51" s="358">
        <v>896</v>
      </c>
      <c r="AD51" s="358">
        <v>1161</v>
      </c>
      <c r="AE51" s="181">
        <v>715</v>
      </c>
      <c r="AF51" s="354">
        <f>SUM(AB51:AE51)</f>
        <v>3632</v>
      </c>
      <c r="AG51" s="358">
        <v>621</v>
      </c>
      <c r="AH51" s="358">
        <v>984</v>
      </c>
      <c r="AI51" s="358">
        <v>1011</v>
      </c>
      <c r="AJ51" s="181">
        <f>AK51-SUM(AG51:AI51)</f>
        <v>1473</v>
      </c>
      <c r="AK51" s="354">
        <v>4089</v>
      </c>
      <c r="AL51" s="358">
        <v>574</v>
      </c>
      <c r="AM51" s="358"/>
      <c r="AN51" s="358"/>
      <c r="AO51" s="181"/>
      <c r="AP51" s="354"/>
      <c r="AQ51" s="358"/>
      <c r="AR51" s="358"/>
      <c r="AS51" s="358"/>
      <c r="AT51" s="181"/>
      <c r="AU51" s="354"/>
      <c r="AV51" s="358"/>
      <c r="AW51" s="358"/>
      <c r="AX51" s="358"/>
      <c r="AY51" s="181"/>
      <c r="AZ51" s="354"/>
      <c r="BA51" s="358"/>
      <c r="BB51" s="358"/>
      <c r="BC51" s="358"/>
      <c r="BD51" s="181"/>
      <c r="BE51" s="354"/>
      <c r="BF51" s="355"/>
      <c r="BG51" s="181"/>
      <c r="BH51" s="181"/>
      <c r="BI51" s="356"/>
      <c r="BJ51" s="354"/>
      <c r="BK51" s="355"/>
      <c r="BL51" s="181"/>
      <c r="BM51" s="181"/>
      <c r="BN51" s="356"/>
      <c r="BO51" s="354"/>
      <c r="BP51" s="354"/>
      <c r="BQ51" s="355"/>
      <c r="BR51" s="181"/>
      <c r="BS51" s="181"/>
      <c r="BT51" s="356"/>
      <c r="BU51" s="354"/>
      <c r="BV51" s="355"/>
      <c r="BW51" s="181"/>
      <c r="BX51" s="181"/>
      <c r="BY51" s="356"/>
      <c r="BZ51" s="354"/>
      <c r="CA51" s="355"/>
      <c r="CB51" s="181"/>
      <c r="CC51" s="181"/>
      <c r="CD51" s="356"/>
      <c r="CE51" s="354"/>
      <c r="CF51" s="355"/>
      <c r="CG51" s="181"/>
      <c r="CH51" s="181"/>
      <c r="CI51" s="356"/>
      <c r="CJ51" s="354"/>
      <c r="CK51" s="291"/>
      <c r="CL51" s="657"/>
      <c r="CM51" s="657"/>
      <c r="CN51" s="682"/>
      <c r="CO51" s="657"/>
      <c r="CP51" s="657"/>
      <c r="CQ51" s="657"/>
      <c r="CR51" s="657"/>
      <c r="CS51" s="657"/>
      <c r="CT51" s="291"/>
      <c r="CX51"/>
      <c r="CY51"/>
      <c r="CZ51"/>
      <c r="DA51"/>
      <c r="DB51"/>
      <c r="DC51"/>
    </row>
    <row r="52" spans="1:107" ht="12" hidden="1" customHeight="1" outlineLevel="1">
      <c r="A52" s="385" t="s">
        <v>116</v>
      </c>
      <c r="B52" s="383">
        <f t="shared" ref="B52:AJ52" si="116">+B51/B44</f>
        <v>0.88446771378708555</v>
      </c>
      <c r="C52" s="383">
        <f t="shared" si="116"/>
        <v>0.83532837269492077</v>
      </c>
      <c r="D52" s="383">
        <f t="shared" si="116"/>
        <v>1.0833036667853329</v>
      </c>
      <c r="E52" s="383">
        <f t="shared" si="116"/>
        <v>1.0554098360655737</v>
      </c>
      <c r="F52" s="383">
        <f t="shared" si="116"/>
        <v>1.1538221528861154</v>
      </c>
      <c r="G52" s="383">
        <f t="shared" si="116"/>
        <v>1.1336703173265936</v>
      </c>
      <c r="H52" s="384">
        <f t="shared" si="116"/>
        <v>1.0376749192680301</v>
      </c>
      <c r="I52" s="384">
        <f t="shared" si="116"/>
        <v>1.1074144486692015</v>
      </c>
      <c r="J52" s="384">
        <f t="shared" si="116"/>
        <v>0.99806949806949807</v>
      </c>
      <c r="K52" s="384">
        <f t="shared" si="116"/>
        <v>0.64603312990409767</v>
      </c>
      <c r="L52" s="383">
        <f t="shared" si="116"/>
        <v>0.93756003842459179</v>
      </c>
      <c r="M52" s="384">
        <f t="shared" si="116"/>
        <v>1.4920337394564198</v>
      </c>
      <c r="N52" s="384">
        <f t="shared" si="116"/>
        <v>0.763000852514919</v>
      </c>
      <c r="O52" s="384">
        <f t="shared" si="116"/>
        <v>0.95196506550218341</v>
      </c>
      <c r="P52" s="384">
        <f t="shared" si="116"/>
        <v>1.2097777777777778</v>
      </c>
      <c r="Q52" s="383">
        <f t="shared" si="116"/>
        <v>1.0949002217294901</v>
      </c>
      <c r="R52" s="384">
        <f t="shared" si="116"/>
        <v>1.0693240901213172</v>
      </c>
      <c r="S52" s="384">
        <f t="shared" si="116"/>
        <v>0.65413533834586468</v>
      </c>
      <c r="T52" s="384">
        <f t="shared" si="116"/>
        <v>0.57590759075907594</v>
      </c>
      <c r="U52" s="384">
        <f t="shared" si="116"/>
        <v>0.96743447180301823</v>
      </c>
      <c r="V52" s="383">
        <f t="shared" si="116"/>
        <v>0.81563666528411449</v>
      </c>
      <c r="W52" s="384">
        <f t="shared" si="116"/>
        <v>0.81972789115646261</v>
      </c>
      <c r="X52" s="384">
        <f t="shared" si="116"/>
        <v>0.8</v>
      </c>
      <c r="Y52" s="384">
        <f t="shared" si="116"/>
        <v>0.6454767726161369</v>
      </c>
      <c r="Z52" s="384">
        <f t="shared" si="116"/>
        <v>1.0030534351145037</v>
      </c>
      <c r="AA52" s="383">
        <f t="shared" si="116"/>
        <v>0.82025213501423344</v>
      </c>
      <c r="AB52" s="384">
        <f t="shared" si="116"/>
        <v>0.76717216770740415</v>
      </c>
      <c r="AC52" s="384">
        <f t="shared" si="116"/>
        <v>0.7894273127753304</v>
      </c>
      <c r="AD52" s="384">
        <f t="shared" si="116"/>
        <v>1.0516304347826086</v>
      </c>
      <c r="AE52" s="384">
        <f t="shared" si="116"/>
        <v>0.62884784520668424</v>
      </c>
      <c r="AF52" s="383">
        <f t="shared" si="116"/>
        <v>0.80764954414053813</v>
      </c>
      <c r="AG52" s="384">
        <f t="shared" si="116"/>
        <v>0.621</v>
      </c>
      <c r="AH52" s="384">
        <f t="shared" si="116"/>
        <v>1.0228690228690229</v>
      </c>
      <c r="AI52" s="384">
        <f t="shared" si="116"/>
        <v>1.0498442367601246</v>
      </c>
      <c r="AJ52" s="384">
        <f t="shared" si="116"/>
        <v>1.3000882612533098</v>
      </c>
      <c r="AK52" s="383">
        <f>+AK51/AK44</f>
        <v>1.0076392311483489</v>
      </c>
      <c r="AL52" s="384">
        <f>+AL51/AL44</f>
        <v>0.61654135338345861</v>
      </c>
      <c r="AM52" s="384"/>
      <c r="AN52" s="384"/>
      <c r="AO52" s="117"/>
      <c r="AP52" s="383"/>
      <c r="AQ52" s="384"/>
      <c r="AR52" s="384"/>
      <c r="AS52" s="384"/>
      <c r="AT52" s="117"/>
      <c r="AU52" s="383"/>
      <c r="AV52" s="384"/>
      <c r="AW52" s="384"/>
      <c r="AX52" s="384"/>
      <c r="AY52" s="117"/>
      <c r="AZ52" s="383"/>
      <c r="BA52" s="384"/>
      <c r="BB52" s="384"/>
      <c r="BC52" s="384"/>
      <c r="BD52" s="117"/>
      <c r="BE52" s="383"/>
      <c r="BF52" s="363"/>
      <c r="BG52" s="362"/>
      <c r="BH52" s="362"/>
      <c r="BI52" s="364"/>
      <c r="BJ52" s="361"/>
      <c r="BK52" s="363"/>
      <c r="BL52" s="362"/>
      <c r="BM52" s="362"/>
      <c r="BN52" s="364"/>
      <c r="BO52" s="361"/>
      <c r="BP52" s="361"/>
      <c r="BQ52" s="363"/>
      <c r="BR52" s="362"/>
      <c r="BS52" s="362"/>
      <c r="BT52" s="364"/>
      <c r="BU52" s="361"/>
      <c r="BV52" s="363"/>
      <c r="BW52" s="362"/>
      <c r="BX52" s="362"/>
      <c r="BY52" s="364"/>
      <c r="BZ52" s="361"/>
      <c r="CA52" s="363"/>
      <c r="CB52" s="362"/>
      <c r="CC52" s="362"/>
      <c r="CD52" s="364"/>
      <c r="CE52" s="361"/>
      <c r="CF52" s="363"/>
      <c r="CG52" s="362"/>
      <c r="CH52" s="362"/>
      <c r="CI52" s="364"/>
      <c r="CJ52" s="361"/>
      <c r="CK52" s="66"/>
      <c r="CL52" s="658"/>
      <c r="CM52" s="658"/>
      <c r="CN52" s="682"/>
      <c r="CO52" s="658"/>
      <c r="CP52" s="658"/>
      <c r="CQ52" s="658"/>
      <c r="CR52" s="658"/>
      <c r="CS52" s="658"/>
      <c r="CT52" s="289"/>
    </row>
    <row r="53" spans="1:107" ht="12" hidden="1" customHeight="1" outlineLevel="1">
      <c r="A53" s="385" t="s">
        <v>1</v>
      </c>
      <c r="B53" s="383">
        <f t="shared" ref="B53:G53" si="117">B47/B44</f>
        <v>1.1197207678883072</v>
      </c>
      <c r="C53" s="383">
        <f t="shared" si="117"/>
        <v>0.92300226463927526</v>
      </c>
      <c r="D53" s="383">
        <f t="shared" si="117"/>
        <v>1.1274474902100391</v>
      </c>
      <c r="E53" s="383">
        <f t="shared" si="117"/>
        <v>1.1760655737704917</v>
      </c>
      <c r="F53" s="383">
        <f t="shared" si="117"/>
        <v>1.3438377535101405</v>
      </c>
      <c r="G53" s="383">
        <f t="shared" si="117"/>
        <v>1.420668351586633</v>
      </c>
      <c r="H53" s="384">
        <f>H47/H44/4</f>
        <v>1.3848223896663079</v>
      </c>
      <c r="I53" s="384">
        <f>I47/I44/4</f>
        <v>1.2661596958174905</v>
      </c>
      <c r="J53" s="384">
        <f>J47/J44/4</f>
        <v>1.3047779922779923</v>
      </c>
      <c r="K53" s="384">
        <f>K47/K44/4</f>
        <v>1.1120313862249347</v>
      </c>
      <c r="L53" s="383">
        <f>L47/L44</f>
        <v>1.2252641690682036</v>
      </c>
      <c r="M53" s="384">
        <f>M47/M44/4</f>
        <v>1.3345829428303655</v>
      </c>
      <c r="N53" s="384">
        <f>N47/N44/4</f>
        <v>1.1677323103154305</v>
      </c>
      <c r="O53" s="384">
        <f>O47/O44/4</f>
        <v>1.2004366812227074</v>
      </c>
      <c r="P53" s="384">
        <f>P47/P44/4</f>
        <v>1.274</v>
      </c>
      <c r="Q53" s="383">
        <f>Q47/Q44</f>
        <v>1.2711751662971176</v>
      </c>
      <c r="R53" s="384">
        <f>R47/R44/4</f>
        <v>1.2673310225303294</v>
      </c>
      <c r="S53" s="384">
        <f>S47/S44/4</f>
        <v>1.1608187134502923</v>
      </c>
      <c r="T53" s="384">
        <f>T47/T44/4</f>
        <v>1.0567244224422443</v>
      </c>
      <c r="U53" s="384">
        <f>U47/U44/4</f>
        <v>1.0923351866560762</v>
      </c>
      <c r="V53" s="383">
        <f>V47/V44</f>
        <v>1.140812940688511</v>
      </c>
      <c r="W53" s="384">
        <f>W47/W44/4</f>
        <v>1.1269132653061225</v>
      </c>
      <c r="X53" s="384">
        <f>X47/X44/4</f>
        <v>1.0670124481327801</v>
      </c>
      <c r="Y53" s="384">
        <f>Y47/Y44/4</f>
        <v>0.97901385493072535</v>
      </c>
      <c r="Z53" s="384">
        <f>Z47/Z44/4</f>
        <v>0.93740458015267181</v>
      </c>
      <c r="AA53" s="383">
        <f>AA47/AA44</f>
        <v>0.99877999186661248</v>
      </c>
      <c r="AB53" s="384">
        <f>AB47/AB44/4</f>
        <v>1.0546387154326493</v>
      </c>
      <c r="AC53" s="384">
        <f>AC47/AC44/4</f>
        <v>0.96167400881057263</v>
      </c>
      <c r="AD53" s="384">
        <f>AD47/AD44/4</f>
        <v>1.0217391304347827</v>
      </c>
      <c r="AE53" s="384">
        <f>AE47/AE44/4</f>
        <v>0.91468777484608621</v>
      </c>
      <c r="AF53" s="383">
        <f>AF47/AF44</f>
        <v>0.92506115187903049</v>
      </c>
      <c r="AG53" s="384">
        <f>AG47/AG44/4</f>
        <v>0.94299999999999995</v>
      </c>
      <c r="AH53" s="384">
        <f>AH47/AH44/4</f>
        <v>0.99246361746361744</v>
      </c>
      <c r="AI53" s="384">
        <f>AI47/AI44/4</f>
        <v>1.0231048805815162</v>
      </c>
      <c r="AJ53" s="384">
        <f>AJ47/AJ44/4</f>
        <v>0.96293027360988526</v>
      </c>
      <c r="AK53" s="383">
        <f>AK47/AK44</f>
        <v>1.0754066042385411</v>
      </c>
      <c r="AL53" s="539">
        <f>AL47/AL44/4</f>
        <v>1.0958646616541354</v>
      </c>
      <c r="AM53" s="384"/>
      <c r="AN53" s="384"/>
      <c r="AO53" s="384"/>
      <c r="AP53" s="383"/>
      <c r="AQ53" s="384"/>
      <c r="AR53" s="384"/>
      <c r="AS53" s="384"/>
      <c r="AT53" s="384"/>
      <c r="AU53" s="383"/>
      <c r="AV53" s="384"/>
      <c r="AW53" s="384"/>
      <c r="AX53" s="384"/>
      <c r="AY53" s="384"/>
      <c r="AZ53" s="383"/>
      <c r="BA53" s="384"/>
      <c r="BB53" s="384"/>
      <c r="BC53" s="384"/>
      <c r="BD53" s="384"/>
      <c r="BE53" s="383"/>
      <c r="BF53" s="363"/>
      <c r="BG53" s="362"/>
      <c r="BH53" s="362"/>
      <c r="BI53" s="362"/>
      <c r="BJ53" s="363"/>
      <c r="BK53" s="363"/>
      <c r="BL53" s="362"/>
      <c r="BM53" s="362"/>
      <c r="BN53" s="362"/>
      <c r="BO53" s="363"/>
      <c r="BP53" s="363"/>
      <c r="BQ53" s="363"/>
      <c r="BR53" s="362"/>
      <c r="BS53" s="362"/>
      <c r="BT53" s="362"/>
      <c r="BU53" s="363"/>
      <c r="BV53" s="363"/>
      <c r="BW53" s="362"/>
      <c r="BX53" s="362"/>
      <c r="BY53" s="362"/>
      <c r="BZ53" s="363"/>
      <c r="CA53" s="363"/>
      <c r="CB53" s="362"/>
      <c r="CC53" s="362"/>
      <c r="CD53" s="362"/>
      <c r="CE53" s="363"/>
      <c r="CF53" s="363"/>
      <c r="CG53" s="362"/>
      <c r="CH53" s="362"/>
      <c r="CI53" s="362"/>
      <c r="CJ53" s="363"/>
      <c r="CK53" s="66"/>
      <c r="CL53" s="657"/>
      <c r="CM53" s="658"/>
      <c r="CN53" s="977"/>
      <c r="CO53" s="658"/>
      <c r="CP53" s="658"/>
      <c r="CQ53" s="658"/>
      <c r="CR53" s="658"/>
      <c r="CS53" s="658"/>
      <c r="CT53" s="289"/>
    </row>
    <row r="54" spans="1:107" s="204" customFormat="1" hidden="1" outlineLevel="1">
      <c r="A54" s="127" t="s">
        <v>205</v>
      </c>
      <c r="B54" s="128">
        <v>2050</v>
      </c>
      <c r="C54" s="128">
        <v>2133</v>
      </c>
      <c r="D54" s="128">
        <v>1963</v>
      </c>
      <c r="E54" s="128">
        <v>1987</v>
      </c>
      <c r="F54" s="128">
        <v>2066</v>
      </c>
      <c r="G54" s="128">
        <v>2153</v>
      </c>
      <c r="H54" s="132">
        <v>463</v>
      </c>
      <c r="I54" s="132">
        <v>514</v>
      </c>
      <c r="J54" s="132">
        <v>554</v>
      </c>
      <c r="K54" s="129">
        <v>643</v>
      </c>
      <c r="L54" s="128">
        <v>2174</v>
      </c>
      <c r="M54" s="129">
        <v>521</v>
      </c>
      <c r="N54" s="132">
        <v>647</v>
      </c>
      <c r="O54" s="132">
        <v>689</v>
      </c>
      <c r="P54" s="129">
        <v>744</v>
      </c>
      <c r="Q54" s="128">
        <v>2601</v>
      </c>
      <c r="R54" s="129">
        <v>696</v>
      </c>
      <c r="S54" s="132">
        <v>780</v>
      </c>
      <c r="T54" s="132">
        <v>797</v>
      </c>
      <c r="U54" s="129">
        <v>888</v>
      </c>
      <c r="V54" s="128">
        <f>SUM(R54:U54)</f>
        <v>3161</v>
      </c>
      <c r="W54" s="129">
        <v>801</v>
      </c>
      <c r="X54" s="132">
        <v>834</v>
      </c>
      <c r="Y54" s="132">
        <v>873</v>
      </c>
      <c r="Z54" s="129">
        <v>964</v>
      </c>
      <c r="AA54" s="128">
        <f>SUM(W54:Z54)</f>
        <v>3472</v>
      </c>
      <c r="AB54" s="129">
        <v>799</v>
      </c>
      <c r="AC54" s="132">
        <v>851</v>
      </c>
      <c r="AD54" s="132">
        <v>817</v>
      </c>
      <c r="AE54" s="129">
        <v>886</v>
      </c>
      <c r="AF54" s="128">
        <f>SUM(AB54:AE54)</f>
        <v>3353</v>
      </c>
      <c r="AG54" s="129">
        <v>802</v>
      </c>
      <c r="AH54" s="132">
        <v>821</v>
      </c>
      <c r="AI54" s="132">
        <v>785</v>
      </c>
      <c r="AJ54" s="129">
        <f>AK54-SUM(AG54:AI54)</f>
        <v>831</v>
      </c>
      <c r="AK54" s="128">
        <v>3239</v>
      </c>
      <c r="AL54" s="132">
        <v>755</v>
      </c>
      <c r="AM54" s="132"/>
      <c r="AN54" s="132"/>
      <c r="AO54" s="129"/>
      <c r="AP54" s="128"/>
      <c r="AQ54" s="132"/>
      <c r="AR54" s="132"/>
      <c r="AS54" s="132"/>
      <c r="AT54" s="129"/>
      <c r="AU54" s="128"/>
      <c r="AV54" s="132"/>
      <c r="AW54" s="132"/>
      <c r="AX54" s="132"/>
      <c r="AY54" s="129"/>
      <c r="AZ54" s="128"/>
      <c r="BA54" s="132"/>
      <c r="BB54" s="132"/>
      <c r="BC54" s="132"/>
      <c r="BD54" s="129"/>
      <c r="BE54" s="128"/>
      <c r="BF54" s="130"/>
      <c r="BG54" s="129"/>
      <c r="BH54" s="129"/>
      <c r="BI54" s="131"/>
      <c r="BJ54" s="128"/>
      <c r="BK54" s="130"/>
      <c r="BL54" s="129"/>
      <c r="BM54" s="129"/>
      <c r="BN54" s="131"/>
      <c r="BO54" s="128"/>
      <c r="BP54" s="128"/>
      <c r="BQ54" s="130"/>
      <c r="BR54" s="129"/>
      <c r="BS54" s="129"/>
      <c r="BT54" s="131"/>
      <c r="BU54" s="128"/>
      <c r="BV54" s="130"/>
      <c r="BW54" s="129"/>
      <c r="BX54" s="129"/>
      <c r="BY54" s="131"/>
      <c r="BZ54" s="128"/>
      <c r="CA54" s="130"/>
      <c r="CB54" s="129"/>
      <c r="CC54" s="129"/>
      <c r="CD54" s="131"/>
      <c r="CE54" s="128"/>
      <c r="CF54" s="130"/>
      <c r="CG54" s="129"/>
      <c r="CH54" s="129"/>
      <c r="CI54" s="131"/>
      <c r="CJ54" s="128"/>
      <c r="CK54" s="296"/>
      <c r="CL54" s="657"/>
      <c r="CM54" s="657"/>
      <c r="CN54" s="682"/>
      <c r="CO54" s="657"/>
      <c r="CP54" s="657"/>
      <c r="CQ54" s="657"/>
      <c r="CR54" s="657"/>
      <c r="CS54" s="657"/>
      <c r="CT54" s="296"/>
      <c r="CX54"/>
      <c r="CY54"/>
      <c r="CZ54"/>
      <c r="DA54"/>
      <c r="DB54"/>
      <c r="DC54"/>
    </row>
    <row r="55" spans="1:107" hidden="1" outlineLevel="1">
      <c r="A55" s="62" t="s">
        <v>137</v>
      </c>
      <c r="B55" s="70"/>
      <c r="C55" s="70">
        <f>C54/B54-1</f>
        <v>4.0487804878048816E-2</v>
      </c>
      <c r="D55" s="70">
        <f>D54/C54-1</f>
        <v>-7.9699953117674638E-2</v>
      </c>
      <c r="E55" s="70">
        <f>E54/D54-1</f>
        <v>1.2226184411614938E-2</v>
      </c>
      <c r="F55" s="70">
        <f>F54/E54-1</f>
        <v>3.9758429793658845E-2</v>
      </c>
      <c r="G55" s="70">
        <f>G54/F54-1</f>
        <v>4.2110358180058149E-2</v>
      </c>
      <c r="H55" s="118"/>
      <c r="I55" s="64"/>
      <c r="J55" s="64"/>
      <c r="K55" s="64"/>
      <c r="L55" s="70">
        <f t="shared" ref="L55:AL55" si="118">L54/G54-1</f>
        <v>9.7538318625174369E-3</v>
      </c>
      <c r="M55" s="64">
        <f t="shared" si="118"/>
        <v>0.12526997840172793</v>
      </c>
      <c r="N55" s="64">
        <f t="shared" si="118"/>
        <v>0.25875486381322954</v>
      </c>
      <c r="O55" s="64">
        <f t="shared" si="118"/>
        <v>0.24368231046931399</v>
      </c>
      <c r="P55" s="64">
        <f t="shared" si="118"/>
        <v>0.15707620528771393</v>
      </c>
      <c r="Q55" s="70">
        <f t="shared" si="118"/>
        <v>0.1964121435142594</v>
      </c>
      <c r="R55" s="64">
        <f t="shared" si="118"/>
        <v>0.33589251439539347</v>
      </c>
      <c r="S55" s="64">
        <f t="shared" si="118"/>
        <v>0.20556414219474495</v>
      </c>
      <c r="T55" s="64">
        <f t="shared" si="118"/>
        <v>0.15674891146589265</v>
      </c>
      <c r="U55" s="64">
        <f t="shared" si="118"/>
        <v>0.19354838709677424</v>
      </c>
      <c r="V55" s="70">
        <f>V54/Q54-1</f>
        <v>0.21530180699730872</v>
      </c>
      <c r="W55" s="64">
        <f t="shared" si="118"/>
        <v>0.15086206896551735</v>
      </c>
      <c r="X55" s="64">
        <f t="shared" si="118"/>
        <v>6.9230769230769207E-2</v>
      </c>
      <c r="Y55" s="64">
        <f t="shared" si="118"/>
        <v>9.5357590966123063E-2</v>
      </c>
      <c r="Z55" s="64">
        <f t="shared" si="118"/>
        <v>8.55855855855856E-2</v>
      </c>
      <c r="AA55" s="70">
        <f t="shared" si="118"/>
        <v>9.8386586523252051E-2</v>
      </c>
      <c r="AB55" s="64">
        <f t="shared" si="118"/>
        <v>-2.4968789013732895E-3</v>
      </c>
      <c r="AC55" s="64">
        <f t="shared" si="118"/>
        <v>2.0383693045563644E-2</v>
      </c>
      <c r="AD55" s="64">
        <f t="shared" si="118"/>
        <v>-6.414662084765177E-2</v>
      </c>
      <c r="AE55" s="64">
        <f t="shared" si="118"/>
        <v>-8.0912863070539465E-2</v>
      </c>
      <c r="AF55" s="70">
        <f t="shared" si="118"/>
        <v>-3.4274193548387122E-2</v>
      </c>
      <c r="AG55" s="64">
        <f t="shared" si="118"/>
        <v>3.754693366708306E-3</v>
      </c>
      <c r="AH55" s="64">
        <f t="shared" si="118"/>
        <v>-3.5252643948296081E-2</v>
      </c>
      <c r="AI55" s="64">
        <f t="shared" si="118"/>
        <v>-3.9167686658506784E-2</v>
      </c>
      <c r="AJ55" s="64">
        <f t="shared" si="118"/>
        <v>-6.2076749435665879E-2</v>
      </c>
      <c r="AK55" s="70">
        <f t="shared" si="118"/>
        <v>-3.3999403519236471E-2</v>
      </c>
      <c r="AL55" s="64">
        <f t="shared" si="118"/>
        <v>-5.8603491271820407E-2</v>
      </c>
      <c r="AM55" s="64"/>
      <c r="AN55" s="64"/>
      <c r="AO55" s="64"/>
      <c r="AP55" s="70"/>
      <c r="AQ55" s="64"/>
      <c r="AR55" s="64"/>
      <c r="AS55" s="64"/>
      <c r="AT55" s="64"/>
      <c r="AU55" s="70"/>
      <c r="AV55" s="64"/>
      <c r="AW55" s="64"/>
      <c r="AX55" s="64"/>
      <c r="AY55" s="64"/>
      <c r="AZ55" s="70"/>
      <c r="BA55" s="64"/>
      <c r="BB55" s="64"/>
      <c r="BC55" s="64"/>
      <c r="BD55" s="64"/>
      <c r="BE55" s="70"/>
      <c r="BF55" s="121"/>
      <c r="BG55" s="64"/>
      <c r="BH55" s="64"/>
      <c r="BI55" s="122"/>
      <c r="BJ55" s="70"/>
      <c r="BK55" s="121"/>
      <c r="BL55" s="64"/>
      <c r="BM55" s="64"/>
      <c r="BN55" s="122"/>
      <c r="BO55" s="70"/>
      <c r="BP55" s="70"/>
      <c r="BQ55" s="121"/>
      <c r="BR55" s="64"/>
      <c r="BS55" s="64"/>
      <c r="BT55" s="122"/>
      <c r="BU55" s="70"/>
      <c r="BV55" s="121"/>
      <c r="BW55" s="64"/>
      <c r="BX55" s="64"/>
      <c r="BY55" s="122"/>
      <c r="BZ55" s="70"/>
      <c r="CA55" s="121"/>
      <c r="CB55" s="64"/>
      <c r="CC55" s="64"/>
      <c r="CD55" s="122"/>
      <c r="CE55" s="70"/>
      <c r="CF55" s="121"/>
      <c r="CG55" s="64"/>
      <c r="CH55" s="64"/>
      <c r="CI55" s="122"/>
      <c r="CJ55" s="70"/>
      <c r="CK55" s="289"/>
      <c r="CL55" s="658"/>
      <c r="CM55" s="658"/>
      <c r="CN55" s="682"/>
      <c r="CO55" s="658"/>
      <c r="CP55" s="658"/>
      <c r="CQ55" s="658"/>
      <c r="CR55" s="658"/>
      <c r="CS55" s="658"/>
      <c r="CT55" s="289"/>
    </row>
    <row r="56" spans="1:107" hidden="1" outlineLevel="1">
      <c r="A56" s="62" t="s">
        <v>16</v>
      </c>
      <c r="B56" s="70">
        <f t="shared" ref="B56:AL56" si="119">B54/B$77</f>
        <v>0.12798901167509522</v>
      </c>
      <c r="C56" s="70">
        <f t="shared" si="119"/>
        <v>0.1272673031026253</v>
      </c>
      <c r="D56" s="70">
        <f t="shared" si="119"/>
        <v>0.10839913854989232</v>
      </c>
      <c r="E56" s="70">
        <f t="shared" si="119"/>
        <v>0.1114726507713885</v>
      </c>
      <c r="F56" s="70">
        <f t="shared" si="119"/>
        <v>0.11173003082580715</v>
      </c>
      <c r="G56" s="70">
        <f t="shared" si="119"/>
        <v>0.1092505201197544</v>
      </c>
      <c r="H56" s="118">
        <f t="shared" si="119"/>
        <v>9.6378018318068276E-2</v>
      </c>
      <c r="I56" s="64">
        <f t="shared" si="119"/>
        <v>9.7385373247442217E-2</v>
      </c>
      <c r="J56" s="64">
        <f t="shared" si="119"/>
        <v>0.10615060356390113</v>
      </c>
      <c r="K56" s="64">
        <f t="shared" si="119"/>
        <v>0.10716666666666666</v>
      </c>
      <c r="L56" s="70">
        <f t="shared" si="119"/>
        <v>0.1020609361062861</v>
      </c>
      <c r="M56" s="64">
        <f t="shared" si="119"/>
        <v>9.7310422114307057E-2</v>
      </c>
      <c r="N56" s="64">
        <f t="shared" si="119"/>
        <v>0.11022146507666099</v>
      </c>
      <c r="O56" s="64">
        <f t="shared" si="119"/>
        <v>0.11749658935879946</v>
      </c>
      <c r="P56" s="64">
        <f t="shared" si="119"/>
        <v>0.12224778179428196</v>
      </c>
      <c r="Q56" s="70">
        <f t="shared" si="119"/>
        <v>0.11223785276603089</v>
      </c>
      <c r="R56" s="64">
        <f t="shared" si="119"/>
        <v>0.11828687967369136</v>
      </c>
      <c r="S56" s="64">
        <f t="shared" si="119"/>
        <v>0.1273469387755102</v>
      </c>
      <c r="T56" s="64">
        <f t="shared" si="119"/>
        <v>0.12844480257856566</v>
      </c>
      <c r="U56" s="64">
        <f t="shared" si="119"/>
        <v>0.13319334033298336</v>
      </c>
      <c r="V56" s="70">
        <f t="shared" si="119"/>
        <v>0.1270447329287408</v>
      </c>
      <c r="W56" s="64">
        <f t="shared" si="119"/>
        <v>0.13233107549975218</v>
      </c>
      <c r="X56" s="64">
        <f t="shared" si="119"/>
        <v>0.13962832747363135</v>
      </c>
      <c r="Y56" s="64">
        <f t="shared" si="119"/>
        <v>0.13919005102040816</v>
      </c>
      <c r="Z56" s="64">
        <f t="shared" si="119"/>
        <v>0.14001452432824982</v>
      </c>
      <c r="AA56" s="70">
        <f t="shared" si="119"/>
        <v>0.1378707858475956</v>
      </c>
      <c r="AB56" s="64">
        <f t="shared" si="119"/>
        <v>0.13202247191011235</v>
      </c>
      <c r="AC56" s="64">
        <f t="shared" si="119"/>
        <v>0.13723592968875989</v>
      </c>
      <c r="AD56" s="64">
        <f t="shared" si="119"/>
        <v>0.13358404185742315</v>
      </c>
      <c r="AE56" s="64">
        <f t="shared" si="119"/>
        <v>0.1379632513235752</v>
      </c>
      <c r="AF56" s="70">
        <f t="shared" si="119"/>
        <v>0.13525069581703036</v>
      </c>
      <c r="AG56" s="64">
        <f t="shared" si="119"/>
        <v>0.13506231054227014</v>
      </c>
      <c r="AH56" s="64">
        <f t="shared" si="119"/>
        <v>0.13701602136181576</v>
      </c>
      <c r="AI56" s="64">
        <f t="shared" si="119"/>
        <v>0.12985938792390406</v>
      </c>
      <c r="AJ56" s="64">
        <f t="shared" si="119"/>
        <v>0.12905730703525392</v>
      </c>
      <c r="AK56" s="70">
        <f t="shared" si="119"/>
        <v>0.13266977963463586</v>
      </c>
      <c r="AL56" s="64">
        <f t="shared" si="119"/>
        <v>0.12842320122469808</v>
      </c>
      <c r="AM56" s="64"/>
      <c r="AN56" s="64"/>
      <c r="AO56" s="64"/>
      <c r="AP56" s="70"/>
      <c r="AQ56" s="64"/>
      <c r="AR56" s="64"/>
      <c r="AS56" s="64"/>
      <c r="AT56" s="64"/>
      <c r="AU56" s="70"/>
      <c r="AV56" s="64"/>
      <c r="AW56" s="64"/>
      <c r="AX56" s="64"/>
      <c r="AY56" s="64"/>
      <c r="AZ56" s="70"/>
      <c r="BA56" s="64"/>
      <c r="BB56" s="64"/>
      <c r="BC56" s="64"/>
      <c r="BD56" s="64"/>
      <c r="BE56" s="70"/>
      <c r="BF56" s="240"/>
      <c r="BG56" s="238"/>
      <c r="BH56" s="238"/>
      <c r="BI56" s="241"/>
      <c r="BJ56" s="70"/>
      <c r="BK56" s="240"/>
      <c r="BL56" s="238"/>
      <c r="BM56" s="238"/>
      <c r="BN56" s="241"/>
      <c r="BO56" s="70"/>
      <c r="BP56" s="70"/>
      <c r="BQ56" s="240"/>
      <c r="BR56" s="238"/>
      <c r="BS56" s="238"/>
      <c r="BT56" s="241"/>
      <c r="BU56" s="70"/>
      <c r="BV56" s="240"/>
      <c r="BW56" s="238"/>
      <c r="BX56" s="238"/>
      <c r="BY56" s="241"/>
      <c r="BZ56" s="70"/>
      <c r="CA56" s="240"/>
      <c r="CB56" s="238"/>
      <c r="CC56" s="238"/>
      <c r="CD56" s="241"/>
      <c r="CE56" s="70"/>
      <c r="CF56" s="240"/>
      <c r="CG56" s="238"/>
      <c r="CH56" s="238"/>
      <c r="CI56" s="241"/>
      <c r="CJ56" s="70"/>
      <c r="CK56" s="289"/>
      <c r="CL56" s="658"/>
      <c r="CM56" s="658"/>
      <c r="CN56" s="682"/>
      <c r="CO56" s="658"/>
      <c r="CP56" s="658"/>
      <c r="CQ56" s="658"/>
      <c r="CR56" s="658"/>
      <c r="CS56" s="658"/>
      <c r="CT56" s="289"/>
    </row>
    <row r="57" spans="1:107" s="180" customFormat="1" ht="12" hidden="1" customHeight="1" outlineLevel="1">
      <c r="A57" s="376" t="s">
        <v>21</v>
      </c>
      <c r="B57" s="372">
        <v>1958</v>
      </c>
      <c r="C57" s="372">
        <v>1603</v>
      </c>
      <c r="D57" s="372">
        <v>1401</v>
      </c>
      <c r="E57" s="372">
        <v>1773</v>
      </c>
      <c r="F57" s="372">
        <v>1874</v>
      </c>
      <c r="G57" s="372">
        <v>1815</v>
      </c>
      <c r="H57" s="373">
        <v>1825</v>
      </c>
      <c r="I57" s="373">
        <v>1701</v>
      </c>
      <c r="J57" s="373">
        <v>1686</v>
      </c>
      <c r="K57" s="373">
        <f>L57</f>
        <v>1925</v>
      </c>
      <c r="L57" s="372">
        <v>1925</v>
      </c>
      <c r="M57" s="373">
        <v>1926</v>
      </c>
      <c r="N57" s="373">
        <v>2058</v>
      </c>
      <c r="O57" s="373">
        <v>2831</v>
      </c>
      <c r="P57" s="373">
        <f>Q57</f>
        <v>2752</v>
      </c>
      <c r="Q57" s="372">
        <v>2752</v>
      </c>
      <c r="R57" s="373">
        <v>2619</v>
      </c>
      <c r="S57" s="373">
        <v>2937</v>
      </c>
      <c r="T57" s="373">
        <v>3151</v>
      </c>
      <c r="U57" s="373">
        <f>V57</f>
        <v>2773</v>
      </c>
      <c r="V57" s="372">
        <v>2773</v>
      </c>
      <c r="W57" s="373">
        <v>2714</v>
      </c>
      <c r="X57" s="373">
        <v>2987</v>
      </c>
      <c r="Y57" s="373">
        <v>3006</v>
      </c>
      <c r="Z57" s="373">
        <f>+AA57</f>
        <v>2654</v>
      </c>
      <c r="AA57" s="372">
        <v>2654</v>
      </c>
      <c r="AB57" s="373">
        <v>2555</v>
      </c>
      <c r="AC57" s="373">
        <v>2917</v>
      </c>
      <c r="AD57" s="373">
        <v>2947</v>
      </c>
      <c r="AE57" s="373">
        <v>2586</v>
      </c>
      <c r="AF57" s="372">
        <f>AE57</f>
        <v>2586</v>
      </c>
      <c r="AG57" s="373">
        <v>2307</v>
      </c>
      <c r="AH57" s="373">
        <v>2419</v>
      </c>
      <c r="AI57" s="373">
        <v>2793</v>
      </c>
      <c r="AJ57" s="373">
        <f>AK57</f>
        <v>2336</v>
      </c>
      <c r="AK57" s="372">
        <v>2336</v>
      </c>
      <c r="AL57" s="373">
        <v>2109</v>
      </c>
      <c r="AM57" s="373"/>
      <c r="AN57" s="373"/>
      <c r="AO57" s="373"/>
      <c r="AP57" s="372"/>
      <c r="AQ57" s="373"/>
      <c r="AR57" s="373"/>
      <c r="AS57" s="373"/>
      <c r="AT57" s="373"/>
      <c r="AU57" s="372"/>
      <c r="AV57" s="373"/>
      <c r="AW57" s="373"/>
      <c r="AX57" s="373"/>
      <c r="AY57" s="373"/>
      <c r="AZ57" s="372"/>
      <c r="BA57" s="373"/>
      <c r="BB57" s="373"/>
      <c r="BC57" s="373"/>
      <c r="BD57" s="373"/>
      <c r="BE57" s="372"/>
      <c r="BF57" s="374"/>
      <c r="BG57" s="373"/>
      <c r="BH57" s="373"/>
      <c r="BI57" s="375"/>
      <c r="BJ57" s="372"/>
      <c r="BK57" s="374"/>
      <c r="BL57" s="373"/>
      <c r="BM57" s="373"/>
      <c r="BN57" s="375"/>
      <c r="BO57" s="372"/>
      <c r="BP57" s="372"/>
      <c r="BQ57" s="374"/>
      <c r="BR57" s="373"/>
      <c r="BS57" s="373"/>
      <c r="BT57" s="375"/>
      <c r="BU57" s="372"/>
      <c r="BV57" s="374"/>
      <c r="BW57" s="373"/>
      <c r="BX57" s="373"/>
      <c r="BY57" s="375"/>
      <c r="BZ57" s="372"/>
      <c r="CA57" s="374"/>
      <c r="CB57" s="373"/>
      <c r="CC57" s="373"/>
      <c r="CD57" s="375"/>
      <c r="CE57" s="372"/>
      <c r="CF57" s="374"/>
      <c r="CG57" s="373"/>
      <c r="CH57" s="373"/>
      <c r="CI57" s="375"/>
      <c r="CJ57" s="372"/>
      <c r="CK57" s="291"/>
      <c r="CL57" s="657"/>
      <c r="CM57" s="657"/>
      <c r="CN57" s="682"/>
      <c r="CO57" s="657"/>
      <c r="CP57" s="657"/>
      <c r="CQ57" s="657"/>
      <c r="CR57" s="657"/>
      <c r="CS57" s="657"/>
      <c r="CT57" s="291"/>
      <c r="CX57"/>
      <c r="CY57"/>
      <c r="CZ57"/>
      <c r="DA57"/>
      <c r="DB57"/>
      <c r="DC57"/>
    </row>
    <row r="58" spans="1:107" hidden="1" outlineLevel="1">
      <c r="A58" s="377" t="s">
        <v>137</v>
      </c>
      <c r="B58" s="70"/>
      <c r="C58" s="70">
        <f>C57/B57-1</f>
        <v>-0.18130745658835545</v>
      </c>
      <c r="D58" s="70">
        <f>D57/C57-1</f>
        <v>-0.12601372426699942</v>
      </c>
      <c r="E58" s="70">
        <f>E57/D57-1</f>
        <v>0.26552462526766596</v>
      </c>
      <c r="F58" s="70">
        <f>F57/E57-1</f>
        <v>5.6965595036660988E-2</v>
      </c>
      <c r="G58" s="70">
        <f>G57/F57-1</f>
        <v>-3.1483457844183604E-2</v>
      </c>
      <c r="H58" s="118"/>
      <c r="I58" s="64"/>
      <c r="J58" s="64"/>
      <c r="K58" s="64"/>
      <c r="L58" s="70">
        <f t="shared" ref="L58:AL58" si="120">L57/G57-1</f>
        <v>6.0606060606060552E-2</v>
      </c>
      <c r="M58" s="64">
        <f t="shared" si="120"/>
        <v>5.5342465753424719E-2</v>
      </c>
      <c r="N58" s="64">
        <f t="shared" si="120"/>
        <v>0.20987654320987659</v>
      </c>
      <c r="O58" s="64">
        <f t="shared" si="120"/>
        <v>0.67912218268090152</v>
      </c>
      <c r="P58" s="64">
        <f t="shared" si="120"/>
        <v>0.42961038961038955</v>
      </c>
      <c r="Q58" s="70">
        <f t="shared" si="120"/>
        <v>0.42961038961038955</v>
      </c>
      <c r="R58" s="64">
        <f t="shared" si="120"/>
        <v>0.35981308411214963</v>
      </c>
      <c r="S58" s="64">
        <f t="shared" si="120"/>
        <v>0.42711370262390669</v>
      </c>
      <c r="T58" s="64">
        <f t="shared" si="120"/>
        <v>0.11303426351112678</v>
      </c>
      <c r="U58" s="64">
        <f t="shared" si="120"/>
        <v>7.6308139534884134E-3</v>
      </c>
      <c r="V58" s="70">
        <f t="shared" si="120"/>
        <v>7.6308139534884134E-3</v>
      </c>
      <c r="W58" s="64">
        <f t="shared" si="120"/>
        <v>3.6273386788850726E-2</v>
      </c>
      <c r="X58" s="64">
        <f t="shared" si="120"/>
        <v>1.7024174327545216E-2</v>
      </c>
      <c r="Y58" s="64">
        <f t="shared" si="120"/>
        <v>-4.601713741669311E-2</v>
      </c>
      <c r="Z58" s="64">
        <f t="shared" si="120"/>
        <v>-4.2913811756220666E-2</v>
      </c>
      <c r="AA58" s="70">
        <f t="shared" si="120"/>
        <v>-4.2913811756220666E-2</v>
      </c>
      <c r="AB58" s="64">
        <f t="shared" si="120"/>
        <v>-5.858511422254975E-2</v>
      </c>
      <c r="AC58" s="64">
        <f t="shared" si="120"/>
        <v>-2.3434884499497821E-2</v>
      </c>
      <c r="AD58" s="64">
        <f t="shared" si="120"/>
        <v>-1.9627411842980669E-2</v>
      </c>
      <c r="AE58" s="64">
        <f t="shared" si="120"/>
        <v>-2.5621703089675929E-2</v>
      </c>
      <c r="AF58" s="70">
        <f t="shared" si="120"/>
        <v>-2.5621703089675929E-2</v>
      </c>
      <c r="AG58" s="64">
        <f t="shared" si="120"/>
        <v>-9.7064579256360028E-2</v>
      </c>
      <c r="AH58" s="64">
        <f t="shared" si="120"/>
        <v>-0.17072334590332539</v>
      </c>
      <c r="AI58" s="64">
        <f t="shared" si="120"/>
        <v>-5.2256532066508266E-2</v>
      </c>
      <c r="AJ58" s="64">
        <f t="shared" si="120"/>
        <v>-9.6674400618716128E-2</v>
      </c>
      <c r="AK58" s="70">
        <f>AK57/AF57-1</f>
        <v>-9.6674400618716128E-2</v>
      </c>
      <c r="AL58" s="64">
        <f t="shared" si="120"/>
        <v>-8.5825747724317281E-2</v>
      </c>
      <c r="AM58" s="64"/>
      <c r="AN58" s="64"/>
      <c r="AO58" s="64"/>
      <c r="AP58" s="70"/>
      <c r="AQ58" s="64"/>
      <c r="AR58" s="64"/>
      <c r="AS58" s="64"/>
      <c r="AT58" s="64"/>
      <c r="AU58" s="70"/>
      <c r="AV58" s="64"/>
      <c r="AW58" s="64"/>
      <c r="AX58" s="64"/>
      <c r="AY58" s="64"/>
      <c r="AZ58" s="70"/>
      <c r="BA58" s="64"/>
      <c r="BB58" s="64"/>
      <c r="BC58" s="64"/>
      <c r="BD58" s="64"/>
      <c r="BE58" s="70"/>
      <c r="BF58" s="121"/>
      <c r="BG58" s="64"/>
      <c r="BH58" s="64"/>
      <c r="BI58" s="122"/>
      <c r="BJ58" s="70"/>
      <c r="BK58" s="121"/>
      <c r="BL58" s="64"/>
      <c r="BM58" s="64"/>
      <c r="BN58" s="122"/>
      <c r="BO58" s="70"/>
      <c r="BP58" s="70"/>
      <c r="BQ58" s="121"/>
      <c r="BR58" s="64"/>
      <c r="BS58" s="64"/>
      <c r="BT58" s="122"/>
      <c r="BU58" s="70"/>
      <c r="BV58" s="121"/>
      <c r="BW58" s="64"/>
      <c r="BX58" s="64"/>
      <c r="BY58" s="122"/>
      <c r="BZ58" s="70"/>
      <c r="CA58" s="121"/>
      <c r="CB58" s="64"/>
      <c r="CC58" s="64"/>
      <c r="CD58" s="122"/>
      <c r="CE58" s="70"/>
      <c r="CF58" s="121"/>
      <c r="CG58" s="64"/>
      <c r="CH58" s="64"/>
      <c r="CI58" s="122"/>
      <c r="CJ58" s="70"/>
      <c r="CK58" s="289"/>
      <c r="CL58" s="658"/>
      <c r="CM58" s="658"/>
      <c r="CN58" s="682"/>
      <c r="CO58" s="658"/>
      <c r="CP58" s="658"/>
      <c r="CQ58" s="658"/>
      <c r="CR58" s="658"/>
      <c r="CS58" s="658"/>
      <c r="CT58" s="289"/>
    </row>
    <row r="59" spans="1:107" s="180" customFormat="1" ht="12" hidden="1" customHeight="1" outlineLevel="1">
      <c r="A59" s="385" t="s">
        <v>12</v>
      </c>
      <c r="B59" s="134"/>
      <c r="C59" s="134">
        <v>817</v>
      </c>
      <c r="D59" s="134">
        <v>888</v>
      </c>
      <c r="E59" s="134">
        <v>939</v>
      </c>
      <c r="F59" s="134">
        <v>1196</v>
      </c>
      <c r="G59" s="134">
        <v>1263</v>
      </c>
      <c r="H59" s="358">
        <v>1062</v>
      </c>
      <c r="I59" s="358">
        <v>996</v>
      </c>
      <c r="J59" s="358">
        <v>1044</v>
      </c>
      <c r="K59" s="358">
        <f>L59</f>
        <v>1200</v>
      </c>
      <c r="L59" s="134">
        <v>1200</v>
      </c>
      <c r="M59" s="358">
        <v>1274</v>
      </c>
      <c r="N59" s="358">
        <v>1210</v>
      </c>
      <c r="O59" s="358">
        <v>1889</v>
      </c>
      <c r="P59" s="358">
        <f>Q59</f>
        <v>1888</v>
      </c>
      <c r="Q59" s="134">
        <v>1888</v>
      </c>
      <c r="R59" s="358">
        <v>1821</v>
      </c>
      <c r="S59" s="358">
        <v>1885</v>
      </c>
      <c r="T59" s="358">
        <v>2469</v>
      </c>
      <c r="U59" s="358">
        <f>V59</f>
        <v>2051</v>
      </c>
      <c r="V59" s="134">
        <v>2051</v>
      </c>
      <c r="W59" s="358">
        <v>2008</v>
      </c>
      <c r="X59" s="358">
        <v>2079</v>
      </c>
      <c r="Y59" s="358">
        <v>2254</v>
      </c>
      <c r="Z59" s="358">
        <f>+AA59</f>
        <v>2083</v>
      </c>
      <c r="AA59" s="134">
        <v>2083</v>
      </c>
      <c r="AB59" s="358">
        <v>1749</v>
      </c>
      <c r="AC59" s="358">
        <v>1847</v>
      </c>
      <c r="AD59" s="358">
        <v>1973</v>
      </c>
      <c r="AE59" s="358">
        <v>1957</v>
      </c>
      <c r="AF59" s="134">
        <f>AE59</f>
        <v>1957</v>
      </c>
      <c r="AG59" s="358">
        <v>1675</v>
      </c>
      <c r="AH59" s="180">
        <v>1771</v>
      </c>
      <c r="AI59" s="358">
        <v>1930</v>
      </c>
      <c r="AJ59" s="358">
        <f>AK59</f>
        <v>1736</v>
      </c>
      <c r="AK59" s="134">
        <v>1736</v>
      </c>
      <c r="AL59" s="358">
        <v>1541</v>
      </c>
      <c r="AM59" s="358"/>
      <c r="AN59" s="358"/>
      <c r="AO59" s="358"/>
      <c r="AP59" s="134"/>
      <c r="AQ59" s="358"/>
      <c r="AR59" s="358"/>
      <c r="AS59" s="358"/>
      <c r="AT59" s="358"/>
      <c r="AU59" s="134"/>
      <c r="AV59" s="358"/>
      <c r="AW59" s="358"/>
      <c r="AX59" s="358"/>
      <c r="AY59" s="358"/>
      <c r="AZ59" s="134"/>
      <c r="BA59" s="358"/>
      <c r="BB59" s="358"/>
      <c r="BC59" s="358"/>
      <c r="BD59" s="358"/>
      <c r="BE59" s="134"/>
      <c r="BF59" s="359"/>
      <c r="BG59" s="358"/>
      <c r="BH59" s="358"/>
      <c r="BI59" s="360"/>
      <c r="BJ59" s="134"/>
      <c r="BK59" s="359"/>
      <c r="BL59" s="358"/>
      <c r="BM59" s="358"/>
      <c r="BN59" s="360"/>
      <c r="BO59" s="134"/>
      <c r="BP59" s="134"/>
      <c r="BQ59" s="359"/>
      <c r="BR59" s="358"/>
      <c r="BS59" s="358"/>
      <c r="BT59" s="360"/>
      <c r="BU59" s="134"/>
      <c r="BV59" s="359"/>
      <c r="BW59" s="358"/>
      <c r="BX59" s="358"/>
      <c r="BY59" s="360"/>
      <c r="BZ59" s="134"/>
      <c r="CA59" s="359"/>
      <c r="CB59" s="358"/>
      <c r="CC59" s="358"/>
      <c r="CD59" s="360"/>
      <c r="CE59" s="134"/>
      <c r="CF59" s="359"/>
      <c r="CG59" s="358"/>
      <c r="CH59" s="358"/>
      <c r="CI59" s="360"/>
      <c r="CJ59" s="134"/>
      <c r="CK59" s="291"/>
      <c r="CL59" s="657"/>
      <c r="CM59" s="657"/>
      <c r="CN59" s="682"/>
      <c r="CO59" s="657"/>
      <c r="CP59" s="657"/>
      <c r="CQ59" s="657"/>
      <c r="CR59" s="657"/>
      <c r="CS59" s="657"/>
      <c r="CT59" s="291"/>
      <c r="CX59"/>
      <c r="CY59"/>
      <c r="CZ59"/>
      <c r="DA59"/>
      <c r="DB59"/>
      <c r="DC59"/>
    </row>
    <row r="60" spans="1:107" ht="12" hidden="1" customHeight="1" outlineLevel="1">
      <c r="A60" s="385" t="s">
        <v>13</v>
      </c>
      <c r="B60" s="378"/>
      <c r="C60" s="378">
        <f t="shared" ref="C60:AE60" si="121">1-C59/C57</f>
        <v>0.49033063006862132</v>
      </c>
      <c r="D60" s="378">
        <f t="shared" si="121"/>
        <v>0.36616702355460384</v>
      </c>
      <c r="E60" s="378">
        <f t="shared" si="121"/>
        <v>0.47038917089678511</v>
      </c>
      <c r="F60" s="378">
        <f t="shared" si="121"/>
        <v>0.36179295624332974</v>
      </c>
      <c r="G60" s="378">
        <f t="shared" si="121"/>
        <v>0.30413223140495871</v>
      </c>
      <c r="H60" s="379">
        <f t="shared" si="121"/>
        <v>0.41808219178082195</v>
      </c>
      <c r="I60" s="379">
        <f t="shared" si="121"/>
        <v>0.41446208112874783</v>
      </c>
      <c r="J60" s="379">
        <f t="shared" si="121"/>
        <v>0.38078291814946619</v>
      </c>
      <c r="K60" s="380">
        <f t="shared" si="121"/>
        <v>0.37662337662337664</v>
      </c>
      <c r="L60" s="378">
        <f t="shared" si="121"/>
        <v>0.37662337662337664</v>
      </c>
      <c r="M60" s="380">
        <f t="shared" si="121"/>
        <v>0.33852544132917961</v>
      </c>
      <c r="N60" s="379">
        <f t="shared" si="121"/>
        <v>0.41205053449951412</v>
      </c>
      <c r="O60" s="379">
        <f t="shared" si="121"/>
        <v>0.33274461321087956</v>
      </c>
      <c r="P60" s="380">
        <f t="shared" si="121"/>
        <v>0.31395348837209303</v>
      </c>
      <c r="Q60" s="378">
        <f t="shared" si="121"/>
        <v>0.31395348837209303</v>
      </c>
      <c r="R60" s="380">
        <f t="shared" si="121"/>
        <v>0.30469644902634596</v>
      </c>
      <c r="S60" s="380">
        <f t="shared" si="121"/>
        <v>0.35818862785154915</v>
      </c>
      <c r="T60" s="379">
        <f t="shared" si="121"/>
        <v>0.21643922564265317</v>
      </c>
      <c r="U60" s="381">
        <f t="shared" si="121"/>
        <v>0.26036783267219621</v>
      </c>
      <c r="V60" s="378">
        <f t="shared" si="121"/>
        <v>0.26036783267219621</v>
      </c>
      <c r="W60" s="380">
        <f t="shared" si="121"/>
        <v>0.26013264554163595</v>
      </c>
      <c r="X60" s="380">
        <f t="shared" si="121"/>
        <v>0.30398393036491467</v>
      </c>
      <c r="Y60" s="382">
        <f t="shared" si="121"/>
        <v>0.25016633399866928</v>
      </c>
      <c r="Z60" s="382">
        <f t="shared" si="121"/>
        <v>0.21514694800301437</v>
      </c>
      <c r="AA60" s="378">
        <f t="shared" si="121"/>
        <v>0.21514694800301437</v>
      </c>
      <c r="AB60" s="380">
        <f t="shared" si="121"/>
        <v>0.31545988258317026</v>
      </c>
      <c r="AC60" s="380">
        <f t="shared" si="121"/>
        <v>0.36681522111758658</v>
      </c>
      <c r="AD60" s="380">
        <f t="shared" si="121"/>
        <v>0.33050559891414999</v>
      </c>
      <c r="AE60" s="380">
        <f t="shared" si="121"/>
        <v>0.2432327919566899</v>
      </c>
      <c r="AF60" s="378">
        <f>AE60</f>
        <v>0.2432327919566899</v>
      </c>
      <c r="AG60" s="380">
        <f>1-AG59/AG57</f>
        <v>0.27394885132206326</v>
      </c>
      <c r="AH60" s="380">
        <f>1-AH61/AH57</f>
        <v>0.64696155436130631</v>
      </c>
      <c r="AI60" s="380">
        <f>1-AI59/AI57</f>
        <v>0.30898675259577513</v>
      </c>
      <c r="AJ60" s="380">
        <f>1-AJ59/AJ57</f>
        <v>0.25684931506849318</v>
      </c>
      <c r="AK60" s="378">
        <f>AJ60</f>
        <v>0.25684931506849318</v>
      </c>
      <c r="AL60" s="380">
        <f>1-AL59/AL57</f>
        <v>0.2693219535324799</v>
      </c>
      <c r="AM60" s="380"/>
      <c r="AN60" s="380"/>
      <c r="AO60" s="64"/>
      <c r="AP60" s="378"/>
      <c r="AQ60" s="380"/>
      <c r="AR60" s="380"/>
      <c r="AS60" s="380"/>
      <c r="AT60" s="64"/>
      <c r="AU60" s="378"/>
      <c r="AV60" s="380"/>
      <c r="AW60" s="380"/>
      <c r="AX60" s="380"/>
      <c r="AY60" s="64"/>
      <c r="AZ60" s="378"/>
      <c r="BA60" s="380"/>
      <c r="BB60" s="380"/>
      <c r="BC60" s="380"/>
      <c r="BD60" s="64"/>
      <c r="BE60" s="378"/>
      <c r="BF60" s="121"/>
      <c r="BG60" s="64"/>
      <c r="BH60" s="64"/>
      <c r="BI60" s="122"/>
      <c r="BJ60" s="70"/>
      <c r="BK60" s="121"/>
      <c r="BL60" s="64"/>
      <c r="BM60" s="64"/>
      <c r="BN60" s="122"/>
      <c r="BO60" s="70"/>
      <c r="BP60" s="70"/>
      <c r="BQ60" s="121"/>
      <c r="BR60" s="64"/>
      <c r="BS60" s="64"/>
      <c r="BT60" s="122"/>
      <c r="BU60" s="70"/>
      <c r="BV60" s="121"/>
      <c r="BW60" s="64"/>
      <c r="BX60" s="64"/>
      <c r="BY60" s="122"/>
      <c r="BZ60" s="70"/>
      <c r="CA60" s="121"/>
      <c r="CB60" s="64"/>
      <c r="CC60" s="64"/>
      <c r="CD60" s="122"/>
      <c r="CE60" s="70"/>
      <c r="CF60" s="121"/>
      <c r="CG60" s="64"/>
      <c r="CH60" s="64"/>
      <c r="CI60" s="122"/>
      <c r="CJ60" s="70"/>
      <c r="CK60" s="66"/>
      <c r="CL60" s="658"/>
      <c r="CM60" s="658"/>
      <c r="CN60" s="682"/>
      <c r="CO60" s="658"/>
      <c r="CP60" s="658"/>
      <c r="CQ60" s="658"/>
      <c r="CR60" s="658"/>
      <c r="CS60" s="658"/>
      <c r="CT60" s="289"/>
    </row>
    <row r="61" spans="1:107" s="180" customFormat="1" ht="12" hidden="1" customHeight="1" outlineLevel="1">
      <c r="A61" s="385" t="s">
        <v>134</v>
      </c>
      <c r="B61" s="354">
        <v>1250</v>
      </c>
      <c r="C61" s="354">
        <v>1339</v>
      </c>
      <c r="D61" s="354">
        <v>1371</v>
      </c>
      <c r="E61" s="354">
        <v>1802</v>
      </c>
      <c r="F61" s="354">
        <v>1373</v>
      </c>
      <c r="G61" s="354">
        <v>1418</v>
      </c>
      <c r="H61" s="357">
        <v>578</v>
      </c>
      <c r="I61" s="357">
        <v>218</v>
      </c>
      <c r="J61" s="357">
        <v>341</v>
      </c>
      <c r="K61" s="358">
        <v>473</v>
      </c>
      <c r="L61" s="354">
        <v>1610</v>
      </c>
      <c r="M61" s="358">
        <v>418</v>
      </c>
      <c r="N61" s="357">
        <v>595</v>
      </c>
      <c r="O61" s="357">
        <v>1273</v>
      </c>
      <c r="P61" s="358">
        <v>467</v>
      </c>
      <c r="Q61" s="354">
        <v>2753</v>
      </c>
      <c r="R61" s="358">
        <v>451</v>
      </c>
      <c r="S61" s="358">
        <v>946</v>
      </c>
      <c r="T61" s="358">
        <v>882</v>
      </c>
      <c r="U61" s="358">
        <v>354</v>
      </c>
      <c r="V61" s="354">
        <v>2633</v>
      </c>
      <c r="W61" s="358">
        <v>578</v>
      </c>
      <c r="X61" s="358">
        <v>947</v>
      </c>
      <c r="Y61" s="358">
        <v>696</v>
      </c>
      <c r="Z61" s="181">
        <v>410</v>
      </c>
      <c r="AA61" s="354">
        <v>2631</v>
      </c>
      <c r="AB61" s="358">
        <v>535</v>
      </c>
      <c r="AC61" s="358">
        <v>1108</v>
      </c>
      <c r="AD61" s="358">
        <v>707</v>
      </c>
      <c r="AE61" s="181">
        <v>424</v>
      </c>
      <c r="AF61" s="354">
        <f>SUM(AB61:AE61)</f>
        <v>2774</v>
      </c>
      <c r="AG61" s="358">
        <v>381</v>
      </c>
      <c r="AH61" s="358">
        <v>854</v>
      </c>
      <c r="AI61" s="358">
        <v>942</v>
      </c>
      <c r="AJ61" s="181">
        <f>AK61-SUM(AG61:AI61)</f>
        <v>374</v>
      </c>
      <c r="AK61" s="354">
        <v>2551</v>
      </c>
      <c r="AL61" s="358">
        <v>363</v>
      </c>
      <c r="AM61" s="358"/>
      <c r="AN61" s="358"/>
      <c r="AO61" s="181"/>
      <c r="AP61" s="354"/>
      <c r="AQ61" s="358"/>
      <c r="AR61" s="358"/>
      <c r="AS61" s="358"/>
      <c r="AT61" s="181"/>
      <c r="AU61" s="354"/>
      <c r="AV61" s="358"/>
      <c r="AW61" s="358"/>
      <c r="AX61" s="358"/>
      <c r="AY61" s="181"/>
      <c r="AZ61" s="354"/>
      <c r="BA61" s="358"/>
      <c r="BB61" s="358"/>
      <c r="BC61" s="358"/>
      <c r="BD61" s="181"/>
      <c r="BE61" s="354"/>
      <c r="BF61" s="355"/>
      <c r="BG61" s="181"/>
      <c r="BH61" s="181"/>
      <c r="BI61" s="356"/>
      <c r="BJ61" s="354"/>
      <c r="BK61" s="355"/>
      <c r="BL61" s="181"/>
      <c r="BM61" s="181"/>
      <c r="BN61" s="356"/>
      <c r="BO61" s="354"/>
      <c r="BP61" s="354"/>
      <c r="BQ61" s="355"/>
      <c r="BR61" s="181"/>
      <c r="BS61" s="181"/>
      <c r="BT61" s="356"/>
      <c r="BU61" s="354"/>
      <c r="BV61" s="355"/>
      <c r="BW61" s="181"/>
      <c r="BX61" s="181"/>
      <c r="BY61" s="356"/>
      <c r="BZ61" s="354"/>
      <c r="CA61" s="355"/>
      <c r="CB61" s="181"/>
      <c r="CC61" s="181"/>
      <c r="CD61" s="356"/>
      <c r="CE61" s="354"/>
      <c r="CF61" s="355"/>
      <c r="CG61" s="181"/>
      <c r="CH61" s="181"/>
      <c r="CI61" s="356"/>
      <c r="CJ61" s="354"/>
      <c r="CK61" s="291"/>
      <c r="CL61" s="657"/>
      <c r="CM61" s="657"/>
      <c r="CN61" s="682"/>
      <c r="CO61" s="657"/>
      <c r="CP61" s="657"/>
      <c r="CQ61" s="657"/>
      <c r="CR61" s="657"/>
      <c r="CS61" s="657"/>
      <c r="CT61" s="291"/>
      <c r="CX61"/>
      <c r="CY61"/>
      <c r="CZ61"/>
      <c r="DA61"/>
      <c r="DB61"/>
      <c r="DC61"/>
    </row>
    <row r="62" spans="1:107" ht="12" hidden="1" customHeight="1" outlineLevel="1">
      <c r="A62" s="385" t="s">
        <v>116</v>
      </c>
      <c r="B62" s="383">
        <f t="shared" ref="B62:AJ62" si="122">+B61/B54</f>
        <v>0.6097560975609756</v>
      </c>
      <c r="C62" s="383">
        <f t="shared" si="122"/>
        <v>0.62775433661509605</v>
      </c>
      <c r="D62" s="383">
        <f t="shared" si="122"/>
        <v>0.69842078451349976</v>
      </c>
      <c r="E62" s="383">
        <f t="shared" si="122"/>
        <v>0.90689481630598889</v>
      </c>
      <c r="F62" s="383">
        <f t="shared" si="122"/>
        <v>0.66456921587608908</v>
      </c>
      <c r="G62" s="383">
        <f t="shared" si="122"/>
        <v>0.65861588481189037</v>
      </c>
      <c r="H62" s="384">
        <f t="shared" si="122"/>
        <v>1.2483801295896328</v>
      </c>
      <c r="I62" s="384">
        <f t="shared" si="122"/>
        <v>0.42412451361867703</v>
      </c>
      <c r="J62" s="384">
        <f t="shared" si="122"/>
        <v>0.6155234657039711</v>
      </c>
      <c r="K62" s="384">
        <f t="shared" si="122"/>
        <v>0.73561430793157079</v>
      </c>
      <c r="L62" s="383">
        <f t="shared" si="122"/>
        <v>0.74057037718491259</v>
      </c>
      <c r="M62" s="384">
        <f t="shared" si="122"/>
        <v>0.80230326295585408</v>
      </c>
      <c r="N62" s="384">
        <f t="shared" si="122"/>
        <v>0.91962905718701704</v>
      </c>
      <c r="O62" s="384">
        <f t="shared" si="122"/>
        <v>1.8476052249637156</v>
      </c>
      <c r="P62" s="384">
        <f t="shared" si="122"/>
        <v>0.62768817204301075</v>
      </c>
      <c r="Q62" s="383">
        <f t="shared" si="122"/>
        <v>1.0584390618992696</v>
      </c>
      <c r="R62" s="384">
        <f t="shared" si="122"/>
        <v>0.64798850574712641</v>
      </c>
      <c r="S62" s="384">
        <f t="shared" si="122"/>
        <v>1.2128205128205127</v>
      </c>
      <c r="T62" s="384">
        <f t="shared" si="122"/>
        <v>1.1066499372647427</v>
      </c>
      <c r="U62" s="384">
        <f t="shared" si="122"/>
        <v>0.39864864864864863</v>
      </c>
      <c r="V62" s="383">
        <f t="shared" si="122"/>
        <v>0.83296425181904465</v>
      </c>
      <c r="W62" s="384">
        <f t="shared" si="122"/>
        <v>0.72159800249687889</v>
      </c>
      <c r="X62" s="384">
        <f t="shared" si="122"/>
        <v>1.1354916067146283</v>
      </c>
      <c r="Y62" s="384">
        <f t="shared" si="122"/>
        <v>0.79725085910652926</v>
      </c>
      <c r="Z62" s="384">
        <f t="shared" si="122"/>
        <v>0.42531120331950206</v>
      </c>
      <c r="AA62" s="383">
        <f t="shared" si="122"/>
        <v>0.75777649769585254</v>
      </c>
      <c r="AB62" s="384">
        <f t="shared" si="122"/>
        <v>0.66958698372966208</v>
      </c>
      <c r="AC62" s="384">
        <f t="shared" si="122"/>
        <v>1.3019976498237369</v>
      </c>
      <c r="AD62" s="384">
        <f t="shared" si="122"/>
        <v>0.8653610771113831</v>
      </c>
      <c r="AE62" s="384">
        <f t="shared" si="122"/>
        <v>0.47855530474040631</v>
      </c>
      <c r="AF62" s="383">
        <f t="shared" si="122"/>
        <v>0.82731881896808823</v>
      </c>
      <c r="AG62" s="384">
        <f t="shared" si="122"/>
        <v>0.47506234413965087</v>
      </c>
      <c r="AH62" s="384">
        <f t="shared" si="122"/>
        <v>1.0401948842874542</v>
      </c>
      <c r="AI62" s="384">
        <f t="shared" si="122"/>
        <v>1.2</v>
      </c>
      <c r="AJ62" s="384">
        <f t="shared" si="122"/>
        <v>0.45006016847172081</v>
      </c>
      <c r="AK62" s="383">
        <f>+AK61/AK54</f>
        <v>0.78758876196356897</v>
      </c>
      <c r="AL62" s="384">
        <f>+AL61/AL54</f>
        <v>0.48079470198675495</v>
      </c>
      <c r="AM62" s="384"/>
      <c r="AN62" s="384"/>
      <c r="AO62" s="117"/>
      <c r="AP62" s="383"/>
      <c r="AQ62" s="384"/>
      <c r="AR62" s="384"/>
      <c r="AS62" s="384"/>
      <c r="AT62" s="117"/>
      <c r="AU62" s="383"/>
      <c r="AV62" s="384"/>
      <c r="AW62" s="384"/>
      <c r="AX62" s="384"/>
      <c r="AY62" s="117"/>
      <c r="AZ62" s="383"/>
      <c r="BA62" s="384"/>
      <c r="BB62" s="384"/>
      <c r="BC62" s="384"/>
      <c r="BD62" s="117"/>
      <c r="BE62" s="383"/>
      <c r="BF62" s="363"/>
      <c r="BG62" s="362"/>
      <c r="BH62" s="362"/>
      <c r="BI62" s="364"/>
      <c r="BJ62" s="361"/>
      <c r="BK62" s="363"/>
      <c r="BL62" s="362"/>
      <c r="BM62" s="362"/>
      <c r="BN62" s="364"/>
      <c r="BO62" s="361"/>
      <c r="BP62" s="361"/>
      <c r="BQ62" s="363"/>
      <c r="BR62" s="362"/>
      <c r="BS62" s="362"/>
      <c r="BT62" s="364"/>
      <c r="BU62" s="361"/>
      <c r="BV62" s="363"/>
      <c r="BW62" s="362"/>
      <c r="BX62" s="362"/>
      <c r="BY62" s="364"/>
      <c r="BZ62" s="361"/>
      <c r="CA62" s="363"/>
      <c r="CB62" s="362"/>
      <c r="CC62" s="362"/>
      <c r="CD62" s="364"/>
      <c r="CE62" s="361"/>
      <c r="CF62" s="363"/>
      <c r="CG62" s="362"/>
      <c r="CH62" s="362"/>
      <c r="CI62" s="364"/>
      <c r="CJ62" s="361"/>
      <c r="CK62" s="66"/>
      <c r="CL62" s="658"/>
      <c r="CM62" s="658"/>
      <c r="CN62" s="682"/>
      <c r="CO62" s="658"/>
      <c r="CP62" s="658"/>
      <c r="CQ62" s="658"/>
      <c r="CR62" s="658"/>
      <c r="CS62" s="658"/>
      <c r="CT62" s="289"/>
    </row>
    <row r="63" spans="1:107" ht="12" hidden="1" customHeight="1" outlineLevel="1">
      <c r="A63" s="385" t="s">
        <v>1</v>
      </c>
      <c r="B63" s="383">
        <f t="shared" ref="B63:G63" si="123">B57/B54</f>
        <v>0.95512195121951216</v>
      </c>
      <c r="C63" s="383">
        <f t="shared" si="123"/>
        <v>0.75152367557430844</v>
      </c>
      <c r="D63" s="383">
        <f t="shared" si="123"/>
        <v>0.71370351502801832</v>
      </c>
      <c r="E63" s="383">
        <f t="shared" si="123"/>
        <v>0.89229994967287363</v>
      </c>
      <c r="F63" s="383">
        <f t="shared" si="123"/>
        <v>0.90706679574056148</v>
      </c>
      <c r="G63" s="383">
        <f t="shared" si="123"/>
        <v>0.8430097538318625</v>
      </c>
      <c r="H63" s="384">
        <f>H57/H54/4</f>
        <v>0.98542116630669552</v>
      </c>
      <c r="I63" s="384">
        <f>I57/I54/4</f>
        <v>0.8273346303501945</v>
      </c>
      <c r="J63" s="384">
        <f>J57/J54/4</f>
        <v>0.76083032490974734</v>
      </c>
      <c r="K63" s="384">
        <f>K57/K54/4</f>
        <v>0.74844479004665632</v>
      </c>
      <c r="L63" s="383">
        <f>L57/L54</f>
        <v>0.88546458141674333</v>
      </c>
      <c r="M63" s="384">
        <f>M57/M54/4</f>
        <v>0.92418426103646834</v>
      </c>
      <c r="N63" s="384">
        <f>N57/N54/4</f>
        <v>0.79520865533230289</v>
      </c>
      <c r="O63" s="384">
        <f>O57/O54/4</f>
        <v>1.0272133526850509</v>
      </c>
      <c r="P63" s="384">
        <f>P57/P54/4</f>
        <v>0.92473118279569888</v>
      </c>
      <c r="Q63" s="383">
        <f>Q57/Q54</f>
        <v>1.0580545943867743</v>
      </c>
      <c r="R63" s="384">
        <f>R57/R54/4</f>
        <v>0.94073275862068961</v>
      </c>
      <c r="S63" s="384">
        <f>S57/S54/4</f>
        <v>0.94134615384615383</v>
      </c>
      <c r="T63" s="384">
        <f>T57/T54/4</f>
        <v>0.98839397741530743</v>
      </c>
      <c r="U63" s="384">
        <f>U57/U54/4</f>
        <v>0.78068693693693691</v>
      </c>
      <c r="V63" s="383">
        <f>V57/V54</f>
        <v>0.87725403353369191</v>
      </c>
      <c r="W63" s="384">
        <f>W57/W54/4</f>
        <v>0.84706616729088635</v>
      </c>
      <c r="X63" s="384">
        <f>X57/X54/4</f>
        <v>0.89538369304556353</v>
      </c>
      <c r="Y63" s="384">
        <f>Y57/Y54/4</f>
        <v>0.86082474226804129</v>
      </c>
      <c r="Z63" s="384">
        <f>Z57/Z54/4</f>
        <v>0.68827800829875518</v>
      </c>
      <c r="AA63" s="383">
        <f>AA57/AA54</f>
        <v>0.76440092165898621</v>
      </c>
      <c r="AB63" s="384">
        <f>AB57/AB54/4</f>
        <v>0.79943679599499373</v>
      </c>
      <c r="AC63" s="384">
        <f>AC57/AC54/4</f>
        <v>0.85693301997649829</v>
      </c>
      <c r="AD63" s="384">
        <f>AD57/AD54/4</f>
        <v>0.90177478580171355</v>
      </c>
      <c r="AE63" s="384">
        <f>AE57/AE54/4</f>
        <v>0.72968397291196385</v>
      </c>
      <c r="AF63" s="383">
        <f>AF57/AF54</f>
        <v>0.77124962719952284</v>
      </c>
      <c r="AG63" s="384">
        <f>AG57/AG54/4</f>
        <v>0.71913965087281795</v>
      </c>
      <c r="AH63" s="384">
        <f>AH57/AH54/4</f>
        <v>0.73660170523751523</v>
      </c>
      <c r="AI63" s="384">
        <f>AI57/AI54/4</f>
        <v>0.88949044585987258</v>
      </c>
      <c r="AJ63" s="384">
        <f>AJ57/AJ54/4</f>
        <v>0.70276774969915767</v>
      </c>
      <c r="AK63" s="383">
        <f>AK57/AK54</f>
        <v>0.72121025007718431</v>
      </c>
      <c r="AL63" s="539">
        <f>AL57/AL54/4</f>
        <v>0.69834437086092715</v>
      </c>
      <c r="AM63" s="384"/>
      <c r="AN63" s="384"/>
      <c r="AO63" s="384"/>
      <c r="AP63" s="383"/>
      <c r="AQ63" s="384"/>
      <c r="AR63" s="384"/>
      <c r="AS63" s="384"/>
      <c r="AT63" s="384"/>
      <c r="AU63" s="383"/>
      <c r="AV63" s="384"/>
      <c r="AW63" s="384"/>
      <c r="AX63" s="384"/>
      <c r="AY63" s="384"/>
      <c r="AZ63" s="383"/>
      <c r="BA63" s="384"/>
      <c r="BB63" s="384"/>
      <c r="BC63" s="384"/>
      <c r="BD63" s="384"/>
      <c r="BE63" s="383"/>
      <c r="BF63" s="363"/>
      <c r="BG63" s="362"/>
      <c r="BH63" s="362"/>
      <c r="BI63" s="362"/>
      <c r="BJ63" s="363"/>
      <c r="BK63" s="363"/>
      <c r="BL63" s="362"/>
      <c r="BM63" s="362"/>
      <c r="BN63" s="362"/>
      <c r="BO63" s="363"/>
      <c r="BP63" s="363"/>
      <c r="BQ63" s="363"/>
      <c r="BR63" s="362"/>
      <c r="BS63" s="362"/>
      <c r="BT63" s="362"/>
      <c r="BU63" s="363"/>
      <c r="BV63" s="363"/>
      <c r="BW63" s="362"/>
      <c r="BX63" s="362"/>
      <c r="BY63" s="362"/>
      <c r="BZ63" s="363"/>
      <c r="CA63" s="363"/>
      <c r="CB63" s="362"/>
      <c r="CC63" s="362"/>
      <c r="CD63" s="362"/>
      <c r="CE63" s="363"/>
      <c r="CF63" s="363"/>
      <c r="CG63" s="362"/>
      <c r="CH63" s="362"/>
      <c r="CI63" s="362"/>
      <c r="CJ63" s="363"/>
      <c r="CK63" s="66"/>
      <c r="CL63" s="657"/>
      <c r="CM63" s="658"/>
      <c r="CN63" s="977"/>
      <c r="CO63" s="658"/>
      <c r="CP63" s="658"/>
      <c r="CQ63" s="658"/>
      <c r="CR63" s="658"/>
      <c r="CS63" s="658"/>
      <c r="CT63" s="289"/>
    </row>
    <row r="64" spans="1:107" s="204" customFormat="1" collapsed="1">
      <c r="A64" s="127" t="s">
        <v>253</v>
      </c>
      <c r="B64" s="128"/>
      <c r="C64" s="128"/>
      <c r="D64" s="128"/>
      <c r="E64" s="128"/>
      <c r="F64" s="128"/>
      <c r="G64" s="128"/>
      <c r="H64" s="132"/>
      <c r="I64" s="132"/>
      <c r="J64" s="132"/>
      <c r="K64" s="129"/>
      <c r="L64" s="128"/>
      <c r="M64" s="129"/>
      <c r="N64" s="132"/>
      <c r="O64" s="132"/>
      <c r="P64" s="129"/>
      <c r="Q64" s="128"/>
      <c r="R64" s="129"/>
      <c r="S64" s="132"/>
      <c r="T64" s="132"/>
      <c r="U64" s="129"/>
      <c r="V64" s="128"/>
      <c r="W64" s="129"/>
      <c r="X64" s="132"/>
      <c r="Y64" s="132"/>
      <c r="Z64" s="129"/>
      <c r="AA64" s="128"/>
      <c r="AB64" s="129"/>
      <c r="AC64" s="132"/>
      <c r="AD64" s="132"/>
      <c r="AE64" s="129"/>
      <c r="AF64" s="128"/>
      <c r="AG64" s="129"/>
      <c r="AH64" s="132"/>
      <c r="AI64" s="132"/>
      <c r="AJ64" s="129"/>
      <c r="AK64" s="128"/>
      <c r="AL64" s="132"/>
      <c r="AM64" s="132"/>
      <c r="AN64" s="132"/>
      <c r="AO64" s="129"/>
      <c r="AP64" s="128">
        <v>87</v>
      </c>
      <c r="AQ64" s="132">
        <v>23</v>
      </c>
      <c r="AR64" s="132">
        <v>28</v>
      </c>
      <c r="AS64" s="132">
        <v>30</v>
      </c>
      <c r="AT64" s="129">
        <v>23</v>
      </c>
      <c r="AU64" s="128">
        <f>SUM(AQ64:AT64)</f>
        <v>104</v>
      </c>
      <c r="AV64" s="132"/>
      <c r="AW64" s="132"/>
      <c r="AX64" s="132"/>
      <c r="AY64" s="129"/>
      <c r="AZ64" s="128">
        <v>104</v>
      </c>
      <c r="BA64" s="132">
        <v>24</v>
      </c>
      <c r="BB64" s="132">
        <v>57</v>
      </c>
      <c r="BC64" s="132">
        <v>114</v>
      </c>
      <c r="BD64" s="132">
        <v>133</v>
      </c>
      <c r="BE64" s="128">
        <f>SUM(BA64:BD64)</f>
        <v>328</v>
      </c>
      <c r="BF64" s="132">
        <v>139</v>
      </c>
      <c r="BG64" s="132">
        <v>138</v>
      </c>
      <c r="BH64" s="132">
        <v>149</v>
      </c>
      <c r="BI64" s="132">
        <v>143</v>
      </c>
      <c r="BJ64" s="128">
        <f>SUM(BF64:BI64)</f>
        <v>569</v>
      </c>
      <c r="BK64" s="132">
        <v>144</v>
      </c>
      <c r="BL64" s="129">
        <v>138</v>
      </c>
      <c r="BM64" s="132">
        <v>170</v>
      </c>
      <c r="BN64" s="132">
        <v>156</v>
      </c>
      <c r="BO64" s="128">
        <f>SUM(BK64:BN64)</f>
        <v>608</v>
      </c>
      <c r="BP64" s="128">
        <f>BO64</f>
        <v>608</v>
      </c>
      <c r="BQ64" s="130">
        <f t="shared" ref="BQ64" si="124">BK64*(1+BQ65)</f>
        <v>154.08000000000001</v>
      </c>
      <c r="BR64" s="129">
        <f t="shared" ref="BR64" si="125">BL64*(1+BR65)</f>
        <v>147.66</v>
      </c>
      <c r="BS64" s="129">
        <f t="shared" ref="BS64" si="126">BM64*(1+BS65)</f>
        <v>181.9</v>
      </c>
      <c r="BT64" s="131">
        <f t="shared" ref="BT64" si="127">BN64*(1+BT65)</f>
        <v>166.92000000000002</v>
      </c>
      <c r="BU64" s="130">
        <f>+SUM(BQ64:BT64)</f>
        <v>650.55999999999995</v>
      </c>
      <c r="BV64" s="130"/>
      <c r="BW64" s="129"/>
      <c r="BX64" s="129"/>
      <c r="BY64" s="131"/>
      <c r="BZ64" s="128">
        <f>BU64*(1+BZ65)</f>
        <v>696.0992</v>
      </c>
      <c r="CA64" s="130"/>
      <c r="CB64" s="129"/>
      <c r="CC64" s="129"/>
      <c r="CD64" s="131"/>
      <c r="CE64" s="128">
        <f>BZ64*(1+CE65)</f>
        <v>751.78713600000003</v>
      </c>
      <c r="CF64" s="130"/>
      <c r="CG64" s="129"/>
      <c r="CH64" s="129"/>
      <c r="CI64" s="131"/>
      <c r="CJ64" s="128">
        <f>CE64*(1+CJ65)</f>
        <v>819.44797824000011</v>
      </c>
      <c r="CK64" s="296"/>
      <c r="CL64" s="657" t="s">
        <v>343</v>
      </c>
      <c r="CM64" s="657"/>
      <c r="CN64" s="682"/>
      <c r="CO64" s="657"/>
      <c r="CP64" s="657"/>
      <c r="CQ64" s="657"/>
      <c r="CR64" s="657"/>
      <c r="CS64" s="657"/>
      <c r="CT64" s="296"/>
      <c r="CX64"/>
      <c r="CY64"/>
      <c r="CZ64"/>
      <c r="DA64"/>
      <c r="DB64"/>
      <c r="DC64"/>
    </row>
    <row r="65" spans="1:107">
      <c r="A65" s="62" t="s">
        <v>137</v>
      </c>
      <c r="B65" s="70"/>
      <c r="C65" s="70"/>
      <c r="D65" s="70"/>
      <c r="E65" s="70"/>
      <c r="F65" s="70"/>
      <c r="G65" s="70"/>
      <c r="H65" s="118"/>
      <c r="I65" s="64"/>
      <c r="J65" s="64"/>
      <c r="K65" s="64"/>
      <c r="L65" s="70"/>
      <c r="M65" s="64"/>
      <c r="N65" s="64"/>
      <c r="O65" s="64"/>
      <c r="P65" s="64"/>
      <c r="Q65" s="70"/>
      <c r="R65" s="64"/>
      <c r="S65" s="64"/>
      <c r="T65" s="64"/>
      <c r="U65" s="64"/>
      <c r="V65" s="70"/>
      <c r="W65" s="64"/>
      <c r="X65" s="64"/>
      <c r="Y65" s="64"/>
      <c r="Z65" s="64"/>
      <c r="AA65" s="70"/>
      <c r="AB65" s="64"/>
      <c r="AC65" s="64"/>
      <c r="AD65" s="64"/>
      <c r="AE65" s="64"/>
      <c r="AF65" s="70"/>
      <c r="AG65" s="64"/>
      <c r="AH65" s="64"/>
      <c r="AI65" s="64"/>
      <c r="AJ65" s="64"/>
      <c r="AK65" s="70"/>
      <c r="AL65" s="64"/>
      <c r="AM65" s="64"/>
      <c r="AN65" s="64"/>
      <c r="AO65" s="64"/>
      <c r="AP65" s="70"/>
      <c r="AQ65" s="64"/>
      <c r="AR65" s="64"/>
      <c r="AS65" s="64"/>
      <c r="AT65" s="64"/>
      <c r="AU65" s="70">
        <f t="shared" ref="AU65" si="128">AU64/AP64-1</f>
        <v>0.19540229885057481</v>
      </c>
      <c r="AV65" s="64"/>
      <c r="AW65" s="64"/>
      <c r="AX65" s="64"/>
      <c r="AY65" s="64"/>
      <c r="AZ65" s="70">
        <f t="shared" ref="AZ65" si="129">AZ64/AU64-1</f>
        <v>0</v>
      </c>
      <c r="BA65" s="64">
        <f>BA64/AQ64-1</f>
        <v>4.3478260869565188E-2</v>
      </c>
      <c r="BB65" s="64">
        <f>BB64/AR64-1</f>
        <v>1.0357142857142856</v>
      </c>
      <c r="BC65" s="64">
        <f>BC64/AS64-1</f>
        <v>2.8</v>
      </c>
      <c r="BD65" s="64">
        <f>BD64/AT64-1</f>
        <v>4.7826086956521738</v>
      </c>
      <c r="BE65" s="70">
        <f t="shared" ref="BE65:BM65" si="130">BE64/AZ64-1</f>
        <v>2.1538461538461537</v>
      </c>
      <c r="BF65" s="64">
        <f t="shared" si="130"/>
        <v>4.791666666666667</v>
      </c>
      <c r="BG65" s="64">
        <f t="shared" si="130"/>
        <v>1.4210526315789473</v>
      </c>
      <c r="BH65" s="64">
        <f t="shared" si="130"/>
        <v>0.30701754385964919</v>
      </c>
      <c r="BI65" s="64">
        <f t="shared" si="130"/>
        <v>7.5187969924812137E-2</v>
      </c>
      <c r="BJ65" s="70">
        <f t="shared" si="130"/>
        <v>0.73475609756097571</v>
      </c>
      <c r="BK65" s="64">
        <f t="shared" si="130"/>
        <v>3.5971223021582732E-2</v>
      </c>
      <c r="BL65" s="963">
        <f t="shared" si="130"/>
        <v>0</v>
      </c>
      <c r="BM65" s="64">
        <f t="shared" si="130"/>
        <v>0.14093959731543615</v>
      </c>
      <c r="BN65" s="64">
        <f t="shared" ref="BN65" si="131">BN64/BI64-1</f>
        <v>9.0909090909090828E-2</v>
      </c>
      <c r="BO65" s="70">
        <f t="shared" ref="BO65" si="132">BO64/BJ64-1</f>
        <v>6.8541300527240834E-2</v>
      </c>
      <c r="BP65" s="70"/>
      <c r="BQ65" s="480">
        <v>7.0000000000000007E-2</v>
      </c>
      <c r="BR65" s="479">
        <v>7.0000000000000007E-2</v>
      </c>
      <c r="BS65" s="479">
        <v>7.0000000000000007E-2</v>
      </c>
      <c r="BT65" s="479">
        <v>7.0000000000000007E-2</v>
      </c>
      <c r="BU65" s="474">
        <f>BU64/BO64 -1</f>
        <v>6.999999999999984E-2</v>
      </c>
      <c r="BV65" s="480"/>
      <c r="BW65" s="479"/>
      <c r="BX65" s="479"/>
      <c r="BY65" s="479"/>
      <c r="BZ65" s="480">
        <v>7.0000000000000007E-2</v>
      </c>
      <c r="CA65" s="480"/>
      <c r="CB65" s="479"/>
      <c r="CC65" s="479"/>
      <c r="CD65" s="479"/>
      <c r="CE65" s="480">
        <v>0.08</v>
      </c>
      <c r="CF65" s="480"/>
      <c r="CG65" s="479"/>
      <c r="CH65" s="479"/>
      <c r="CI65" s="479"/>
      <c r="CJ65" s="480">
        <v>0.09</v>
      </c>
      <c r="CK65" s="289"/>
      <c r="CL65" s="957"/>
      <c r="CM65" s="657"/>
      <c r="CN65" s="682"/>
      <c r="CO65" s="658"/>
      <c r="CP65" s="658"/>
      <c r="CQ65" s="658"/>
      <c r="CR65" s="658"/>
      <c r="CS65" s="658"/>
      <c r="CT65" s="289"/>
    </row>
    <row r="66" spans="1:107">
      <c r="A66" s="62" t="s">
        <v>16</v>
      </c>
      <c r="B66" s="70"/>
      <c r="C66" s="70"/>
      <c r="D66" s="70"/>
      <c r="E66" s="70"/>
      <c r="F66" s="70"/>
      <c r="G66" s="70"/>
      <c r="H66" s="118"/>
      <c r="I66" s="64"/>
      <c r="J66" s="64"/>
      <c r="K66" s="64"/>
      <c r="L66" s="70"/>
      <c r="M66" s="64"/>
      <c r="N66" s="64"/>
      <c r="O66" s="64"/>
      <c r="P66" s="64"/>
      <c r="Q66" s="70"/>
      <c r="R66" s="64"/>
      <c r="S66" s="64"/>
      <c r="T66" s="64"/>
      <c r="U66" s="64"/>
      <c r="V66" s="70"/>
      <c r="W66" s="64"/>
      <c r="X66" s="64"/>
      <c r="Y66" s="64"/>
      <c r="Z66" s="64"/>
      <c r="AA66" s="70"/>
      <c r="AB66" s="64"/>
      <c r="AC66" s="64"/>
      <c r="AD66" s="64"/>
      <c r="AE66" s="64"/>
      <c r="AF66" s="70"/>
      <c r="AG66" s="64"/>
      <c r="AH66" s="64"/>
      <c r="AI66" s="64"/>
      <c r="AJ66" s="64"/>
      <c r="AK66" s="70"/>
      <c r="AL66" s="64"/>
      <c r="AM66" s="64"/>
      <c r="AN66" s="64"/>
      <c r="AO66" s="64"/>
      <c r="AP66" s="70">
        <f>AP64/AP77</f>
        <v>3.6565376371201614E-3</v>
      </c>
      <c r="AQ66" s="64">
        <f t="shared" ref="AQ66:BB66" si="133">AQ64/AQ77</f>
        <v>4.1757443718228029E-3</v>
      </c>
      <c r="AR66" s="64">
        <f t="shared" si="133"/>
        <v>4.9114190492895986E-3</v>
      </c>
      <c r="AS66" s="64">
        <f t="shared" si="133"/>
        <v>5.4804530507855317E-3</v>
      </c>
      <c r="AT66" s="64">
        <f t="shared" si="133"/>
        <v>3.7440989744424546E-3</v>
      </c>
      <c r="AU66" s="70">
        <f t="shared" si="133"/>
        <v>4.556207833172698E-3</v>
      </c>
      <c r="AV66" s="64"/>
      <c r="AW66" s="64"/>
      <c r="AX66" s="64"/>
      <c r="AY66" s="64"/>
      <c r="AZ66" s="70">
        <f t="shared" ref="AZ66" si="134">AZ64/AZ77</f>
        <v>4.556207833172698E-3</v>
      </c>
      <c r="BA66" s="64">
        <f t="shared" si="133"/>
        <v>4.5385779122541605E-3</v>
      </c>
      <c r="BB66" s="64">
        <f t="shared" si="133"/>
        <v>9.7469220246238029E-3</v>
      </c>
      <c r="BC66" s="64">
        <f t="shared" ref="BC66:BJ66" si="135">BC64/BC77</f>
        <v>1.9712951755144387E-2</v>
      </c>
      <c r="BD66" s="64">
        <f t="shared" si="135"/>
        <v>2.1017699115044249E-2</v>
      </c>
      <c r="BE66" s="70">
        <f t="shared" si="135"/>
        <v>1.4109347442680775E-2</v>
      </c>
      <c r="BF66" s="64">
        <f t="shared" si="135"/>
        <v>2.3957256118579798E-2</v>
      </c>
      <c r="BG66" s="64">
        <f t="shared" si="135"/>
        <v>2.2866611433305716E-2</v>
      </c>
      <c r="BH66" s="64">
        <f t="shared" si="135"/>
        <v>2.4697497099287254E-2</v>
      </c>
      <c r="BI66" s="64">
        <f t="shared" si="135"/>
        <v>2.3057078361818768E-2</v>
      </c>
      <c r="BJ66" s="70">
        <f t="shared" si="135"/>
        <v>2.3637421070122965E-2</v>
      </c>
      <c r="BK66" s="64">
        <f t="shared" ref="BK66:BO66" si="136">BK64/BK77</f>
        <v>2.4E-2</v>
      </c>
      <c r="BL66" s="64">
        <f t="shared" si="136"/>
        <v>2.1971023722337207E-2</v>
      </c>
      <c r="BM66" s="64">
        <f t="shared" si="136"/>
        <v>2.7052832590706555E-2</v>
      </c>
      <c r="BN66" s="64">
        <f t="shared" si="136"/>
        <v>2.2998673153471916E-2</v>
      </c>
      <c r="BO66" s="70">
        <f t="shared" si="136"/>
        <v>2.3986113302824682E-2</v>
      </c>
      <c r="BP66" s="70"/>
      <c r="BQ66" s="1005">
        <f t="shared" ref="BQ66:BT66" si="137">BQ64/BQ77</f>
        <v>2.4479066775615042E-2</v>
      </c>
      <c r="BR66" s="1006">
        <f t="shared" si="137"/>
        <v>2.2169222875953555E-2</v>
      </c>
      <c r="BS66" s="1006">
        <f t="shared" si="137"/>
        <v>2.7370613465617311E-2</v>
      </c>
      <c r="BT66" s="1007">
        <f t="shared" si="137"/>
        <v>2.3154304508421698E-2</v>
      </c>
      <c r="BU66" s="70">
        <f>BU64/BU77</f>
        <v>2.4265768592520588E-2</v>
      </c>
      <c r="BV66" s="240"/>
      <c r="BW66" s="238"/>
      <c r="BX66" s="238"/>
      <c r="BY66" s="241"/>
      <c r="BZ66" s="70">
        <f>BZ64/BZ77</f>
        <v>2.4621634551748463E-2</v>
      </c>
      <c r="CA66" s="240"/>
      <c r="CB66" s="238"/>
      <c r="CC66" s="238"/>
      <c r="CD66" s="241"/>
      <c r="CE66" s="70">
        <f>CE64/CE77</f>
        <v>2.5159514810065432E-2</v>
      </c>
      <c r="CF66" s="240"/>
      <c r="CG66" s="238"/>
      <c r="CH66" s="238"/>
      <c r="CI66" s="241"/>
      <c r="CJ66" s="70">
        <f>CJ64/CJ77</f>
        <v>2.5939912499930995E-2</v>
      </c>
      <c r="CK66" s="289"/>
      <c r="CL66" s="657"/>
      <c r="CM66" s="658"/>
      <c r="CN66" s="682"/>
      <c r="CO66" s="658"/>
      <c r="CP66" s="658"/>
      <c r="CQ66" s="658"/>
      <c r="CR66" s="658"/>
      <c r="CS66" s="658"/>
      <c r="CT66" s="289"/>
    </row>
    <row r="67" spans="1:107" s="180" customFormat="1" ht="12" customHeight="1">
      <c r="A67" s="376" t="s">
        <v>254</v>
      </c>
      <c r="B67" s="372"/>
      <c r="C67" s="372"/>
      <c r="D67" s="372"/>
      <c r="E67" s="372"/>
      <c r="F67" s="372"/>
      <c r="G67" s="372"/>
      <c r="H67" s="373"/>
      <c r="I67" s="373"/>
      <c r="J67" s="373"/>
      <c r="K67" s="373"/>
      <c r="L67" s="372"/>
      <c r="M67" s="373"/>
      <c r="N67" s="373"/>
      <c r="O67" s="373"/>
      <c r="P67" s="373"/>
      <c r="Q67" s="372"/>
      <c r="R67" s="373"/>
      <c r="S67" s="373"/>
      <c r="T67" s="373"/>
      <c r="U67" s="373"/>
      <c r="V67" s="372"/>
      <c r="W67" s="373"/>
      <c r="X67" s="373"/>
      <c r="Y67" s="373"/>
      <c r="Z67" s="373"/>
      <c r="AA67" s="372"/>
      <c r="AB67" s="373"/>
      <c r="AC67" s="373"/>
      <c r="AD67" s="373"/>
      <c r="AE67" s="373"/>
      <c r="AF67" s="372"/>
      <c r="AG67" s="373"/>
      <c r="AH67" s="373"/>
      <c r="AI67" s="373"/>
      <c r="AJ67" s="373"/>
      <c r="AK67" s="372"/>
      <c r="AL67" s="373"/>
      <c r="AM67" s="373"/>
      <c r="AN67" s="373"/>
      <c r="AO67" s="373"/>
      <c r="AP67" s="372"/>
      <c r="AQ67" s="373"/>
      <c r="AR67" s="373"/>
      <c r="AS67" s="373"/>
      <c r="AT67" s="373"/>
      <c r="AU67" s="372">
        <v>52</v>
      </c>
      <c r="AV67" s="373"/>
      <c r="AW67" s="373"/>
      <c r="AX67" s="373"/>
      <c r="AY67" s="373"/>
      <c r="AZ67" s="372">
        <v>52</v>
      </c>
      <c r="BA67" s="707"/>
      <c r="BB67" s="707"/>
      <c r="BC67" s="707"/>
      <c r="BD67" s="707"/>
      <c r="BE67" s="372">
        <v>479</v>
      </c>
      <c r="BF67" s="374">
        <v>482</v>
      </c>
      <c r="BG67" s="373">
        <v>471</v>
      </c>
      <c r="BH67" s="373">
        <v>505</v>
      </c>
      <c r="BI67" s="375">
        <v>486</v>
      </c>
      <c r="BJ67" s="372">
        <f>+BI67</f>
        <v>486</v>
      </c>
      <c r="BK67" s="374">
        <v>451</v>
      </c>
      <c r="BL67" s="373">
        <v>425</v>
      </c>
      <c r="BM67" s="373">
        <v>450</v>
      </c>
      <c r="BN67" s="1049">
        <v>484</v>
      </c>
      <c r="BO67" s="372">
        <f>+BN67</f>
        <v>484</v>
      </c>
      <c r="BP67" s="372"/>
      <c r="BQ67" s="374"/>
      <c r="BR67" s="373"/>
      <c r="BS67" s="373"/>
      <c r="BT67" s="375"/>
      <c r="BU67" s="372"/>
      <c r="BV67" s="374"/>
      <c r="BW67" s="373"/>
      <c r="BX67" s="373"/>
      <c r="BY67" s="375"/>
      <c r="BZ67" s="372"/>
      <c r="CA67" s="374"/>
      <c r="CB67" s="373"/>
      <c r="CC67" s="373"/>
      <c r="CD67" s="375"/>
      <c r="CE67" s="372"/>
      <c r="CF67" s="374"/>
      <c r="CG67" s="373"/>
      <c r="CH67" s="373"/>
      <c r="CI67" s="375"/>
      <c r="CJ67" s="372"/>
      <c r="CK67" s="291"/>
      <c r="CL67" s="658"/>
      <c r="CM67" s="682"/>
      <c r="CN67" s="682"/>
      <c r="CO67" s="657"/>
      <c r="CP67" s="657"/>
      <c r="CQ67" s="657"/>
      <c r="CR67" s="657"/>
      <c r="CS67" s="657"/>
      <c r="CT67" s="291"/>
      <c r="CX67"/>
      <c r="CY67"/>
      <c r="CZ67"/>
      <c r="DA67"/>
      <c r="DB67"/>
      <c r="DC67"/>
    </row>
    <row r="68" spans="1:107">
      <c r="A68" s="377" t="s">
        <v>137</v>
      </c>
      <c r="B68" s="70"/>
      <c r="C68" s="70"/>
      <c r="D68" s="70"/>
      <c r="E68" s="70"/>
      <c r="F68" s="70"/>
      <c r="G68" s="70"/>
      <c r="H68" s="118"/>
      <c r="I68" s="64"/>
      <c r="J68" s="64"/>
      <c r="K68" s="64"/>
      <c r="L68" s="70"/>
      <c r="M68" s="64"/>
      <c r="N68" s="64"/>
      <c r="O68" s="64"/>
      <c r="P68" s="64"/>
      <c r="Q68" s="70"/>
      <c r="R68" s="64"/>
      <c r="S68" s="64"/>
      <c r="T68" s="64"/>
      <c r="U68" s="64"/>
      <c r="V68" s="70"/>
      <c r="W68" s="64"/>
      <c r="X68" s="64"/>
      <c r="Y68" s="64"/>
      <c r="Z68" s="64"/>
      <c r="AA68" s="70"/>
      <c r="AB68" s="64"/>
      <c r="AC68" s="64"/>
      <c r="AD68" s="64"/>
      <c r="AE68" s="64"/>
      <c r="AF68" s="70"/>
      <c r="AG68" s="64"/>
      <c r="AH68" s="64"/>
      <c r="AI68" s="64"/>
      <c r="AJ68" s="64"/>
      <c r="AK68" s="70"/>
      <c r="AL68" s="64"/>
      <c r="AM68" s="64"/>
      <c r="AN68" s="64"/>
      <c r="AO68" s="64"/>
      <c r="AP68" s="70"/>
      <c r="AQ68" s="64"/>
      <c r="AR68" s="64"/>
      <c r="AS68" s="64"/>
      <c r="AT68" s="64"/>
      <c r="AU68" s="70"/>
      <c r="AV68" s="64"/>
      <c r="AW68" s="64"/>
      <c r="AX68" s="64"/>
      <c r="AY68" s="64"/>
      <c r="AZ68" s="70">
        <f t="shared" ref="AZ68" si="138">AZ67/AU67-1</f>
        <v>0</v>
      </c>
      <c r="BA68" s="64"/>
      <c r="BB68" s="64"/>
      <c r="BC68" s="64"/>
      <c r="BD68" s="64"/>
      <c r="BE68" s="70">
        <f>BE67/AZ67-1</f>
        <v>8.2115384615384617</v>
      </c>
      <c r="BF68" s="121"/>
      <c r="BG68" s="64"/>
      <c r="BH68" s="64"/>
      <c r="BI68" s="122"/>
      <c r="BJ68" s="70">
        <f t="shared" ref="BJ68:BO68" si="139">BJ67/BE67-1</f>
        <v>1.4613778705636848E-2</v>
      </c>
      <c r="BK68" s="121">
        <f t="shared" si="139"/>
        <v>-6.4315352697095429E-2</v>
      </c>
      <c r="BL68" s="64">
        <f t="shared" si="139"/>
        <v>-9.7664543524416114E-2</v>
      </c>
      <c r="BM68" s="64">
        <f t="shared" si="139"/>
        <v>-0.1089108910891089</v>
      </c>
      <c r="BN68" s="122">
        <f t="shared" si="139"/>
        <v>-4.1152263374485409E-3</v>
      </c>
      <c r="BO68" s="70">
        <f t="shared" si="139"/>
        <v>-4.1152263374485409E-3</v>
      </c>
      <c r="BP68" s="70"/>
      <c r="BQ68" s="121"/>
      <c r="BR68" s="64"/>
      <c r="BS68" s="64"/>
      <c r="BT68" s="122"/>
      <c r="BU68" s="70"/>
      <c r="BV68" s="121"/>
      <c r="BW68" s="64"/>
      <c r="BX68" s="64"/>
      <c r="BY68" s="122"/>
      <c r="BZ68" s="70"/>
      <c r="CA68" s="121"/>
      <c r="CB68" s="64"/>
      <c r="CC68" s="64"/>
      <c r="CD68" s="122"/>
      <c r="CE68" s="70"/>
      <c r="CF68" s="121"/>
      <c r="CG68" s="64"/>
      <c r="CH68" s="64"/>
      <c r="CI68" s="122"/>
      <c r="CJ68" s="70"/>
      <c r="CK68" s="289"/>
      <c r="CL68" s="658"/>
      <c r="CM68" s="658"/>
      <c r="CN68" s="682"/>
      <c r="CO68" s="658"/>
      <c r="CP68" s="658"/>
      <c r="CQ68" s="658"/>
      <c r="CR68" s="658"/>
      <c r="CS68" s="658"/>
      <c r="CT68" s="289"/>
    </row>
    <row r="69" spans="1:107" s="180" customFormat="1" ht="12" customHeight="1">
      <c r="A69" s="385" t="s">
        <v>12</v>
      </c>
      <c r="B69" s="134"/>
      <c r="C69" s="134"/>
      <c r="D69" s="134"/>
      <c r="E69" s="134"/>
      <c r="F69" s="134"/>
      <c r="G69" s="134"/>
      <c r="H69" s="358"/>
      <c r="I69" s="358"/>
      <c r="J69" s="358"/>
      <c r="K69" s="358"/>
      <c r="L69" s="134"/>
      <c r="M69" s="358"/>
      <c r="N69" s="358"/>
      <c r="O69" s="358"/>
      <c r="P69" s="358"/>
      <c r="Q69" s="134"/>
      <c r="R69" s="358"/>
      <c r="S69" s="358"/>
      <c r="T69" s="358"/>
      <c r="U69" s="358"/>
      <c r="V69" s="134"/>
      <c r="W69" s="358"/>
      <c r="X69" s="358"/>
      <c r="Y69" s="358"/>
      <c r="Z69" s="358"/>
      <c r="AA69" s="134"/>
      <c r="AB69" s="358"/>
      <c r="AC69" s="358"/>
      <c r="AD69" s="358"/>
      <c r="AE69" s="358"/>
      <c r="AF69" s="134"/>
      <c r="AG69" s="358"/>
      <c r="AI69" s="358"/>
      <c r="AJ69" s="358"/>
      <c r="AK69" s="134"/>
      <c r="AL69" s="358"/>
      <c r="AM69" s="358"/>
      <c r="AN69" s="358"/>
      <c r="AO69" s="358"/>
      <c r="AP69" s="134"/>
      <c r="AQ69" s="358"/>
      <c r="AR69" s="358"/>
      <c r="AS69" s="358"/>
      <c r="AT69" s="358"/>
      <c r="AU69" s="134">
        <v>48</v>
      </c>
      <c r="AV69" s="358"/>
      <c r="AW69" s="358"/>
      <c r="AX69" s="358"/>
      <c r="AY69" s="358"/>
      <c r="AZ69" s="134">
        <v>48</v>
      </c>
      <c r="BA69" s="660"/>
      <c r="BB69" s="660"/>
      <c r="BC69" s="660"/>
      <c r="BD69" s="660"/>
      <c r="BE69" s="134">
        <v>476</v>
      </c>
      <c r="BF69" s="718">
        <v>480</v>
      </c>
      <c r="BG69" s="660">
        <v>469</v>
      </c>
      <c r="BH69" s="660">
        <v>503</v>
      </c>
      <c r="BI69" s="752"/>
      <c r="BJ69" s="748"/>
      <c r="BK69" s="718"/>
      <c r="BL69" s="358"/>
      <c r="BM69" s="136"/>
      <c r="BN69" s="752"/>
      <c r="BO69" s="748"/>
      <c r="BP69" s="748"/>
      <c r="BQ69" s="359"/>
      <c r="BR69" s="358"/>
      <c r="BS69" s="358"/>
      <c r="BT69" s="360"/>
      <c r="BU69" s="134"/>
      <c r="BV69" s="359"/>
      <c r="BW69" s="358"/>
      <c r="BX69" s="358"/>
      <c r="BY69" s="360"/>
      <c r="BZ69" s="134"/>
      <c r="CA69" s="359"/>
      <c r="CB69" s="358"/>
      <c r="CC69" s="358"/>
      <c r="CD69" s="360"/>
      <c r="CE69" s="134"/>
      <c r="CF69" s="359"/>
      <c r="CG69" s="358"/>
      <c r="CH69" s="358"/>
      <c r="CI69" s="360"/>
      <c r="CJ69" s="134"/>
      <c r="CK69" s="291"/>
      <c r="CL69" s="657"/>
      <c r="CM69" s="658"/>
      <c r="CN69" s="682"/>
      <c r="CO69" s="657"/>
      <c r="CP69" s="657"/>
      <c r="CQ69" s="657"/>
      <c r="CR69" s="657"/>
      <c r="CS69" s="657"/>
      <c r="CT69" s="291"/>
      <c r="CX69"/>
      <c r="CY69"/>
      <c r="CZ69"/>
      <c r="DA69"/>
      <c r="DB69"/>
      <c r="DC69"/>
    </row>
    <row r="70" spans="1:107" ht="12" customHeight="1">
      <c r="A70" s="385" t="s">
        <v>13</v>
      </c>
      <c r="B70" s="378"/>
      <c r="C70" s="378"/>
      <c r="D70" s="378"/>
      <c r="E70" s="378"/>
      <c r="F70" s="378"/>
      <c r="G70" s="378"/>
      <c r="H70" s="379"/>
      <c r="I70" s="379"/>
      <c r="J70" s="379"/>
      <c r="K70" s="380"/>
      <c r="L70" s="378"/>
      <c r="M70" s="380"/>
      <c r="N70" s="379"/>
      <c r="O70" s="379"/>
      <c r="P70" s="380"/>
      <c r="Q70" s="378"/>
      <c r="R70" s="380"/>
      <c r="S70" s="380"/>
      <c r="T70" s="379"/>
      <c r="U70" s="381"/>
      <c r="V70" s="378"/>
      <c r="W70" s="380"/>
      <c r="X70" s="380"/>
      <c r="Y70" s="382"/>
      <c r="Z70" s="382"/>
      <c r="AA70" s="378"/>
      <c r="AB70" s="380"/>
      <c r="AC70" s="380"/>
      <c r="AD70" s="380"/>
      <c r="AE70" s="380"/>
      <c r="AF70" s="378"/>
      <c r="AG70" s="380"/>
      <c r="AH70" s="380"/>
      <c r="AI70" s="380"/>
      <c r="AJ70" s="380"/>
      <c r="AK70" s="378"/>
      <c r="AL70" s="380"/>
      <c r="AM70" s="380"/>
      <c r="AN70" s="380"/>
      <c r="AO70" s="64"/>
      <c r="AP70" s="378"/>
      <c r="AQ70" s="380"/>
      <c r="AR70" s="380"/>
      <c r="AS70" s="380"/>
      <c r="AT70" s="64"/>
      <c r="AU70" s="378"/>
      <c r="AV70" s="380"/>
      <c r="AW70" s="380"/>
      <c r="AX70" s="380"/>
      <c r="AY70" s="64"/>
      <c r="AZ70" s="378">
        <f t="shared" ref="AZ70" si="140">1-AZ69/AZ67</f>
        <v>7.6923076923076872E-2</v>
      </c>
      <c r="BA70" s="380"/>
      <c r="BB70" s="661"/>
      <c r="BC70" s="703"/>
      <c r="BD70" s="380"/>
      <c r="BE70" s="378">
        <f t="shared" ref="BE70" si="141">1-BE69/BE67</f>
        <v>6.2630480167014113E-3</v>
      </c>
      <c r="BF70" s="121"/>
      <c r="BG70" s="64"/>
      <c r="BH70" s="64"/>
      <c r="BI70" s="122"/>
      <c r="BJ70" s="378">
        <f t="shared" ref="BJ70" si="142">1-BJ69/BJ67</f>
        <v>1</v>
      </c>
      <c r="BK70" s="121"/>
      <c r="BL70" s="64"/>
      <c r="BM70" s="64"/>
      <c r="BN70" s="122"/>
      <c r="BO70" s="378">
        <f t="shared" ref="BO70" si="143">1-BO69/BO67</f>
        <v>1</v>
      </c>
      <c r="BP70" s="378"/>
      <c r="BQ70" s="121"/>
      <c r="BR70" s="64"/>
      <c r="BS70" s="64"/>
      <c r="BT70" s="122"/>
      <c r="BU70" s="70"/>
      <c r="BV70" s="121"/>
      <c r="BW70" s="64"/>
      <c r="BX70" s="64"/>
      <c r="BY70" s="122"/>
      <c r="BZ70" s="70"/>
      <c r="CA70" s="121"/>
      <c r="CB70" s="64"/>
      <c r="CC70" s="64"/>
      <c r="CD70" s="122"/>
      <c r="CE70" s="70"/>
      <c r="CF70" s="121"/>
      <c r="CG70" s="64"/>
      <c r="CH70" s="64"/>
      <c r="CI70" s="122"/>
      <c r="CJ70" s="70"/>
      <c r="CK70" s="66"/>
      <c r="CL70" s="658"/>
      <c r="CM70" s="657"/>
      <c r="CN70" s="682"/>
      <c r="CO70" s="658"/>
      <c r="CP70" s="658"/>
      <c r="CQ70" s="658"/>
      <c r="CR70" s="658"/>
      <c r="CS70" s="658"/>
      <c r="CT70" s="289"/>
    </row>
    <row r="71" spans="1:107" s="180" customFormat="1" ht="12" customHeight="1">
      <c r="A71" s="385" t="s">
        <v>134</v>
      </c>
      <c r="B71" s="354"/>
      <c r="C71" s="354"/>
      <c r="D71" s="354"/>
      <c r="E71" s="354"/>
      <c r="F71" s="354"/>
      <c r="G71" s="354"/>
      <c r="H71" s="357"/>
      <c r="I71" s="357"/>
      <c r="J71" s="357"/>
      <c r="K71" s="358"/>
      <c r="L71" s="354"/>
      <c r="M71" s="358"/>
      <c r="N71" s="357"/>
      <c r="O71" s="357"/>
      <c r="P71" s="358"/>
      <c r="Q71" s="354"/>
      <c r="R71" s="358"/>
      <c r="S71" s="358"/>
      <c r="T71" s="358"/>
      <c r="U71" s="358"/>
      <c r="V71" s="354"/>
      <c r="W71" s="358"/>
      <c r="X71" s="358"/>
      <c r="Y71" s="358"/>
      <c r="Z71" s="181"/>
      <c r="AA71" s="354"/>
      <c r="AB71" s="358"/>
      <c r="AC71" s="358"/>
      <c r="AD71" s="358"/>
      <c r="AE71" s="181"/>
      <c r="AF71" s="354"/>
      <c r="AG71" s="358"/>
      <c r="AH71" s="358"/>
      <c r="AI71" s="358"/>
      <c r="AJ71" s="181"/>
      <c r="AK71" s="354"/>
      <c r="AL71" s="358"/>
      <c r="AM71" s="358"/>
      <c r="AN71" s="358"/>
      <c r="AO71" s="181"/>
      <c r="AP71" s="354"/>
      <c r="AQ71" s="358">
        <f>36-AR71</f>
        <v>14</v>
      </c>
      <c r="AR71" s="358">
        <v>22</v>
      </c>
      <c r="AS71" s="358"/>
      <c r="AT71" s="181"/>
      <c r="AU71" s="354"/>
      <c r="AV71" s="358"/>
      <c r="AW71" s="358"/>
      <c r="AX71" s="358"/>
      <c r="AY71" s="181"/>
      <c r="AZ71" s="708">
        <v>101</v>
      </c>
      <c r="BA71" s="660">
        <v>19</v>
      </c>
      <c r="BB71" s="660">
        <v>49</v>
      </c>
      <c r="BC71" s="660">
        <v>129</v>
      </c>
      <c r="BD71" s="136">
        <v>155</v>
      </c>
      <c r="BE71" s="708">
        <f>+SUM(BA71:BD71)</f>
        <v>352</v>
      </c>
      <c r="BF71" s="901">
        <v>97</v>
      </c>
      <c r="BG71" s="670">
        <v>123</v>
      </c>
      <c r="BH71" s="670">
        <v>175</v>
      </c>
      <c r="BI71" s="892">
        <v>166</v>
      </c>
      <c r="BJ71" s="708">
        <f>SUM(BF71:BI71)</f>
        <v>561</v>
      </c>
      <c r="BK71" s="901">
        <v>105</v>
      </c>
      <c r="BL71" s="670">
        <v>115</v>
      </c>
      <c r="BM71" s="670">
        <v>195</v>
      </c>
      <c r="BN71" s="1051">
        <f>590-BM71-BL71-BK71</f>
        <v>175</v>
      </c>
      <c r="BO71" s="708">
        <f>SUM(BK71:BN71)</f>
        <v>590</v>
      </c>
      <c r="BP71" s="708"/>
      <c r="BQ71" s="355"/>
      <c r="BR71" s="181"/>
      <c r="BS71" s="181"/>
      <c r="BT71" s="356"/>
      <c r="BU71" s="354"/>
      <c r="BV71" s="355"/>
      <c r="BW71" s="181"/>
      <c r="BX71" s="181"/>
      <c r="BY71" s="356"/>
      <c r="BZ71" s="354"/>
      <c r="CA71" s="355"/>
      <c r="CB71" s="181"/>
      <c r="CC71" s="181"/>
      <c r="CD71" s="356"/>
      <c r="CE71" s="354"/>
      <c r="CF71" s="355"/>
      <c r="CG71" s="181"/>
      <c r="CH71" s="181"/>
      <c r="CI71" s="356"/>
      <c r="CJ71" s="354"/>
      <c r="CK71" s="291"/>
      <c r="CL71" s="657"/>
      <c r="CM71" s="657"/>
      <c r="CN71" s="682"/>
      <c r="CO71" s="657"/>
      <c r="CP71" s="657"/>
      <c r="CQ71" s="657"/>
      <c r="CR71" s="657"/>
      <c r="CS71" s="657"/>
      <c r="CT71" s="291"/>
      <c r="CX71"/>
      <c r="CY71"/>
      <c r="CZ71"/>
      <c r="DA71"/>
      <c r="DB71"/>
      <c r="DC71"/>
    </row>
    <row r="72" spans="1:107" ht="12" customHeight="1">
      <c r="A72" s="385" t="s">
        <v>116</v>
      </c>
      <c r="B72" s="383"/>
      <c r="C72" s="383"/>
      <c r="D72" s="383"/>
      <c r="E72" s="383"/>
      <c r="F72" s="383"/>
      <c r="G72" s="383"/>
      <c r="H72" s="384"/>
      <c r="I72" s="384"/>
      <c r="J72" s="384"/>
      <c r="K72" s="384"/>
      <c r="L72" s="383"/>
      <c r="M72" s="384"/>
      <c r="N72" s="384"/>
      <c r="O72" s="384"/>
      <c r="P72" s="384"/>
      <c r="Q72" s="383"/>
      <c r="R72" s="384"/>
      <c r="S72" s="384"/>
      <c r="T72" s="384"/>
      <c r="U72" s="384"/>
      <c r="V72" s="383"/>
      <c r="W72" s="384"/>
      <c r="X72" s="384"/>
      <c r="Y72" s="384"/>
      <c r="Z72" s="384"/>
      <c r="AA72" s="383"/>
      <c r="AB72" s="384"/>
      <c r="AC72" s="384"/>
      <c r="AD72" s="384"/>
      <c r="AE72" s="384"/>
      <c r="AF72" s="383"/>
      <c r="AG72" s="384"/>
      <c r="AH72" s="384"/>
      <c r="AI72" s="384"/>
      <c r="AJ72" s="384"/>
      <c r="AK72" s="383"/>
      <c r="AL72" s="384"/>
      <c r="AM72" s="384"/>
      <c r="AN72" s="384"/>
      <c r="AO72" s="117"/>
      <c r="AP72" s="383"/>
      <c r="AQ72" s="384"/>
      <c r="AR72" s="384"/>
      <c r="AS72" s="384"/>
      <c r="AT72" s="117"/>
      <c r="AU72" s="383"/>
      <c r="AV72" s="384"/>
      <c r="AW72" s="384"/>
      <c r="AX72" s="384"/>
      <c r="AY72" s="117"/>
      <c r="AZ72" s="383"/>
      <c r="BA72" s="646">
        <f>+BA71/BA64</f>
        <v>0.79166666666666663</v>
      </c>
      <c r="BB72" s="646">
        <f>+BB71/BB64</f>
        <v>0.85964912280701755</v>
      </c>
      <c r="BC72" s="646">
        <f>+BC71/BC64</f>
        <v>1.131578947368421</v>
      </c>
      <c r="BD72" s="646">
        <f>+BD71/BD64</f>
        <v>1.1654135338345866</v>
      </c>
      <c r="BE72" s="383"/>
      <c r="BF72" s="647">
        <f t="shared" ref="BF72:BI72" si="144">+BF71/BF64</f>
        <v>0.69784172661870503</v>
      </c>
      <c r="BG72" s="646">
        <f t="shared" si="144"/>
        <v>0.89130434782608692</v>
      </c>
      <c r="BH72" s="646">
        <f t="shared" si="144"/>
        <v>1.174496644295302</v>
      </c>
      <c r="BI72" s="646">
        <f t="shared" si="144"/>
        <v>1.1608391608391608</v>
      </c>
      <c r="BJ72" s="361"/>
      <c r="BK72" s="647">
        <f t="shared" ref="BK72" si="145">+BK71/BK64</f>
        <v>0.72916666666666663</v>
      </c>
      <c r="BL72" s="647">
        <f t="shared" ref="BL72:BO72" si="146">+BL71/BL64</f>
        <v>0.83333333333333337</v>
      </c>
      <c r="BM72" s="646">
        <f t="shared" si="146"/>
        <v>1.1470588235294117</v>
      </c>
      <c r="BN72" s="646">
        <f t="shared" si="146"/>
        <v>1.1217948717948718</v>
      </c>
      <c r="BO72" s="645">
        <f t="shared" si="146"/>
        <v>0.97039473684210531</v>
      </c>
      <c r="BP72" s="645"/>
      <c r="BQ72" s="363"/>
      <c r="BR72" s="362"/>
      <c r="BS72" s="362"/>
      <c r="BT72" s="364"/>
      <c r="BU72" s="361"/>
      <c r="BV72" s="363"/>
      <c r="BW72" s="362"/>
      <c r="BX72" s="362"/>
      <c r="BY72" s="364"/>
      <c r="BZ72" s="361"/>
      <c r="CA72" s="363"/>
      <c r="CB72" s="362"/>
      <c r="CC72" s="362"/>
      <c r="CD72" s="364"/>
      <c r="CE72" s="361"/>
      <c r="CF72" s="363"/>
      <c r="CG72" s="362"/>
      <c r="CH72" s="362"/>
      <c r="CI72" s="364"/>
      <c r="CJ72" s="361"/>
      <c r="CK72" s="66"/>
      <c r="CL72" s="658"/>
      <c r="CM72" s="658"/>
      <c r="CN72" s="682"/>
      <c r="CO72" s="658"/>
      <c r="CP72" s="658"/>
      <c r="CQ72" s="658"/>
      <c r="CR72" s="658"/>
      <c r="CS72" s="658"/>
      <c r="CT72" s="289"/>
    </row>
    <row r="73" spans="1:107" ht="12" customHeight="1">
      <c r="A73" s="385" t="s">
        <v>1</v>
      </c>
      <c r="B73" s="383"/>
      <c r="C73" s="383"/>
      <c r="D73" s="383"/>
      <c r="E73" s="383"/>
      <c r="F73" s="383"/>
      <c r="G73" s="383"/>
      <c r="H73" s="384"/>
      <c r="I73" s="384"/>
      <c r="J73" s="384"/>
      <c r="K73" s="384"/>
      <c r="L73" s="383"/>
      <c r="M73" s="384"/>
      <c r="N73" s="384"/>
      <c r="O73" s="384"/>
      <c r="P73" s="384"/>
      <c r="Q73" s="383"/>
      <c r="R73" s="384"/>
      <c r="S73" s="384"/>
      <c r="T73" s="384"/>
      <c r="U73" s="384"/>
      <c r="V73" s="383"/>
      <c r="W73" s="384"/>
      <c r="X73" s="384"/>
      <c r="Y73" s="384"/>
      <c r="Z73" s="384"/>
      <c r="AA73" s="383"/>
      <c r="AB73" s="384"/>
      <c r="AC73" s="384"/>
      <c r="AD73" s="384"/>
      <c r="AE73" s="384"/>
      <c r="AF73" s="383"/>
      <c r="AG73" s="384"/>
      <c r="AH73" s="384"/>
      <c r="AI73" s="384"/>
      <c r="AJ73" s="384"/>
      <c r="AK73" s="383"/>
      <c r="AL73" s="539"/>
      <c r="AM73" s="384"/>
      <c r="AN73" s="384"/>
      <c r="AO73" s="384"/>
      <c r="AP73" s="383"/>
      <c r="AQ73" s="384"/>
      <c r="AR73" s="384"/>
      <c r="AS73" s="384"/>
      <c r="AT73" s="384"/>
      <c r="AU73" s="383"/>
      <c r="AV73" s="384"/>
      <c r="AW73" s="384"/>
      <c r="AX73" s="384"/>
      <c r="AY73" s="384"/>
      <c r="AZ73" s="383"/>
      <c r="BA73" s="646"/>
      <c r="BB73" s="646"/>
      <c r="BC73" s="646"/>
      <c r="BD73" s="646"/>
      <c r="BE73" s="383"/>
      <c r="BF73" s="647">
        <f>BF67/BF64/4</f>
        <v>0.86690647482014394</v>
      </c>
      <c r="BG73" s="646">
        <f>BG67/BG64/4</f>
        <v>0.85326086956521741</v>
      </c>
      <c r="BH73" s="646">
        <f>BH67/BH64/4</f>
        <v>0.84731543624161076</v>
      </c>
      <c r="BI73" s="646">
        <f>BI67/BI64/4</f>
        <v>0.84965034965034969</v>
      </c>
      <c r="BJ73" s="361"/>
      <c r="BK73" s="647">
        <f>BK67/BK64/4</f>
        <v>0.78298611111111116</v>
      </c>
      <c r="BL73" s="647">
        <f>BL67/BL64/4</f>
        <v>0.76992753623188404</v>
      </c>
      <c r="BM73" s="646">
        <f>BM67/BM64/4</f>
        <v>0.66176470588235292</v>
      </c>
      <c r="BN73" s="646">
        <f>BN67/BN64/4</f>
        <v>0.77564102564102566</v>
      </c>
      <c r="BO73" s="645">
        <f>BO67/BO64</f>
        <v>0.79605263157894735</v>
      </c>
      <c r="BP73" s="645"/>
      <c r="BQ73" s="363"/>
      <c r="BR73" s="362"/>
      <c r="BS73" s="362"/>
      <c r="BT73" s="362"/>
      <c r="BU73" s="363"/>
      <c r="BV73" s="363"/>
      <c r="BW73" s="362"/>
      <c r="BX73" s="362"/>
      <c r="BY73" s="362"/>
      <c r="BZ73" s="363"/>
      <c r="CA73" s="363"/>
      <c r="CB73" s="362"/>
      <c r="CC73" s="362"/>
      <c r="CD73" s="362"/>
      <c r="CE73" s="363"/>
      <c r="CF73" s="363"/>
      <c r="CG73" s="362"/>
      <c r="CH73" s="362"/>
      <c r="CI73" s="362"/>
      <c r="CJ73" s="363"/>
      <c r="CK73" s="66"/>
      <c r="CL73" s="657"/>
      <c r="CM73" s="658"/>
      <c r="CN73" s="977"/>
      <c r="CO73" s="658"/>
      <c r="CP73" s="658"/>
      <c r="CQ73" s="658"/>
      <c r="CR73" s="658"/>
      <c r="CS73" s="658"/>
      <c r="CT73" s="289"/>
    </row>
    <row r="74" spans="1:107" s="180" customFormat="1">
      <c r="A74" s="726" t="s">
        <v>255</v>
      </c>
      <c r="B74" s="134"/>
      <c r="C74" s="134"/>
      <c r="D74" s="134"/>
      <c r="E74" s="134"/>
      <c r="F74" s="134"/>
      <c r="G74" s="134"/>
      <c r="H74" s="135"/>
      <c r="I74" s="135"/>
      <c r="J74" s="135"/>
      <c r="K74" s="136"/>
      <c r="L74" s="134"/>
      <c r="M74" s="136"/>
      <c r="N74" s="135"/>
      <c r="O74" s="135"/>
      <c r="P74" s="138"/>
      <c r="Q74" s="134"/>
      <c r="R74" s="136"/>
      <c r="S74" s="135"/>
      <c r="T74" s="135"/>
      <c r="U74" s="138"/>
      <c r="V74" s="137"/>
      <c r="W74" s="136"/>
      <c r="X74" s="135"/>
      <c r="Y74" s="135"/>
      <c r="Z74" s="136"/>
      <c r="AA74" s="137"/>
      <c r="AB74" s="136"/>
      <c r="AC74" s="135"/>
      <c r="AD74" s="135"/>
      <c r="AE74" s="136"/>
      <c r="AF74" s="137"/>
      <c r="AG74" s="136"/>
      <c r="AH74" s="135"/>
      <c r="AI74" s="135"/>
      <c r="AJ74" s="136"/>
      <c r="AK74" s="137"/>
      <c r="AL74" s="135"/>
      <c r="AM74" s="135"/>
      <c r="AN74" s="135"/>
      <c r="AO74" s="135"/>
      <c r="AP74" s="137">
        <f>SUM(AL74:AO74)</f>
        <v>0</v>
      </c>
      <c r="AQ74" s="135">
        <v>0</v>
      </c>
      <c r="AR74" s="135">
        <v>0</v>
      </c>
      <c r="AS74" s="135">
        <v>0</v>
      </c>
      <c r="AT74" s="135">
        <v>0</v>
      </c>
      <c r="AU74" s="137">
        <f>SUM(AQ74:AT74)</f>
        <v>0</v>
      </c>
      <c r="AV74" s="135"/>
      <c r="AW74" s="135"/>
      <c r="AX74" s="135"/>
      <c r="AY74" s="135"/>
      <c r="AZ74" s="137">
        <v>-3</v>
      </c>
      <c r="BA74" s="674">
        <v>0</v>
      </c>
      <c r="BB74" s="674">
        <v>-10</v>
      </c>
      <c r="BC74" s="674">
        <v>-27</v>
      </c>
      <c r="BD74" s="674">
        <v>-24</v>
      </c>
      <c r="BE74" s="137">
        <f>SUM(BA74:BD74)</f>
        <v>-61</v>
      </c>
      <c r="BF74" s="718">
        <v>-26</v>
      </c>
      <c r="BG74" s="660">
        <v>-21</v>
      </c>
      <c r="BH74" s="660">
        <v>-17</v>
      </c>
      <c r="BI74" s="752">
        <v>-13</v>
      </c>
      <c r="BJ74" s="137">
        <f>SUM(BF74:BI74)</f>
        <v>-77</v>
      </c>
      <c r="BK74" s="750">
        <v>-10</v>
      </c>
      <c r="BL74" s="668">
        <v>-11</v>
      </c>
      <c r="BM74" s="660">
        <v>-7</v>
      </c>
      <c r="BN74" s="752">
        <v>-7</v>
      </c>
      <c r="BO74" s="137">
        <f>SUM(BK74:BN74)</f>
        <v>-35</v>
      </c>
      <c r="BP74" s="137">
        <f>BO74</f>
        <v>-35</v>
      </c>
      <c r="BQ74" s="697">
        <f>-10/4</f>
        <v>-2.5</v>
      </c>
      <c r="BR74" s="698">
        <f>-10/4</f>
        <v>-2.5</v>
      </c>
      <c r="BS74" s="698">
        <f>-10/4</f>
        <v>-2.5</v>
      </c>
      <c r="BT74" s="699">
        <f>-10/4</f>
        <v>-2.5</v>
      </c>
      <c r="BU74" s="137">
        <f>SUM(BQ74:BT74)</f>
        <v>-10</v>
      </c>
      <c r="BV74" s="697"/>
      <c r="BW74" s="698"/>
      <c r="BX74" s="698"/>
      <c r="BY74" s="699"/>
      <c r="BZ74" s="728">
        <v>-2</v>
      </c>
      <c r="CA74" s="697"/>
      <c r="CB74" s="698"/>
      <c r="CC74" s="698"/>
      <c r="CD74" s="699"/>
      <c r="CE74" s="728">
        <v>0</v>
      </c>
      <c r="CF74" s="697"/>
      <c r="CG74" s="698"/>
      <c r="CH74" s="698"/>
      <c r="CI74" s="699"/>
      <c r="CJ74" s="728">
        <v>0</v>
      </c>
      <c r="CK74" s="291"/>
      <c r="CL74" s="657" t="s">
        <v>344</v>
      </c>
      <c r="CM74" s="657"/>
      <c r="CN74" s="682"/>
      <c r="CO74" s="657"/>
      <c r="CP74" s="657"/>
      <c r="CQ74" s="657"/>
      <c r="CR74" s="657"/>
      <c r="CS74" s="657"/>
      <c r="CT74" s="291"/>
      <c r="CX74"/>
      <c r="CY74"/>
      <c r="CZ74"/>
      <c r="DA74"/>
      <c r="DB74"/>
      <c r="DC74"/>
    </row>
    <row r="75" spans="1:107" s="180" customFormat="1">
      <c r="A75" s="133" t="s">
        <v>58</v>
      </c>
      <c r="B75" s="134">
        <f>2471+207-1216</f>
        <v>1462</v>
      </c>
      <c r="C75" s="134">
        <f>2040+210-1248</f>
        <v>1002</v>
      </c>
      <c r="D75" s="134">
        <f>2088+573-1448</f>
        <v>1213</v>
      </c>
      <c r="E75" s="134">
        <f>-1589+675</f>
        <v>-914</v>
      </c>
      <c r="F75" s="134">
        <v>-1395</v>
      </c>
      <c r="G75" s="134">
        <v>-1609</v>
      </c>
      <c r="H75" s="135">
        <v>-372</v>
      </c>
      <c r="I75" s="135">
        <v>-429</v>
      </c>
      <c r="J75" s="135">
        <v>-461</v>
      </c>
      <c r="K75" s="136">
        <v>-493</v>
      </c>
      <c r="L75" s="134">
        <v>-1702</v>
      </c>
      <c r="M75" s="136">
        <v>-414</v>
      </c>
      <c r="N75" s="135">
        <v>-471</v>
      </c>
      <c r="O75" s="135">
        <v>-472</v>
      </c>
      <c r="P75" s="138">
        <v>-548</v>
      </c>
      <c r="Q75" s="134">
        <f>SUM(M75:P75)</f>
        <v>-1905</v>
      </c>
      <c r="R75" s="136">
        <v>-426</v>
      </c>
      <c r="S75" s="135">
        <v>-519</v>
      </c>
      <c r="T75" s="135">
        <v>-526</v>
      </c>
      <c r="U75" s="138">
        <v>-503</v>
      </c>
      <c r="V75" s="137">
        <f>SUM(R75:U75)</f>
        <v>-1974</v>
      </c>
      <c r="W75" s="136">
        <v>-446</v>
      </c>
      <c r="X75" s="135">
        <v>-502</v>
      </c>
      <c r="Y75" s="135">
        <v>-511</v>
      </c>
      <c r="Z75" s="136">
        <v>-537</v>
      </c>
      <c r="AA75" s="137">
        <f>SUM(W75:Z75)</f>
        <v>-1996</v>
      </c>
      <c r="AB75" s="136">
        <v>-431</v>
      </c>
      <c r="AC75" s="135">
        <v>-519</v>
      </c>
      <c r="AD75" s="135">
        <v>-459</v>
      </c>
      <c r="AE75" s="136">
        <v>-468</v>
      </c>
      <c r="AF75" s="137">
        <v>-1739</v>
      </c>
      <c r="AG75" s="136">
        <v>-445</v>
      </c>
      <c r="AH75" s="135">
        <v>-468</v>
      </c>
      <c r="AI75" s="135">
        <v>-467</v>
      </c>
      <c r="AJ75" s="136">
        <v>-495</v>
      </c>
      <c r="AK75" s="137">
        <f>SUM(AG75:AJ75)</f>
        <v>-1875</v>
      </c>
      <c r="AL75" s="135">
        <v>-456</v>
      </c>
      <c r="AM75" s="135">
        <v>-486</v>
      </c>
      <c r="AN75" s="135">
        <v>-448</v>
      </c>
      <c r="AO75" s="135">
        <v>-408</v>
      </c>
      <c r="AP75" s="137">
        <f>SUM(AL75:AO75)</f>
        <v>-1798</v>
      </c>
      <c r="AQ75" s="135">
        <v>-397</v>
      </c>
      <c r="AR75" s="135">
        <v>-413</v>
      </c>
      <c r="AS75" s="135">
        <v>-420</v>
      </c>
      <c r="AT75" s="135">
        <v>-403</v>
      </c>
      <c r="AU75" s="137">
        <f>SUM(AQ75:AT75)</f>
        <v>-1633</v>
      </c>
      <c r="AV75" s="135"/>
      <c r="AW75" s="135"/>
      <c r="AX75" s="135"/>
      <c r="AY75" s="135"/>
      <c r="AZ75" s="137">
        <v>-1481</v>
      </c>
      <c r="BA75" s="135">
        <v>-335</v>
      </c>
      <c r="BB75" s="135">
        <v>-333</v>
      </c>
      <c r="BC75" s="135">
        <v>-331</v>
      </c>
      <c r="BD75" s="135">
        <v>-331</v>
      </c>
      <c r="BE75" s="137">
        <f>SUM(BA75:BD75)</f>
        <v>-1330</v>
      </c>
      <c r="BF75" s="455">
        <v>-347</v>
      </c>
      <c r="BG75" s="136">
        <v>-326</v>
      </c>
      <c r="BH75" s="136">
        <v>-364</v>
      </c>
      <c r="BI75" s="138">
        <f>-1360-SUM(BF75:BH75)</f>
        <v>-323</v>
      </c>
      <c r="BJ75" s="137">
        <f>SUM(BF75:BI75)</f>
        <v>-1360</v>
      </c>
      <c r="BK75" s="455">
        <v>-350</v>
      </c>
      <c r="BL75" s="136">
        <v>-372</v>
      </c>
      <c r="BM75" s="136">
        <v>-355</v>
      </c>
      <c r="BN75" s="138">
        <v>-346</v>
      </c>
      <c r="BO75" s="137">
        <f>SUM(BK75:BN75)</f>
        <v>-1423</v>
      </c>
      <c r="BP75" s="137">
        <f>BO75</f>
        <v>-1423</v>
      </c>
      <c r="BQ75" s="455">
        <f t="shared" ref="BQ75:BT75" si="147">BQ76*SUM(BQ4,BQ14,BQ24,BQ34,BQ44,BQ54,BQ64)</f>
        <v>-348.9024</v>
      </c>
      <c r="BR75" s="136">
        <f t="shared" si="147"/>
        <v>-369.19470000000001</v>
      </c>
      <c r="BS75" s="136">
        <f t="shared" si="147"/>
        <v>-368.37622499999998</v>
      </c>
      <c r="BT75" s="138">
        <f t="shared" si="147"/>
        <v>-399.58327500000001</v>
      </c>
      <c r="BU75" s="137">
        <f>SUM(BQ75:BT75)</f>
        <v>-1486.0565999999999</v>
      </c>
      <c r="BV75" s="455"/>
      <c r="BW75" s="136"/>
      <c r="BX75" s="136"/>
      <c r="BY75" s="138"/>
      <c r="BZ75" s="137">
        <f t="shared" ref="BZ75" si="148">BZ76*SUM(BZ4,BZ14,BZ24,BZ34,BZ44,BZ54,BZ64)</f>
        <v>-1566.62502675</v>
      </c>
      <c r="CA75" s="455"/>
      <c r="CB75" s="136"/>
      <c r="CC75" s="136"/>
      <c r="CD75" s="138"/>
      <c r="CE75" s="137">
        <f t="shared" ref="CE75" si="149">CE76*SUM(CE4,CE14,CE24,CE34,CE44,CE54,CE64)</f>
        <v>-1655.6659344749999</v>
      </c>
      <c r="CF75" s="455"/>
      <c r="CG75" s="136"/>
      <c r="CH75" s="136"/>
      <c r="CI75" s="138"/>
      <c r="CJ75" s="137">
        <f t="shared" ref="CJ75" si="150">CJ76*SUM(CJ4,CJ14,CJ24,CJ34,CJ44,CJ54,CJ64)</f>
        <v>-1750.3825135482</v>
      </c>
      <c r="CK75" s="291"/>
      <c r="CL75" s="657" t="s">
        <v>345</v>
      </c>
      <c r="CM75" s="657"/>
      <c r="CN75" s="682"/>
      <c r="CO75" s="657"/>
      <c r="CP75" s="657"/>
      <c r="CQ75" s="657"/>
      <c r="CR75" s="657"/>
      <c r="CS75" s="657"/>
      <c r="CT75" s="291"/>
      <c r="CX75"/>
      <c r="CY75"/>
      <c r="CZ75"/>
      <c r="DA75"/>
      <c r="DB75"/>
      <c r="DC75"/>
    </row>
    <row r="76" spans="1:107" s="432" customFormat="1">
      <c r="A76" s="773" t="s">
        <v>93</v>
      </c>
      <c r="B76" s="426">
        <f>B75/SUM(B4,B14,B24,B34)</f>
        <v>0.15165975103734439</v>
      </c>
      <c r="C76" s="426">
        <f>C75/SUM(C4,C14,C24,C34)</f>
        <v>9.5120561989747485E-2</v>
      </c>
      <c r="D76" s="426">
        <f>D75/SUM(D4,D14,D24,D34)</f>
        <v>0.10004948861761795</v>
      </c>
      <c r="E76" s="426">
        <f>E75/SUM(E4,E14,E24,E34)</f>
        <v>-6.6705590424755504E-2</v>
      </c>
      <c r="F76" s="426">
        <f>F75/SUM(F4,F14,F24,F34)</f>
        <v>-9.5449880260006836E-2</v>
      </c>
      <c r="G76" s="426">
        <f>G75/SUM(G4,G14,G24,G34,G54,G44,G64)</f>
        <v>-7.5483205104147119E-2</v>
      </c>
      <c r="H76" s="454">
        <f t="shared" ref="H76:BL76" si="151">H75/SUM(H4,H14,H24,H34,H54,H44,H64)</f>
        <v>-7.1870170015455953E-2</v>
      </c>
      <c r="I76" s="454">
        <f t="shared" si="151"/>
        <v>-7.5170842824601361E-2</v>
      </c>
      <c r="J76" s="454">
        <f t="shared" si="151"/>
        <v>-8.1161971830985918E-2</v>
      </c>
      <c r="K76" s="502">
        <f t="shared" si="151"/>
        <v>-7.5927922377945475E-2</v>
      </c>
      <c r="L76" s="426">
        <f t="shared" si="151"/>
        <v>-7.3990349084901971E-2</v>
      </c>
      <c r="M76" s="502">
        <f t="shared" si="151"/>
        <v>-7.1775312066574198E-2</v>
      </c>
      <c r="N76" s="454">
        <f t="shared" si="151"/>
        <v>-7.4278504967670717E-2</v>
      </c>
      <c r="O76" s="454">
        <f t="shared" si="151"/>
        <v>-7.4494949494949489E-2</v>
      </c>
      <c r="P76" s="502">
        <f t="shared" si="151"/>
        <v>-8.2604763340367801E-2</v>
      </c>
      <c r="Q76" s="426">
        <f t="shared" si="151"/>
        <v>-7.5959966505841539E-2</v>
      </c>
      <c r="R76" s="502">
        <f t="shared" si="151"/>
        <v>-6.751188589540412E-2</v>
      </c>
      <c r="S76" s="454">
        <f t="shared" si="151"/>
        <v>-7.8115593016255272E-2</v>
      </c>
      <c r="T76" s="454">
        <f t="shared" si="151"/>
        <v>-7.8145892140840889E-2</v>
      </c>
      <c r="U76" s="502">
        <f t="shared" si="151"/>
        <v>-7.0153417015341696E-2</v>
      </c>
      <c r="V76" s="503">
        <f t="shared" si="151"/>
        <v>-7.3505864829640666E-2</v>
      </c>
      <c r="W76" s="502">
        <f t="shared" si="151"/>
        <v>-6.8625942452685024E-2</v>
      </c>
      <c r="X76" s="454">
        <f t="shared" si="151"/>
        <v>-7.7528957528957526E-2</v>
      </c>
      <c r="Y76" s="454">
        <f t="shared" si="151"/>
        <v>-7.533539731682147E-2</v>
      </c>
      <c r="Z76" s="502">
        <f t="shared" si="151"/>
        <v>-7.2352465642683911E-2</v>
      </c>
      <c r="AA76" s="503">
        <f t="shared" si="151"/>
        <v>-7.3439052209426398E-2</v>
      </c>
      <c r="AB76" s="502">
        <f t="shared" si="151"/>
        <v>-6.6481567175690273E-2</v>
      </c>
      <c r="AC76" s="454">
        <f t="shared" si="151"/>
        <v>-7.723214285714286E-2</v>
      </c>
      <c r="AD76" s="454">
        <f t="shared" si="151"/>
        <v>-6.9809885931558929E-2</v>
      </c>
      <c r="AE76" s="502">
        <f t="shared" si="151"/>
        <v>-6.7924528301886791E-2</v>
      </c>
      <c r="AF76" s="503">
        <f t="shared" si="151"/>
        <v>-5.0581733566026757E-2</v>
      </c>
      <c r="AG76" s="502">
        <f t="shared" si="151"/>
        <v>-5.4367745876603542E-2</v>
      </c>
      <c r="AH76" s="454">
        <f t="shared" si="151"/>
        <v>-5.6775445832827856E-2</v>
      </c>
      <c r="AI76" s="454">
        <f t="shared" si="151"/>
        <v>-5.6537530266343825E-2</v>
      </c>
      <c r="AJ76" s="502">
        <f t="shared" si="151"/>
        <v>-5.5630478759271747E-2</v>
      </c>
      <c r="AK76" s="503">
        <f t="shared" si="151"/>
        <v>-5.5826832608825108E-2</v>
      </c>
      <c r="AL76" s="774">
        <f t="shared" si="151"/>
        <v>-5.6850766737314547E-2</v>
      </c>
      <c r="AM76" s="502">
        <f t="shared" si="151"/>
        <v>-7.3625208301772452E-2</v>
      </c>
      <c r="AN76" s="502">
        <f t="shared" si="151"/>
        <v>-7.1224165341812404E-2</v>
      </c>
      <c r="AO76" s="502">
        <f t="shared" si="151"/>
        <v>-6.4988849952214087E-2</v>
      </c>
      <c r="AP76" s="503">
        <f t="shared" si="151"/>
        <v>-7.025907545621507E-2</v>
      </c>
      <c r="AQ76" s="774">
        <f t="shared" si="151"/>
        <v>-6.72311600338696E-2</v>
      </c>
      <c r="AR76" s="502">
        <f t="shared" si="151"/>
        <v>-6.7549885508668625E-2</v>
      </c>
      <c r="AS76" s="502">
        <f t="shared" si="151"/>
        <v>-7.1258907363420429E-2</v>
      </c>
      <c r="AT76" s="502">
        <f t="shared" si="151"/>
        <v>-6.1564314084937365E-2</v>
      </c>
      <c r="AU76" s="503">
        <f t="shared" si="151"/>
        <v>-6.6764790056829795E-2</v>
      </c>
      <c r="AV76" s="774"/>
      <c r="AW76" s="502"/>
      <c r="AX76" s="502"/>
      <c r="AY76" s="502"/>
      <c r="AZ76" s="503">
        <f t="shared" ref="AZ76" si="152">AZ75/SUM(AZ4,AZ14,AZ24,AZ34,AZ54,AZ44,AZ64)</f>
        <v>-6.0921431509666807E-2</v>
      </c>
      <c r="BA76" s="774">
        <f t="shared" si="151"/>
        <v>-5.9576738395874088E-2</v>
      </c>
      <c r="BB76" s="502">
        <f t="shared" si="151"/>
        <v>-5.3787756420610566E-2</v>
      </c>
      <c r="BC76" s="502">
        <f t="shared" si="151"/>
        <v>-5.3900016283992838E-2</v>
      </c>
      <c r="BD76" s="502">
        <f t="shared" si="151"/>
        <v>-4.9528654795750408E-2</v>
      </c>
      <c r="BE76" s="503">
        <f t="shared" si="151"/>
        <v>-5.398165435506129E-2</v>
      </c>
      <c r="BF76" s="774">
        <f t="shared" si="151"/>
        <v>-5.6194331983805669E-2</v>
      </c>
      <c r="BG76" s="502">
        <f t="shared" si="151"/>
        <v>-5.1081165778752741E-2</v>
      </c>
      <c r="BH76" s="502">
        <f t="shared" si="151"/>
        <v>-5.6750857499220458E-2</v>
      </c>
      <c r="BI76" s="502">
        <f t="shared" si="151"/>
        <v>-4.9403487304986234E-2</v>
      </c>
      <c r="BJ76" s="503">
        <f t="shared" si="151"/>
        <v>-5.3314516445176215E-2</v>
      </c>
      <c r="BK76" s="774">
        <f t="shared" si="151"/>
        <v>-5.5031446540880505E-2</v>
      </c>
      <c r="BL76" s="964">
        <f t="shared" si="151"/>
        <v>-5.5822328931572629E-2</v>
      </c>
      <c r="BM76" s="502">
        <f t="shared" ref="BM76:BO76" si="153">BM75/SUM(BM4,BM14,BM24,BM34,BM54,BM44,BM64)</f>
        <v>-5.3415588323803789E-2</v>
      </c>
      <c r="BN76" s="502">
        <f t="shared" si="153"/>
        <v>-4.8486547085201795E-2</v>
      </c>
      <c r="BO76" s="503">
        <f t="shared" si="153"/>
        <v>-5.3085130194732523E-2</v>
      </c>
      <c r="BP76" s="503"/>
      <c r="BQ76" s="506">
        <v>-5.2499999999999998E-2</v>
      </c>
      <c r="BR76" s="505">
        <v>-5.2499999999999998E-2</v>
      </c>
      <c r="BS76" s="505">
        <v>-5.2499999999999998E-2</v>
      </c>
      <c r="BT76" s="507">
        <v>-5.2499999999999998E-2</v>
      </c>
      <c r="BU76" s="503">
        <f t="shared" ref="BU76" si="154">BU75/SUM(BU4,BU14,BU24,BU34,BU54,BU44,BU64)</f>
        <v>-5.2499999999999984E-2</v>
      </c>
      <c r="BV76" s="506"/>
      <c r="BW76" s="505"/>
      <c r="BX76" s="505"/>
      <c r="BY76" s="507"/>
      <c r="BZ76" s="508">
        <f>BU76</f>
        <v>-5.2499999999999984E-2</v>
      </c>
      <c r="CA76" s="506"/>
      <c r="CB76" s="505"/>
      <c r="CC76" s="505"/>
      <c r="CD76" s="507"/>
      <c r="CE76" s="508">
        <f>BZ76</f>
        <v>-5.2499999999999984E-2</v>
      </c>
      <c r="CF76" s="506"/>
      <c r="CG76" s="505"/>
      <c r="CH76" s="505"/>
      <c r="CI76" s="507"/>
      <c r="CJ76" s="508">
        <f>CE76</f>
        <v>-5.2499999999999984E-2</v>
      </c>
      <c r="CK76" s="430"/>
      <c r="CL76" s="677"/>
      <c r="CM76" s="677"/>
      <c r="CN76" s="677"/>
      <c r="CO76" s="677"/>
      <c r="CP76" s="677"/>
      <c r="CQ76" s="677"/>
      <c r="CR76" s="677"/>
      <c r="CS76" s="677"/>
      <c r="CT76" s="430"/>
      <c r="CX76"/>
      <c r="CY76"/>
      <c r="CZ76"/>
      <c r="DA76"/>
      <c r="DB76"/>
      <c r="DC76"/>
    </row>
    <row r="77" spans="1:107" s="204" customFormat="1">
      <c r="A77" s="127" t="s">
        <v>124</v>
      </c>
      <c r="B77" s="128">
        <f t="shared" ref="B77:AE77" si="155">SUM(B4,B14,B24,B44,B34,B54,B75)</f>
        <v>16017</v>
      </c>
      <c r="C77" s="128">
        <f t="shared" si="155"/>
        <v>16760</v>
      </c>
      <c r="D77" s="128">
        <f t="shared" si="155"/>
        <v>18109</v>
      </c>
      <c r="E77" s="128">
        <f t="shared" si="155"/>
        <v>17825</v>
      </c>
      <c r="F77" s="128">
        <f t="shared" si="155"/>
        <v>18491</v>
      </c>
      <c r="G77" s="128">
        <f t="shared" si="155"/>
        <v>19707</v>
      </c>
      <c r="H77" s="129">
        <f t="shared" si="155"/>
        <v>4804</v>
      </c>
      <c r="I77" s="129">
        <f t="shared" si="155"/>
        <v>5278</v>
      </c>
      <c r="J77" s="129">
        <f t="shared" si="155"/>
        <v>5219</v>
      </c>
      <c r="K77" s="129">
        <f t="shared" si="155"/>
        <v>6000</v>
      </c>
      <c r="L77" s="128">
        <f t="shared" si="155"/>
        <v>21301</v>
      </c>
      <c r="M77" s="129">
        <f t="shared" si="155"/>
        <v>5354</v>
      </c>
      <c r="N77" s="129">
        <f t="shared" si="155"/>
        <v>5870</v>
      </c>
      <c r="O77" s="129">
        <f t="shared" si="155"/>
        <v>5864</v>
      </c>
      <c r="P77" s="129">
        <f t="shared" si="155"/>
        <v>6086</v>
      </c>
      <c r="Q77" s="128">
        <f t="shared" si="155"/>
        <v>23174</v>
      </c>
      <c r="R77" s="129">
        <f t="shared" si="155"/>
        <v>5884</v>
      </c>
      <c r="S77" s="129">
        <f t="shared" si="155"/>
        <v>6125</v>
      </c>
      <c r="T77" s="129">
        <f t="shared" si="155"/>
        <v>6205</v>
      </c>
      <c r="U77" s="129">
        <f t="shared" si="155"/>
        <v>6667</v>
      </c>
      <c r="V77" s="128">
        <f t="shared" si="155"/>
        <v>24881</v>
      </c>
      <c r="W77" s="129">
        <f t="shared" si="155"/>
        <v>6053</v>
      </c>
      <c r="X77" s="129">
        <f t="shared" si="155"/>
        <v>5973</v>
      </c>
      <c r="Y77" s="129">
        <f t="shared" si="155"/>
        <v>6272</v>
      </c>
      <c r="Z77" s="129">
        <f t="shared" si="155"/>
        <v>6885</v>
      </c>
      <c r="AA77" s="128">
        <f t="shared" si="155"/>
        <v>25183</v>
      </c>
      <c r="AB77" s="129">
        <f t="shared" si="155"/>
        <v>6052</v>
      </c>
      <c r="AC77" s="129">
        <f t="shared" si="155"/>
        <v>6201</v>
      </c>
      <c r="AD77" s="129">
        <f t="shared" si="155"/>
        <v>6116</v>
      </c>
      <c r="AE77" s="129">
        <f t="shared" si="155"/>
        <v>6422</v>
      </c>
      <c r="AF77" s="128">
        <f>SUM(AF4,AF14,AF24,AF34,AF75)</f>
        <v>24791</v>
      </c>
      <c r="AG77" s="129">
        <f>SUM(AG4,AG14,AG24,AG34,AG75)</f>
        <v>5938</v>
      </c>
      <c r="AH77" s="129">
        <f>SUM(AH4,AH14,AH24,AH34,AH75)</f>
        <v>5992</v>
      </c>
      <c r="AI77" s="129">
        <f>SUM(AI4,AI14,AI24,AI34,AI75)</f>
        <v>6045</v>
      </c>
      <c r="AJ77" s="129">
        <f>SUM(AJ4,AJ14,AJ24,AJ34,AJ75)</f>
        <v>6439</v>
      </c>
      <c r="AK77" s="128">
        <f>SUM(AK4,AK14,AK24,,AK34,AK75)</f>
        <v>24414</v>
      </c>
      <c r="AL77" s="129">
        <f>SUM(AL4,AL14,AL24,AL75,AL34,)</f>
        <v>5879</v>
      </c>
      <c r="AM77" s="129">
        <f>SUM(AM4,AM14,AM24,AM75,AM34,)</f>
        <v>6115</v>
      </c>
      <c r="AN77" s="129">
        <f>SUM(AN4,AN14,AN24,AN75,AN34,)</f>
        <v>5842</v>
      </c>
      <c r="AO77" s="129">
        <f>SUM(AO4,AO14,AO24,AO75,AO34,)</f>
        <v>5870</v>
      </c>
      <c r="AP77" s="128">
        <f t="shared" ref="AP77:BL77" si="156">SUM(AP4,AP14,AP24,AP75,AP34,AP64,AP74)</f>
        <v>23793</v>
      </c>
      <c r="AQ77" s="129">
        <f t="shared" si="156"/>
        <v>5508</v>
      </c>
      <c r="AR77" s="129">
        <f t="shared" si="156"/>
        <v>5701</v>
      </c>
      <c r="AS77" s="129">
        <f t="shared" si="156"/>
        <v>5474</v>
      </c>
      <c r="AT77" s="129">
        <f t="shared" si="156"/>
        <v>6143</v>
      </c>
      <c r="AU77" s="128">
        <f t="shared" si="156"/>
        <v>22826</v>
      </c>
      <c r="AV77" s="129"/>
      <c r="AW77" s="129"/>
      <c r="AX77" s="129"/>
      <c r="AY77" s="129"/>
      <c r="AZ77" s="128">
        <f t="shared" ref="AZ77" si="157">SUM(AZ4,AZ14,AZ24,AZ75,AZ34,AZ64,AZ74)</f>
        <v>22826</v>
      </c>
      <c r="BA77" s="129">
        <f>SUM(BA4,BA14,BA24,BA75,BA34,BA64,BA74)</f>
        <v>5288</v>
      </c>
      <c r="BB77" s="129">
        <f t="shared" si="156"/>
        <v>5848</v>
      </c>
      <c r="BC77" s="129">
        <f t="shared" si="156"/>
        <v>5783</v>
      </c>
      <c r="BD77" s="129">
        <f t="shared" si="156"/>
        <v>6328</v>
      </c>
      <c r="BE77" s="128">
        <f t="shared" si="156"/>
        <v>23247</v>
      </c>
      <c r="BF77" s="130">
        <f t="shared" si="156"/>
        <v>5802</v>
      </c>
      <c r="BG77" s="129">
        <f t="shared" si="156"/>
        <v>6035</v>
      </c>
      <c r="BH77" s="129">
        <f t="shared" si="156"/>
        <v>6033</v>
      </c>
      <c r="BI77" s="131">
        <f t="shared" si="156"/>
        <v>6202</v>
      </c>
      <c r="BJ77" s="128">
        <f t="shared" si="156"/>
        <v>24072</v>
      </c>
      <c r="BK77" s="130">
        <f t="shared" si="156"/>
        <v>6000</v>
      </c>
      <c r="BL77" s="129">
        <f t="shared" si="156"/>
        <v>6281</v>
      </c>
      <c r="BM77" s="129">
        <f t="shared" ref="BM77:BO77" si="158">SUM(BM4,BM14,BM24,BM75,BM34,BM64,BM74)</f>
        <v>6284</v>
      </c>
      <c r="BN77" s="131">
        <f t="shared" si="158"/>
        <v>6783</v>
      </c>
      <c r="BO77" s="128">
        <f t="shared" si="158"/>
        <v>25348</v>
      </c>
      <c r="BP77" s="128">
        <f t="shared" ref="BP77" si="159">SUM(BP4,BP14,BP24,BP75,BP34,BP64,BP74)</f>
        <v>25348</v>
      </c>
      <c r="BQ77" s="130">
        <f t="shared" ref="BQ77:BU77" si="160">SUM(BQ4,BQ14,BQ24,BQ75,BQ34,BQ64,BQ74)</f>
        <v>6294.3575999999994</v>
      </c>
      <c r="BR77" s="129">
        <f t="shared" si="160"/>
        <v>6660.5853000000006</v>
      </c>
      <c r="BS77" s="129">
        <f t="shared" si="160"/>
        <v>6645.8137749999996</v>
      </c>
      <c r="BT77" s="131">
        <f t="shared" si="160"/>
        <v>7209.0267250000006</v>
      </c>
      <c r="BU77" s="128">
        <f t="shared" si="160"/>
        <v>26809.783400000004</v>
      </c>
      <c r="BV77" s="130"/>
      <c r="BW77" s="129"/>
      <c r="BX77" s="129"/>
      <c r="BY77" s="131"/>
      <c r="BZ77" s="128">
        <f>SUM(BZ4,BZ14,BZ24,BZ75,BZ34,BZ64,BZ74)</f>
        <v>28271.851673250007</v>
      </c>
      <c r="CA77" s="130"/>
      <c r="CB77" s="129"/>
      <c r="CC77" s="129"/>
      <c r="CD77" s="131"/>
      <c r="CE77" s="128">
        <f>SUM(CE4,CE14,CE24,CE75,CE34,CE64,CE74)</f>
        <v>29880.828055525006</v>
      </c>
      <c r="CF77" s="130"/>
      <c r="CG77" s="129"/>
      <c r="CH77" s="129"/>
      <c r="CI77" s="131"/>
      <c r="CJ77" s="128">
        <f>SUM(CJ4,CJ14,CJ24,CJ75,CJ34,CJ64,CJ74)</f>
        <v>31590.236792131815</v>
      </c>
      <c r="CK77" s="296"/>
      <c r="CL77" s="657" t="s">
        <v>346</v>
      </c>
      <c r="CM77" s="657"/>
      <c r="CN77" s="682"/>
      <c r="CO77" s="657"/>
      <c r="CP77" s="657"/>
      <c r="CQ77" s="657"/>
      <c r="CR77" s="657"/>
      <c r="CS77" s="657"/>
      <c r="CT77" s="296"/>
      <c r="CX77"/>
      <c r="CY77"/>
      <c r="CZ77"/>
      <c r="DA77"/>
      <c r="DB77"/>
      <c r="DC77"/>
    </row>
    <row r="78" spans="1:107">
      <c r="A78" s="62" t="s">
        <v>137</v>
      </c>
      <c r="B78" s="70"/>
      <c r="C78" s="70">
        <f>C77/B77-1</f>
        <v>4.6388212524193007E-2</v>
      </c>
      <c r="D78" s="70">
        <f>D77/C77-1</f>
        <v>8.0489260143198127E-2</v>
      </c>
      <c r="E78" s="70">
        <f>E77/D77-1</f>
        <v>-1.5682809652658891E-2</v>
      </c>
      <c r="F78" s="70">
        <f>F77/E77-1</f>
        <v>3.7363253856942391E-2</v>
      </c>
      <c r="G78" s="70">
        <f>G77/F77-1</f>
        <v>6.5761721918771388E-2</v>
      </c>
      <c r="H78" s="118"/>
      <c r="I78" s="64"/>
      <c r="J78" s="64"/>
      <c r="K78" s="64"/>
      <c r="L78" s="70">
        <f t="shared" ref="L78:AS78" si="161">L77/G77-1</f>
        <v>8.088496473334339E-2</v>
      </c>
      <c r="M78" s="64">
        <f t="shared" si="161"/>
        <v>0.11448792672772679</v>
      </c>
      <c r="N78" s="64">
        <f t="shared" si="161"/>
        <v>0.11216369837059492</v>
      </c>
      <c r="O78" s="64">
        <f t="shared" si="161"/>
        <v>0.12358689404100409</v>
      </c>
      <c r="P78" s="64">
        <f t="shared" si="161"/>
        <v>1.4333333333333309E-2</v>
      </c>
      <c r="Q78" s="70">
        <f t="shared" si="161"/>
        <v>8.7930144124688914E-2</v>
      </c>
      <c r="R78" s="64">
        <f t="shared" si="161"/>
        <v>9.8991408292865124E-2</v>
      </c>
      <c r="S78" s="64">
        <f t="shared" si="161"/>
        <v>4.3441226575809289E-2</v>
      </c>
      <c r="T78" s="64">
        <f t="shared" si="161"/>
        <v>5.815143246930421E-2</v>
      </c>
      <c r="U78" s="64">
        <f t="shared" si="161"/>
        <v>9.5465001643115333E-2</v>
      </c>
      <c r="V78" s="70">
        <f t="shared" si="161"/>
        <v>7.3660136359713579E-2</v>
      </c>
      <c r="W78" s="64">
        <f t="shared" si="161"/>
        <v>2.8721957851801427E-2</v>
      </c>
      <c r="X78" s="64">
        <f t="shared" si="161"/>
        <v>-2.4816326530612276E-2</v>
      </c>
      <c r="Y78" s="64">
        <f t="shared" si="161"/>
        <v>1.0797743755036171E-2</v>
      </c>
      <c r="Z78" s="64">
        <f t="shared" si="161"/>
        <v>3.2698365081745839E-2</v>
      </c>
      <c r="AA78" s="70">
        <f t="shared" si="161"/>
        <v>1.2137775812869345E-2</v>
      </c>
      <c r="AB78" s="64">
        <f t="shared" si="161"/>
        <v>-1.6520733520564157E-4</v>
      </c>
      <c r="AC78" s="64">
        <f t="shared" si="161"/>
        <v>3.8171772978402796E-2</v>
      </c>
      <c r="AD78" s="64">
        <f t="shared" si="161"/>
        <v>-2.4872448979591844E-2</v>
      </c>
      <c r="AE78" s="64">
        <f t="shared" si="161"/>
        <v>-6.7247639796659375E-2</v>
      </c>
      <c r="AF78" s="70">
        <f t="shared" si="161"/>
        <v>-1.556605646666398E-2</v>
      </c>
      <c r="AG78" s="64">
        <f t="shared" si="161"/>
        <v>-1.8836748182418983E-2</v>
      </c>
      <c r="AH78" s="64">
        <f t="shared" si="161"/>
        <v>-3.3704241251411027E-2</v>
      </c>
      <c r="AI78" s="64">
        <f t="shared" si="161"/>
        <v>-1.1608894702419881E-2</v>
      </c>
      <c r="AJ78" s="64">
        <f t="shared" si="161"/>
        <v>2.6471504204297336E-3</v>
      </c>
      <c r="AK78" s="70">
        <f t="shared" si="161"/>
        <v>-1.5207131620346148E-2</v>
      </c>
      <c r="AL78" s="64">
        <f>AL77/AG77-1</f>
        <v>-9.9360053890198419E-3</v>
      </c>
      <c r="AM78" s="64">
        <f t="shared" si="161"/>
        <v>2.0527369826435216E-2</v>
      </c>
      <c r="AN78" s="64">
        <f t="shared" si="161"/>
        <v>-3.3581472291149717E-2</v>
      </c>
      <c r="AO78" s="64">
        <f>AO77/AJ77-1</f>
        <v>-8.8367758968784016E-2</v>
      </c>
      <c r="AP78" s="70">
        <f t="shared" si="161"/>
        <v>-2.5436225116736266E-2</v>
      </c>
      <c r="AQ78" s="64">
        <f>AQ77/AL77-1</f>
        <v>-6.3105970403129819E-2</v>
      </c>
      <c r="AR78" s="64">
        <f t="shared" si="161"/>
        <v>-6.7702371218315571E-2</v>
      </c>
      <c r="AS78" s="64">
        <f t="shared" si="161"/>
        <v>-6.2992125984251968E-2</v>
      </c>
      <c r="AT78" s="64">
        <f t="shared" ref="AT78:AU78" si="162">AT77/AO77-1</f>
        <v>4.6507666098807521E-2</v>
      </c>
      <c r="AU78" s="70">
        <f t="shared" si="162"/>
        <v>-4.0642205690749389E-2</v>
      </c>
      <c r="AV78" s="64"/>
      <c r="AW78" s="64"/>
      <c r="AX78" s="64"/>
      <c r="AY78" s="64"/>
      <c r="AZ78" s="70">
        <f t="shared" ref="AZ78" si="163">AZ77/AU77-1</f>
        <v>0</v>
      </c>
      <c r="BA78" s="64">
        <f>BA77/AQ77-1</f>
        <v>-3.9941902687000708E-2</v>
      </c>
      <c r="BB78" s="64">
        <f>BB77/AR77-1</f>
        <v>2.5784950008770346E-2</v>
      </c>
      <c r="BC78" s="64">
        <f>BC77/AS77-1</f>
        <v>5.6448666423090987E-2</v>
      </c>
      <c r="BD78" s="64">
        <f>BD77/AT77-1</f>
        <v>3.0115578707471835E-2</v>
      </c>
      <c r="BE78" s="70">
        <f>BE77/AZ77-1</f>
        <v>1.8443879786208761E-2</v>
      </c>
      <c r="BF78" s="64">
        <f t="shared" ref="BF78:BM78" si="164">BF77/BA77-1</f>
        <v>9.7201210287443329E-2</v>
      </c>
      <c r="BG78" s="64">
        <f t="shared" si="164"/>
        <v>3.1976744186046568E-2</v>
      </c>
      <c r="BH78" s="64">
        <f t="shared" si="164"/>
        <v>4.3230157357772692E-2</v>
      </c>
      <c r="BI78" s="64">
        <f t="shared" si="164"/>
        <v>-1.9911504424778736E-2</v>
      </c>
      <c r="BJ78" s="70">
        <f t="shared" si="164"/>
        <v>3.5488450122596493E-2</v>
      </c>
      <c r="BK78" s="64">
        <f t="shared" si="164"/>
        <v>3.4126163391933861E-2</v>
      </c>
      <c r="BL78" s="64">
        <f t="shared" si="164"/>
        <v>4.0762220381110215E-2</v>
      </c>
      <c r="BM78" s="64">
        <f t="shared" si="164"/>
        <v>4.16045085363832E-2</v>
      </c>
      <c r="BN78" s="64">
        <f t="shared" ref="BN78" si="165">BN77/BI77-1</f>
        <v>9.3679458239277702E-2</v>
      </c>
      <c r="BO78" s="70">
        <f t="shared" ref="BO78" si="166">BO77/BJ77-1</f>
        <v>5.3007643735460297E-2</v>
      </c>
      <c r="BP78" s="70"/>
      <c r="BQ78" s="121">
        <f t="shared" ref="BQ78" si="167">BQ77/BK77-1</f>
        <v>4.905959999999987E-2</v>
      </c>
      <c r="BR78" s="64">
        <f t="shared" ref="BR78" si="168">BR77/BL77-1</f>
        <v>6.0433895876452981E-2</v>
      </c>
      <c r="BS78" s="64">
        <f t="shared" ref="BS78" si="169">BS77/BM77-1</f>
        <v>5.7576985200509245E-2</v>
      </c>
      <c r="BT78" s="122">
        <f>BT77/BN77-1</f>
        <v>6.280800899307093E-2</v>
      </c>
      <c r="BU78" s="70">
        <f>BU77/BO77-1</f>
        <v>5.7668589237809931E-2</v>
      </c>
      <c r="BV78" s="121"/>
      <c r="BW78" s="64"/>
      <c r="BX78" s="64"/>
      <c r="BY78" s="122"/>
      <c r="BZ78" s="70">
        <f>BZ77/BU77-1</f>
        <v>5.4534878235905637E-2</v>
      </c>
      <c r="CA78" s="121"/>
      <c r="CB78" s="64"/>
      <c r="CC78" s="64"/>
      <c r="CD78" s="122"/>
      <c r="CE78" s="70">
        <f>CE77/BZ77-1</f>
        <v>5.6910895008598361E-2</v>
      </c>
      <c r="CF78" s="121"/>
      <c r="CG78" s="64"/>
      <c r="CH78" s="64"/>
      <c r="CI78" s="122"/>
      <c r="CJ78" s="70">
        <f>CJ77/CE77-1</f>
        <v>5.7207542355598662E-2</v>
      </c>
      <c r="CK78" s="289"/>
      <c r="CL78" s="978"/>
      <c r="CM78" s="682"/>
      <c r="CN78" s="682"/>
      <c r="CO78" s="658"/>
      <c r="CP78" s="658"/>
      <c r="CQ78" s="658"/>
      <c r="CR78" s="658"/>
      <c r="CS78" s="658"/>
      <c r="CT78" s="289"/>
    </row>
    <row r="79" spans="1:107" s="432" customFormat="1">
      <c r="A79" s="478" t="s">
        <v>65</v>
      </c>
      <c r="B79" s="474"/>
      <c r="C79" s="474"/>
      <c r="D79" s="474"/>
      <c r="E79" s="474"/>
      <c r="F79" s="474"/>
      <c r="G79" s="474"/>
      <c r="H79" s="431">
        <f>H77/L77</f>
        <v>0.22552931787240035</v>
      </c>
      <c r="I79" s="431">
        <f>I77/L77</f>
        <v>0.2477817942819586</v>
      </c>
      <c r="J79" s="431">
        <f>J77/L77</f>
        <v>0.24501197126895452</v>
      </c>
      <c r="K79" s="431">
        <f>K77/L77</f>
        <v>0.28167691657668653</v>
      </c>
      <c r="L79" s="474"/>
      <c r="M79" s="431">
        <f>M77/Q77</f>
        <v>0.23103478035729696</v>
      </c>
      <c r="N79" s="431">
        <f>N77/Q77</f>
        <v>0.25330111331664795</v>
      </c>
      <c r="O79" s="431">
        <f>O77/Q77</f>
        <v>0.25304220246828341</v>
      </c>
      <c r="P79" s="431">
        <f>P77/Q77</f>
        <v>0.26262190385777162</v>
      </c>
      <c r="Q79" s="474"/>
      <c r="R79" s="431">
        <f>R77/V77</f>
        <v>0.23648567179775731</v>
      </c>
      <c r="S79" s="431">
        <f>S77/V77</f>
        <v>0.24617177766166956</v>
      </c>
      <c r="T79" s="431">
        <f>T77/V77</f>
        <v>0.24938708251276073</v>
      </c>
      <c r="U79" s="431">
        <f>U77/V77</f>
        <v>0.26795546802781239</v>
      </c>
      <c r="V79" s="474"/>
      <c r="W79" s="431">
        <f>W77/AA77</f>
        <v>0.24036056069570741</v>
      </c>
      <c r="X79" s="431">
        <f>X77/AA77</f>
        <v>0.23718381447802089</v>
      </c>
      <c r="Y79" s="431">
        <f>Y77/AA77</f>
        <v>0.24905690346662432</v>
      </c>
      <c r="Z79" s="431">
        <f>Z77/AA77</f>
        <v>0.27339872135964738</v>
      </c>
      <c r="AA79" s="474"/>
      <c r="AB79" s="431">
        <f>AB77/AF77</f>
        <v>0.24412085030857972</v>
      </c>
      <c r="AC79" s="431">
        <f>AC77/AF77</f>
        <v>0.25013109596224437</v>
      </c>
      <c r="AD79" s="431">
        <f>AD77/AF77</f>
        <v>0.24670243233431488</v>
      </c>
      <c r="AE79" s="431">
        <f>AE77/AF77</f>
        <v>0.25904562139486104</v>
      </c>
      <c r="AF79" s="474"/>
      <c r="AG79" s="431">
        <f>AG77/AK77</f>
        <v>0.24322110264602279</v>
      </c>
      <c r="AH79" s="431">
        <f>AH77/AK77</f>
        <v>0.24543294830834766</v>
      </c>
      <c r="AI79" s="431">
        <f>AI77/AK77</f>
        <v>0.24760383386581469</v>
      </c>
      <c r="AJ79" s="431">
        <f>AJ77/AK77</f>
        <v>0.26374211517981488</v>
      </c>
      <c r="AK79" s="474"/>
      <c r="AL79" s="431">
        <f>AL77/AP77</f>
        <v>0.24708948009918882</v>
      </c>
      <c r="AM79" s="431">
        <f>AM77/AP77</f>
        <v>0.25700836380448033</v>
      </c>
      <c r="AN79" s="431">
        <f>AN77/AP77</f>
        <v>0.24553440087420669</v>
      </c>
      <c r="AO79" s="431">
        <f>AO77/AP77</f>
        <v>0.246711217585004</v>
      </c>
      <c r="AP79" s="474"/>
      <c r="AQ79" s="431">
        <f>AQ77/AU77</f>
        <v>0.24130377639533865</v>
      </c>
      <c r="AR79" s="431">
        <f>AR77/AU77</f>
        <v>0.24975904670113028</v>
      </c>
      <c r="AS79" s="431">
        <f>AS77/AU77</f>
        <v>0.23981424691141681</v>
      </c>
      <c r="AT79" s="431">
        <f>AT77/AU77</f>
        <v>0.26912292999211423</v>
      </c>
      <c r="AU79" s="474"/>
      <c r="AV79" s="431"/>
      <c r="AW79" s="431"/>
      <c r="AX79" s="431"/>
      <c r="AY79" s="431"/>
      <c r="AZ79" s="474"/>
      <c r="BA79" s="431">
        <f>BA77/BE77</f>
        <v>0.2274702112100486</v>
      </c>
      <c r="BB79" s="431">
        <f>BB77/BE77</f>
        <v>0.2515593409902353</v>
      </c>
      <c r="BC79" s="431">
        <f>BC77/BE77</f>
        <v>0.24876328128360647</v>
      </c>
      <c r="BD79" s="431">
        <f>BD77/BE77</f>
        <v>0.2722071665161096</v>
      </c>
      <c r="BE79" s="474"/>
      <c r="BF79" s="431">
        <f>BF77/BJ77</f>
        <v>0.24102691924227318</v>
      </c>
      <c r="BG79" s="431">
        <f>BG77/BJ77</f>
        <v>0.25070621468926552</v>
      </c>
      <c r="BH79" s="431">
        <f>BH77/BJ77</f>
        <v>0.25062313060817548</v>
      </c>
      <c r="BI79" s="431">
        <f>BI77/BJ77</f>
        <v>0.25764373546028579</v>
      </c>
      <c r="BJ79" s="474"/>
      <c r="BK79" s="431">
        <f>BK77/BO77</f>
        <v>0.23670506548840145</v>
      </c>
      <c r="BL79" s="431">
        <f>BL77/BO77</f>
        <v>0.24779075272210827</v>
      </c>
      <c r="BM79" s="431">
        <f>BM77/BO77</f>
        <v>0.24790910525485246</v>
      </c>
      <c r="BN79" s="431">
        <f>BN77/BO77</f>
        <v>0.26759507653463782</v>
      </c>
      <c r="BO79" s="474"/>
      <c r="BP79" s="474"/>
      <c r="BQ79" s="475">
        <f>BQ77/BU77</f>
        <v>0.23477838317783642</v>
      </c>
      <c r="BR79" s="431">
        <f>BR77/BU77</f>
        <v>0.24843860916832322</v>
      </c>
      <c r="BS79" s="431">
        <f>BS77/BU77</f>
        <v>0.24788763399707284</v>
      </c>
      <c r="BT79" s="476">
        <f>BT77/BU77</f>
        <v>0.26889537365676741</v>
      </c>
      <c r="BU79" s="474"/>
      <c r="BV79" s="475"/>
      <c r="BW79" s="431"/>
      <c r="BX79" s="431"/>
      <c r="BY79" s="476"/>
      <c r="BZ79" s="474"/>
      <c r="CA79" s="475"/>
      <c r="CB79" s="431"/>
      <c r="CC79" s="431"/>
      <c r="CD79" s="476"/>
      <c r="CE79" s="474"/>
      <c r="CF79" s="475"/>
      <c r="CG79" s="431"/>
      <c r="CH79" s="431"/>
      <c r="CI79" s="476"/>
      <c r="CJ79" s="474"/>
      <c r="CK79" s="430"/>
      <c r="CL79" s="657"/>
      <c r="CM79" s="677"/>
      <c r="CN79" s="677"/>
      <c r="CO79" s="677"/>
      <c r="CP79" s="677"/>
      <c r="CQ79" s="677"/>
      <c r="CR79" s="677"/>
      <c r="CS79" s="677"/>
      <c r="CT79" s="430"/>
      <c r="CX79"/>
      <c r="CY79"/>
      <c r="CZ79"/>
      <c r="DA79"/>
      <c r="DB79"/>
      <c r="DC79"/>
    </row>
    <row r="80" spans="1:107" s="204" customFormat="1" hidden="1" outlineLevel="1">
      <c r="A80" s="237" t="s">
        <v>74</v>
      </c>
      <c r="B80" s="170">
        <f t="shared" ref="B80:AM80" si="170">B77-B82</f>
        <v>12493.26</v>
      </c>
      <c r="C80" s="170">
        <f t="shared" si="170"/>
        <v>13240.4</v>
      </c>
      <c r="D80" s="170">
        <f t="shared" si="170"/>
        <v>14306.11</v>
      </c>
      <c r="E80" s="170">
        <f t="shared" si="170"/>
        <v>14081.75</v>
      </c>
      <c r="F80" s="170">
        <f t="shared" si="170"/>
        <v>14607.89</v>
      </c>
      <c r="G80" s="170">
        <f t="shared" si="170"/>
        <v>15568.529999999999</v>
      </c>
      <c r="H80" s="171">
        <f t="shared" si="170"/>
        <v>3886.4360000000001</v>
      </c>
      <c r="I80" s="171">
        <f t="shared" si="170"/>
        <v>4196.01</v>
      </c>
      <c r="J80" s="171">
        <f t="shared" si="170"/>
        <v>4123.01</v>
      </c>
      <c r="K80" s="171">
        <f t="shared" si="170"/>
        <v>4622.3339999999998</v>
      </c>
      <c r="L80" s="170">
        <f t="shared" si="170"/>
        <v>16827.79</v>
      </c>
      <c r="M80" s="171">
        <f t="shared" si="170"/>
        <v>4309.97</v>
      </c>
      <c r="N80" s="171">
        <f t="shared" si="170"/>
        <v>4754.7</v>
      </c>
      <c r="O80" s="171">
        <f t="shared" si="170"/>
        <v>4691.2</v>
      </c>
      <c r="P80" s="171">
        <f t="shared" si="170"/>
        <v>4551.59</v>
      </c>
      <c r="Q80" s="170">
        <f t="shared" si="170"/>
        <v>18307.46</v>
      </c>
      <c r="R80" s="171">
        <f t="shared" si="170"/>
        <v>4730.7359999999999</v>
      </c>
      <c r="S80" s="171">
        <f t="shared" si="170"/>
        <v>4887.75</v>
      </c>
      <c r="T80" s="171">
        <f t="shared" si="170"/>
        <v>4846.1049999999996</v>
      </c>
      <c r="U80" s="171">
        <f t="shared" si="170"/>
        <v>5191.3989999999994</v>
      </c>
      <c r="V80" s="170">
        <f t="shared" si="170"/>
        <v>19655.989999999998</v>
      </c>
      <c r="W80" s="171">
        <f t="shared" si="170"/>
        <v>4666.8630000000003</v>
      </c>
      <c r="X80" s="171">
        <f t="shared" si="170"/>
        <v>4772.4269999999997</v>
      </c>
      <c r="Y80" s="171">
        <f t="shared" si="170"/>
        <v>4760.4480000000003</v>
      </c>
      <c r="Z80" s="171">
        <f t="shared" si="170"/>
        <v>5191.1719999999996</v>
      </c>
      <c r="AA80" s="170">
        <f t="shared" si="170"/>
        <v>19390.91</v>
      </c>
      <c r="AB80" s="171">
        <f t="shared" si="170"/>
        <v>4569.26</v>
      </c>
      <c r="AC80" s="171">
        <f t="shared" si="170"/>
        <v>4594.9409999999998</v>
      </c>
      <c r="AD80" s="171">
        <f t="shared" si="170"/>
        <v>4660.3919999999998</v>
      </c>
      <c r="AE80" s="171">
        <f t="shared" si="170"/>
        <v>4827.4070000000002</v>
      </c>
      <c r="AF80" s="170">
        <f>AF77-AF82</f>
        <v>18652</v>
      </c>
      <c r="AG80" s="171">
        <f t="shared" si="170"/>
        <v>4427</v>
      </c>
      <c r="AH80" s="171">
        <f t="shared" si="170"/>
        <v>4476</v>
      </c>
      <c r="AI80" s="171">
        <f t="shared" si="170"/>
        <v>4569</v>
      </c>
      <c r="AJ80" s="171">
        <f t="shared" si="170"/>
        <v>4710</v>
      </c>
      <c r="AK80" s="170">
        <f>AK77-AK82</f>
        <v>18182</v>
      </c>
      <c r="AL80" s="171">
        <f t="shared" si="170"/>
        <v>4343</v>
      </c>
      <c r="AM80" s="171">
        <f t="shared" si="170"/>
        <v>4455</v>
      </c>
      <c r="AN80" s="171">
        <f t="shared" ref="AN80:AU80" si="171">AN77-AN82</f>
        <v>4278</v>
      </c>
      <c r="AO80" s="171">
        <f t="shared" si="171"/>
        <v>4184</v>
      </c>
      <c r="AP80" s="170">
        <f t="shared" si="171"/>
        <v>17347</v>
      </c>
      <c r="AQ80" s="171">
        <f t="shared" si="171"/>
        <v>4039</v>
      </c>
      <c r="AR80" s="171">
        <f t="shared" si="171"/>
        <v>4038</v>
      </c>
      <c r="AS80" s="171">
        <f t="shared" si="171"/>
        <v>3852</v>
      </c>
      <c r="AT80" s="171">
        <f t="shared" si="171"/>
        <v>4356</v>
      </c>
      <c r="AU80" s="170">
        <f t="shared" si="171"/>
        <v>16285</v>
      </c>
      <c r="AV80" s="171"/>
      <c r="AW80" s="171"/>
      <c r="AX80" s="171"/>
      <c r="AY80" s="171"/>
      <c r="AZ80" s="170">
        <f t="shared" ref="AZ80" si="172">AZ77-AZ82</f>
        <v>16285</v>
      </c>
      <c r="BA80" s="171">
        <f t="shared" ref="BA80:BJ80" si="173">BA77-BA82</f>
        <v>3803</v>
      </c>
      <c r="BB80" s="171">
        <f t="shared" si="173"/>
        <v>4079</v>
      </c>
      <c r="BC80" s="171">
        <f t="shared" si="173"/>
        <v>3958</v>
      </c>
      <c r="BD80" s="171">
        <f t="shared" si="173"/>
        <v>4257</v>
      </c>
      <c r="BE80" s="170">
        <f t="shared" si="173"/>
        <v>16097</v>
      </c>
      <c r="BF80" s="171">
        <f t="shared" si="173"/>
        <v>4063</v>
      </c>
      <c r="BG80" s="171">
        <f t="shared" si="173"/>
        <v>4128</v>
      </c>
      <c r="BH80" s="171">
        <f t="shared" si="173"/>
        <v>4074</v>
      </c>
      <c r="BI80" s="171">
        <f t="shared" si="173"/>
        <v>4255</v>
      </c>
      <c r="BJ80" s="170">
        <f t="shared" si="173"/>
        <v>16520</v>
      </c>
      <c r="BK80" s="171">
        <f t="shared" ref="BK80:BO80" si="174">BK77-BK82</f>
        <v>4082</v>
      </c>
      <c r="BL80" s="669">
        <f t="shared" si="174"/>
        <v>4283</v>
      </c>
      <c r="BM80" s="353">
        <f t="shared" si="174"/>
        <v>4285</v>
      </c>
      <c r="BN80" s="171">
        <f t="shared" si="174"/>
        <v>4613</v>
      </c>
      <c r="BO80" s="170">
        <f t="shared" si="174"/>
        <v>17263</v>
      </c>
      <c r="BP80" s="170">
        <f t="shared" ref="BP80" si="175">BP77-BP82</f>
        <v>11096</v>
      </c>
      <c r="BQ80" s="194"/>
      <c r="BR80" s="192"/>
      <c r="BS80" s="192"/>
      <c r="BT80" s="195"/>
      <c r="BU80" s="170">
        <f>BU77-BU82</f>
        <v>18401.383400000006</v>
      </c>
      <c r="BV80" s="194"/>
      <c r="BW80" s="192"/>
      <c r="BX80" s="192"/>
      <c r="BY80" s="195"/>
      <c r="BZ80" s="170">
        <f>BZ77-BZ82</f>
        <v>19527.115673250006</v>
      </c>
      <c r="CA80" s="194"/>
      <c r="CB80" s="192"/>
      <c r="CC80" s="192"/>
      <c r="CD80" s="195"/>
      <c r="CE80" s="170">
        <f>CE77-CE82</f>
        <v>20786.302615525005</v>
      </c>
      <c r="CF80" s="194"/>
      <c r="CG80" s="192"/>
      <c r="CH80" s="192"/>
      <c r="CI80" s="195"/>
      <c r="CJ80" s="170">
        <f>CJ77-CJ82</f>
        <v>22131.930334531811</v>
      </c>
      <c r="CK80" s="296"/>
      <c r="CL80" s="743"/>
      <c r="CM80" s="743"/>
      <c r="CN80" s="682"/>
      <c r="CO80" s="657"/>
      <c r="CP80" s="657"/>
      <c r="CQ80" s="657"/>
      <c r="CR80" s="657"/>
      <c r="CS80" s="657"/>
      <c r="CT80" s="296"/>
      <c r="CX80"/>
      <c r="CY80"/>
      <c r="CZ80"/>
      <c r="DA80"/>
      <c r="DB80"/>
      <c r="DC80"/>
    </row>
    <row r="81" spans="1:107" s="500" customFormat="1" hidden="1" outlineLevel="1">
      <c r="A81" s="478" t="s">
        <v>75</v>
      </c>
      <c r="B81" s="474">
        <f t="shared" ref="B81:AR81" si="176">B80/B77</f>
        <v>0.78</v>
      </c>
      <c r="C81" s="474">
        <f t="shared" si="176"/>
        <v>0.78999999999999992</v>
      </c>
      <c r="D81" s="474">
        <f t="shared" si="176"/>
        <v>0.79</v>
      </c>
      <c r="E81" s="474">
        <f t="shared" si="176"/>
        <v>0.79</v>
      </c>
      <c r="F81" s="474">
        <f t="shared" si="176"/>
        <v>0.78999999999999992</v>
      </c>
      <c r="G81" s="474">
        <f t="shared" si="176"/>
        <v>0.78999999999999992</v>
      </c>
      <c r="H81" s="431">
        <f t="shared" si="176"/>
        <v>0.80900000000000005</v>
      </c>
      <c r="I81" s="431">
        <f t="shared" si="176"/>
        <v>0.79500000000000004</v>
      </c>
      <c r="J81" s="431">
        <f t="shared" si="176"/>
        <v>0.79</v>
      </c>
      <c r="K81" s="476">
        <f t="shared" si="176"/>
        <v>0.77038899999999999</v>
      </c>
      <c r="L81" s="474">
        <f t="shared" si="176"/>
        <v>0.79</v>
      </c>
      <c r="M81" s="431">
        <f t="shared" si="176"/>
        <v>0.80500000000000005</v>
      </c>
      <c r="N81" s="431">
        <f t="shared" si="176"/>
        <v>0.80999999999999994</v>
      </c>
      <c r="O81" s="431">
        <f t="shared" si="176"/>
        <v>0.79999999999999993</v>
      </c>
      <c r="P81" s="476">
        <f t="shared" si="176"/>
        <v>0.74787873808741379</v>
      </c>
      <c r="Q81" s="474">
        <f t="shared" si="176"/>
        <v>0.78999999999999992</v>
      </c>
      <c r="R81" s="431">
        <f t="shared" si="176"/>
        <v>0.80399999999999994</v>
      </c>
      <c r="S81" s="431">
        <f t="shared" si="176"/>
        <v>0.79800000000000004</v>
      </c>
      <c r="T81" s="431">
        <f t="shared" si="176"/>
        <v>0.78099999999999992</v>
      </c>
      <c r="U81" s="476">
        <f t="shared" si="176"/>
        <v>0.77867091645417719</v>
      </c>
      <c r="V81" s="474">
        <f t="shared" si="176"/>
        <v>0.78999999999999992</v>
      </c>
      <c r="W81" s="431">
        <f t="shared" si="176"/>
        <v>0.77100000000000002</v>
      </c>
      <c r="X81" s="431">
        <f t="shared" si="176"/>
        <v>0.79899999999999993</v>
      </c>
      <c r="Y81" s="431">
        <f t="shared" si="176"/>
        <v>0.75900000000000001</v>
      </c>
      <c r="Z81" s="476">
        <f t="shared" si="176"/>
        <v>0.75398286129266512</v>
      </c>
      <c r="AA81" s="474">
        <f t="shared" si="176"/>
        <v>0.77</v>
      </c>
      <c r="AB81" s="475">
        <f t="shared" si="176"/>
        <v>0.755</v>
      </c>
      <c r="AC81" s="431">
        <f t="shared" si="176"/>
        <v>0.74099999999999999</v>
      </c>
      <c r="AD81" s="431">
        <f t="shared" si="176"/>
        <v>0.76200000000000001</v>
      </c>
      <c r="AE81" s="476">
        <f t="shared" si="176"/>
        <v>0.7516983805668016</v>
      </c>
      <c r="AF81" s="474">
        <f t="shared" si="176"/>
        <v>0.75236981162518657</v>
      </c>
      <c r="AG81" s="475">
        <f t="shared" si="176"/>
        <v>0.74553721791849104</v>
      </c>
      <c r="AH81" s="431">
        <f t="shared" si="176"/>
        <v>0.74699599465954603</v>
      </c>
      <c r="AI81" s="431">
        <f t="shared" si="176"/>
        <v>0.75583126550868485</v>
      </c>
      <c r="AJ81" s="476">
        <f t="shared" si="176"/>
        <v>0.73148004348501316</v>
      </c>
      <c r="AK81" s="474">
        <f t="shared" si="176"/>
        <v>0.74473662652576389</v>
      </c>
      <c r="AL81" s="475">
        <f t="shared" si="176"/>
        <v>0.73873107671372684</v>
      </c>
      <c r="AM81" s="431">
        <f t="shared" si="176"/>
        <v>0.72853638593622239</v>
      </c>
      <c r="AN81" s="431">
        <f t="shared" si="176"/>
        <v>0.73228346456692917</v>
      </c>
      <c r="AO81" s="431">
        <f>1-AO83</f>
        <v>0.71277683134582626</v>
      </c>
      <c r="AP81" s="474">
        <f t="shared" si="176"/>
        <v>0.72907998150716602</v>
      </c>
      <c r="AQ81" s="475">
        <f>1-AQ83</f>
        <v>0.73329702251270878</v>
      </c>
      <c r="AR81" s="431">
        <f t="shared" si="176"/>
        <v>0.70829679003683566</v>
      </c>
      <c r="AS81" s="431">
        <f>AS80/AS77</f>
        <v>0.70369017172086223</v>
      </c>
      <c r="AT81" s="431">
        <f>1-AT83</f>
        <v>0.70909978837701448</v>
      </c>
      <c r="AU81" s="474">
        <f>AU80/AU77</f>
        <v>0.71344081310785945</v>
      </c>
      <c r="AV81" s="475"/>
      <c r="AW81" s="431"/>
      <c r="AX81" s="431"/>
      <c r="AY81" s="431"/>
      <c r="AZ81" s="474">
        <f>AZ80/AZ77</f>
        <v>0.71344081310785945</v>
      </c>
      <c r="BA81" s="475">
        <f>1-BA83</f>
        <v>0.71917549167927386</v>
      </c>
      <c r="BB81" s="431">
        <f>BB80/BB77</f>
        <v>0.6975034199726402</v>
      </c>
      <c r="BC81" s="431">
        <f>BC80/BC77</f>
        <v>0.68441985128825866</v>
      </c>
      <c r="BD81" s="431">
        <f>1-BD83</f>
        <v>0.67272439949431106</v>
      </c>
      <c r="BE81" s="474">
        <f>BE80/BE77</f>
        <v>0.69243343227083065</v>
      </c>
      <c r="BF81" s="475">
        <f>1-BF83</f>
        <v>0.70027576697690452</v>
      </c>
      <c r="BG81" s="431">
        <f>BG80/BG77</f>
        <v>0.68400994200497101</v>
      </c>
      <c r="BH81" s="431">
        <f>BH80/BH77</f>
        <v>0.67528592739930382</v>
      </c>
      <c r="BI81" s="431">
        <f>1-BI83</f>
        <v>0.68606900999677523</v>
      </c>
      <c r="BJ81" s="474">
        <f>1-BJ83</f>
        <v>0.68627450980392157</v>
      </c>
      <c r="BK81" s="475">
        <f>1-BK83</f>
        <v>0.68033333333333335</v>
      </c>
      <c r="BL81" s="963">
        <f t="shared" ref="BL81:BM81" si="177">1-BL83</f>
        <v>0.68189778697659609</v>
      </c>
      <c r="BM81" s="997">
        <f t="shared" si="177"/>
        <v>0.68189051559516234</v>
      </c>
      <c r="BN81" s="431">
        <f>1-BN83</f>
        <v>0.68008255933952522</v>
      </c>
      <c r="BO81" s="474">
        <f>1-BO83</f>
        <v>0.68103992425437898</v>
      </c>
      <c r="BP81" s="474">
        <f>1-BP83</f>
        <v>0.43774656777655041</v>
      </c>
      <c r="BQ81" s="529"/>
      <c r="BR81" s="499"/>
      <c r="BS81" s="499"/>
      <c r="BT81" s="530"/>
      <c r="BU81" s="474">
        <f>1-BU83</f>
        <v>0.68636822332551928</v>
      </c>
      <c r="BV81" s="529"/>
      <c r="BW81" s="499"/>
      <c r="BX81" s="499"/>
      <c r="BY81" s="530"/>
      <c r="BZ81" s="474">
        <f>1-BZ83</f>
        <v>0.6906910767265374</v>
      </c>
      <c r="CA81" s="529"/>
      <c r="CB81" s="499"/>
      <c r="CC81" s="499"/>
      <c r="CD81" s="530"/>
      <c r="CE81" s="474">
        <f>1-CE83</f>
        <v>0.69564011334958931</v>
      </c>
      <c r="CF81" s="529"/>
      <c r="CG81" s="499"/>
      <c r="CH81" s="499"/>
      <c r="CI81" s="530"/>
      <c r="CJ81" s="474">
        <f>1-CJ83</f>
        <v>0.7005939993474255</v>
      </c>
      <c r="CK81" s="498"/>
      <c r="CL81" s="658"/>
      <c r="CM81" s="658"/>
      <c r="CN81" s="682"/>
      <c r="CO81" s="677"/>
      <c r="CP81" s="677"/>
      <c r="CQ81" s="677"/>
      <c r="CR81" s="677"/>
      <c r="CS81" s="677"/>
      <c r="CT81" s="498"/>
      <c r="CX81"/>
      <c r="CY81"/>
      <c r="CZ81"/>
      <c r="DA81"/>
      <c r="DB81"/>
      <c r="DC81"/>
    </row>
    <row r="82" spans="1:107" s="204" customFormat="1" hidden="1" outlineLevel="1">
      <c r="A82" s="237" t="s">
        <v>76</v>
      </c>
      <c r="B82" s="170">
        <f t="shared" ref="B82:G82" si="178">B83*B77</f>
        <v>3523.7400000000002</v>
      </c>
      <c r="C82" s="170">
        <f t="shared" si="178"/>
        <v>3519.6</v>
      </c>
      <c r="D82" s="170">
        <f t="shared" si="178"/>
        <v>3802.89</v>
      </c>
      <c r="E82" s="170">
        <f t="shared" si="178"/>
        <v>3743.25</v>
      </c>
      <c r="F82" s="170">
        <f t="shared" si="178"/>
        <v>3883.1099999999997</v>
      </c>
      <c r="G82" s="170">
        <f t="shared" si="178"/>
        <v>4138.47</v>
      </c>
      <c r="H82" s="171">
        <f>H77*H83</f>
        <v>917.56399999999996</v>
      </c>
      <c r="I82" s="171">
        <f>I77*I83</f>
        <v>1081.99</v>
      </c>
      <c r="J82" s="171">
        <f>J77*J83</f>
        <v>1095.99</v>
      </c>
      <c r="K82" s="171">
        <f>L82-SUM(H82:J82)</f>
        <v>1377.6660000000002</v>
      </c>
      <c r="L82" s="170">
        <f>L77*L83</f>
        <v>4473.21</v>
      </c>
      <c r="M82" s="171">
        <f>M77*M83</f>
        <v>1044.03</v>
      </c>
      <c r="N82" s="171">
        <f>N77*N83</f>
        <v>1115.3</v>
      </c>
      <c r="O82" s="171">
        <f>O77*O83</f>
        <v>1172.8</v>
      </c>
      <c r="P82" s="171">
        <f>Q82-SUM(M82:O82)</f>
        <v>1534.4099999999999</v>
      </c>
      <c r="Q82" s="170">
        <f>Q83*Q77</f>
        <v>4866.54</v>
      </c>
      <c r="R82" s="171">
        <f>R77*R83</f>
        <v>1153.2640000000001</v>
      </c>
      <c r="S82" s="171">
        <f>S77*S83</f>
        <v>1237.25</v>
      </c>
      <c r="T82" s="171">
        <f>T77*T83</f>
        <v>1358.895</v>
      </c>
      <c r="U82" s="171">
        <f>V82-SUM(R82:T82)</f>
        <v>1475.6010000000001</v>
      </c>
      <c r="V82" s="170">
        <f>V77*V83</f>
        <v>5225.01</v>
      </c>
      <c r="W82" s="171">
        <f>W77*W83</f>
        <v>1386.1369999999999</v>
      </c>
      <c r="X82" s="171">
        <f>X77*X83</f>
        <v>1200.5730000000001</v>
      </c>
      <c r="Y82" s="171">
        <f>Y77*Y83</f>
        <v>1511.5519999999999</v>
      </c>
      <c r="Z82" s="171">
        <f>AA82-SUM(W82:Y82)</f>
        <v>1693.8280000000004</v>
      </c>
      <c r="AA82" s="170">
        <f>AA83*AA77</f>
        <v>5792.09</v>
      </c>
      <c r="AB82" s="171">
        <f>AB77*AB83</f>
        <v>1482.74</v>
      </c>
      <c r="AC82" s="171">
        <f>AC77*AC83</f>
        <v>1606.059</v>
      </c>
      <c r="AD82" s="171">
        <f>AD77*AD83</f>
        <v>1455.6079999999999</v>
      </c>
      <c r="AE82" s="171">
        <f>AF82-SUM(AB82:AD82)</f>
        <v>1594.5929999999998</v>
      </c>
      <c r="AF82" s="170">
        <v>6139</v>
      </c>
      <c r="AG82" s="171">
        <v>1511</v>
      </c>
      <c r="AH82" s="171">
        <v>1516</v>
      </c>
      <c r="AI82" s="171">
        <v>1476</v>
      </c>
      <c r="AJ82" s="171">
        <f>AK82-SUM(AG82:AI82)</f>
        <v>1729</v>
      </c>
      <c r="AK82" s="170">
        <v>6232</v>
      </c>
      <c r="AL82" s="171">
        <v>1536</v>
      </c>
      <c r="AM82" s="171">
        <v>1660</v>
      </c>
      <c r="AN82" s="171">
        <v>1564</v>
      </c>
      <c r="AO82" s="171">
        <f>AP82-SUM(AL82:AN82)</f>
        <v>1686</v>
      </c>
      <c r="AP82" s="170">
        <v>6446</v>
      </c>
      <c r="AQ82" s="171">
        <v>1469</v>
      </c>
      <c r="AR82" s="670">
        <v>1663</v>
      </c>
      <c r="AS82" s="353">
        <v>1622</v>
      </c>
      <c r="AT82" s="670">
        <f>6541-SUM(AQ82:AS82)</f>
        <v>1787</v>
      </c>
      <c r="AU82" s="708">
        <f>SUM(AQ82:AT82)</f>
        <v>6541</v>
      </c>
      <c r="AV82" s="171"/>
      <c r="AW82" s="670"/>
      <c r="AX82" s="353"/>
      <c r="AY82" s="670"/>
      <c r="AZ82" s="708">
        <v>6541</v>
      </c>
      <c r="BA82" s="670">
        <v>1485</v>
      </c>
      <c r="BB82" s="670">
        <v>1769</v>
      </c>
      <c r="BC82" s="670">
        <v>1825</v>
      </c>
      <c r="BD82" s="670">
        <f>7150-SUM(BA82:BC82)</f>
        <v>2071</v>
      </c>
      <c r="BE82" s="708">
        <f>SUM(BA82:BD82)</f>
        <v>7150</v>
      </c>
      <c r="BF82" s="722">
        <v>1739</v>
      </c>
      <c r="BG82" s="670">
        <v>1907</v>
      </c>
      <c r="BH82" s="747">
        <v>1959</v>
      </c>
      <c r="BI82" s="911">
        <f>7552-SUM(BF82:BH82)</f>
        <v>1947</v>
      </c>
      <c r="BJ82" s="708">
        <f>SUM(BF82:BI82)</f>
        <v>7552</v>
      </c>
      <c r="BK82" s="722">
        <v>1918</v>
      </c>
      <c r="BL82" s="763">
        <f>1172+826</f>
        <v>1998</v>
      </c>
      <c r="BM82" s="763">
        <f>216+63+346+31+384+55+587+42+27+238+10</f>
        <v>1999</v>
      </c>
      <c r="BN82" s="1050">
        <f>8085-SUM(BK82:BM82)</f>
        <v>2170</v>
      </c>
      <c r="BO82" s="708">
        <f>SUM(BK82:BN82)</f>
        <v>8085</v>
      </c>
      <c r="BP82" s="708">
        <f>SUM(BL82:BO82)</f>
        <v>14252</v>
      </c>
      <c r="BQ82" s="340"/>
      <c r="BR82" s="338"/>
      <c r="BS82" s="338"/>
      <c r="BT82" s="341"/>
      <c r="BU82" s="339">
        <f>BO82*1.04</f>
        <v>8408.4</v>
      </c>
      <c r="BV82" s="340"/>
      <c r="BW82" s="338"/>
      <c r="BX82" s="338"/>
      <c r="BY82" s="341"/>
      <c r="BZ82" s="339">
        <f>BU82*1.04</f>
        <v>8744.7360000000008</v>
      </c>
      <c r="CA82" s="340"/>
      <c r="CB82" s="338"/>
      <c r="CC82" s="338"/>
      <c r="CD82" s="341"/>
      <c r="CE82" s="339">
        <f>BZ82*1.04</f>
        <v>9094.5254400000013</v>
      </c>
      <c r="CF82" s="340"/>
      <c r="CG82" s="338"/>
      <c r="CH82" s="338"/>
      <c r="CI82" s="341"/>
      <c r="CJ82" s="339">
        <f>CE82*1.04</f>
        <v>9458.3064576000015</v>
      </c>
      <c r="CK82" s="296"/>
      <c r="CL82" s="676"/>
      <c r="CM82" s="676"/>
      <c r="CN82" s="682"/>
      <c r="CO82" s="657"/>
      <c r="CP82" s="658"/>
      <c r="CQ82" s="658"/>
      <c r="CR82" s="657"/>
      <c r="CS82" s="657"/>
      <c r="CT82" s="296"/>
      <c r="CX82"/>
      <c r="CY82"/>
      <c r="CZ82"/>
      <c r="DA82"/>
      <c r="DB82"/>
      <c r="DC82"/>
    </row>
    <row r="83" spans="1:107" s="500" customFormat="1" hidden="1" outlineLevel="1">
      <c r="A83" s="478" t="s">
        <v>77</v>
      </c>
      <c r="B83" s="474">
        <v>0.22</v>
      </c>
      <c r="C83" s="474">
        <v>0.21</v>
      </c>
      <c r="D83" s="474">
        <v>0.21</v>
      </c>
      <c r="E83" s="474">
        <v>0.21</v>
      </c>
      <c r="F83" s="474">
        <v>0.21</v>
      </c>
      <c r="G83" s="474">
        <v>0.21</v>
      </c>
      <c r="H83" s="431">
        <v>0.191</v>
      </c>
      <c r="I83" s="431">
        <v>0.20499999999999999</v>
      </c>
      <c r="J83" s="431">
        <v>0.21</v>
      </c>
      <c r="K83" s="431">
        <f>K82/K77</f>
        <v>0.22961100000000004</v>
      </c>
      <c r="L83" s="474">
        <v>0.21</v>
      </c>
      <c r="M83" s="431">
        <v>0.19500000000000001</v>
      </c>
      <c r="N83" s="431">
        <v>0.19</v>
      </c>
      <c r="O83" s="431">
        <v>0.2</v>
      </c>
      <c r="P83" s="431">
        <f>P82/P77</f>
        <v>0.25212126191258621</v>
      </c>
      <c r="Q83" s="474">
        <v>0.21</v>
      </c>
      <c r="R83" s="431">
        <v>0.19600000000000001</v>
      </c>
      <c r="S83" s="431">
        <v>0.20200000000000001</v>
      </c>
      <c r="T83" s="431">
        <v>0.219</v>
      </c>
      <c r="U83" s="431">
        <f>U82/U77</f>
        <v>0.22132908354582273</v>
      </c>
      <c r="V83" s="474">
        <v>0.21</v>
      </c>
      <c r="W83" s="431">
        <v>0.22900000000000001</v>
      </c>
      <c r="X83" s="431">
        <v>0.20100000000000001</v>
      </c>
      <c r="Y83" s="431">
        <v>0.24099999999999999</v>
      </c>
      <c r="Z83" s="431">
        <f>Z82/Z77</f>
        <v>0.24601713870733485</v>
      </c>
      <c r="AA83" s="493">
        <v>0.23</v>
      </c>
      <c r="AB83" s="431">
        <v>0.245</v>
      </c>
      <c r="AC83" s="431">
        <v>0.25900000000000001</v>
      </c>
      <c r="AD83" s="431">
        <v>0.23799999999999999</v>
      </c>
      <c r="AE83" s="431">
        <f>AE82/AE77</f>
        <v>0.24830161943319837</v>
      </c>
      <c r="AF83" s="494">
        <f>AF82/AF77</f>
        <v>0.24763018837481343</v>
      </c>
      <c r="AG83" s="431">
        <f>AG82/AG77</f>
        <v>0.25446278208150891</v>
      </c>
      <c r="AH83" s="431">
        <f>AH82/AH77</f>
        <v>0.25300400534045392</v>
      </c>
      <c r="AI83" s="431">
        <v>0.24399999999999999</v>
      </c>
      <c r="AJ83" s="431">
        <f t="shared" ref="AJ83:AR83" si="179">AJ82/AJ77</f>
        <v>0.26851995651498678</v>
      </c>
      <c r="AK83" s="494">
        <f t="shared" si="179"/>
        <v>0.25526337347423611</v>
      </c>
      <c r="AL83" s="431">
        <f t="shared" si="179"/>
        <v>0.26126892328627316</v>
      </c>
      <c r="AM83" s="431">
        <f t="shared" si="179"/>
        <v>0.27146361406377761</v>
      </c>
      <c r="AN83" s="431">
        <f t="shared" si="179"/>
        <v>0.26771653543307089</v>
      </c>
      <c r="AO83" s="431">
        <f t="shared" si="179"/>
        <v>0.28722316865417374</v>
      </c>
      <c r="AP83" s="494">
        <f t="shared" si="179"/>
        <v>0.27092001849283404</v>
      </c>
      <c r="AQ83" s="431">
        <f t="shared" si="179"/>
        <v>0.26670297748729122</v>
      </c>
      <c r="AR83" s="431">
        <f t="shared" si="179"/>
        <v>0.29170320996316434</v>
      </c>
      <c r="AS83" s="431">
        <f t="shared" ref="AS83:BC83" si="180">AS82/AS77</f>
        <v>0.29630982827913777</v>
      </c>
      <c r="AT83" s="431">
        <f t="shared" si="180"/>
        <v>0.29090021162298552</v>
      </c>
      <c r="AU83" s="494">
        <f t="shared" si="180"/>
        <v>0.28655918689214055</v>
      </c>
      <c r="AV83" s="431"/>
      <c r="AW83" s="431"/>
      <c r="AX83" s="431"/>
      <c r="AY83" s="431"/>
      <c r="AZ83" s="494">
        <f t="shared" ref="AZ83" si="181">AZ82/AZ77</f>
        <v>0.28655918689214055</v>
      </c>
      <c r="BA83" s="431">
        <f t="shared" si="180"/>
        <v>0.2808245083207262</v>
      </c>
      <c r="BB83" s="431">
        <f t="shared" si="180"/>
        <v>0.3024965800273598</v>
      </c>
      <c r="BC83" s="431">
        <f t="shared" si="180"/>
        <v>0.31558014871174134</v>
      </c>
      <c r="BD83" s="431">
        <f>BD82/BD77</f>
        <v>0.32727560050568899</v>
      </c>
      <c r="BE83" s="494">
        <f>BE82/BE77</f>
        <v>0.30756656772916935</v>
      </c>
      <c r="BF83" s="431">
        <f t="shared" ref="BF83:BH83" si="182">BF82/BF77</f>
        <v>0.29972423302309548</v>
      </c>
      <c r="BG83" s="431">
        <f t="shared" si="182"/>
        <v>0.31599005799502899</v>
      </c>
      <c r="BH83" s="431">
        <f t="shared" si="182"/>
        <v>0.32471407260069618</v>
      </c>
      <c r="BI83" s="431">
        <f>BI82/BI77</f>
        <v>0.31393099000322477</v>
      </c>
      <c r="BJ83" s="474">
        <f>BJ82/BJ77</f>
        <v>0.31372549019607843</v>
      </c>
      <c r="BK83" s="431">
        <f t="shared" ref="BK83:BM83" si="183">BK82/BK77</f>
        <v>0.31966666666666665</v>
      </c>
      <c r="BL83" s="431">
        <f t="shared" si="183"/>
        <v>0.31810221302340391</v>
      </c>
      <c r="BM83" s="997">
        <f t="shared" si="183"/>
        <v>0.31810948440483766</v>
      </c>
      <c r="BN83" s="431">
        <f>BN82/BN77</f>
        <v>0.31991744066047473</v>
      </c>
      <c r="BO83" s="474">
        <f>BO82/BO77</f>
        <v>0.31896007574562096</v>
      </c>
      <c r="BP83" s="474">
        <f>BP82/BP77</f>
        <v>0.56225343222344959</v>
      </c>
      <c r="BQ83" s="475"/>
      <c r="BR83" s="431"/>
      <c r="BS83" s="431"/>
      <c r="BT83" s="476"/>
      <c r="BU83" s="474">
        <f>BU82/BU77</f>
        <v>0.31363177667448067</v>
      </c>
      <c r="BV83" s="475"/>
      <c r="BW83" s="431"/>
      <c r="BX83" s="431"/>
      <c r="BY83" s="476"/>
      <c r="BZ83" s="474">
        <f>BZ82/BZ77</f>
        <v>0.3093089232734626</v>
      </c>
      <c r="CA83" s="475"/>
      <c r="CB83" s="431"/>
      <c r="CC83" s="431"/>
      <c r="CD83" s="476"/>
      <c r="CE83" s="474">
        <f>CE82/CE77</f>
        <v>0.30435988665041064</v>
      </c>
      <c r="CF83" s="475"/>
      <c r="CG83" s="431"/>
      <c r="CH83" s="431"/>
      <c r="CI83" s="476"/>
      <c r="CJ83" s="474">
        <f>CJ82/CJ77</f>
        <v>0.2994060006525745</v>
      </c>
      <c r="CK83" s="498"/>
      <c r="CL83" s="676"/>
      <c r="CM83" s="676"/>
      <c r="CN83" s="682"/>
      <c r="CO83" s="677"/>
      <c r="CP83" s="677"/>
      <c r="CQ83" s="677"/>
      <c r="CR83" s="677"/>
      <c r="CS83" s="677"/>
      <c r="CT83" s="498"/>
      <c r="CX83"/>
      <c r="CY83"/>
      <c r="CZ83"/>
      <c r="DA83"/>
      <c r="DB83"/>
      <c r="DC83"/>
    </row>
    <row r="84" spans="1:107" s="180" customFormat="1" ht="12" hidden="1" customHeight="1" outlineLevel="1">
      <c r="A84" s="537" t="s">
        <v>17</v>
      </c>
      <c r="B84" s="605">
        <v>25605</v>
      </c>
      <c r="C84" s="605">
        <v>25666</v>
      </c>
      <c r="D84" s="605">
        <v>27542</v>
      </c>
      <c r="E84" s="605">
        <v>29905</v>
      </c>
      <c r="F84" s="605">
        <v>31528</v>
      </c>
      <c r="G84" s="605">
        <v>33838</v>
      </c>
      <c r="H84" s="606">
        <v>33909</v>
      </c>
      <c r="I84" s="606">
        <v>33318</v>
      </c>
      <c r="J84" s="606">
        <v>33889</v>
      </c>
      <c r="K84" s="606">
        <v>36614</v>
      </c>
      <c r="L84" s="605">
        <f>K84</f>
        <v>36614</v>
      </c>
      <c r="M84" s="606">
        <v>37697</v>
      </c>
      <c r="N84" s="606">
        <v>37527</v>
      </c>
      <c r="O84" s="606">
        <v>36985</v>
      </c>
      <c r="P84" s="606">
        <v>38884</v>
      </c>
      <c r="Q84" s="605">
        <f>P84</f>
        <v>38884</v>
      </c>
      <c r="R84" s="606">
        <v>37939</v>
      </c>
      <c r="S84" s="606">
        <v>37312</v>
      </c>
      <c r="T84" s="606">
        <v>36212</v>
      </c>
      <c r="U84" s="606">
        <v>36877</v>
      </c>
      <c r="V84" s="605">
        <f>U84</f>
        <v>36877</v>
      </c>
      <c r="W84" s="606">
        <v>36984</v>
      </c>
      <c r="X84" s="606">
        <v>35980</v>
      </c>
      <c r="Y84" s="606">
        <v>35741</v>
      </c>
      <c r="Z84" s="606">
        <v>34551</v>
      </c>
      <c r="AA84" s="605">
        <f>Z84</f>
        <v>34551</v>
      </c>
      <c r="AB84" s="606">
        <v>33705</v>
      </c>
      <c r="AC84" s="606">
        <v>34481</v>
      </c>
      <c r="AD84" s="606">
        <v>34985</v>
      </c>
      <c r="AE84" s="606">
        <v>35312</v>
      </c>
      <c r="AF84" s="605">
        <f t="shared" ref="AF84:AO84" si="184">AF7+AF17+AF27+AF37</f>
        <v>35312</v>
      </c>
      <c r="AG84" s="606">
        <f t="shared" si="184"/>
        <v>34303</v>
      </c>
      <c r="AH84" s="606">
        <f t="shared" si="184"/>
        <v>33923</v>
      </c>
      <c r="AI84" s="606">
        <f t="shared" si="184"/>
        <v>35015</v>
      </c>
      <c r="AJ84" s="606">
        <f t="shared" si="184"/>
        <v>36181</v>
      </c>
      <c r="AK84" s="605">
        <f t="shared" si="184"/>
        <v>36181</v>
      </c>
      <c r="AL84" s="606">
        <f t="shared" si="184"/>
        <v>33546</v>
      </c>
      <c r="AM84" s="606">
        <f t="shared" si="184"/>
        <v>32435</v>
      </c>
      <c r="AN84" s="606">
        <f t="shared" si="184"/>
        <v>32235</v>
      </c>
      <c r="AO84" s="606">
        <f t="shared" si="184"/>
        <v>33685</v>
      </c>
      <c r="AP84" s="605">
        <f>SUM(AP90,AP92)</f>
        <v>33685</v>
      </c>
      <c r="AQ84" s="606">
        <f>AQ7+AQ17+AQ27+AQ37</f>
        <v>32183</v>
      </c>
      <c r="AR84" s="606">
        <f>AR7+AR17+AR27+AR37</f>
        <v>33019</v>
      </c>
      <c r="AS84" s="606">
        <f>AS7+AS17+AS27+AS37</f>
        <v>33247</v>
      </c>
      <c r="AT84" s="606">
        <f>AT7+AT17+AT27+AT37</f>
        <v>33519</v>
      </c>
      <c r="AU84" s="605">
        <f>SUM(AU90,AU92)</f>
        <v>33519</v>
      </c>
      <c r="AV84" s="606"/>
      <c r="AW84" s="606"/>
      <c r="AX84" s="606"/>
      <c r="AY84" s="606"/>
      <c r="AZ84" s="605">
        <f>AZ7+AZ17+AZ27+AZ37+AZ67</f>
        <v>33571</v>
      </c>
      <c r="BA84" s="606"/>
      <c r="BB84" s="606"/>
      <c r="BC84" s="606"/>
      <c r="BD84" s="606"/>
      <c r="BE84" s="605">
        <f>BE7+BE17+BE27+BE37+BE67</f>
        <v>34669</v>
      </c>
      <c r="BF84" s="606">
        <f t="shared" ref="BF84:BH84" si="185">BF7+BF17+BF27+BF37+BF67</f>
        <v>34768</v>
      </c>
      <c r="BG84" s="606">
        <f t="shared" si="185"/>
        <v>35310</v>
      </c>
      <c r="BH84" s="606">
        <f t="shared" si="185"/>
        <v>35811</v>
      </c>
      <c r="BI84" s="606">
        <f>BI7+BI17+BI27+BI37+BI67</f>
        <v>36709</v>
      </c>
      <c r="BJ84" s="605">
        <f t="shared" ref="BJ84:BK84" si="186">BJ7+BJ17+BJ27+BJ37+BJ67</f>
        <v>36709</v>
      </c>
      <c r="BK84" s="606">
        <f t="shared" si="186"/>
        <v>36054</v>
      </c>
      <c r="BL84" s="606">
        <f t="shared" ref="BL84:BM84" si="187">BL7+BL17+BL27+BL37+BL67</f>
        <v>36168</v>
      </c>
      <c r="BM84" s="998">
        <f t="shared" si="187"/>
        <v>36676</v>
      </c>
      <c r="BN84" s="606">
        <f>BN7+BN17+BN27+BN37+BN67</f>
        <v>38210</v>
      </c>
      <c r="BO84" s="605">
        <f t="shared" ref="BO84:BP84" si="188">BO7+BO17+BO27+BO37+BO67</f>
        <v>38210</v>
      </c>
      <c r="BP84" s="605">
        <f t="shared" si="188"/>
        <v>0</v>
      </c>
      <c r="BQ84" s="607"/>
      <c r="BR84" s="606"/>
      <c r="BS84" s="606"/>
      <c r="BT84" s="608"/>
      <c r="BU84" s="605"/>
      <c r="BV84" s="607"/>
      <c r="BW84" s="606"/>
      <c r="BX84" s="606"/>
      <c r="BY84" s="608"/>
      <c r="BZ84" s="605"/>
      <c r="CA84" s="607"/>
      <c r="CB84" s="606"/>
      <c r="CC84" s="606"/>
      <c r="CD84" s="608"/>
      <c r="CE84" s="605"/>
      <c r="CF84" s="607"/>
      <c r="CG84" s="606"/>
      <c r="CH84" s="606"/>
      <c r="CI84" s="608"/>
      <c r="CJ84" s="605"/>
      <c r="CK84" s="291"/>
      <c r="CL84" s="743"/>
      <c r="CM84" s="743"/>
      <c r="CN84" s="682"/>
      <c r="CO84" s="657"/>
      <c r="CP84" s="657"/>
      <c r="CQ84" s="657"/>
      <c r="CR84" s="657"/>
      <c r="CS84" s="657"/>
      <c r="CT84" s="291"/>
      <c r="CX84"/>
      <c r="CY84"/>
      <c r="CZ84"/>
      <c r="DA84"/>
      <c r="DB84"/>
      <c r="DC84"/>
    </row>
    <row r="85" spans="1:107" hidden="1" outlineLevel="1">
      <c r="A85" s="377" t="s">
        <v>137</v>
      </c>
      <c r="B85" s="70"/>
      <c r="C85" s="70">
        <f>C84/B84-1</f>
        <v>2.3823471978128286E-3</v>
      </c>
      <c r="D85" s="70">
        <f>D84/C84-1</f>
        <v>7.3092807605392274E-2</v>
      </c>
      <c r="E85" s="70">
        <f>E84/D84-1</f>
        <v>8.5796238472151565E-2</v>
      </c>
      <c r="F85" s="70">
        <f>F84/E84-1</f>
        <v>5.4271860892827206E-2</v>
      </c>
      <c r="G85" s="70">
        <f>G84/F84-1</f>
        <v>7.3268206039076356E-2</v>
      </c>
      <c r="H85" s="118"/>
      <c r="I85" s="64"/>
      <c r="J85" s="64"/>
      <c r="K85" s="64"/>
      <c r="L85" s="70">
        <f t="shared" ref="L85:AL85" si="189">L84/G84-1</f>
        <v>8.20379455050535E-2</v>
      </c>
      <c r="M85" s="64">
        <f t="shared" si="189"/>
        <v>0.11171075525671648</v>
      </c>
      <c r="N85" s="64">
        <f t="shared" si="189"/>
        <v>0.12632811093102836</v>
      </c>
      <c r="O85" s="64">
        <f t="shared" si="189"/>
        <v>9.1357077517778551E-2</v>
      </c>
      <c r="P85" s="64">
        <f t="shared" si="189"/>
        <v>6.1998142786912069E-2</v>
      </c>
      <c r="Q85" s="70">
        <f t="shared" si="189"/>
        <v>6.1998142786912069E-2</v>
      </c>
      <c r="R85" s="64">
        <f t="shared" si="189"/>
        <v>6.4196089874526407E-3</v>
      </c>
      <c r="S85" s="64">
        <f t="shared" si="189"/>
        <v>-5.7292083033548824E-3</v>
      </c>
      <c r="T85" s="64">
        <f t="shared" si="189"/>
        <v>-2.0900365012843092E-2</v>
      </c>
      <c r="U85" s="64">
        <f t="shared" si="189"/>
        <v>-5.1615060178993977E-2</v>
      </c>
      <c r="V85" s="70">
        <f t="shared" si="189"/>
        <v>-5.1615060178993977E-2</v>
      </c>
      <c r="W85" s="64">
        <f t="shared" si="189"/>
        <v>-2.5171986610084573E-2</v>
      </c>
      <c r="X85" s="64">
        <f t="shared" si="189"/>
        <v>-3.5698970840480237E-2</v>
      </c>
      <c r="Y85" s="64">
        <f t="shared" si="189"/>
        <v>-1.300673809786812E-2</v>
      </c>
      <c r="Z85" s="64">
        <f t="shared" si="189"/>
        <v>-6.307454510941779E-2</v>
      </c>
      <c r="AA85" s="70">
        <f t="shared" si="189"/>
        <v>-6.307454510941779E-2</v>
      </c>
      <c r="AB85" s="64">
        <f t="shared" si="189"/>
        <v>-8.8659961064244008E-2</v>
      </c>
      <c r="AC85" s="64">
        <f t="shared" si="189"/>
        <v>-4.1662034463590847E-2</v>
      </c>
      <c r="AD85" s="64">
        <f t="shared" si="189"/>
        <v>-2.1152178170728342E-2</v>
      </c>
      <c r="AE85" s="64">
        <f t="shared" si="189"/>
        <v>2.2025411710225429E-2</v>
      </c>
      <c r="AF85" s="70">
        <f t="shared" si="189"/>
        <v>2.2025411710225429E-2</v>
      </c>
      <c r="AG85" s="64">
        <f t="shared" si="189"/>
        <v>1.7742174751520512E-2</v>
      </c>
      <c r="AH85" s="64">
        <f t="shared" si="189"/>
        <v>-1.6182825324091543E-2</v>
      </c>
      <c r="AI85" s="64">
        <f t="shared" si="189"/>
        <v>8.5751036158354665E-4</v>
      </c>
      <c r="AJ85" s="64">
        <f t="shared" si="189"/>
        <v>2.4609198006343425E-2</v>
      </c>
      <c r="AK85" s="70">
        <f t="shared" si="189"/>
        <v>2.4609198006343425E-2</v>
      </c>
      <c r="AL85" s="64">
        <f t="shared" si="189"/>
        <v>-2.2068040696148983E-2</v>
      </c>
      <c r="AM85" s="64">
        <f t="shared" ref="AM85:AS85" si="190">AM84/AH84-1</f>
        <v>-4.3864045043186084E-2</v>
      </c>
      <c r="AN85" s="64">
        <f t="shared" si="190"/>
        <v>-7.939454519491651E-2</v>
      </c>
      <c r="AO85" s="64">
        <f t="shared" si="190"/>
        <v>-6.8986484618998922E-2</v>
      </c>
      <c r="AP85" s="70">
        <f t="shared" si="190"/>
        <v>-6.8986484618998922E-2</v>
      </c>
      <c r="AQ85" s="64">
        <f t="shared" si="190"/>
        <v>-4.0630775651344431E-2</v>
      </c>
      <c r="AR85" s="64">
        <f t="shared" si="190"/>
        <v>1.8005241251734194E-2</v>
      </c>
      <c r="AS85" s="64">
        <f t="shared" si="190"/>
        <v>3.1394447029626127E-2</v>
      </c>
      <c r="AT85" s="64">
        <f t="shared" ref="AT85:AU85" si="191">AT84/AO84-1</f>
        <v>-4.9280094997773416E-3</v>
      </c>
      <c r="AU85" s="70">
        <f t="shared" si="191"/>
        <v>-4.9280094997773416E-3</v>
      </c>
      <c r="AV85" s="64"/>
      <c r="AW85" s="64"/>
      <c r="AX85" s="64"/>
      <c r="AY85" s="64"/>
      <c r="AZ85" s="70">
        <f t="shared" ref="AZ85" si="192">AZ84/AU84-1</f>
        <v>1.5513589307556419E-3</v>
      </c>
      <c r="BA85" s="64"/>
      <c r="BB85" s="64"/>
      <c r="BC85" s="64"/>
      <c r="BD85" s="64"/>
      <c r="BE85" s="70">
        <f>BE84/AZ84-1</f>
        <v>3.2706800512346978E-2</v>
      </c>
      <c r="BF85" s="121"/>
      <c r="BG85" s="64"/>
      <c r="BH85" s="64"/>
      <c r="BI85" s="122"/>
      <c r="BJ85" s="70">
        <f>BJ84/BE84-1</f>
        <v>5.8842193313911606E-2</v>
      </c>
      <c r="BK85" s="121">
        <f>BK84/BF84-1</f>
        <v>3.6988034974689388E-2</v>
      </c>
      <c r="BL85" s="64">
        <f t="shared" ref="BL85:BN85" si="193">BL84/BG84-1</f>
        <v>2.4299065420560817E-2</v>
      </c>
      <c r="BM85" s="15">
        <f t="shared" si="193"/>
        <v>2.4154589371980784E-2</v>
      </c>
      <c r="BN85" s="122">
        <f t="shared" si="193"/>
        <v>4.0889155248031717E-2</v>
      </c>
      <c r="BO85" s="70">
        <f>BO84/BJ84-1</f>
        <v>4.0889155248031717E-2</v>
      </c>
      <c r="BP85" s="70">
        <f>BP84/BK84-1</f>
        <v>-1</v>
      </c>
      <c r="BQ85" s="121"/>
      <c r="BR85" s="64"/>
      <c r="BS85" s="64"/>
      <c r="BT85" s="122"/>
      <c r="BU85" s="70"/>
      <c r="BV85" s="121"/>
      <c r="BW85" s="64"/>
      <c r="BX85" s="64"/>
      <c r="BY85" s="122"/>
      <c r="BZ85" s="70"/>
      <c r="CA85" s="121"/>
      <c r="CB85" s="64"/>
      <c r="CC85" s="64"/>
      <c r="CD85" s="122"/>
      <c r="CE85" s="70"/>
      <c r="CF85" s="121"/>
      <c r="CG85" s="64"/>
      <c r="CH85" s="64"/>
      <c r="CI85" s="122"/>
      <c r="CJ85" s="70"/>
      <c r="CK85" s="289"/>
      <c r="CL85" s="745"/>
      <c r="CM85" s="745"/>
      <c r="CN85" s="682"/>
      <c r="CO85" s="658"/>
      <c r="CP85" s="658"/>
      <c r="CQ85" s="658"/>
      <c r="CR85" s="658"/>
      <c r="CS85" s="658"/>
      <c r="CT85" s="289"/>
    </row>
    <row r="86" spans="1:107" s="402" customFormat="1" hidden="1" outlineLevel="1">
      <c r="A86" s="419" t="s">
        <v>78</v>
      </c>
      <c r="B86" s="398"/>
      <c r="C86" s="398"/>
      <c r="D86" s="398"/>
      <c r="E86" s="398"/>
      <c r="F86" s="398"/>
      <c r="G86" s="398"/>
      <c r="H86" s="401"/>
      <c r="I86" s="401"/>
      <c r="J86" s="401"/>
      <c r="K86" s="401"/>
      <c r="L86" s="398"/>
      <c r="M86" s="401"/>
      <c r="N86" s="401"/>
      <c r="O86" s="401"/>
      <c r="P86" s="401"/>
      <c r="Q86" s="398"/>
      <c r="R86" s="401"/>
      <c r="S86" s="401"/>
      <c r="T86" s="401"/>
      <c r="U86" s="401"/>
      <c r="V86" s="398"/>
      <c r="W86" s="401"/>
      <c r="X86" s="401"/>
      <c r="Y86" s="401"/>
      <c r="Z86" s="401"/>
      <c r="AA86" s="398"/>
      <c r="AB86" s="401"/>
      <c r="AC86" s="401"/>
      <c r="AD86" s="401"/>
      <c r="AE86" s="401"/>
      <c r="AF86" s="398">
        <f>AF$84*AF87</f>
        <v>21187.200000000001</v>
      </c>
      <c r="AG86" s="401"/>
      <c r="AH86" s="401"/>
      <c r="AI86" s="401"/>
      <c r="AJ86" s="401"/>
      <c r="AK86" s="398">
        <f>AK$84*AK87</f>
        <v>21708.6</v>
      </c>
      <c r="AL86" s="401"/>
      <c r="AM86" s="401"/>
      <c r="AN86" s="401"/>
      <c r="AO86" s="420"/>
      <c r="AP86" s="398">
        <f>AP$84*AP87</f>
        <v>20211</v>
      </c>
      <c r="AQ86" s="401"/>
      <c r="AR86" s="401"/>
      <c r="AS86" s="401"/>
      <c r="AT86" s="420"/>
      <c r="AU86" s="398">
        <f>AU$84*AU87</f>
        <v>20111.399999999998</v>
      </c>
      <c r="AV86" s="401"/>
      <c r="AW86" s="401"/>
      <c r="AX86" s="401"/>
      <c r="AY86" s="420"/>
      <c r="AZ86" s="398">
        <f>AZ$84*AZ87</f>
        <v>20142.599999999999</v>
      </c>
      <c r="BA86" s="401"/>
      <c r="BB86" s="401"/>
      <c r="BC86" s="401"/>
      <c r="BD86" s="420"/>
      <c r="BE86" s="398">
        <f>BE$84*BE87</f>
        <v>22534.850000000002</v>
      </c>
      <c r="BF86" s="421"/>
      <c r="BG86" s="401"/>
      <c r="BH86" s="401"/>
      <c r="BI86" s="422"/>
      <c r="BJ86" s="398">
        <f>BJ$84*BJ87</f>
        <v>20557.04</v>
      </c>
      <c r="BK86" s="421"/>
      <c r="BL86" s="401"/>
      <c r="BM86" s="36"/>
      <c r="BN86" s="422"/>
      <c r="BO86" s="398"/>
      <c r="BP86" s="398"/>
      <c r="BQ86" s="421"/>
      <c r="BR86" s="401"/>
      <c r="BS86" s="401"/>
      <c r="BT86" s="422"/>
      <c r="BU86" s="398"/>
      <c r="BV86" s="421"/>
      <c r="BW86" s="401"/>
      <c r="BX86" s="401"/>
      <c r="BY86" s="422"/>
      <c r="BZ86" s="398"/>
      <c r="CA86" s="421"/>
      <c r="CB86" s="401"/>
      <c r="CC86" s="401"/>
      <c r="CD86" s="422"/>
      <c r="CE86" s="398"/>
      <c r="CF86" s="421"/>
      <c r="CG86" s="401"/>
      <c r="CH86" s="401"/>
      <c r="CI86" s="422"/>
      <c r="CJ86" s="398"/>
      <c r="CK86" s="400"/>
      <c r="CL86" s="978"/>
      <c r="CM86" s="978"/>
      <c r="CN86" s="682"/>
      <c r="CO86" s="678"/>
      <c r="CP86" s="678"/>
      <c r="CQ86" s="678"/>
      <c r="CR86" s="678"/>
      <c r="CS86" s="678"/>
      <c r="CT86" s="400"/>
      <c r="CX86"/>
      <c r="CY86"/>
      <c r="CZ86"/>
      <c r="DA86"/>
      <c r="DB86"/>
      <c r="DC86"/>
    </row>
    <row r="87" spans="1:107" s="409" customFormat="1" hidden="1" outlineLevel="1">
      <c r="A87" s="423" t="s">
        <v>79</v>
      </c>
      <c r="B87" s="408"/>
      <c r="C87" s="408"/>
      <c r="D87" s="408"/>
      <c r="E87" s="408"/>
      <c r="F87" s="408"/>
      <c r="G87" s="408"/>
      <c r="H87" s="406"/>
      <c r="I87" s="406"/>
      <c r="J87" s="406"/>
      <c r="K87" s="406"/>
      <c r="L87" s="408"/>
      <c r="M87" s="406"/>
      <c r="N87" s="406"/>
      <c r="O87" s="406"/>
      <c r="P87" s="406"/>
      <c r="Q87" s="408"/>
      <c r="R87" s="406"/>
      <c r="S87" s="406"/>
      <c r="T87" s="406"/>
      <c r="U87" s="406"/>
      <c r="V87" s="408"/>
      <c r="W87" s="406"/>
      <c r="X87" s="406"/>
      <c r="Y87" s="406"/>
      <c r="Z87" s="406"/>
      <c r="AA87" s="408"/>
      <c r="AB87" s="406"/>
      <c r="AC87" s="406"/>
      <c r="AD87" s="406"/>
      <c r="AE87" s="406"/>
      <c r="AF87" s="408">
        <v>0.6</v>
      </c>
      <c r="AG87" s="406"/>
      <c r="AH87" s="406"/>
      <c r="AI87" s="406"/>
      <c r="AJ87" s="406"/>
      <c r="AK87" s="408">
        <v>0.6</v>
      </c>
      <c r="AL87" s="406"/>
      <c r="AM87" s="406"/>
      <c r="AN87" s="418"/>
      <c r="AO87" s="406"/>
      <c r="AP87" s="408">
        <v>0.6</v>
      </c>
      <c r="AQ87" s="406"/>
      <c r="AR87" s="406"/>
      <c r="AS87" s="418"/>
      <c r="AT87" s="406"/>
      <c r="AU87" s="408">
        <v>0.6</v>
      </c>
      <c r="AV87" s="406"/>
      <c r="AW87" s="406"/>
      <c r="AX87" s="418"/>
      <c r="AY87" s="406"/>
      <c r="AZ87" s="929">
        <v>0.6</v>
      </c>
      <c r="BA87" s="406"/>
      <c r="BB87" s="406"/>
      <c r="BC87" s="418"/>
      <c r="BD87" s="406"/>
      <c r="BE87" s="929">
        <v>0.65</v>
      </c>
      <c r="BF87" s="410"/>
      <c r="BG87" s="406"/>
      <c r="BH87" s="406"/>
      <c r="BI87" s="415"/>
      <c r="BJ87" s="929">
        <v>0.56000000000000005</v>
      </c>
      <c r="BK87" s="410"/>
      <c r="BL87" s="406"/>
      <c r="BM87" s="416"/>
      <c r="BN87" s="415"/>
      <c r="BO87" s="538"/>
      <c r="BP87" s="538"/>
      <c r="BQ87" s="410"/>
      <c r="BR87" s="406"/>
      <c r="BS87" s="406"/>
      <c r="BT87" s="415"/>
      <c r="BU87" s="408"/>
      <c r="BV87" s="410"/>
      <c r="BW87" s="406"/>
      <c r="BX87" s="406"/>
      <c r="BY87" s="415"/>
      <c r="BZ87" s="408"/>
      <c r="CA87" s="410"/>
      <c r="CB87" s="406"/>
      <c r="CC87" s="406"/>
      <c r="CD87" s="415"/>
      <c r="CE87" s="408"/>
      <c r="CF87" s="410"/>
      <c r="CG87" s="406"/>
      <c r="CH87" s="406"/>
      <c r="CI87" s="415"/>
      <c r="CJ87" s="408"/>
      <c r="CK87" s="414"/>
      <c r="CL87" s="979"/>
      <c r="CM87" s="979"/>
      <c r="CN87" s="682"/>
      <c r="CO87" s="980"/>
      <c r="CP87" s="980"/>
      <c r="CQ87" s="980"/>
      <c r="CR87" s="980"/>
      <c r="CS87" s="980"/>
      <c r="CT87" s="414"/>
      <c r="CX87"/>
      <c r="CY87"/>
      <c r="CZ87"/>
      <c r="DA87"/>
      <c r="DB87"/>
      <c r="DC87"/>
    </row>
    <row r="88" spans="1:107" s="402" customFormat="1" hidden="1" outlineLevel="1">
      <c r="A88" s="419" t="s">
        <v>80</v>
      </c>
      <c r="B88" s="398"/>
      <c r="C88" s="398"/>
      <c r="D88" s="398"/>
      <c r="E88" s="398"/>
      <c r="F88" s="398"/>
      <c r="G88" s="398"/>
      <c r="H88" s="401"/>
      <c r="I88" s="401"/>
      <c r="J88" s="401"/>
      <c r="K88" s="401"/>
      <c r="L88" s="398"/>
      <c r="M88" s="401"/>
      <c r="N88" s="401"/>
      <c r="O88" s="401"/>
      <c r="P88" s="401"/>
      <c r="Q88" s="398"/>
      <c r="R88" s="401"/>
      <c r="S88" s="401"/>
      <c r="T88" s="401"/>
      <c r="U88" s="401"/>
      <c r="V88" s="398"/>
      <c r="W88" s="401"/>
      <c r="X88" s="401"/>
      <c r="Y88" s="401"/>
      <c r="Z88" s="401"/>
      <c r="AA88" s="398"/>
      <c r="AB88" s="401"/>
      <c r="AC88" s="401"/>
      <c r="AD88" s="401"/>
      <c r="AE88" s="401"/>
      <c r="AF88" s="398">
        <f>AF$84*AF89</f>
        <v>14124.800000000001</v>
      </c>
      <c r="AG88" s="401"/>
      <c r="AH88" s="401"/>
      <c r="AI88" s="401"/>
      <c r="AJ88" s="401"/>
      <c r="AK88" s="398">
        <f>AK$84*AK89</f>
        <v>14472.400000000001</v>
      </c>
      <c r="AL88" s="401"/>
      <c r="AM88" s="401"/>
      <c r="AN88" s="401"/>
      <c r="AO88" s="401"/>
      <c r="AP88" s="398">
        <f>AP$84*AP89</f>
        <v>13474</v>
      </c>
      <c r="AQ88" s="401"/>
      <c r="AR88" s="401"/>
      <c r="AS88" s="401"/>
      <c r="AT88" s="401"/>
      <c r="AU88" s="398">
        <f>AU$84*AU89</f>
        <v>13407.6</v>
      </c>
      <c r="AV88" s="401"/>
      <c r="AW88" s="401"/>
      <c r="AX88" s="401"/>
      <c r="AY88" s="401"/>
      <c r="AZ88" s="398">
        <f>AZ$84*AZ89</f>
        <v>13428.400000000001</v>
      </c>
      <c r="BA88" s="401"/>
      <c r="BB88" s="401"/>
      <c r="BC88" s="401"/>
      <c r="BD88" s="401"/>
      <c r="BE88" s="398">
        <f>BE$84*BE89</f>
        <v>12134.15</v>
      </c>
      <c r="BF88" s="421"/>
      <c r="BG88" s="401"/>
      <c r="BH88" s="401"/>
      <c r="BI88" s="422"/>
      <c r="BJ88" s="398">
        <f>BJ$84*BJ89</f>
        <v>16151.959999999997</v>
      </c>
      <c r="BK88" s="421"/>
      <c r="BL88" s="401"/>
      <c r="BM88" s="36"/>
      <c r="BN88" s="422"/>
      <c r="BO88" s="398"/>
      <c r="BP88" s="398"/>
      <c r="BQ88" s="421"/>
      <c r="BR88" s="401"/>
      <c r="BS88" s="401"/>
      <c r="BT88" s="422"/>
      <c r="BU88" s="398"/>
      <c r="BV88" s="421"/>
      <c r="BW88" s="401"/>
      <c r="BX88" s="401"/>
      <c r="BY88" s="422"/>
      <c r="BZ88" s="398"/>
      <c r="CA88" s="421"/>
      <c r="CB88" s="401"/>
      <c r="CC88" s="401"/>
      <c r="CD88" s="422"/>
      <c r="CE88" s="398"/>
      <c r="CF88" s="421"/>
      <c r="CG88" s="401"/>
      <c r="CH88" s="401"/>
      <c r="CI88" s="422"/>
      <c r="CJ88" s="398"/>
      <c r="CK88" s="400"/>
      <c r="CL88" s="978"/>
      <c r="CM88" s="978"/>
      <c r="CN88" s="682"/>
      <c r="CO88" s="678"/>
      <c r="CP88" s="678"/>
      <c r="CQ88" s="678"/>
      <c r="CR88" s="678"/>
      <c r="CS88" s="678"/>
      <c r="CT88" s="400"/>
      <c r="CX88"/>
      <c r="CY88"/>
      <c r="CZ88"/>
      <c r="DA88"/>
      <c r="DB88"/>
      <c r="DC88"/>
    </row>
    <row r="89" spans="1:107" s="409" customFormat="1" hidden="1" outlineLevel="1">
      <c r="A89" s="423" t="s">
        <v>79</v>
      </c>
      <c r="B89" s="408"/>
      <c r="C89" s="408"/>
      <c r="D89" s="408"/>
      <c r="E89" s="408"/>
      <c r="F89" s="408"/>
      <c r="G89" s="408"/>
      <c r="H89" s="406"/>
      <c r="I89" s="406"/>
      <c r="J89" s="406"/>
      <c r="K89" s="406"/>
      <c r="L89" s="408"/>
      <c r="M89" s="406"/>
      <c r="N89" s="406"/>
      <c r="O89" s="406"/>
      <c r="P89" s="406"/>
      <c r="Q89" s="408"/>
      <c r="R89" s="406"/>
      <c r="S89" s="406"/>
      <c r="T89" s="406"/>
      <c r="U89" s="406"/>
      <c r="V89" s="408"/>
      <c r="W89" s="406"/>
      <c r="X89" s="406"/>
      <c r="Y89" s="406"/>
      <c r="Z89" s="406"/>
      <c r="AA89" s="408"/>
      <c r="AB89" s="406"/>
      <c r="AC89" s="406"/>
      <c r="AD89" s="406"/>
      <c r="AE89" s="406"/>
      <c r="AF89" s="408">
        <f>1-AF87</f>
        <v>0.4</v>
      </c>
      <c r="AG89" s="406"/>
      <c r="AH89" s="406"/>
      <c r="AI89" s="406"/>
      <c r="AJ89" s="406"/>
      <c r="AK89" s="408">
        <f>1-AK87</f>
        <v>0.4</v>
      </c>
      <c r="AL89" s="406"/>
      <c r="AM89" s="406"/>
      <c r="AN89" s="406"/>
      <c r="AO89" s="406"/>
      <c r="AP89" s="408">
        <f>1-AP87</f>
        <v>0.4</v>
      </c>
      <c r="AQ89" s="406"/>
      <c r="AR89" s="406"/>
      <c r="AS89" s="406"/>
      <c r="AT89" s="406"/>
      <c r="AU89" s="408">
        <f>1-AU87</f>
        <v>0.4</v>
      </c>
      <c r="AV89" s="406"/>
      <c r="AW89" s="406"/>
      <c r="AX89" s="406"/>
      <c r="AY89" s="406"/>
      <c r="AZ89" s="408">
        <f>1-AZ87</f>
        <v>0.4</v>
      </c>
      <c r="BA89" s="406"/>
      <c r="BB89" s="406"/>
      <c r="BC89" s="406"/>
      <c r="BD89" s="406"/>
      <c r="BE89" s="408">
        <f>1-BE87</f>
        <v>0.35</v>
      </c>
      <c r="BF89" s="410"/>
      <c r="BG89" s="406"/>
      <c r="BH89" s="406"/>
      <c r="BI89" s="415"/>
      <c r="BJ89" s="408">
        <f>1-BJ87</f>
        <v>0.43999999999999995</v>
      </c>
      <c r="BK89" s="410"/>
      <c r="BL89" s="406"/>
      <c r="BM89" s="416"/>
      <c r="BN89" s="415"/>
      <c r="BO89" s="408"/>
      <c r="BP89" s="408"/>
      <c r="BQ89" s="410"/>
      <c r="BR89" s="406"/>
      <c r="BS89" s="406"/>
      <c r="BT89" s="415"/>
      <c r="BU89" s="408"/>
      <c r="BV89" s="410"/>
      <c r="BW89" s="406"/>
      <c r="BX89" s="406"/>
      <c r="BY89" s="415"/>
      <c r="BZ89" s="408"/>
      <c r="CA89" s="410"/>
      <c r="CB89" s="406"/>
      <c r="CC89" s="406"/>
      <c r="CD89" s="415"/>
      <c r="CE89" s="408"/>
      <c r="CF89" s="410"/>
      <c r="CG89" s="406"/>
      <c r="CH89" s="406"/>
      <c r="CI89" s="415"/>
      <c r="CJ89" s="408"/>
      <c r="CK89" s="414"/>
      <c r="CL89" s="979"/>
      <c r="CM89" s="979"/>
      <c r="CN89" s="682"/>
      <c r="CO89" s="980"/>
      <c r="CP89" s="980"/>
      <c r="CQ89" s="980"/>
      <c r="CR89" s="980"/>
      <c r="CS89" s="980"/>
      <c r="CT89" s="414"/>
      <c r="CX89"/>
      <c r="CY89"/>
      <c r="CZ89"/>
      <c r="DA89"/>
      <c r="DB89"/>
      <c r="DC89"/>
    </row>
    <row r="90" spans="1:107" s="180" customFormat="1" ht="12" hidden="1" customHeight="1" outlineLevel="2">
      <c r="A90" s="385" t="s">
        <v>12</v>
      </c>
      <c r="B90" s="134">
        <v>17057</v>
      </c>
      <c r="C90" s="134">
        <v>17062</v>
      </c>
      <c r="D90" s="134">
        <v>17644</v>
      </c>
      <c r="E90" s="134">
        <v>15765</v>
      </c>
      <c r="F90" s="134">
        <v>14980</v>
      </c>
      <c r="G90" s="134">
        <v>18186</v>
      </c>
      <c r="H90" s="136">
        <v>14436</v>
      </c>
      <c r="I90" s="136">
        <v>14188</v>
      </c>
      <c r="J90" s="136">
        <v>14054</v>
      </c>
      <c r="K90" s="136">
        <v>20518</v>
      </c>
      <c r="L90" s="137">
        <f>K90</f>
        <v>20518</v>
      </c>
      <c r="M90" s="136">
        <v>22859</v>
      </c>
      <c r="N90" s="136">
        <v>22226</v>
      </c>
      <c r="O90" s="136">
        <v>21145</v>
      </c>
      <c r="P90" s="136">
        <v>21986</v>
      </c>
      <c r="Q90" s="137">
        <f>P90</f>
        <v>21986</v>
      </c>
      <c r="R90" s="136">
        <v>23022</v>
      </c>
      <c r="S90" s="136">
        <v>23881</v>
      </c>
      <c r="T90" s="136">
        <v>23751</v>
      </c>
      <c r="U90" s="136">
        <v>23479</v>
      </c>
      <c r="V90" s="137">
        <f>U90</f>
        <v>23479</v>
      </c>
      <c r="W90" s="136">
        <v>23464</v>
      </c>
      <c r="X90" s="136">
        <v>22461</v>
      </c>
      <c r="Y90" s="136">
        <v>22599</v>
      </c>
      <c r="Z90" s="136">
        <v>22632</v>
      </c>
      <c r="AA90" s="137">
        <f>Z90</f>
        <v>22632</v>
      </c>
      <c r="AB90" s="136">
        <v>21743</v>
      </c>
      <c r="AC90" s="136">
        <v>20937</v>
      </c>
      <c r="AD90" s="136">
        <v>21734</v>
      </c>
      <c r="AE90" s="136">
        <v>22462</v>
      </c>
      <c r="AF90" s="134">
        <f t="shared" ref="AF90:AU90" si="194">AF9+AF19+AF29+AF39</f>
        <v>22462</v>
      </c>
      <c r="AG90" s="358">
        <f t="shared" si="194"/>
        <v>22970</v>
      </c>
      <c r="AH90" s="358">
        <f t="shared" si="194"/>
        <v>23085</v>
      </c>
      <c r="AI90" s="358">
        <f t="shared" si="194"/>
        <v>22886</v>
      </c>
      <c r="AJ90" s="358">
        <f t="shared" si="194"/>
        <v>24047</v>
      </c>
      <c r="AK90" s="134">
        <f t="shared" si="194"/>
        <v>24047</v>
      </c>
      <c r="AL90" s="358">
        <f t="shared" si="194"/>
        <v>22523</v>
      </c>
      <c r="AM90" s="358">
        <f t="shared" si="194"/>
        <v>22169</v>
      </c>
      <c r="AN90" s="358">
        <f t="shared" si="194"/>
        <v>22144</v>
      </c>
      <c r="AO90" s="358">
        <f t="shared" si="194"/>
        <v>23014</v>
      </c>
      <c r="AP90" s="134">
        <f t="shared" si="194"/>
        <v>23014</v>
      </c>
      <c r="AQ90" s="358">
        <f t="shared" si="194"/>
        <v>22745</v>
      </c>
      <c r="AR90" s="358">
        <f t="shared" si="194"/>
        <v>23580</v>
      </c>
      <c r="AS90" s="358">
        <f t="shared" si="194"/>
        <v>22888</v>
      </c>
      <c r="AT90" s="358">
        <f t="shared" si="194"/>
        <v>23044</v>
      </c>
      <c r="AU90" s="134">
        <f t="shared" si="194"/>
        <v>23044</v>
      </c>
      <c r="AV90" s="358"/>
      <c r="AW90" s="358"/>
      <c r="AX90" s="358"/>
      <c r="AY90" s="358"/>
      <c r="AZ90" s="134">
        <f>AZ9+AZ19+AZ29+AZ39+AZ69</f>
        <v>23092</v>
      </c>
      <c r="BA90" s="358"/>
      <c r="BB90" s="358"/>
      <c r="BC90" s="358"/>
      <c r="BD90" s="358"/>
      <c r="BE90" s="134">
        <f t="shared" ref="BE90:BH90" si="195">BE9+BE19+BE29+BE39+BE69</f>
        <v>25060</v>
      </c>
      <c r="BF90" s="358">
        <f t="shared" si="195"/>
        <v>26168</v>
      </c>
      <c r="BG90" s="358">
        <f t="shared" si="195"/>
        <v>26135</v>
      </c>
      <c r="BH90" s="358">
        <f t="shared" si="195"/>
        <v>25666</v>
      </c>
      <c r="BI90" s="358"/>
      <c r="BJ90" s="134"/>
      <c r="BK90" s="358"/>
      <c r="BL90" s="358"/>
      <c r="BM90" s="136"/>
      <c r="BN90" s="358"/>
      <c r="BO90" s="134"/>
      <c r="BP90" s="134"/>
      <c r="BQ90" s="359"/>
      <c r="BR90" s="358"/>
      <c r="BS90" s="358"/>
      <c r="BT90" s="360"/>
      <c r="BU90" s="134"/>
      <c r="BV90" s="359"/>
      <c r="BW90" s="358"/>
      <c r="BX90" s="358"/>
      <c r="BY90" s="360"/>
      <c r="BZ90" s="134"/>
      <c r="CA90" s="359"/>
      <c r="CB90" s="358"/>
      <c r="CC90" s="358"/>
      <c r="CD90" s="360"/>
      <c r="CE90" s="134"/>
      <c r="CF90" s="359"/>
      <c r="CG90" s="358"/>
      <c r="CH90" s="358"/>
      <c r="CI90" s="360"/>
      <c r="CJ90" s="134"/>
      <c r="CK90" s="291"/>
      <c r="CL90" s="743"/>
      <c r="CM90" s="657"/>
      <c r="CN90" s="682"/>
      <c r="CO90" s="657"/>
      <c r="CP90" s="657"/>
      <c r="CQ90" s="657"/>
      <c r="CR90" s="657"/>
      <c r="CS90" s="657"/>
      <c r="CT90" s="291"/>
      <c r="CX90"/>
      <c r="CY90"/>
      <c r="CZ90"/>
      <c r="DA90"/>
      <c r="DB90"/>
      <c r="DC90"/>
    </row>
    <row r="91" spans="1:107" s="432" customFormat="1" ht="12" hidden="1" customHeight="1" outlineLevel="2">
      <c r="A91" s="424" t="s">
        <v>81</v>
      </c>
      <c r="B91" s="425">
        <f>B90/B84</f>
        <v>0.66615895332942787</v>
      </c>
      <c r="C91" s="426">
        <f t="shared" ref="C91:AK91" si="196">C90/C84</f>
        <v>0.66477051351983163</v>
      </c>
      <c r="D91" s="426">
        <f t="shared" si="196"/>
        <v>0.6406215961077627</v>
      </c>
      <c r="E91" s="426">
        <f t="shared" si="196"/>
        <v>0.52716936967062367</v>
      </c>
      <c r="F91" s="426">
        <f t="shared" si="196"/>
        <v>0.47513321492007105</v>
      </c>
      <c r="G91" s="426">
        <f t="shared" si="196"/>
        <v>0.53744311129499378</v>
      </c>
      <c r="H91" s="427">
        <f t="shared" si="196"/>
        <v>0.42572768291603996</v>
      </c>
      <c r="I91" s="427">
        <f t="shared" si="196"/>
        <v>0.42583588450687315</v>
      </c>
      <c r="J91" s="427">
        <f t="shared" si="196"/>
        <v>0.41470683702676386</v>
      </c>
      <c r="K91" s="427">
        <f t="shared" si="196"/>
        <v>0.5603867373135959</v>
      </c>
      <c r="L91" s="426">
        <f t="shared" si="196"/>
        <v>0.5603867373135959</v>
      </c>
      <c r="M91" s="427">
        <f t="shared" si="196"/>
        <v>0.60638777621561402</v>
      </c>
      <c r="N91" s="427">
        <f t="shared" si="196"/>
        <v>0.59226690116449487</v>
      </c>
      <c r="O91" s="427">
        <f t="shared" si="196"/>
        <v>0.57171826416114646</v>
      </c>
      <c r="P91" s="427">
        <f t="shared" si="196"/>
        <v>0.56542536776051844</v>
      </c>
      <c r="Q91" s="426">
        <f t="shared" si="196"/>
        <v>0.56542536776051844</v>
      </c>
      <c r="R91" s="427">
        <f t="shared" si="196"/>
        <v>0.60681620496059463</v>
      </c>
      <c r="S91" s="427">
        <f t="shared" si="196"/>
        <v>0.64003537735849059</v>
      </c>
      <c r="T91" s="427">
        <f t="shared" si="196"/>
        <v>0.65588755108803709</v>
      </c>
      <c r="U91" s="427">
        <f t="shared" si="196"/>
        <v>0.63668411204816011</v>
      </c>
      <c r="V91" s="426">
        <f t="shared" si="196"/>
        <v>0.63668411204816011</v>
      </c>
      <c r="W91" s="427">
        <f t="shared" si="196"/>
        <v>0.63443651308674021</v>
      </c>
      <c r="X91" s="427">
        <f t="shared" si="196"/>
        <v>0.62426347971095053</v>
      </c>
      <c r="Y91" s="427">
        <f t="shared" si="196"/>
        <v>0.63229904031784223</v>
      </c>
      <c r="Z91" s="427">
        <f t="shared" si="196"/>
        <v>0.65503169228097591</v>
      </c>
      <c r="AA91" s="426">
        <f t="shared" si="196"/>
        <v>0.65503169228097591</v>
      </c>
      <c r="AB91" s="427">
        <f t="shared" si="196"/>
        <v>0.64509716659249372</v>
      </c>
      <c r="AC91" s="427">
        <f t="shared" si="196"/>
        <v>0.60720396740233751</v>
      </c>
      <c r="AD91" s="427">
        <f t="shared" si="196"/>
        <v>0.62123767328855228</v>
      </c>
      <c r="AE91" s="427">
        <f t="shared" si="196"/>
        <v>0.63610104213864971</v>
      </c>
      <c r="AF91" s="426">
        <f t="shared" si="196"/>
        <v>0.63610104213864971</v>
      </c>
      <c r="AG91" s="427">
        <f t="shared" si="196"/>
        <v>0.66962073288050605</v>
      </c>
      <c r="AH91" s="427">
        <f t="shared" si="196"/>
        <v>0.68051174719217056</v>
      </c>
      <c r="AI91" s="427">
        <f t="shared" si="196"/>
        <v>0.6536055976010281</v>
      </c>
      <c r="AJ91" s="427">
        <f t="shared" si="196"/>
        <v>0.66463060722478651</v>
      </c>
      <c r="AK91" s="426">
        <f t="shared" si="196"/>
        <v>0.66463060722478651</v>
      </c>
      <c r="AL91" s="427">
        <f t="shared" ref="AL91:AR91" si="197">AL90/AL84</f>
        <v>0.67140642699576703</v>
      </c>
      <c r="AM91" s="427">
        <f t="shared" si="197"/>
        <v>0.68349005703715127</v>
      </c>
      <c r="AN91" s="427">
        <f t="shared" si="197"/>
        <v>0.68695517294865827</v>
      </c>
      <c r="AO91" s="427">
        <f t="shared" si="197"/>
        <v>0.68321211221611988</v>
      </c>
      <c r="AP91" s="426">
        <f t="shared" si="197"/>
        <v>0.68321211221611988</v>
      </c>
      <c r="AQ91" s="427">
        <f t="shared" si="197"/>
        <v>0.70673958300966344</v>
      </c>
      <c r="AR91" s="427">
        <f t="shared" si="197"/>
        <v>0.71413428631999754</v>
      </c>
      <c r="AS91" s="427">
        <f t="shared" ref="AS91:AU91" si="198">AS90/AS84</f>
        <v>0.68842301561043107</v>
      </c>
      <c r="AT91" s="427">
        <f t="shared" si="198"/>
        <v>0.68749067692950272</v>
      </c>
      <c r="AU91" s="426">
        <f t="shared" si="198"/>
        <v>0.68749067692950272</v>
      </c>
      <c r="AV91" s="427"/>
      <c r="AW91" s="427"/>
      <c r="AX91" s="427"/>
      <c r="AY91" s="427"/>
      <c r="AZ91" s="426">
        <f t="shared" ref="AZ91" si="199">AZ90/AZ84</f>
        <v>0.68785558964582527</v>
      </c>
      <c r="BA91" s="427"/>
      <c r="BB91" s="427"/>
      <c r="BC91" s="427"/>
      <c r="BD91" s="427"/>
      <c r="BE91" s="426">
        <f>BE90/BE84</f>
        <v>0.7228359629640313</v>
      </c>
      <c r="BF91" s="427">
        <f t="shared" ref="BF91:BH91" si="200">BF90/BF84</f>
        <v>0.75264611136677406</v>
      </c>
      <c r="BG91" s="427">
        <f t="shared" si="200"/>
        <v>0.74015859529878225</v>
      </c>
      <c r="BH91" s="427">
        <f t="shared" si="200"/>
        <v>0.71670715701879306</v>
      </c>
      <c r="BI91" s="427"/>
      <c r="BJ91" s="426"/>
      <c r="BK91" s="427"/>
      <c r="BL91" s="427"/>
      <c r="BM91" s="502"/>
      <c r="BN91" s="427"/>
      <c r="BO91" s="426"/>
      <c r="BP91" s="426"/>
      <c r="BQ91" s="428"/>
      <c r="BR91" s="427"/>
      <c r="BS91" s="427"/>
      <c r="BT91" s="429"/>
      <c r="BU91" s="426"/>
      <c r="BV91" s="428"/>
      <c r="BW91" s="427"/>
      <c r="BX91" s="427"/>
      <c r="BY91" s="429"/>
      <c r="BZ91" s="426"/>
      <c r="CA91" s="428"/>
      <c r="CB91" s="427"/>
      <c r="CC91" s="427"/>
      <c r="CD91" s="429"/>
      <c r="CE91" s="426"/>
      <c r="CF91" s="428"/>
      <c r="CG91" s="427"/>
      <c r="CH91" s="427"/>
      <c r="CI91" s="429"/>
      <c r="CJ91" s="426"/>
      <c r="CK91" s="430"/>
      <c r="CL91" s="677"/>
      <c r="CM91" s="677"/>
      <c r="CN91" s="682"/>
      <c r="CO91" s="677"/>
      <c r="CP91" s="677"/>
      <c r="CQ91" s="677"/>
      <c r="CR91" s="677"/>
      <c r="CS91" s="677"/>
      <c r="CT91" s="430"/>
      <c r="CX91"/>
      <c r="CY91"/>
      <c r="CZ91"/>
      <c r="DA91"/>
      <c r="DB91"/>
      <c r="DC91"/>
    </row>
    <row r="92" spans="1:107" s="180" customFormat="1" ht="12" hidden="1" customHeight="1" outlineLevel="2">
      <c r="A92" s="385" t="s">
        <v>82</v>
      </c>
      <c r="B92" s="134">
        <f t="shared" ref="B92:AK92" si="201">B84*B93</f>
        <v>8548</v>
      </c>
      <c r="C92" s="134">
        <f t="shared" si="201"/>
        <v>8604.0000000000018</v>
      </c>
      <c r="D92" s="134">
        <f t="shared" si="201"/>
        <v>9898</v>
      </c>
      <c r="E92" s="134">
        <f t="shared" si="201"/>
        <v>14140</v>
      </c>
      <c r="F92" s="134">
        <f t="shared" si="201"/>
        <v>16548</v>
      </c>
      <c r="G92" s="134">
        <f t="shared" si="201"/>
        <v>15652</v>
      </c>
      <c r="H92" s="358">
        <f t="shared" si="201"/>
        <v>19473.000000000004</v>
      </c>
      <c r="I92" s="358">
        <f t="shared" si="201"/>
        <v>19130</v>
      </c>
      <c r="J92" s="358">
        <f>J84*J93</f>
        <v>19834.999999999996</v>
      </c>
      <c r="K92" s="358">
        <f>K84*K93</f>
        <v>16096</v>
      </c>
      <c r="L92" s="134">
        <f t="shared" si="201"/>
        <v>16096</v>
      </c>
      <c r="M92" s="358">
        <f t="shared" si="201"/>
        <v>14837.999999999998</v>
      </c>
      <c r="N92" s="358">
        <f t="shared" si="201"/>
        <v>15301</v>
      </c>
      <c r="O92" s="358">
        <f t="shared" si="201"/>
        <v>15839.999999999998</v>
      </c>
      <c r="P92" s="358">
        <f t="shared" si="201"/>
        <v>16898</v>
      </c>
      <c r="Q92" s="134">
        <f t="shared" si="201"/>
        <v>16898</v>
      </c>
      <c r="R92" s="358">
        <f t="shared" si="201"/>
        <v>14917</v>
      </c>
      <c r="S92" s="358">
        <f t="shared" si="201"/>
        <v>13431</v>
      </c>
      <c r="T92" s="358">
        <f t="shared" si="201"/>
        <v>12461</v>
      </c>
      <c r="U92" s="358">
        <f t="shared" si="201"/>
        <v>13398</v>
      </c>
      <c r="V92" s="134">
        <f t="shared" si="201"/>
        <v>13398</v>
      </c>
      <c r="W92" s="358">
        <f t="shared" si="201"/>
        <v>13520</v>
      </c>
      <c r="X92" s="358">
        <f t="shared" si="201"/>
        <v>13519</v>
      </c>
      <c r="Y92" s="358">
        <f t="shared" si="201"/>
        <v>13142</v>
      </c>
      <c r="Z92" s="358">
        <f t="shared" si="201"/>
        <v>11919.000000000002</v>
      </c>
      <c r="AA92" s="134">
        <f t="shared" si="201"/>
        <v>11919.000000000002</v>
      </c>
      <c r="AB92" s="358">
        <f t="shared" si="201"/>
        <v>11962</v>
      </c>
      <c r="AC92" s="358">
        <f t="shared" si="201"/>
        <v>13544</v>
      </c>
      <c r="AD92" s="358">
        <f t="shared" si="201"/>
        <v>13250.999999999998</v>
      </c>
      <c r="AE92" s="358">
        <f t="shared" si="201"/>
        <v>12850.000000000002</v>
      </c>
      <c r="AF92" s="134">
        <f t="shared" si="201"/>
        <v>12850.000000000002</v>
      </c>
      <c r="AG92" s="358">
        <f t="shared" si="201"/>
        <v>11333</v>
      </c>
      <c r="AH92" s="358">
        <f t="shared" si="201"/>
        <v>10837.999999999998</v>
      </c>
      <c r="AI92" s="358">
        <f t="shared" si="201"/>
        <v>12129.000000000002</v>
      </c>
      <c r="AJ92" s="358">
        <f t="shared" si="201"/>
        <v>12134</v>
      </c>
      <c r="AK92" s="134">
        <f t="shared" si="201"/>
        <v>12134</v>
      </c>
      <c r="AL92" s="358">
        <f>AL84*AL93</f>
        <v>11023</v>
      </c>
      <c r="AM92" s="358">
        <f>AM84*AM93</f>
        <v>10265.999999999998</v>
      </c>
      <c r="AN92" s="358">
        <f>AN84*AN93</f>
        <v>10091</v>
      </c>
      <c r="AO92" s="358">
        <f>AO84*AO93</f>
        <v>10671.000000000002</v>
      </c>
      <c r="AP92" s="134">
        <f>AO92</f>
        <v>10671.000000000002</v>
      </c>
      <c r="AQ92" s="358">
        <f>AQ84*AQ93</f>
        <v>9438.0000000000018</v>
      </c>
      <c r="AR92" s="358">
        <f>AR84*AR93</f>
        <v>9439.0000000000018</v>
      </c>
      <c r="AS92" s="358">
        <f>AS84*AS93</f>
        <v>10358.999999999998</v>
      </c>
      <c r="AT92" s="358">
        <f>AT84*AT93</f>
        <v>10474.999999999998</v>
      </c>
      <c r="AU92" s="134">
        <f>AT92</f>
        <v>10474.999999999998</v>
      </c>
      <c r="AV92" s="358"/>
      <c r="AW92" s="358"/>
      <c r="AX92" s="358"/>
      <c r="AY92" s="358"/>
      <c r="AZ92" s="134">
        <f>+AZ84-AZ90</f>
        <v>10479</v>
      </c>
      <c r="BA92" s="358"/>
      <c r="BB92" s="358"/>
      <c r="BC92" s="358"/>
      <c r="BD92" s="358"/>
      <c r="BE92" s="134">
        <f>+BE84-BE90</f>
        <v>9609</v>
      </c>
      <c r="BF92" s="358">
        <f>BF84*BF93</f>
        <v>8600</v>
      </c>
      <c r="BG92" s="358">
        <f>BG84*BG93</f>
        <v>9174.9999999999982</v>
      </c>
      <c r="BH92" s="358">
        <f>BH84*BH93</f>
        <v>10145.000000000002</v>
      </c>
      <c r="BI92" s="358"/>
      <c r="BJ92" s="134"/>
      <c r="BK92" s="358"/>
      <c r="BL92" s="358"/>
      <c r="BM92" s="136"/>
      <c r="BN92" s="358"/>
      <c r="BO92" s="134"/>
      <c r="BP92" s="134"/>
      <c r="BQ92" s="359"/>
      <c r="BR92" s="358"/>
      <c r="BS92" s="358"/>
      <c r="BT92" s="360"/>
      <c r="BU92" s="134"/>
      <c r="BV92" s="359"/>
      <c r="BW92" s="358"/>
      <c r="BX92" s="358"/>
      <c r="BY92" s="360"/>
      <c r="BZ92" s="134"/>
      <c r="CA92" s="359"/>
      <c r="CB92" s="358"/>
      <c r="CC92" s="358"/>
      <c r="CD92" s="360"/>
      <c r="CE92" s="134"/>
      <c r="CF92" s="359"/>
      <c r="CG92" s="358"/>
      <c r="CH92" s="358"/>
      <c r="CI92" s="360"/>
      <c r="CJ92" s="134"/>
      <c r="CK92" s="291"/>
      <c r="CL92" s="657"/>
      <c r="CM92" s="657"/>
      <c r="CN92" s="682"/>
      <c r="CO92" s="657"/>
      <c r="CP92" s="657"/>
      <c r="CQ92" s="657"/>
      <c r="CR92" s="657"/>
      <c r="CS92" s="657"/>
      <c r="CT92" s="291"/>
      <c r="CX92"/>
      <c r="CY92"/>
      <c r="CZ92"/>
      <c r="DA92"/>
      <c r="DB92"/>
      <c r="DC92"/>
    </row>
    <row r="93" spans="1:107" ht="12" hidden="1" customHeight="1" outlineLevel="2">
      <c r="A93" s="424" t="s">
        <v>81</v>
      </c>
      <c r="B93" s="378">
        <f>1-B90/B84</f>
        <v>0.33384104667057213</v>
      </c>
      <c r="C93" s="378">
        <f t="shared" ref="C93:AJ93" si="202">1-C90/C84</f>
        <v>0.33522948648016837</v>
      </c>
      <c r="D93" s="378">
        <f t="shared" si="202"/>
        <v>0.3593784038922373</v>
      </c>
      <c r="E93" s="378">
        <f t="shared" si="202"/>
        <v>0.47283063032937633</v>
      </c>
      <c r="F93" s="378">
        <f t="shared" si="202"/>
        <v>0.5248667850799289</v>
      </c>
      <c r="G93" s="378">
        <f t="shared" si="202"/>
        <v>0.46255688870500622</v>
      </c>
      <c r="H93" s="379">
        <f t="shared" si="202"/>
        <v>0.57427231708396009</v>
      </c>
      <c r="I93" s="379">
        <f t="shared" si="202"/>
        <v>0.57416411549312685</v>
      </c>
      <c r="J93" s="379">
        <f t="shared" si="202"/>
        <v>0.58529316297323608</v>
      </c>
      <c r="K93" s="380">
        <f>1-K90/K84</f>
        <v>0.4396132626864041</v>
      </c>
      <c r="L93" s="378">
        <f t="shared" si="202"/>
        <v>0.4396132626864041</v>
      </c>
      <c r="M93" s="380">
        <f t="shared" si="202"/>
        <v>0.39361222378438598</v>
      </c>
      <c r="N93" s="379">
        <f t="shared" si="202"/>
        <v>0.40773309883550513</v>
      </c>
      <c r="O93" s="379">
        <f t="shared" si="202"/>
        <v>0.42828173583885354</v>
      </c>
      <c r="P93" s="380">
        <f t="shared" si="202"/>
        <v>0.43457463223948156</v>
      </c>
      <c r="Q93" s="378">
        <f t="shared" si="202"/>
        <v>0.43457463223948156</v>
      </c>
      <c r="R93" s="380">
        <f t="shared" si="202"/>
        <v>0.39318379503940537</v>
      </c>
      <c r="S93" s="380">
        <f t="shared" si="202"/>
        <v>0.35996462264150941</v>
      </c>
      <c r="T93" s="379">
        <f t="shared" si="202"/>
        <v>0.34411244891196291</v>
      </c>
      <c r="U93" s="381">
        <f t="shared" si="202"/>
        <v>0.36331588795183989</v>
      </c>
      <c r="V93" s="378">
        <f t="shared" si="202"/>
        <v>0.36331588795183989</v>
      </c>
      <c r="W93" s="380">
        <f t="shared" si="202"/>
        <v>0.36556348691325979</v>
      </c>
      <c r="X93" s="380">
        <f t="shared" si="202"/>
        <v>0.37573652028904947</v>
      </c>
      <c r="Y93" s="382">
        <f t="shared" si="202"/>
        <v>0.36770095968215777</v>
      </c>
      <c r="Z93" s="382">
        <f t="shared" si="202"/>
        <v>0.34496830771902409</v>
      </c>
      <c r="AA93" s="378">
        <f t="shared" si="202"/>
        <v>0.34496830771902409</v>
      </c>
      <c r="AB93" s="380">
        <f t="shared" si="202"/>
        <v>0.35490283340750628</v>
      </c>
      <c r="AC93" s="380">
        <f t="shared" si="202"/>
        <v>0.39279603259766249</v>
      </c>
      <c r="AD93" s="380">
        <f t="shared" si="202"/>
        <v>0.37876232671144772</v>
      </c>
      <c r="AE93" s="380">
        <f t="shared" si="202"/>
        <v>0.36389895786135029</v>
      </c>
      <c r="AF93" s="378">
        <f t="shared" si="202"/>
        <v>0.36389895786135029</v>
      </c>
      <c r="AG93" s="380">
        <f t="shared" si="202"/>
        <v>0.33037926711949395</v>
      </c>
      <c r="AH93" s="380">
        <f t="shared" si="202"/>
        <v>0.31948825280782944</v>
      </c>
      <c r="AI93" s="380">
        <f t="shared" si="202"/>
        <v>0.3463944023989719</v>
      </c>
      <c r="AJ93" s="380">
        <f t="shared" si="202"/>
        <v>0.33536939277521349</v>
      </c>
      <c r="AK93" s="378">
        <f t="shared" ref="AK93:AP93" si="203">1-AK90/AK84</f>
        <v>0.33536939277521349</v>
      </c>
      <c r="AL93" s="380">
        <f>1-AL90/AL84</f>
        <v>0.32859357300423297</v>
      </c>
      <c r="AM93" s="380">
        <f t="shared" si="203"/>
        <v>0.31650994296284873</v>
      </c>
      <c r="AN93" s="380">
        <f t="shared" si="203"/>
        <v>0.31304482705134173</v>
      </c>
      <c r="AO93" s="380">
        <f t="shared" si="203"/>
        <v>0.31678788778388012</v>
      </c>
      <c r="AP93" s="378">
        <f t="shared" si="203"/>
        <v>0.31678788778388012</v>
      </c>
      <c r="AQ93" s="380">
        <f t="shared" ref="AQ93:AU93" si="204">1-AQ90/AQ84</f>
        <v>0.29326041699033656</v>
      </c>
      <c r="AR93" s="380">
        <f t="shared" si="204"/>
        <v>0.28586571368000246</v>
      </c>
      <c r="AS93" s="380">
        <f t="shared" si="204"/>
        <v>0.31157698438956893</v>
      </c>
      <c r="AT93" s="380">
        <f t="shared" si="204"/>
        <v>0.31250932307049728</v>
      </c>
      <c r="AU93" s="378">
        <f t="shared" si="204"/>
        <v>0.31250932307049728</v>
      </c>
      <c r="AV93" s="380"/>
      <c r="AW93" s="380"/>
      <c r="AX93" s="380"/>
      <c r="AY93" s="380"/>
      <c r="AZ93" s="378">
        <f t="shared" ref="AZ93" si="205">1-AZ90/AZ84</f>
        <v>0.31214441035417473</v>
      </c>
      <c r="BA93" s="380"/>
      <c r="BB93" s="380"/>
      <c r="BC93" s="380"/>
      <c r="BD93" s="380"/>
      <c r="BE93" s="378">
        <f t="shared" ref="BE93:BH93" si="206">1-BE90/BE84</f>
        <v>0.2771640370359687</v>
      </c>
      <c r="BF93" s="380">
        <f t="shared" si="206"/>
        <v>0.24735388863322594</v>
      </c>
      <c r="BG93" s="380">
        <f t="shared" si="206"/>
        <v>0.25984140470121775</v>
      </c>
      <c r="BH93" s="380">
        <f t="shared" si="206"/>
        <v>0.28329284298120694</v>
      </c>
      <c r="BI93" s="380"/>
      <c r="BJ93" s="378"/>
      <c r="BK93" s="380"/>
      <c r="BL93" s="64"/>
      <c r="BM93" s="703"/>
      <c r="BN93" s="380"/>
      <c r="BO93" s="378"/>
      <c r="BP93" s="378"/>
      <c r="BQ93" s="121"/>
      <c r="BR93" s="64"/>
      <c r="BS93" s="64"/>
      <c r="BT93" s="122"/>
      <c r="BU93" s="70"/>
      <c r="BV93" s="121"/>
      <c r="BW93" s="64"/>
      <c r="BX93" s="64"/>
      <c r="BY93" s="122"/>
      <c r="BZ93" s="70"/>
      <c r="CA93" s="121"/>
      <c r="CB93" s="64"/>
      <c r="CC93" s="64"/>
      <c r="CD93" s="122"/>
      <c r="CE93" s="70"/>
      <c r="CF93" s="121"/>
      <c r="CG93" s="64"/>
      <c r="CH93" s="64"/>
      <c r="CI93" s="122"/>
      <c r="CJ93" s="70"/>
      <c r="CK93" s="66"/>
      <c r="CL93" s="745"/>
      <c r="CM93" s="658"/>
      <c r="CN93" s="682"/>
      <c r="CO93" s="658"/>
      <c r="CP93" s="658"/>
      <c r="CQ93" s="658"/>
      <c r="CR93" s="658"/>
      <c r="CS93" s="658"/>
      <c r="CT93" s="289"/>
    </row>
    <row r="94" spans="1:107" s="402" customFormat="1" ht="12" hidden="1" customHeight="1" outlineLevel="2">
      <c r="A94" s="419" t="s">
        <v>83</v>
      </c>
      <c r="B94" s="433"/>
      <c r="C94" s="433"/>
      <c r="D94" s="433"/>
      <c r="E94" s="433"/>
      <c r="F94" s="433"/>
      <c r="G94" s="433"/>
      <c r="H94" s="434"/>
      <c r="I94" s="434"/>
      <c r="J94" s="434"/>
      <c r="K94" s="435"/>
      <c r="L94" s="433"/>
      <c r="M94" s="435"/>
      <c r="N94" s="434"/>
      <c r="O94" s="434"/>
      <c r="P94" s="435"/>
      <c r="Q94" s="433"/>
      <c r="R94" s="435"/>
      <c r="S94" s="435"/>
      <c r="T94" s="434"/>
      <c r="U94" s="436"/>
      <c r="V94" s="433">
        <f>V84-V96</f>
        <v>23477</v>
      </c>
      <c r="W94" s="435"/>
      <c r="X94" s="435"/>
      <c r="Y94" s="437"/>
      <c r="Z94" s="437"/>
      <c r="AA94" s="433">
        <f>AA84-AA96</f>
        <v>23251</v>
      </c>
      <c r="AB94" s="435"/>
      <c r="AC94" s="435"/>
      <c r="AD94" s="435"/>
      <c r="AE94" s="435"/>
      <c r="AF94" s="433">
        <f>AF84-AF96</f>
        <v>22312</v>
      </c>
      <c r="AG94" s="435"/>
      <c r="AH94" s="435"/>
      <c r="AI94" s="435"/>
      <c r="AJ94" s="435"/>
      <c r="AK94" s="433">
        <f t="shared" ref="AK94:AP94" si="207">AK84-AK96</f>
        <v>23506</v>
      </c>
      <c r="AL94" s="435">
        <f t="shared" si="207"/>
        <v>21224</v>
      </c>
      <c r="AM94" s="435">
        <f t="shared" si="207"/>
        <v>20399</v>
      </c>
      <c r="AN94" s="435">
        <f t="shared" si="207"/>
        <v>20920</v>
      </c>
      <c r="AO94" s="435">
        <f t="shared" si="207"/>
        <v>21324</v>
      </c>
      <c r="AP94" s="433">
        <f t="shared" si="207"/>
        <v>21324</v>
      </c>
      <c r="AQ94" s="435">
        <f t="shared" ref="AQ94:AU94" si="208">AQ84-AQ96</f>
        <v>20108</v>
      </c>
      <c r="AR94" s="435">
        <f t="shared" si="208"/>
        <v>20949</v>
      </c>
      <c r="AS94" s="435">
        <f t="shared" si="208"/>
        <v>21359</v>
      </c>
      <c r="AT94" s="435">
        <f t="shared" si="208"/>
        <v>19969</v>
      </c>
      <c r="AU94" s="433">
        <f t="shared" si="208"/>
        <v>19969</v>
      </c>
      <c r="AV94" s="435"/>
      <c r="AW94" s="435"/>
      <c r="AX94" s="435"/>
      <c r="AY94" s="435"/>
      <c r="AZ94" s="433">
        <f t="shared" ref="AZ94" si="209">AZ84-AZ96</f>
        <v>20021</v>
      </c>
      <c r="BA94" s="435"/>
      <c r="BB94" s="435"/>
      <c r="BC94" s="435"/>
      <c r="BD94" s="435"/>
      <c r="BE94" s="433">
        <f>BE84-BE96</f>
        <v>19859</v>
      </c>
      <c r="BF94" s="435">
        <f t="shared" ref="BF94:BJ94" si="210">BF84-BF96</f>
        <v>20042</v>
      </c>
      <c r="BG94" s="435">
        <f t="shared" si="210"/>
        <v>20279</v>
      </c>
      <c r="BH94" s="435">
        <f t="shared" si="210"/>
        <v>21312</v>
      </c>
      <c r="BI94" s="435">
        <f t="shared" si="210"/>
        <v>21610</v>
      </c>
      <c r="BJ94" s="433">
        <f t="shared" si="210"/>
        <v>21610</v>
      </c>
      <c r="BK94" s="435">
        <f t="shared" ref="BK94" si="211">BK84-BK96</f>
        <v>21218</v>
      </c>
      <c r="BL94" s="401"/>
      <c r="BM94" s="528"/>
      <c r="BN94" s="435"/>
      <c r="BO94" s="433"/>
      <c r="BP94" s="433"/>
      <c r="BQ94" s="421"/>
      <c r="BR94" s="401"/>
      <c r="BS94" s="401"/>
      <c r="BT94" s="422"/>
      <c r="BU94" s="398"/>
      <c r="BV94" s="421"/>
      <c r="BW94" s="401"/>
      <c r="BX94" s="401"/>
      <c r="BY94" s="422"/>
      <c r="BZ94" s="398"/>
      <c r="CA94" s="421"/>
      <c r="CB94" s="401"/>
      <c r="CC94" s="401"/>
      <c r="CD94" s="422"/>
      <c r="CE94" s="398"/>
      <c r="CF94" s="421"/>
      <c r="CG94" s="401"/>
      <c r="CH94" s="401"/>
      <c r="CI94" s="422"/>
      <c r="CJ94" s="398"/>
      <c r="CK94" s="438"/>
      <c r="CL94" s="978"/>
      <c r="CM94" s="678"/>
      <c r="CN94" s="682"/>
      <c r="CO94" s="678"/>
      <c r="CP94" s="678"/>
      <c r="CQ94" s="678"/>
      <c r="CR94" s="678"/>
      <c r="CS94" s="678"/>
      <c r="CT94" s="400"/>
      <c r="CX94"/>
      <c r="CY94"/>
      <c r="CZ94"/>
      <c r="DA94"/>
      <c r="DB94"/>
      <c r="DC94"/>
    </row>
    <row r="95" spans="1:107" ht="12" hidden="1" customHeight="1" outlineLevel="2">
      <c r="A95" s="424" t="s">
        <v>81</v>
      </c>
      <c r="B95" s="378"/>
      <c r="C95" s="378"/>
      <c r="D95" s="378"/>
      <c r="E95" s="378"/>
      <c r="F95" s="378"/>
      <c r="G95" s="378"/>
      <c r="H95" s="379"/>
      <c r="I95" s="379"/>
      <c r="J95" s="379"/>
      <c r="K95" s="380"/>
      <c r="L95" s="378"/>
      <c r="M95" s="380"/>
      <c r="N95" s="379"/>
      <c r="O95" s="379"/>
      <c r="P95" s="380"/>
      <c r="Q95" s="378"/>
      <c r="R95" s="380"/>
      <c r="S95" s="380"/>
      <c r="T95" s="379"/>
      <c r="U95" s="381"/>
      <c r="V95" s="378">
        <f>V94/V84</f>
        <v>0.63662987770154844</v>
      </c>
      <c r="W95" s="380"/>
      <c r="X95" s="380"/>
      <c r="Y95" s="382"/>
      <c r="Z95" s="382"/>
      <c r="AA95" s="378">
        <f>AA94/AA84</f>
        <v>0.67294723741715146</v>
      </c>
      <c r="AB95" s="380"/>
      <c r="AC95" s="380"/>
      <c r="AD95" s="380"/>
      <c r="AE95" s="380"/>
      <c r="AF95" s="378">
        <f>AF94/AF84</f>
        <v>0.63185319438151333</v>
      </c>
      <c r="AG95" s="380"/>
      <c r="AH95" s="380"/>
      <c r="AI95" s="380"/>
      <c r="AJ95" s="380"/>
      <c r="AK95" s="378">
        <f t="shared" ref="AK95:AR95" si="212">AK94/AK84</f>
        <v>0.64967800779414608</v>
      </c>
      <c r="AL95" s="439">
        <f>AL94/AL84</f>
        <v>0.632683479401419</v>
      </c>
      <c r="AM95" s="382">
        <f t="shared" si="212"/>
        <v>0.62891937721597035</v>
      </c>
      <c r="AN95" s="382">
        <f t="shared" si="212"/>
        <v>0.64898402357685747</v>
      </c>
      <c r="AO95" s="382">
        <f t="shared" si="212"/>
        <v>0.63304141309188067</v>
      </c>
      <c r="AP95" s="378">
        <f t="shared" si="212"/>
        <v>0.63304141309188067</v>
      </c>
      <c r="AQ95" s="439">
        <f>AQ94/AQ84</f>
        <v>0.62480191405400365</v>
      </c>
      <c r="AR95" s="382">
        <f t="shared" si="212"/>
        <v>0.63445289075986555</v>
      </c>
      <c r="AS95" s="382">
        <f t="shared" ref="AS95:AU95" si="213">AS94/AS84</f>
        <v>0.64243390381087018</v>
      </c>
      <c r="AT95" s="382">
        <f t="shared" si="213"/>
        <v>0.59575166323577677</v>
      </c>
      <c r="AU95" s="378">
        <f t="shared" si="213"/>
        <v>0.59575166323577677</v>
      </c>
      <c r="AV95" s="439"/>
      <c r="AW95" s="382"/>
      <c r="AX95" s="382"/>
      <c r="AY95" s="382"/>
      <c r="AZ95" s="378">
        <f t="shared" ref="AZ95" si="214">AZ94/AZ84</f>
        <v>0.59637782609990764</v>
      </c>
      <c r="BA95" s="439"/>
      <c r="BB95" s="382"/>
      <c r="BC95" s="382"/>
      <c r="BD95" s="382"/>
      <c r="BE95" s="378">
        <f>BE94/BE84</f>
        <v>0.57281721422596554</v>
      </c>
      <c r="BF95" s="439">
        <f>BF94/BF84</f>
        <v>0.57644960883571095</v>
      </c>
      <c r="BG95" s="382">
        <f t="shared" ref="BG95:BJ95" si="215">BG94/BG84</f>
        <v>0.57431322571509491</v>
      </c>
      <c r="BH95" s="382">
        <f t="shared" si="215"/>
        <v>0.59512440311636094</v>
      </c>
      <c r="BI95" s="382">
        <f t="shared" si="215"/>
        <v>0.58868397395734018</v>
      </c>
      <c r="BJ95" s="378">
        <f t="shared" si="215"/>
        <v>0.58868397395734018</v>
      </c>
      <c r="BK95" s="439">
        <f>BK94/BK84</f>
        <v>0.58850612969434735</v>
      </c>
      <c r="BL95" s="64"/>
      <c r="BM95" s="999"/>
      <c r="BN95" s="382"/>
      <c r="BO95" s="378"/>
      <c r="BP95" s="378"/>
      <c r="BQ95" s="121"/>
      <c r="BR95" s="64"/>
      <c r="BS95" s="64"/>
      <c r="BT95" s="122"/>
      <c r="BU95" s="70"/>
      <c r="BV95" s="121"/>
      <c r="BW95" s="64"/>
      <c r="BX95" s="64"/>
      <c r="BY95" s="122"/>
      <c r="BZ95" s="70"/>
      <c r="CA95" s="121"/>
      <c r="CB95" s="64"/>
      <c r="CC95" s="64"/>
      <c r="CD95" s="122"/>
      <c r="CE95" s="70"/>
      <c r="CF95" s="121"/>
      <c r="CG95" s="64"/>
      <c r="CH95" s="64"/>
      <c r="CI95" s="122"/>
      <c r="CJ95" s="70"/>
      <c r="CK95" s="66"/>
      <c r="CL95" s="745"/>
      <c r="CM95" s="658"/>
      <c r="CN95" s="682"/>
      <c r="CO95" s="658"/>
      <c r="CP95" s="658"/>
      <c r="CQ95" s="658"/>
      <c r="CR95" s="658"/>
      <c r="CS95" s="658"/>
      <c r="CT95" s="289"/>
    </row>
    <row r="96" spans="1:107" s="402" customFormat="1" ht="12" hidden="1" customHeight="1" outlineLevel="2">
      <c r="A96" s="419" t="s">
        <v>84</v>
      </c>
      <c r="B96" s="433"/>
      <c r="C96" s="433"/>
      <c r="D96" s="433"/>
      <c r="E96" s="433"/>
      <c r="F96" s="433"/>
      <c r="G96" s="433"/>
      <c r="H96" s="434"/>
      <c r="I96" s="434"/>
      <c r="J96" s="434"/>
      <c r="K96" s="435"/>
      <c r="L96" s="433"/>
      <c r="M96" s="435"/>
      <c r="N96" s="434"/>
      <c r="O96" s="434"/>
      <c r="P96" s="435"/>
      <c r="Q96" s="433"/>
      <c r="R96" s="435"/>
      <c r="S96" s="435"/>
      <c r="T96" s="434"/>
      <c r="U96" s="436"/>
      <c r="V96" s="433">
        <v>13400</v>
      </c>
      <c r="W96" s="435"/>
      <c r="X96" s="435"/>
      <c r="Y96" s="437"/>
      <c r="Z96" s="437"/>
      <c r="AA96" s="433">
        <v>11300</v>
      </c>
      <c r="AB96" s="435"/>
      <c r="AC96" s="435"/>
      <c r="AD96" s="435"/>
      <c r="AE96" s="435"/>
      <c r="AF96" s="433">
        <v>13000</v>
      </c>
      <c r="AG96" s="435"/>
      <c r="AH96" s="435"/>
      <c r="AI96" s="435"/>
      <c r="AJ96" s="437"/>
      <c r="AK96" s="440">
        <v>12675</v>
      </c>
      <c r="AL96" s="528">
        <f>AK96-AL82+AL101</f>
        <v>12322</v>
      </c>
      <c r="AM96" s="528">
        <f>AL96-AM82+AM101</f>
        <v>12036</v>
      </c>
      <c r="AN96" s="528">
        <f>AM96-AN82+AN101</f>
        <v>11315</v>
      </c>
      <c r="AO96" s="528">
        <f>AP96</f>
        <v>12361</v>
      </c>
      <c r="AP96" s="440">
        <v>12361</v>
      </c>
      <c r="AQ96" s="528">
        <f>AP96-AQ82+AQ101</f>
        <v>12075</v>
      </c>
      <c r="AR96" s="528">
        <f>AQ96-AR82+AR101</f>
        <v>12070</v>
      </c>
      <c r="AS96" s="528">
        <f>AR96-AS82+AS101</f>
        <v>11888</v>
      </c>
      <c r="AT96" s="528">
        <v>13550</v>
      </c>
      <c r="AU96" s="717">
        <f>AT96</f>
        <v>13550</v>
      </c>
      <c r="AV96" s="528"/>
      <c r="AW96" s="528"/>
      <c r="AX96" s="528"/>
      <c r="AY96" s="528"/>
      <c r="AZ96" s="717">
        <v>13550</v>
      </c>
      <c r="BA96" s="528"/>
      <c r="BB96" s="528"/>
      <c r="BC96" s="528"/>
      <c r="BD96" s="528"/>
      <c r="BE96" s="717">
        <v>14810</v>
      </c>
      <c r="BF96" s="528">
        <f>BE96-BF82+BF101</f>
        <v>14726</v>
      </c>
      <c r="BG96" s="528">
        <f>BF96-BG82+BG101</f>
        <v>15031</v>
      </c>
      <c r="BH96" s="528">
        <f>BG96-BH82+BH101</f>
        <v>14499</v>
      </c>
      <c r="BI96" s="528">
        <v>15099</v>
      </c>
      <c r="BJ96" s="717">
        <f>BI96</f>
        <v>15099</v>
      </c>
      <c r="BK96" s="528">
        <f>BJ96-BK82+BK101</f>
        <v>14836</v>
      </c>
      <c r="BL96" s="401"/>
      <c r="BM96" s="528"/>
      <c r="BN96" s="528"/>
      <c r="BO96" s="717"/>
      <c r="BP96" s="717"/>
      <c r="BQ96" s="421"/>
      <c r="BR96" s="401"/>
      <c r="BS96" s="401"/>
      <c r="BT96" s="422"/>
      <c r="BU96" s="398"/>
      <c r="BV96" s="421"/>
      <c r="BW96" s="401"/>
      <c r="BX96" s="401"/>
      <c r="BY96" s="422"/>
      <c r="BZ96" s="398"/>
      <c r="CA96" s="421"/>
      <c r="CB96" s="401"/>
      <c r="CC96" s="401"/>
      <c r="CD96" s="422"/>
      <c r="CE96" s="398"/>
      <c r="CF96" s="421"/>
      <c r="CG96" s="401"/>
      <c r="CH96" s="401"/>
      <c r="CI96" s="422"/>
      <c r="CJ96" s="398"/>
      <c r="CK96" s="438"/>
      <c r="CL96" s="678"/>
      <c r="CM96" s="678"/>
      <c r="CN96" s="682"/>
      <c r="CO96" s="678"/>
      <c r="CP96" s="678"/>
      <c r="CQ96" s="678"/>
      <c r="CR96" s="678"/>
      <c r="CS96" s="678"/>
      <c r="CT96" s="400"/>
      <c r="CX96"/>
      <c r="CY96"/>
      <c r="CZ96"/>
      <c r="DA96"/>
      <c r="DB96"/>
      <c r="DC96"/>
    </row>
    <row r="97" spans="1:107" ht="12" hidden="1" customHeight="1" outlineLevel="2">
      <c r="A97" s="424" t="s">
        <v>81</v>
      </c>
      <c r="B97" s="378"/>
      <c r="C97" s="378"/>
      <c r="D97" s="378"/>
      <c r="E97" s="378"/>
      <c r="F97" s="378"/>
      <c r="G97" s="378"/>
      <c r="H97" s="379"/>
      <c r="I97" s="379"/>
      <c r="J97" s="379"/>
      <c r="K97" s="380"/>
      <c r="L97" s="378"/>
      <c r="M97" s="380"/>
      <c r="N97" s="379"/>
      <c r="O97" s="379"/>
      <c r="P97" s="380"/>
      <c r="Q97" s="441"/>
      <c r="R97" s="380"/>
      <c r="S97" s="380"/>
      <c r="T97" s="379"/>
      <c r="U97" s="381"/>
      <c r="V97" s="441">
        <f>V96/V84</f>
        <v>0.36337012229845161</v>
      </c>
      <c r="W97" s="380"/>
      <c r="X97" s="380"/>
      <c r="Y97" s="382"/>
      <c r="Z97" s="382"/>
      <c r="AA97" s="441">
        <f>AA96/AA84</f>
        <v>0.32705276258284854</v>
      </c>
      <c r="AB97" s="380"/>
      <c r="AC97" s="380"/>
      <c r="AD97" s="380"/>
      <c r="AE97" s="380"/>
      <c r="AF97" s="441">
        <f>AF96/AF84</f>
        <v>0.36814680561848662</v>
      </c>
      <c r="AG97" s="380"/>
      <c r="AH97" s="380"/>
      <c r="AI97" s="380"/>
      <c r="AJ97" s="382"/>
      <c r="AK97" s="441">
        <f t="shared" ref="AK97:AR97" si="216">AK96/AK84</f>
        <v>0.35032199220585392</v>
      </c>
      <c r="AL97" s="380">
        <f t="shared" si="216"/>
        <v>0.36731652059858105</v>
      </c>
      <c r="AM97" s="380">
        <f t="shared" si="216"/>
        <v>0.37108062278402959</v>
      </c>
      <c r="AN97" s="380">
        <f t="shared" si="216"/>
        <v>0.35101597642314253</v>
      </c>
      <c r="AO97" s="380">
        <f t="shared" si="216"/>
        <v>0.36695858690811933</v>
      </c>
      <c r="AP97" s="441">
        <f t="shared" si="216"/>
        <v>0.36695858690811933</v>
      </c>
      <c r="AQ97" s="380">
        <f t="shared" si="216"/>
        <v>0.37519808594599635</v>
      </c>
      <c r="AR97" s="380">
        <f t="shared" si="216"/>
        <v>0.36554710924013445</v>
      </c>
      <c r="AS97" s="380">
        <f t="shared" ref="AS97:AU97" si="217">AS96/AS84</f>
        <v>0.35756609618912982</v>
      </c>
      <c r="AT97" s="380">
        <f t="shared" si="217"/>
        <v>0.40424833676422328</v>
      </c>
      <c r="AU97" s="441">
        <f t="shared" si="217"/>
        <v>0.40424833676422328</v>
      </c>
      <c r="AV97" s="380"/>
      <c r="AW97" s="380"/>
      <c r="AX97" s="380"/>
      <c r="AY97" s="380"/>
      <c r="AZ97" s="441">
        <f t="shared" ref="AZ97" si="218">AZ96/AZ84</f>
        <v>0.40362217390009236</v>
      </c>
      <c r="BA97" s="380"/>
      <c r="BB97" s="380"/>
      <c r="BC97" s="380"/>
      <c r="BD97" s="380"/>
      <c r="BE97" s="441">
        <f>BE96/BE84</f>
        <v>0.42718278577403446</v>
      </c>
      <c r="BF97" s="380">
        <f t="shared" ref="BF97:BJ97" si="219">BF96/BF84</f>
        <v>0.423550391164289</v>
      </c>
      <c r="BG97" s="380">
        <f t="shared" si="219"/>
        <v>0.42568677428490515</v>
      </c>
      <c r="BH97" s="380">
        <f t="shared" si="219"/>
        <v>0.40487559688363911</v>
      </c>
      <c r="BI97" s="380">
        <f t="shared" si="219"/>
        <v>0.41131602604265982</v>
      </c>
      <c r="BJ97" s="441">
        <f t="shared" si="219"/>
        <v>0.41131602604265982</v>
      </c>
      <c r="BK97" s="380">
        <f t="shared" ref="BK97" si="220">BK96/BK84</f>
        <v>0.41149387030565265</v>
      </c>
      <c r="BL97" s="64"/>
      <c r="BM97" s="703"/>
      <c r="BN97" s="380"/>
      <c r="BO97" s="441"/>
      <c r="BP97" s="441"/>
      <c r="BQ97" s="121"/>
      <c r="BR97" s="64"/>
      <c r="BS97" s="64"/>
      <c r="BT97" s="122"/>
      <c r="BU97" s="70"/>
      <c r="BV97" s="121"/>
      <c r="BW97" s="64"/>
      <c r="BX97" s="64"/>
      <c r="BY97" s="122"/>
      <c r="BZ97" s="70"/>
      <c r="CA97" s="121"/>
      <c r="CB97" s="64"/>
      <c r="CC97" s="64"/>
      <c r="CD97" s="122"/>
      <c r="CE97" s="70"/>
      <c r="CF97" s="121"/>
      <c r="CG97" s="64"/>
      <c r="CH97" s="64"/>
      <c r="CI97" s="122"/>
      <c r="CJ97" s="70"/>
      <c r="CK97" s="66"/>
      <c r="CL97" s="745"/>
      <c r="CM97" s="657"/>
      <c r="CN97" s="682"/>
      <c r="CO97" s="658"/>
      <c r="CP97" s="658"/>
      <c r="CQ97" s="658"/>
      <c r="CR97" s="658"/>
      <c r="CS97" s="658"/>
      <c r="CT97" s="289"/>
    </row>
    <row r="98" spans="1:107" s="180" customFormat="1" ht="12" hidden="1" customHeight="1" outlineLevel="1" collapsed="1">
      <c r="A98" s="385" t="s">
        <v>134</v>
      </c>
      <c r="B98" s="354">
        <v>17017</v>
      </c>
      <c r="C98" s="354">
        <v>17920</v>
      </c>
      <c r="D98" s="354">
        <v>22693</v>
      </c>
      <c r="E98" s="354">
        <v>22619</v>
      </c>
      <c r="F98" s="354">
        <v>20785</v>
      </c>
      <c r="G98" s="354">
        <v>26820</v>
      </c>
      <c r="H98" s="357">
        <v>5158</v>
      </c>
      <c r="I98" s="357">
        <v>4832</v>
      </c>
      <c r="J98" s="357">
        <v>6327</v>
      </c>
      <c r="K98" s="358">
        <v>9181</v>
      </c>
      <c r="L98" s="354">
        <v>25498</v>
      </c>
      <c r="M98" s="358">
        <v>6516</v>
      </c>
      <c r="N98" s="357">
        <v>6008</v>
      </c>
      <c r="O98" s="357">
        <f>O61+O41+O51+O31+O21+O11</f>
        <v>5766</v>
      </c>
      <c r="P98" s="358">
        <v>8530</v>
      </c>
      <c r="Q98" s="354">
        <v>26820</v>
      </c>
      <c r="R98" s="358">
        <f t="shared" ref="R98:AE98" si="221">R61+R41+R51+R31+R21+R11</f>
        <v>5209</v>
      </c>
      <c r="S98" s="358">
        <f t="shared" si="221"/>
        <v>7647</v>
      </c>
      <c r="T98" s="358">
        <f t="shared" si="221"/>
        <v>5137</v>
      </c>
      <c r="U98" s="358">
        <f t="shared" si="221"/>
        <v>7065</v>
      </c>
      <c r="V98" s="354">
        <f t="shared" si="221"/>
        <v>25058</v>
      </c>
      <c r="W98" s="358">
        <f t="shared" si="221"/>
        <v>6526</v>
      </c>
      <c r="X98" s="358">
        <f t="shared" si="221"/>
        <v>5901</v>
      </c>
      <c r="Y98" s="358">
        <f t="shared" si="221"/>
        <v>6038</v>
      </c>
      <c r="Z98" s="181">
        <f t="shared" si="221"/>
        <v>5984</v>
      </c>
      <c r="AA98" s="354">
        <f t="shared" si="221"/>
        <v>24449</v>
      </c>
      <c r="AB98" s="177">
        <f t="shared" si="221"/>
        <v>5103</v>
      </c>
      <c r="AC98" s="177">
        <f t="shared" si="221"/>
        <v>7421</v>
      </c>
      <c r="AD98" s="177">
        <f t="shared" si="221"/>
        <v>6884</v>
      </c>
      <c r="AE98" s="171">
        <f t="shared" si="221"/>
        <v>7147</v>
      </c>
      <c r="AF98" s="540">
        <f t="shared" ref="AF98:AL98" si="222">AF41+AF31+AF21+AF11</f>
        <v>26555</v>
      </c>
      <c r="AG98" s="136">
        <f t="shared" si="222"/>
        <v>5162</v>
      </c>
      <c r="AH98" s="136">
        <f t="shared" si="222"/>
        <v>6157</v>
      </c>
      <c r="AI98" s="136">
        <f t="shared" si="222"/>
        <v>7293</v>
      </c>
      <c r="AJ98" s="353">
        <f t="shared" si="222"/>
        <v>7892</v>
      </c>
      <c r="AK98" s="540">
        <f t="shared" si="222"/>
        <v>26504</v>
      </c>
      <c r="AL98" s="456">
        <f t="shared" si="222"/>
        <v>3606</v>
      </c>
      <c r="AM98" s="483">
        <f>AM61+AM41+AM51+AM31+AM21+AM11</f>
        <v>5324</v>
      </c>
      <c r="AN98" s="483">
        <f>AN61+AN41+AN51+AN31+AN21+AN11</f>
        <v>5685</v>
      </c>
      <c r="AO98" s="483">
        <f>AO61+AO41+AO51+AO31+AO21+AO11</f>
        <v>7517</v>
      </c>
      <c r="AP98" s="354">
        <f>AP41+AP31+AP21+AP11</f>
        <v>22132</v>
      </c>
      <c r="AQ98" s="456">
        <f>AQ41+AQ21+AQ31+AQ11</f>
        <v>4293</v>
      </c>
      <c r="AR98" s="483">
        <f>AR61+AR41+AR51+AR31+AR21+AR11</f>
        <v>6750</v>
      </c>
      <c r="AS98" s="483">
        <f>AS61+AS41+AS51+AS31+AS21+AS11</f>
        <v>5878</v>
      </c>
      <c r="AT98" s="483">
        <f>AT61+AT41+AT51+AT31+AT21+AT11</f>
        <v>7131</v>
      </c>
      <c r="AU98" s="354">
        <f>AU41+AU31+AU21+AU11</f>
        <v>24052</v>
      </c>
      <c r="AV98" s="456"/>
      <c r="AW98" s="483"/>
      <c r="AX98" s="483"/>
      <c r="AY98" s="483"/>
      <c r="AZ98" s="354">
        <f t="shared" ref="AZ98:BJ98" si="223">AZ41+AZ21+AZ31+AZ11+AZ71</f>
        <v>24052</v>
      </c>
      <c r="BA98" s="456">
        <f t="shared" si="223"/>
        <v>4471</v>
      </c>
      <c r="BB98" s="483">
        <f t="shared" si="223"/>
        <v>7580</v>
      </c>
      <c r="BC98" s="483">
        <f t="shared" si="223"/>
        <v>5315</v>
      </c>
      <c r="BD98" s="483">
        <f t="shared" si="223"/>
        <v>7861</v>
      </c>
      <c r="BE98" s="354">
        <f t="shared" si="223"/>
        <v>25227</v>
      </c>
      <c r="BF98" s="456">
        <f t="shared" si="223"/>
        <v>6201</v>
      </c>
      <c r="BG98" s="483">
        <f t="shared" si="223"/>
        <v>7118</v>
      </c>
      <c r="BH98" s="483">
        <f t="shared" si="223"/>
        <v>6940</v>
      </c>
      <c r="BI98" s="483">
        <f t="shared" si="223"/>
        <v>7577</v>
      </c>
      <c r="BJ98" s="354">
        <f t="shared" si="223"/>
        <v>27836</v>
      </c>
      <c r="BK98" s="456">
        <f>BK41+BK21+BK31+BK11+BK71</f>
        <v>5688</v>
      </c>
      <c r="BL98" s="486"/>
      <c r="BM98" s="456"/>
      <c r="BN98" s="483"/>
      <c r="BO98" s="354"/>
      <c r="BP98" s="354"/>
      <c r="BQ98" s="485"/>
      <c r="BR98" s="486"/>
      <c r="BS98" s="486"/>
      <c r="BT98" s="487"/>
      <c r="BU98" s="488"/>
      <c r="BV98" s="485"/>
      <c r="BW98" s="486"/>
      <c r="BX98" s="486"/>
      <c r="BY98" s="487"/>
      <c r="BZ98" s="488"/>
      <c r="CA98" s="485"/>
      <c r="CB98" s="486"/>
      <c r="CC98" s="486"/>
      <c r="CD98" s="487"/>
      <c r="CE98" s="488"/>
      <c r="CF98" s="485"/>
      <c r="CG98" s="486"/>
      <c r="CH98" s="486"/>
      <c r="CI98" s="487"/>
      <c r="CJ98" s="488"/>
      <c r="CK98" s="291"/>
      <c r="CL98" s="657"/>
      <c r="CM98" s="657"/>
      <c r="CN98" s="682"/>
      <c r="CO98" s="657"/>
      <c r="CP98" s="657"/>
      <c r="CQ98" s="657"/>
      <c r="CR98" s="657"/>
      <c r="CS98" s="657"/>
      <c r="CT98" s="291"/>
      <c r="CX98"/>
      <c r="CY98"/>
      <c r="CZ98"/>
      <c r="DA98"/>
      <c r="DB98"/>
      <c r="DC98"/>
    </row>
    <row r="99" spans="1:107" s="180" customFormat="1" ht="12" hidden="1" customHeight="1" outlineLevel="2">
      <c r="A99" s="442" t="s">
        <v>85</v>
      </c>
      <c r="B99" s="354"/>
      <c r="C99" s="354"/>
      <c r="D99" s="354"/>
      <c r="E99" s="354"/>
      <c r="F99" s="354"/>
      <c r="G99" s="354"/>
      <c r="H99" s="357"/>
      <c r="I99" s="357"/>
      <c r="J99" s="357"/>
      <c r="K99" s="358"/>
      <c r="L99" s="354"/>
      <c r="M99" s="358"/>
      <c r="N99" s="357"/>
      <c r="O99" s="357"/>
      <c r="P99" s="358"/>
      <c r="Q99" s="134">
        <f t="shared" ref="Q99:AK99" si="224">Q98-Q101</f>
        <v>20120</v>
      </c>
      <c r="R99" s="358">
        <f t="shared" si="224"/>
        <v>3870</v>
      </c>
      <c r="S99" s="358">
        <f t="shared" si="224"/>
        <v>5433</v>
      </c>
      <c r="T99" s="358">
        <f t="shared" si="224"/>
        <v>3831</v>
      </c>
      <c r="U99" s="358">
        <f t="shared" si="224"/>
        <v>4290</v>
      </c>
      <c r="V99" s="134">
        <f t="shared" si="224"/>
        <v>17424</v>
      </c>
      <c r="W99" s="358">
        <f t="shared" si="224"/>
        <v>5673</v>
      </c>
      <c r="X99" s="358">
        <f t="shared" si="224"/>
        <v>4842</v>
      </c>
      <c r="Y99" s="358">
        <f t="shared" si="224"/>
        <v>5197</v>
      </c>
      <c r="Z99" s="358">
        <f t="shared" si="224"/>
        <v>4366</v>
      </c>
      <c r="AA99" s="134">
        <f t="shared" si="224"/>
        <v>20078</v>
      </c>
      <c r="AB99" s="358">
        <f t="shared" si="224"/>
        <v>3665</v>
      </c>
      <c r="AC99" s="358">
        <f t="shared" si="224"/>
        <v>4770</v>
      </c>
      <c r="AD99" s="358">
        <f t="shared" si="224"/>
        <v>5616</v>
      </c>
      <c r="AE99" s="358">
        <f t="shared" si="224"/>
        <v>4812</v>
      </c>
      <c r="AF99" s="134">
        <f t="shared" si="224"/>
        <v>18863</v>
      </c>
      <c r="AG99" s="358">
        <f t="shared" si="224"/>
        <v>3794</v>
      </c>
      <c r="AH99" s="358">
        <f t="shared" si="224"/>
        <v>5581</v>
      </c>
      <c r="AI99" s="358">
        <f t="shared" si="224"/>
        <v>6443</v>
      </c>
      <c r="AJ99" s="358">
        <f t="shared" si="224"/>
        <v>4707</v>
      </c>
      <c r="AK99" s="134">
        <f t="shared" si="224"/>
        <v>20525</v>
      </c>
      <c r="AL99" s="483">
        <f>AL98-AL101</f>
        <v>2423</v>
      </c>
      <c r="AM99" s="483">
        <f>AM98-AM101</f>
        <v>3950</v>
      </c>
      <c r="AN99" s="483">
        <f>AN98-AN101</f>
        <v>4842</v>
      </c>
      <c r="AO99" s="486">
        <f>AO98-AO101</f>
        <v>4313</v>
      </c>
      <c r="AP99" s="137">
        <f>SUM(AL99:AO99)</f>
        <v>15528</v>
      </c>
      <c r="AQ99" s="483">
        <f>AQ98-AQ101</f>
        <v>3110</v>
      </c>
      <c r="AR99" s="483">
        <f>AR98-AR101</f>
        <v>5092</v>
      </c>
      <c r="AS99" s="483">
        <f>AS98-AS101</f>
        <v>4438</v>
      </c>
      <c r="AT99" s="486">
        <f>AT98-AT101</f>
        <v>3050</v>
      </c>
      <c r="AU99" s="137">
        <f>SUM(AQ99:AT99)</f>
        <v>15690</v>
      </c>
      <c r="AV99" s="483"/>
      <c r="AW99" s="483"/>
      <c r="AX99" s="483"/>
      <c r="AY99" s="486"/>
      <c r="AZ99" s="748">
        <f>+AZ98-AZ101</f>
        <v>15690</v>
      </c>
      <c r="BA99" s="483">
        <f>BA98-BA101</f>
        <v>2966</v>
      </c>
      <c r="BB99" s="483">
        <f>BB98-BB101</f>
        <v>4086</v>
      </c>
      <c r="BC99" s="483">
        <f>BC98-BC101</f>
        <v>3956</v>
      </c>
      <c r="BD99" s="486">
        <f>BD98-BD101</f>
        <v>5708</v>
      </c>
      <c r="BE99" s="137">
        <f>SUM(BA99:BD99)</f>
        <v>16716</v>
      </c>
      <c r="BF99" s="483">
        <f>BF98-BF101</f>
        <v>4546</v>
      </c>
      <c r="BG99" s="483">
        <f>BG98-BG101</f>
        <v>4906</v>
      </c>
      <c r="BH99" s="483">
        <f>BH98-BH101</f>
        <v>5513</v>
      </c>
      <c r="BI99" s="486">
        <f>BI98-BI101</f>
        <v>4677</v>
      </c>
      <c r="BJ99" s="137">
        <f>SUM(BF99:BI99)</f>
        <v>19642</v>
      </c>
      <c r="BK99" s="483">
        <f>BK98-BK101</f>
        <v>4033</v>
      </c>
      <c r="BL99" s="486"/>
      <c r="BM99" s="456"/>
      <c r="BN99" s="486"/>
      <c r="BO99" s="137"/>
      <c r="BP99" s="137"/>
      <c r="BQ99" s="485"/>
      <c r="BR99" s="486"/>
      <c r="BS99" s="486"/>
      <c r="BT99" s="487"/>
      <c r="BU99" s="488"/>
      <c r="BV99" s="485"/>
      <c r="BW99" s="486"/>
      <c r="BX99" s="486"/>
      <c r="BY99" s="487"/>
      <c r="BZ99" s="488"/>
      <c r="CA99" s="485"/>
      <c r="CB99" s="486"/>
      <c r="CC99" s="486"/>
      <c r="CD99" s="487"/>
      <c r="CE99" s="488"/>
      <c r="CF99" s="485"/>
      <c r="CG99" s="486"/>
      <c r="CH99" s="486"/>
      <c r="CI99" s="487"/>
      <c r="CJ99" s="488"/>
      <c r="CK99" s="291"/>
      <c r="CL99" s="657"/>
      <c r="CM99" s="657"/>
      <c r="CN99" s="682"/>
      <c r="CO99" s="657"/>
      <c r="CP99" s="657"/>
      <c r="CQ99" s="657"/>
      <c r="CR99" s="657"/>
      <c r="CS99" s="657"/>
      <c r="CT99" s="291"/>
      <c r="CX99"/>
      <c r="CY99"/>
      <c r="CZ99"/>
      <c r="DA99"/>
      <c r="DB99"/>
      <c r="DC99"/>
    </row>
    <row r="100" spans="1:107" s="409" customFormat="1" ht="12" hidden="1" customHeight="1" outlineLevel="2">
      <c r="A100" s="423" t="s">
        <v>88</v>
      </c>
      <c r="B100" s="443"/>
      <c r="C100" s="443"/>
      <c r="D100" s="443"/>
      <c r="E100" s="443"/>
      <c r="F100" s="443"/>
      <c r="G100" s="443"/>
      <c r="H100" s="444"/>
      <c r="I100" s="444"/>
      <c r="J100" s="444"/>
      <c r="K100" s="445"/>
      <c r="L100" s="443"/>
      <c r="M100" s="445"/>
      <c r="N100" s="444"/>
      <c r="O100" s="444"/>
      <c r="P100" s="445"/>
      <c r="Q100" s="446">
        <f t="shared" ref="Q100:AN100" si="225">Q99/Q98</f>
        <v>0.750186428038777</v>
      </c>
      <c r="R100" s="445">
        <f t="shared" si="225"/>
        <v>0.74294490305240934</v>
      </c>
      <c r="S100" s="445">
        <f t="shared" si="225"/>
        <v>0.71047469595919965</v>
      </c>
      <c r="T100" s="445">
        <f t="shared" si="225"/>
        <v>0.74576601129063658</v>
      </c>
      <c r="U100" s="445">
        <f>U99/U98</f>
        <v>0.60721868365180465</v>
      </c>
      <c r="V100" s="446">
        <f t="shared" si="225"/>
        <v>0.69534679543459177</v>
      </c>
      <c r="W100" s="445">
        <f t="shared" si="225"/>
        <v>0.86929206251915414</v>
      </c>
      <c r="X100" s="445">
        <f t="shared" si="225"/>
        <v>0.82053889171326899</v>
      </c>
      <c r="Y100" s="445">
        <f t="shared" si="225"/>
        <v>0.86071546869824445</v>
      </c>
      <c r="Z100" s="445">
        <f t="shared" si="225"/>
        <v>0.72961229946524064</v>
      </c>
      <c r="AA100" s="446">
        <f t="shared" si="225"/>
        <v>0.82121968178657612</v>
      </c>
      <c r="AB100" s="445">
        <f t="shared" si="225"/>
        <v>0.71820497746423673</v>
      </c>
      <c r="AC100" s="445">
        <f t="shared" si="225"/>
        <v>0.64277051610295111</v>
      </c>
      <c r="AD100" s="445">
        <f t="shared" si="225"/>
        <v>0.81580476467170249</v>
      </c>
      <c r="AE100" s="445">
        <f t="shared" si="225"/>
        <v>0.67328949209458511</v>
      </c>
      <c r="AF100" s="446">
        <f t="shared" si="225"/>
        <v>0.71033703633967238</v>
      </c>
      <c r="AG100" s="445">
        <f t="shared" si="225"/>
        <v>0.73498643936458741</v>
      </c>
      <c r="AH100" s="445">
        <f t="shared" si="225"/>
        <v>0.90644794542796814</v>
      </c>
      <c r="AI100" s="445">
        <f t="shared" si="225"/>
        <v>0.8834498834498834</v>
      </c>
      <c r="AJ100" s="445">
        <f t="shared" si="225"/>
        <v>0.59642676127724281</v>
      </c>
      <c r="AK100" s="446">
        <f t="shared" si="225"/>
        <v>0.77441140959855115</v>
      </c>
      <c r="AL100" s="484">
        <f t="shared" si="225"/>
        <v>0.67193566278424843</v>
      </c>
      <c r="AM100" s="484">
        <f t="shared" si="225"/>
        <v>0.74192336589030805</v>
      </c>
      <c r="AN100" s="484">
        <f t="shared" si="225"/>
        <v>0.85171503957783645</v>
      </c>
      <c r="AO100" s="484">
        <f t="shared" ref="AO100:AU100" si="226">AO99/AO98</f>
        <v>0.57376613010509514</v>
      </c>
      <c r="AP100" s="446">
        <f t="shared" si="226"/>
        <v>0.70160853063437556</v>
      </c>
      <c r="AQ100" s="484">
        <f t="shared" si="226"/>
        <v>0.72443512695085022</v>
      </c>
      <c r="AR100" s="484">
        <f t="shared" si="226"/>
        <v>0.75437037037037036</v>
      </c>
      <c r="AS100" s="484">
        <f t="shared" si="226"/>
        <v>0.7550187138482477</v>
      </c>
      <c r="AT100" s="484">
        <f t="shared" si="226"/>
        <v>0.42770999859767211</v>
      </c>
      <c r="AU100" s="446">
        <f t="shared" si="226"/>
        <v>0.65233660402461335</v>
      </c>
      <c r="AV100" s="484"/>
      <c r="AW100" s="484"/>
      <c r="AX100" s="484"/>
      <c r="AY100" s="484"/>
      <c r="AZ100" s="446">
        <f t="shared" ref="AZ100" si="227">AZ99/AZ98</f>
        <v>0.65233660402461335</v>
      </c>
      <c r="BA100" s="484">
        <f>BA99/BA98</f>
        <v>0.66338626705435022</v>
      </c>
      <c r="BB100" s="484">
        <f>BB99/BB98</f>
        <v>0.53905013192612139</v>
      </c>
      <c r="BC100" s="484">
        <f>BC99/BC98</f>
        <v>0.74430856067732831</v>
      </c>
      <c r="BD100" s="484">
        <f>BD99/BD98</f>
        <v>0.72611627019463176</v>
      </c>
      <c r="BE100" s="446">
        <f>BE99/BE98</f>
        <v>0.66262337971221308</v>
      </c>
      <c r="BF100" s="484">
        <f t="shared" ref="BF100:BJ100" si="228">BF99/BF98</f>
        <v>0.73310756329624249</v>
      </c>
      <c r="BG100" s="484">
        <f t="shared" si="228"/>
        <v>0.68923855015453783</v>
      </c>
      <c r="BH100" s="484">
        <f t="shared" si="228"/>
        <v>0.79438040345821326</v>
      </c>
      <c r="BI100" s="484">
        <f t="shared" si="228"/>
        <v>0.61726276890589948</v>
      </c>
      <c r="BJ100" s="446">
        <f t="shared" si="228"/>
        <v>0.70563299324615603</v>
      </c>
      <c r="BK100" s="484">
        <f t="shared" ref="BK100" si="229">BK99/BK98</f>
        <v>0.70903656821378336</v>
      </c>
      <c r="BL100" s="491"/>
      <c r="BM100" s="1000"/>
      <c r="BN100" s="484"/>
      <c r="BO100" s="446"/>
      <c r="BP100" s="446"/>
      <c r="BQ100" s="490"/>
      <c r="BR100" s="491"/>
      <c r="BS100" s="491"/>
      <c r="BT100" s="492"/>
      <c r="BU100" s="489"/>
      <c r="BV100" s="490"/>
      <c r="BW100" s="491"/>
      <c r="BX100" s="491"/>
      <c r="BY100" s="492"/>
      <c r="BZ100" s="489"/>
      <c r="CA100" s="490"/>
      <c r="CB100" s="491"/>
      <c r="CC100" s="491"/>
      <c r="CD100" s="492"/>
      <c r="CE100" s="489"/>
      <c r="CF100" s="490"/>
      <c r="CG100" s="491"/>
      <c r="CH100" s="491"/>
      <c r="CI100" s="492"/>
      <c r="CJ100" s="489"/>
      <c r="CK100" s="414"/>
      <c r="CL100" s="657"/>
      <c r="CM100" s="657"/>
      <c r="CN100" s="682"/>
      <c r="CO100" s="980"/>
      <c r="CP100" s="980"/>
      <c r="CQ100" s="980"/>
      <c r="CR100" s="980"/>
      <c r="CS100" s="980"/>
      <c r="CT100" s="414"/>
      <c r="CX100"/>
      <c r="CY100"/>
      <c r="CZ100"/>
      <c r="DA100"/>
      <c r="DB100"/>
      <c r="DC100"/>
    </row>
    <row r="101" spans="1:107" s="180" customFormat="1" ht="12" hidden="1" customHeight="1" outlineLevel="3">
      <c r="A101" s="442" t="s">
        <v>89</v>
      </c>
      <c r="B101" s="354"/>
      <c r="C101" s="354"/>
      <c r="D101" s="354"/>
      <c r="E101" s="354"/>
      <c r="F101" s="354"/>
      <c r="G101" s="354"/>
      <c r="H101" s="357"/>
      <c r="I101" s="357"/>
      <c r="J101" s="357"/>
      <c r="K101" s="358"/>
      <c r="L101" s="354"/>
      <c r="M101" s="358"/>
      <c r="N101" s="357"/>
      <c r="O101" s="357"/>
      <c r="P101" s="358"/>
      <c r="Q101" s="354">
        <v>6700</v>
      </c>
      <c r="R101" s="358">
        <v>1339</v>
      </c>
      <c r="S101" s="358">
        <v>2214</v>
      </c>
      <c r="T101" s="358">
        <v>1306</v>
      </c>
      <c r="U101" s="181">
        <f>V101-SUM(R101:T101)</f>
        <v>2775</v>
      </c>
      <c r="V101" s="354">
        <v>7634</v>
      </c>
      <c r="W101" s="358">
        <v>853</v>
      </c>
      <c r="X101" s="358">
        <v>1059</v>
      </c>
      <c r="Y101" s="358">
        <v>841</v>
      </c>
      <c r="Z101" s="181">
        <f>AA101-SUM(W101:Y101)</f>
        <v>1618</v>
      </c>
      <c r="AA101" s="354">
        <v>4371</v>
      </c>
      <c r="AB101" s="358">
        <v>1438</v>
      </c>
      <c r="AC101" s="358">
        <v>2651</v>
      </c>
      <c r="AD101" s="358">
        <v>1268</v>
      </c>
      <c r="AE101" s="181">
        <f>AF101-SUM(AB101:AD101)</f>
        <v>2335</v>
      </c>
      <c r="AF101" s="170">
        <v>7692</v>
      </c>
      <c r="AG101" s="358">
        <v>1368</v>
      </c>
      <c r="AH101" s="358">
        <v>576</v>
      </c>
      <c r="AI101" s="358">
        <v>850</v>
      </c>
      <c r="AJ101" s="181">
        <f>AK101-SUM(AG101:AI101)</f>
        <v>3185</v>
      </c>
      <c r="AK101" s="354">
        <v>5979</v>
      </c>
      <c r="AL101" s="483">
        <v>1183</v>
      </c>
      <c r="AM101" s="483">
        <v>1374</v>
      </c>
      <c r="AN101" s="483">
        <v>843</v>
      </c>
      <c r="AO101" s="541">
        <f>AP101-SUM(AL101:AN101)</f>
        <v>3204</v>
      </c>
      <c r="AP101" s="354">
        <v>6604</v>
      </c>
      <c r="AQ101" s="483">
        <v>1183</v>
      </c>
      <c r="AR101" s="671">
        <v>1658</v>
      </c>
      <c r="AS101" s="456">
        <v>1440</v>
      </c>
      <c r="AT101" s="541">
        <f>AU101-SUM(AQ101:AS101)</f>
        <v>4081</v>
      </c>
      <c r="AU101" s="708">
        <v>8362</v>
      </c>
      <c r="AV101" s="483"/>
      <c r="AW101" s="671"/>
      <c r="AX101" s="456"/>
      <c r="AY101" s="541"/>
      <c r="AZ101" s="708">
        <v>8362</v>
      </c>
      <c r="BA101" s="671">
        <v>1505</v>
      </c>
      <c r="BB101" s="671">
        <v>3494</v>
      </c>
      <c r="BC101" s="671">
        <v>1359</v>
      </c>
      <c r="BD101" s="928">
        <f>BE101-SUM(BA101:BC101)</f>
        <v>2153</v>
      </c>
      <c r="BE101" s="708">
        <v>8511</v>
      </c>
      <c r="BF101" s="483">
        <v>1655</v>
      </c>
      <c r="BG101" s="671">
        <v>2212</v>
      </c>
      <c r="BH101" s="671">
        <v>1427</v>
      </c>
      <c r="BI101" s="928">
        <f>BJ101-SUM(BF101:BH101)</f>
        <v>2900</v>
      </c>
      <c r="BJ101" s="708">
        <v>8194</v>
      </c>
      <c r="BK101" s="483">
        <v>1655</v>
      </c>
      <c r="BL101" s="486"/>
      <c r="BM101" s="456"/>
      <c r="BN101" s="928"/>
      <c r="BO101" s="708"/>
      <c r="BP101" s="708"/>
      <c r="BQ101" s="485"/>
      <c r="BR101" s="486"/>
      <c r="BS101" s="486"/>
      <c r="BT101" s="487"/>
      <c r="BU101" s="488"/>
      <c r="BV101" s="485"/>
      <c r="BW101" s="486"/>
      <c r="BX101" s="486"/>
      <c r="BY101" s="487"/>
      <c r="BZ101" s="488"/>
      <c r="CA101" s="485"/>
      <c r="CB101" s="486"/>
      <c r="CC101" s="486"/>
      <c r="CD101" s="487"/>
      <c r="CE101" s="488"/>
      <c r="CF101" s="485"/>
      <c r="CG101" s="486"/>
      <c r="CH101" s="486"/>
      <c r="CI101" s="487"/>
      <c r="CJ101" s="488"/>
      <c r="CK101" s="291"/>
      <c r="CL101" s="743"/>
      <c r="CM101" s="657"/>
      <c r="CN101" s="682"/>
      <c r="CO101" s="657"/>
      <c r="CP101" s="657"/>
      <c r="CQ101" s="657"/>
      <c r="CR101" s="657"/>
      <c r="CS101" s="657"/>
      <c r="CT101" s="291"/>
      <c r="CX101"/>
      <c r="CY101"/>
      <c r="CZ101"/>
      <c r="DA101"/>
      <c r="DB101"/>
      <c r="DC101"/>
    </row>
    <row r="102" spans="1:107" s="409" customFormat="1" ht="12" hidden="1" customHeight="1" outlineLevel="3">
      <c r="A102" s="423" t="s">
        <v>88</v>
      </c>
      <c r="B102" s="445"/>
      <c r="C102" s="446"/>
      <c r="D102" s="446"/>
      <c r="E102" s="445"/>
      <c r="F102" s="447"/>
      <c r="G102" s="446"/>
      <c r="H102" s="445"/>
      <c r="I102" s="445"/>
      <c r="J102" s="445"/>
      <c r="K102" s="448"/>
      <c r="L102" s="446"/>
      <c r="M102" s="445"/>
      <c r="N102" s="445"/>
      <c r="O102" s="445"/>
      <c r="P102" s="445"/>
      <c r="Q102" s="446">
        <f t="shared" ref="Q102:AM102" si="230">Q101/Q98</f>
        <v>0.24981357196122297</v>
      </c>
      <c r="R102" s="445">
        <f t="shared" si="230"/>
        <v>0.25705509694759071</v>
      </c>
      <c r="S102" s="445">
        <f t="shared" si="230"/>
        <v>0.28952530404080029</v>
      </c>
      <c r="T102" s="445">
        <f t="shared" si="230"/>
        <v>0.25423398870936342</v>
      </c>
      <c r="U102" s="445">
        <f t="shared" si="230"/>
        <v>0.39278131634819535</v>
      </c>
      <c r="V102" s="446">
        <f t="shared" si="230"/>
        <v>0.30465320456540823</v>
      </c>
      <c r="W102" s="445">
        <f t="shared" si="230"/>
        <v>0.13070793748084586</v>
      </c>
      <c r="X102" s="445">
        <f t="shared" si="230"/>
        <v>0.17946110828673106</v>
      </c>
      <c r="Y102" s="445">
        <f t="shared" si="230"/>
        <v>0.13928453130175555</v>
      </c>
      <c r="Z102" s="445">
        <f t="shared" si="230"/>
        <v>0.27038770053475936</v>
      </c>
      <c r="AA102" s="446">
        <f t="shared" si="230"/>
        <v>0.17878031821342386</v>
      </c>
      <c r="AB102" s="445">
        <f t="shared" si="230"/>
        <v>0.28179502253576327</v>
      </c>
      <c r="AC102" s="445">
        <f t="shared" si="230"/>
        <v>0.35722948389704889</v>
      </c>
      <c r="AD102" s="445">
        <f t="shared" si="230"/>
        <v>0.18419523532829751</v>
      </c>
      <c r="AE102" s="445">
        <f t="shared" si="230"/>
        <v>0.32671050790541484</v>
      </c>
      <c r="AF102" s="446">
        <f t="shared" si="230"/>
        <v>0.28966296366032762</v>
      </c>
      <c r="AG102" s="445">
        <f t="shared" si="230"/>
        <v>0.26501356063541265</v>
      </c>
      <c r="AH102" s="445">
        <f t="shared" si="230"/>
        <v>9.3552054572031834E-2</v>
      </c>
      <c r="AI102" s="445">
        <f t="shared" si="230"/>
        <v>0.11655011655011654</v>
      </c>
      <c r="AJ102" s="445">
        <f t="shared" si="230"/>
        <v>0.40357323872275724</v>
      </c>
      <c r="AK102" s="446">
        <f t="shared" si="230"/>
        <v>0.22558859040144882</v>
      </c>
      <c r="AL102" s="484">
        <f t="shared" si="230"/>
        <v>0.32806433721575151</v>
      </c>
      <c r="AM102" s="484">
        <f t="shared" si="230"/>
        <v>0.25807663410969195</v>
      </c>
      <c r="AN102" s="484">
        <f t="shared" ref="AN102:AS102" si="231">AN101/AN98</f>
        <v>0.14828496042216358</v>
      </c>
      <c r="AO102" s="484">
        <f t="shared" si="231"/>
        <v>0.42623386989490486</v>
      </c>
      <c r="AP102" s="446">
        <f t="shared" si="231"/>
        <v>0.29839146936562444</v>
      </c>
      <c r="AQ102" s="484">
        <f t="shared" si="231"/>
        <v>0.27556487304914978</v>
      </c>
      <c r="AR102" s="484">
        <f t="shared" si="231"/>
        <v>0.24562962962962964</v>
      </c>
      <c r="AS102" s="484">
        <f t="shared" si="231"/>
        <v>0.2449812861517523</v>
      </c>
      <c r="AT102" s="484">
        <f t="shared" ref="AT102:BH102" si="232">AT101/AT98</f>
        <v>0.57229000140232789</v>
      </c>
      <c r="AU102" s="446">
        <f t="shared" si="232"/>
        <v>0.34766339597538665</v>
      </c>
      <c r="AV102" s="484"/>
      <c r="AW102" s="484"/>
      <c r="AX102" s="484"/>
      <c r="AY102" s="484"/>
      <c r="AZ102" s="446">
        <f t="shared" ref="AZ102" si="233">AZ101/AZ98</f>
        <v>0.34766339597538665</v>
      </c>
      <c r="BA102" s="484">
        <f t="shared" si="232"/>
        <v>0.33661373294564972</v>
      </c>
      <c r="BB102" s="484">
        <f t="shared" si="232"/>
        <v>0.46094986807387861</v>
      </c>
      <c r="BC102" s="484">
        <f t="shared" si="232"/>
        <v>0.25569143932267169</v>
      </c>
      <c r="BD102" s="484">
        <f t="shared" si="232"/>
        <v>0.27388372980536829</v>
      </c>
      <c r="BE102" s="446">
        <f t="shared" si="232"/>
        <v>0.33737662028778692</v>
      </c>
      <c r="BF102" s="484">
        <f t="shared" si="232"/>
        <v>0.26689243670375745</v>
      </c>
      <c r="BG102" s="484">
        <f t="shared" si="232"/>
        <v>0.31076144984546222</v>
      </c>
      <c r="BH102" s="484">
        <f t="shared" si="232"/>
        <v>0.20561959654178674</v>
      </c>
      <c r="BI102" s="484">
        <f t="shared" ref="BI102:BK102" si="234">BI101/BI98</f>
        <v>0.38273723109410057</v>
      </c>
      <c r="BJ102" s="446">
        <f t="shared" si="234"/>
        <v>0.29436700675384392</v>
      </c>
      <c r="BK102" s="484">
        <f t="shared" si="234"/>
        <v>0.29096343178621659</v>
      </c>
      <c r="BL102" s="491"/>
      <c r="BM102" s="1000"/>
      <c r="BN102" s="484"/>
      <c r="BO102" s="446"/>
      <c r="BP102" s="446"/>
      <c r="BQ102" s="490"/>
      <c r="BR102" s="491"/>
      <c r="BS102" s="491"/>
      <c r="BT102" s="492"/>
      <c r="BU102" s="489"/>
      <c r="BV102" s="490"/>
      <c r="BW102" s="491"/>
      <c r="BX102" s="491"/>
      <c r="BY102" s="492"/>
      <c r="BZ102" s="489"/>
      <c r="CA102" s="490"/>
      <c r="CB102" s="491"/>
      <c r="CC102" s="491"/>
      <c r="CD102" s="492"/>
      <c r="CE102" s="489"/>
      <c r="CF102" s="490"/>
      <c r="CG102" s="491"/>
      <c r="CH102" s="491"/>
      <c r="CI102" s="492"/>
      <c r="CJ102" s="489"/>
      <c r="CK102" s="414"/>
      <c r="CL102" s="657"/>
      <c r="CM102" s="743"/>
      <c r="CN102" s="682"/>
      <c r="CO102" s="980"/>
      <c r="CP102" s="980"/>
      <c r="CQ102" s="980"/>
      <c r="CR102" s="980"/>
      <c r="CS102" s="980"/>
      <c r="CT102" s="414"/>
      <c r="CX102"/>
      <c r="CY102"/>
      <c r="CZ102"/>
      <c r="DA102"/>
      <c r="DB102"/>
      <c r="DC102"/>
    </row>
    <row r="103" spans="1:107" s="652" customFormat="1" ht="12" hidden="1" customHeight="1" outlineLevel="1" collapsed="1">
      <c r="A103" s="644" t="s">
        <v>116</v>
      </c>
      <c r="B103" s="645">
        <f t="shared" ref="B103:AP103" si="235">+B98/B77</f>
        <v>1.0624336642317538</v>
      </c>
      <c r="C103" s="645">
        <f t="shared" si="235"/>
        <v>1.0692124105011933</v>
      </c>
      <c r="D103" s="645">
        <f t="shared" si="235"/>
        <v>1.2531338008724944</v>
      </c>
      <c r="E103" s="645">
        <f t="shared" si="235"/>
        <v>1.2689481065918653</v>
      </c>
      <c r="F103" s="645">
        <f t="shared" si="235"/>
        <v>1.1240603536855767</v>
      </c>
      <c r="G103" s="645">
        <f t="shared" si="235"/>
        <v>1.3609377378596439</v>
      </c>
      <c r="H103" s="646">
        <f t="shared" si="235"/>
        <v>1.0736885928393005</v>
      </c>
      <c r="I103" s="646">
        <f t="shared" si="235"/>
        <v>0.91549829480863965</v>
      </c>
      <c r="J103" s="646">
        <f t="shared" si="235"/>
        <v>1.2123012071278023</v>
      </c>
      <c r="K103" s="646">
        <f t="shared" si="235"/>
        <v>1.5301666666666667</v>
      </c>
      <c r="L103" s="645">
        <f t="shared" si="235"/>
        <v>1.1970330031453922</v>
      </c>
      <c r="M103" s="646">
        <f t="shared" si="235"/>
        <v>1.2170339932760552</v>
      </c>
      <c r="N103" s="646">
        <f t="shared" si="235"/>
        <v>1.0235093696763202</v>
      </c>
      <c r="O103" s="646">
        <f t="shared" si="235"/>
        <v>0.98328785811732611</v>
      </c>
      <c r="P103" s="646">
        <f t="shared" si="235"/>
        <v>1.4015773907328295</v>
      </c>
      <c r="Q103" s="645">
        <f t="shared" si="235"/>
        <v>1.1573314921895228</v>
      </c>
      <c r="R103" s="646">
        <f t="shared" si="235"/>
        <v>0.88528212100611825</v>
      </c>
      <c r="S103" s="646">
        <f t="shared" si="235"/>
        <v>1.2484897959183674</v>
      </c>
      <c r="T103" s="646">
        <f t="shared" si="235"/>
        <v>0.8278807413376309</v>
      </c>
      <c r="U103" s="646">
        <f t="shared" si="235"/>
        <v>1.0596970151492426</v>
      </c>
      <c r="V103" s="645">
        <f t="shared" si="235"/>
        <v>1.0071138619830393</v>
      </c>
      <c r="W103" s="646">
        <f t="shared" si="235"/>
        <v>1.0781430695522882</v>
      </c>
      <c r="X103" s="646">
        <f t="shared" si="235"/>
        <v>0.98794575590155698</v>
      </c>
      <c r="Y103" s="646">
        <f t="shared" si="235"/>
        <v>0.96269132653061229</v>
      </c>
      <c r="Z103" s="646">
        <f t="shared" si="235"/>
        <v>0.8691358024691358</v>
      </c>
      <c r="AA103" s="645">
        <f t="shared" si="235"/>
        <v>0.97085335345272605</v>
      </c>
      <c r="AB103" s="646">
        <f t="shared" si="235"/>
        <v>0.84319233311302044</v>
      </c>
      <c r="AC103" s="646">
        <f t="shared" si="235"/>
        <v>1.1967424608934043</v>
      </c>
      <c r="AD103" s="646">
        <f t="shared" si="235"/>
        <v>1.1255722694571615</v>
      </c>
      <c r="AE103" s="646">
        <f t="shared" si="235"/>
        <v>1.1128931796947992</v>
      </c>
      <c r="AF103" s="645">
        <f t="shared" si="235"/>
        <v>1.071154854584325</v>
      </c>
      <c r="AG103" s="646">
        <f t="shared" si="235"/>
        <v>0.86931626810373863</v>
      </c>
      <c r="AH103" s="646">
        <f t="shared" si="235"/>
        <v>1.0275367156208277</v>
      </c>
      <c r="AI103" s="646">
        <f t="shared" si="235"/>
        <v>1.2064516129032259</v>
      </c>
      <c r="AJ103" s="646">
        <f t="shared" si="235"/>
        <v>1.2256561577884764</v>
      </c>
      <c r="AK103" s="645">
        <f t="shared" si="235"/>
        <v>1.085606619152945</v>
      </c>
      <c r="AL103" s="653">
        <f t="shared" si="235"/>
        <v>0.61336962068378975</v>
      </c>
      <c r="AM103" s="653">
        <f t="shared" si="235"/>
        <v>0.87064595257563371</v>
      </c>
      <c r="AN103" s="653">
        <f t="shared" si="235"/>
        <v>0.97312564190345774</v>
      </c>
      <c r="AO103" s="653">
        <f t="shared" si="235"/>
        <v>1.2805792163543441</v>
      </c>
      <c r="AP103" s="645">
        <f t="shared" si="235"/>
        <v>0.93018955154877481</v>
      </c>
      <c r="AQ103" s="653">
        <f>AQ98/AQ77</f>
        <v>0.77941176470588236</v>
      </c>
      <c r="AR103" s="653">
        <f>+AR98/AR77</f>
        <v>1.1840028065251711</v>
      </c>
      <c r="AS103" s="653">
        <f>+AS98/AS77</f>
        <v>1.0738034344172451</v>
      </c>
      <c r="AT103" s="653">
        <f>+AT98/AT77</f>
        <v>1.1608334689890933</v>
      </c>
      <c r="AU103" s="645">
        <f>+AU98/AU77</f>
        <v>1.0537106808025936</v>
      </c>
      <c r="AV103" s="653"/>
      <c r="AW103" s="653"/>
      <c r="AX103" s="653"/>
      <c r="AY103" s="653"/>
      <c r="AZ103" s="645">
        <f>+AZ98/AZ77</f>
        <v>1.0537106808025936</v>
      </c>
      <c r="BA103" s="653">
        <f>BA98/BA77</f>
        <v>0.845499243570348</v>
      </c>
      <c r="BB103" s="653">
        <f>+BB98/BB77</f>
        <v>1.2961696306429549</v>
      </c>
      <c r="BC103" s="653">
        <f>+BC98/BC77</f>
        <v>0.9190731454262494</v>
      </c>
      <c r="BD103" s="653">
        <f>+BD98/BD77</f>
        <v>1.2422566371681416</v>
      </c>
      <c r="BE103" s="645">
        <f>+BE98/BE77</f>
        <v>1.0851722802942314</v>
      </c>
      <c r="BF103" s="653">
        <f>BF98/BF77</f>
        <v>1.0687693898655637</v>
      </c>
      <c r="BG103" s="653">
        <f>+BG98/BG77</f>
        <v>1.179453189726595</v>
      </c>
      <c r="BH103" s="653">
        <f>+BH98/BH77</f>
        <v>1.1503397977788827</v>
      </c>
      <c r="BI103" s="653">
        <f>+BI98/BI77</f>
        <v>1.2217026765559498</v>
      </c>
      <c r="BJ103" s="645">
        <f>+BJ98/BJ77</f>
        <v>1.1563642406114989</v>
      </c>
      <c r="BK103" s="653">
        <f>BK98/BK77</f>
        <v>0.94799999999999995</v>
      </c>
      <c r="BL103" s="653"/>
      <c r="BM103" s="1001"/>
      <c r="BN103" s="653"/>
      <c r="BO103" s="645"/>
      <c r="BP103" s="645"/>
      <c r="BQ103" s="654"/>
      <c r="BR103" s="653"/>
      <c r="BS103" s="653"/>
      <c r="BT103" s="655"/>
      <c r="BU103" s="656"/>
      <c r="BV103" s="654"/>
      <c r="BW103" s="653"/>
      <c r="BX103" s="653"/>
      <c r="BY103" s="655"/>
      <c r="BZ103" s="656"/>
      <c r="CA103" s="654"/>
      <c r="CB103" s="653"/>
      <c r="CC103" s="653"/>
      <c r="CD103" s="655"/>
      <c r="CE103" s="656"/>
      <c r="CF103" s="654"/>
      <c r="CG103" s="653"/>
      <c r="CH103" s="653"/>
      <c r="CI103" s="655"/>
      <c r="CJ103" s="656"/>
      <c r="CK103" s="650"/>
      <c r="CL103" s="744"/>
      <c r="CM103" s="744"/>
      <c r="CN103" s="744"/>
      <c r="CO103" s="744"/>
      <c r="CP103" s="744"/>
      <c r="CQ103" s="744"/>
      <c r="CR103" s="744"/>
      <c r="CS103" s="744"/>
      <c r="CT103" s="651"/>
      <c r="CX103"/>
      <c r="CY103"/>
      <c r="CZ103"/>
      <c r="DA103"/>
      <c r="DB103"/>
      <c r="DC103"/>
    </row>
    <row r="104" spans="1:107" s="652" customFormat="1" ht="12" hidden="1" customHeight="1" outlineLevel="1">
      <c r="A104" s="644" t="s">
        <v>1</v>
      </c>
      <c r="B104" s="645">
        <f t="shared" ref="B104:G104" si="236">B84/B77</f>
        <v>1.5986139726540551</v>
      </c>
      <c r="C104" s="645">
        <f t="shared" si="236"/>
        <v>1.5313842482100239</v>
      </c>
      <c r="D104" s="645">
        <f t="shared" si="236"/>
        <v>1.5209012093434204</v>
      </c>
      <c r="E104" s="645">
        <f t="shared" si="236"/>
        <v>1.6776998597475457</v>
      </c>
      <c r="F104" s="645">
        <f t="shared" si="236"/>
        <v>1.70504569790709</v>
      </c>
      <c r="G104" s="645">
        <f t="shared" si="236"/>
        <v>1.7170548536053178</v>
      </c>
      <c r="H104" s="646">
        <f>H84/H77/4</f>
        <v>1.7646232306411325</v>
      </c>
      <c r="I104" s="646">
        <f>I84/I77/4</f>
        <v>1.578154604016673</v>
      </c>
      <c r="J104" s="646">
        <f>J84/J77/4</f>
        <v>1.6233473845564284</v>
      </c>
      <c r="K104" s="646">
        <f>K84/K77/4</f>
        <v>1.5255833333333333</v>
      </c>
      <c r="L104" s="645">
        <f>L84/L77</f>
        <v>1.7188864372564667</v>
      </c>
      <c r="M104" s="646">
        <f>M84/M77/4</f>
        <v>1.760225999252895</v>
      </c>
      <c r="N104" s="646">
        <f>N84/N77/4</f>
        <v>1.5982538330494038</v>
      </c>
      <c r="O104" s="646">
        <f>O84/O77/4</f>
        <v>1.576782060027285</v>
      </c>
      <c r="P104" s="646">
        <f>P84/P77/4</f>
        <v>1.5972724285244824</v>
      </c>
      <c r="Q104" s="645">
        <f>Q84/Q77</f>
        <v>1.6779149046345041</v>
      </c>
      <c r="R104" s="646">
        <f>R84/R77/4</f>
        <v>1.6119561522773624</v>
      </c>
      <c r="S104" s="646">
        <f>S84/S77/4</f>
        <v>1.5229387755102042</v>
      </c>
      <c r="T104" s="646">
        <f>T84/T77/4</f>
        <v>1.4589846897663175</v>
      </c>
      <c r="U104" s="646">
        <f>U84/U77/4</f>
        <v>1.382818359082046</v>
      </c>
      <c r="V104" s="645">
        <f>V84/V77</f>
        <v>1.4821349624211246</v>
      </c>
      <c r="W104" s="646">
        <f>W84/W77/4</f>
        <v>1.5275070213117463</v>
      </c>
      <c r="X104" s="646">
        <f>X84/X77/4</f>
        <v>1.50594341202076</v>
      </c>
      <c r="Y104" s="646">
        <f>Y84/Y77/4</f>
        <v>1.4246253188775511</v>
      </c>
      <c r="Z104" s="646">
        <f>Z84/Z77/4</f>
        <v>1.2545751633986928</v>
      </c>
      <c r="AA104" s="645">
        <f>AA84/AA77</f>
        <v>1.3719969820910931</v>
      </c>
      <c r="AB104" s="646">
        <f>AB84/AB77/4</f>
        <v>1.3923083278255122</v>
      </c>
      <c r="AC104" s="646">
        <f>AC84/AC77/4</f>
        <v>1.3901386873084987</v>
      </c>
      <c r="AD104" s="646">
        <f>AD84/AD77/4</f>
        <v>1.4300604970569</v>
      </c>
      <c r="AE104" s="646">
        <f>AE84/AE77/4</f>
        <v>1.3746496418561196</v>
      </c>
      <c r="AF104" s="645">
        <f>AF84/AF77</f>
        <v>1.4243878826993668</v>
      </c>
      <c r="AG104" s="646">
        <f>AG84/AG77/4</f>
        <v>1.4442152239811383</v>
      </c>
      <c r="AH104" s="646">
        <f>AH84/AH77/4</f>
        <v>1.4153454606141522</v>
      </c>
      <c r="AI104" s="646">
        <f>AI84/AI77/4</f>
        <v>1.4480976013234077</v>
      </c>
      <c r="AJ104" s="646">
        <f>AJ84/AJ77/4</f>
        <v>1.4047600559093028</v>
      </c>
      <c r="AK104" s="645">
        <f>AK84/AK77</f>
        <v>1.4819775538625379</v>
      </c>
      <c r="AL104" s="647">
        <f>AL84/AL77/4</f>
        <v>1.4265181153257356</v>
      </c>
      <c r="AM104" s="646">
        <f>AM84/AM77/4</f>
        <v>1.3260425183973834</v>
      </c>
      <c r="AN104" s="646">
        <f>AN84/AN77/4</f>
        <v>1.3794505306401916</v>
      </c>
      <c r="AO104" s="646">
        <f>AO84/AO77/4</f>
        <v>1.434625212947189</v>
      </c>
      <c r="AP104" s="645">
        <f>AP84/AP77</f>
        <v>1.4157525322573867</v>
      </c>
      <c r="AQ104" s="647">
        <f>AQ84/AQ77/4</f>
        <v>1.4607389251997096</v>
      </c>
      <c r="AR104" s="646">
        <f>AR84/AR77/4</f>
        <v>1.4479477284686897</v>
      </c>
      <c r="AS104" s="646">
        <f>AS84/AS77/4</f>
        <v>1.5184051881622214</v>
      </c>
      <c r="AT104" s="646">
        <f>AT84/AT77/4</f>
        <v>1.3641136252645287</v>
      </c>
      <c r="AU104" s="645">
        <f>AU84/AU77</f>
        <v>1.4684570226934197</v>
      </c>
      <c r="AV104" s="647"/>
      <c r="AW104" s="646"/>
      <c r="AX104" s="646"/>
      <c r="AY104" s="646"/>
      <c r="AZ104" s="645">
        <f>AZ84/AZ77</f>
        <v>1.4707351266100062</v>
      </c>
      <c r="BA104" s="647">
        <f>BA84/BA77/4</f>
        <v>0</v>
      </c>
      <c r="BB104" s="646">
        <f>BB84/BB77/4</f>
        <v>0</v>
      </c>
      <c r="BC104" s="646">
        <f>BC84/BC77/4</f>
        <v>0</v>
      </c>
      <c r="BD104" s="646">
        <f>BD84/BD77/4</f>
        <v>0</v>
      </c>
      <c r="BE104" s="645">
        <f>BE84/BE77</f>
        <v>1.4913322149094508</v>
      </c>
      <c r="BF104" s="647">
        <f>BF84/BF77/4</f>
        <v>1.4981041020337815</v>
      </c>
      <c r="BG104" s="646">
        <f>BG84/BG77/4</f>
        <v>1.4627174813587407</v>
      </c>
      <c r="BH104" s="646">
        <f>BH84/BH77/4</f>
        <v>1.4839632023868723</v>
      </c>
      <c r="BI104" s="646">
        <f>BI84/BI77/4</f>
        <v>1.4797242824895196</v>
      </c>
      <c r="BJ104" s="645">
        <f>BJ84/BJ77</f>
        <v>1.5249667663675639</v>
      </c>
      <c r="BK104" s="647">
        <f>BK84/BK77/4</f>
        <v>1.5022500000000001</v>
      </c>
      <c r="BL104" s="646"/>
      <c r="BM104" s="647"/>
      <c r="BN104" s="646"/>
      <c r="BO104" s="645"/>
      <c r="BP104" s="645"/>
      <c r="BQ104" s="648"/>
      <c r="BR104" s="646"/>
      <c r="BS104" s="646"/>
      <c r="BT104" s="646"/>
      <c r="BU104" s="648"/>
      <c r="BV104" s="648"/>
      <c r="BW104" s="646"/>
      <c r="BX104" s="646"/>
      <c r="BY104" s="646"/>
      <c r="BZ104" s="648"/>
      <c r="CA104" s="648"/>
      <c r="CB104" s="646"/>
      <c r="CC104" s="646"/>
      <c r="CD104" s="646"/>
      <c r="CE104" s="648"/>
      <c r="CF104" s="648"/>
      <c r="CG104" s="646"/>
      <c r="CH104" s="646"/>
      <c r="CI104" s="646"/>
      <c r="CJ104" s="648"/>
      <c r="CK104" s="650"/>
      <c r="CL104" s="744"/>
      <c r="CM104" s="744"/>
      <c r="CN104" s="976"/>
      <c r="CO104" s="744"/>
      <c r="CP104" s="744"/>
      <c r="CQ104" s="744"/>
      <c r="CR104" s="744"/>
      <c r="CS104" s="744"/>
      <c r="CT104" s="651"/>
      <c r="CX104"/>
      <c r="CY104"/>
      <c r="CZ104"/>
      <c r="DA104"/>
      <c r="DB104"/>
      <c r="DC104"/>
    </row>
    <row r="105" spans="1:107" s="306" customFormat="1" ht="12" customHeight="1" collapsed="1">
      <c r="A105" s="95" t="s">
        <v>139</v>
      </c>
      <c r="B105" s="97"/>
      <c r="C105" s="97"/>
      <c r="D105" s="97"/>
      <c r="E105" s="97"/>
      <c r="F105" s="97"/>
      <c r="G105" s="97"/>
      <c r="H105" s="96"/>
      <c r="I105" s="96"/>
      <c r="J105" s="96"/>
      <c r="K105" s="98"/>
      <c r="L105" s="97"/>
      <c r="M105" s="96"/>
      <c r="N105" s="96"/>
      <c r="O105" s="96"/>
      <c r="P105" s="98"/>
      <c r="Q105" s="97"/>
      <c r="R105" s="96"/>
      <c r="S105" s="96"/>
      <c r="T105" s="96"/>
      <c r="U105" s="98"/>
      <c r="V105" s="97"/>
      <c r="W105" s="96"/>
      <c r="X105" s="96"/>
      <c r="Y105" s="96"/>
      <c r="Z105" s="98"/>
      <c r="AA105" s="97"/>
      <c r="AB105" s="96"/>
      <c r="AC105" s="96"/>
      <c r="AD105" s="96"/>
      <c r="AE105" s="98"/>
      <c r="AF105" s="97"/>
      <c r="AG105" s="96"/>
      <c r="AH105" s="96"/>
      <c r="AI105" s="96"/>
      <c r="AJ105" s="98"/>
      <c r="AK105" s="97"/>
      <c r="AL105" s="96"/>
      <c r="AM105" s="96"/>
      <c r="AN105" s="96"/>
      <c r="AO105" s="98"/>
      <c r="AP105" s="97"/>
      <c r="AQ105" s="96"/>
      <c r="AR105" s="96"/>
      <c r="AS105" s="96"/>
      <c r="AT105" s="98"/>
      <c r="AU105" s="97"/>
      <c r="AV105" s="96"/>
      <c r="AW105" s="96"/>
      <c r="AX105" s="96"/>
      <c r="AY105" s="98"/>
      <c r="AZ105" s="97"/>
      <c r="BA105" s="96"/>
      <c r="BB105" s="96"/>
      <c r="BC105" s="96"/>
      <c r="BD105" s="98"/>
      <c r="BE105" s="97"/>
      <c r="BF105" s="99"/>
      <c r="BG105" s="98"/>
      <c r="BH105" s="98"/>
      <c r="BI105" s="100"/>
      <c r="BJ105" s="97"/>
      <c r="BK105" s="99"/>
      <c r="BL105" s="98"/>
      <c r="BM105" s="98"/>
      <c r="BN105" s="100"/>
      <c r="BO105" s="97"/>
      <c r="BP105" s="97"/>
      <c r="BQ105" s="99"/>
      <c r="BR105" s="98"/>
      <c r="BS105" s="98"/>
      <c r="BT105" s="100"/>
      <c r="BU105" s="97"/>
      <c r="BV105" s="99"/>
      <c r="BW105" s="98"/>
      <c r="BX105" s="98"/>
      <c r="BY105" s="100"/>
      <c r="BZ105" s="97"/>
      <c r="CA105" s="99"/>
      <c r="CB105" s="98"/>
      <c r="CC105" s="98"/>
      <c r="CD105" s="100"/>
      <c r="CE105" s="97"/>
      <c r="CF105" s="99"/>
      <c r="CG105" s="98"/>
      <c r="CH105" s="98"/>
      <c r="CI105" s="100"/>
      <c r="CJ105" s="97"/>
      <c r="CK105" s="66"/>
      <c r="CL105" s="658"/>
      <c r="CM105" s="658"/>
      <c r="CN105" s="682"/>
      <c r="CO105" s="658"/>
      <c r="CP105" s="658"/>
      <c r="CQ105" s="658"/>
      <c r="CR105" s="658"/>
      <c r="CS105" s="658"/>
      <c r="CT105" s="66"/>
      <c r="CX105"/>
      <c r="CY105"/>
      <c r="CZ105"/>
      <c r="DA105"/>
      <c r="DB105"/>
      <c r="DC105"/>
    </row>
    <row r="106" spans="1:107" s="299" customFormat="1">
      <c r="A106" s="94" t="s">
        <v>146</v>
      </c>
      <c r="B106" s="101">
        <f t="shared" ref="B106:AG106" si="237">B109/B4</f>
        <v>0.10507726269315673</v>
      </c>
      <c r="C106" s="101">
        <f t="shared" si="237"/>
        <v>0.12214708368554522</v>
      </c>
      <c r="D106" s="101">
        <f t="shared" si="237"/>
        <v>0.11557262569832402</v>
      </c>
      <c r="E106" s="101">
        <f t="shared" si="237"/>
        <v>0.12065972222222222</v>
      </c>
      <c r="F106" s="101">
        <f t="shared" si="237"/>
        <v>0.14394536380351983</v>
      </c>
      <c r="G106" s="101">
        <f t="shared" si="237"/>
        <v>0.16374407582938388</v>
      </c>
      <c r="H106" s="102">
        <f t="shared" si="237"/>
        <v>0.18223443223443223</v>
      </c>
      <c r="I106" s="102">
        <f t="shared" si="237"/>
        <v>0.18181818181818182</v>
      </c>
      <c r="J106" s="102">
        <f t="shared" si="237"/>
        <v>0.17959895379250218</v>
      </c>
      <c r="K106" s="102">
        <f t="shared" si="237"/>
        <v>0.16356589147286821</v>
      </c>
      <c r="L106" s="101">
        <f t="shared" si="237"/>
        <v>0.17635782747603834</v>
      </c>
      <c r="M106" s="102">
        <f t="shared" si="237"/>
        <v>0.17701342281879195</v>
      </c>
      <c r="N106" s="102">
        <f t="shared" si="237"/>
        <v>0.16626889419252189</v>
      </c>
      <c r="O106" s="102">
        <f t="shared" si="237"/>
        <v>0.16144200626959249</v>
      </c>
      <c r="P106" s="102">
        <f t="shared" si="237"/>
        <v>0.17146872803935348</v>
      </c>
      <c r="Q106" s="101">
        <f t="shared" si="237"/>
        <v>0.16899766899766899</v>
      </c>
      <c r="R106" s="102">
        <f t="shared" si="237"/>
        <v>0.14896988906497624</v>
      </c>
      <c r="S106" s="102">
        <f t="shared" si="237"/>
        <v>0.15355805243445692</v>
      </c>
      <c r="T106" s="102">
        <f t="shared" si="237"/>
        <v>0.15645277577505406</v>
      </c>
      <c r="U106" s="102">
        <f t="shared" si="237"/>
        <v>0.16158338741077222</v>
      </c>
      <c r="V106" s="101">
        <f t="shared" si="237"/>
        <v>0.15547511312217194</v>
      </c>
      <c r="W106" s="102">
        <f t="shared" si="237"/>
        <v>0.15568862275449102</v>
      </c>
      <c r="X106" s="102">
        <f t="shared" si="237"/>
        <v>0.16124260355029585</v>
      </c>
      <c r="Y106" s="102">
        <f t="shared" si="237"/>
        <v>0.15617892342683851</v>
      </c>
      <c r="Z106" s="102">
        <f t="shared" si="237"/>
        <v>0.16267942583732056</v>
      </c>
      <c r="AA106" s="101">
        <f t="shared" si="237"/>
        <v>0.15904936014625229</v>
      </c>
      <c r="AB106" s="102">
        <f t="shared" si="237"/>
        <v>0.1583264971287941</v>
      </c>
      <c r="AC106" s="102">
        <f t="shared" si="237"/>
        <v>0.15959119496855345</v>
      </c>
      <c r="AD106" s="102">
        <f t="shared" si="237"/>
        <v>0.17346938775510204</v>
      </c>
      <c r="AE106" s="102">
        <f t="shared" si="237"/>
        <v>0.18280402788536018</v>
      </c>
      <c r="AF106" s="101">
        <f t="shared" si="237"/>
        <v>0.15494488433473064</v>
      </c>
      <c r="AG106" s="102">
        <f t="shared" si="237"/>
        <v>0.15082382762991128</v>
      </c>
      <c r="AH106" s="102">
        <f t="shared" ref="AH106:BJ106" si="238">AH109/AH4</f>
        <v>0.17090216010165185</v>
      </c>
      <c r="AI106" s="102">
        <f t="shared" si="238"/>
        <v>0.17267080745341615</v>
      </c>
      <c r="AJ106" s="102">
        <f t="shared" si="238"/>
        <v>0.15144508670520232</v>
      </c>
      <c r="AK106" s="101">
        <f t="shared" si="238"/>
        <v>0.16127541589648797</v>
      </c>
      <c r="AL106" s="102">
        <f t="shared" si="238"/>
        <v>0.16416040100250626</v>
      </c>
      <c r="AM106" s="102">
        <f t="shared" si="238"/>
        <v>0.18942475305055201</v>
      </c>
      <c r="AN106" s="102">
        <f t="shared" si="238"/>
        <v>0.1784154709918902</v>
      </c>
      <c r="AO106" s="102">
        <f t="shared" si="238"/>
        <v>0.15360101975780752</v>
      </c>
      <c r="AP106" s="101">
        <f t="shared" si="238"/>
        <v>0.1718292494991524</v>
      </c>
      <c r="AQ106" s="102">
        <f t="shared" si="238"/>
        <v>0.15286968264686024</v>
      </c>
      <c r="AR106" s="102">
        <f t="shared" si="238"/>
        <v>0.14138153647514526</v>
      </c>
      <c r="AS106" s="102">
        <f t="shared" si="238"/>
        <v>0.16106442577030813</v>
      </c>
      <c r="AT106" s="102">
        <f t="shared" si="238"/>
        <v>0.18377381684081132</v>
      </c>
      <c r="AU106" s="101">
        <f t="shared" si="238"/>
        <v>0.16013147082990961</v>
      </c>
      <c r="AV106" s="102"/>
      <c r="AW106" s="102"/>
      <c r="AX106" s="102"/>
      <c r="AY106" s="102"/>
      <c r="AZ106" s="101">
        <f t="shared" ref="AZ106" si="239">AZ109/AZ4</f>
        <v>0.1657142857142857</v>
      </c>
      <c r="BA106" s="102">
        <f t="shared" si="238"/>
        <v>0.14001530221882172</v>
      </c>
      <c r="BB106" s="102">
        <f t="shared" si="238"/>
        <v>0.12907348242811501</v>
      </c>
      <c r="BC106" s="102">
        <f t="shared" si="238"/>
        <v>0.13973182780522231</v>
      </c>
      <c r="BD106" s="102">
        <f t="shared" si="238"/>
        <v>0.18035943517329911</v>
      </c>
      <c r="BE106" s="101">
        <f t="shared" si="238"/>
        <v>0.14776808619805029</v>
      </c>
      <c r="BF106" s="103">
        <f t="shared" si="238"/>
        <v>0.1092814371257485</v>
      </c>
      <c r="BG106" s="102">
        <f t="shared" si="238"/>
        <v>0.26804860614724801</v>
      </c>
      <c r="BH106" s="102">
        <f t="shared" si="238"/>
        <v>0.15667166416791603</v>
      </c>
      <c r="BI106" s="104">
        <f t="shared" si="238"/>
        <v>0.15636105188343993</v>
      </c>
      <c r="BJ106" s="101">
        <f t="shared" si="238"/>
        <v>0.17348429510591673</v>
      </c>
      <c r="BK106" s="103">
        <f t="shared" ref="BK106:BO106" si="240">BK109/BK4</f>
        <v>0.15164520743919885</v>
      </c>
      <c r="BL106" s="102">
        <f t="shared" si="240"/>
        <v>0.16757865937072502</v>
      </c>
      <c r="BM106" s="102">
        <f t="shared" si="240"/>
        <v>0.16606757728253055</v>
      </c>
      <c r="BN106" s="104">
        <f t="shared" si="240"/>
        <v>0.15904700579523504</v>
      </c>
      <c r="BO106" s="101">
        <f t="shared" si="240"/>
        <v>0.16109579600275672</v>
      </c>
      <c r="BP106" s="101">
        <f t="shared" ref="BP106" si="241">BP109/BP4</f>
        <v>0.16109579600275672</v>
      </c>
      <c r="BQ106" s="347">
        <v>0.16</v>
      </c>
      <c r="BR106" s="345">
        <v>0.16500000000000001</v>
      </c>
      <c r="BS106" s="345">
        <v>0.16500000000000001</v>
      </c>
      <c r="BT106" s="348">
        <v>0.17</v>
      </c>
      <c r="BU106" s="101">
        <f>BU109/BU4</f>
        <v>0.16515770003691096</v>
      </c>
      <c r="BV106" s="347"/>
      <c r="BW106" s="345"/>
      <c r="BX106" s="345"/>
      <c r="BY106" s="348"/>
      <c r="BZ106" s="346">
        <v>0.16750000000000001</v>
      </c>
      <c r="CA106" s="347"/>
      <c r="CB106" s="345"/>
      <c r="CC106" s="345"/>
      <c r="CD106" s="348"/>
      <c r="CE106" s="346">
        <v>0.16750000000000001</v>
      </c>
      <c r="CF106" s="347"/>
      <c r="CG106" s="345"/>
      <c r="CH106" s="345"/>
      <c r="CI106" s="348"/>
      <c r="CJ106" s="346">
        <v>0.16750000000000001</v>
      </c>
      <c r="CK106" s="290"/>
      <c r="CL106" s="657" t="s">
        <v>347</v>
      </c>
      <c r="CM106" s="658"/>
      <c r="CN106" s="682"/>
      <c r="CO106" s="658"/>
      <c r="CP106" s="658"/>
      <c r="CQ106" s="657"/>
      <c r="CR106" s="657"/>
      <c r="CS106" s="658"/>
      <c r="CT106" s="290"/>
      <c r="CX106"/>
      <c r="CY106"/>
      <c r="CZ106"/>
      <c r="DA106"/>
      <c r="DB106"/>
      <c r="DC106"/>
    </row>
    <row r="107" spans="1:107" s="308" customFormat="1">
      <c r="A107" s="112" t="s">
        <v>140</v>
      </c>
      <c r="B107" s="114"/>
      <c r="C107" s="114">
        <f>(C106-B106)*100</f>
        <v>1.7069820992388491</v>
      </c>
      <c r="D107" s="114">
        <f>(D106-C106)*100</f>
        <v>-0.65744579872211995</v>
      </c>
      <c r="E107" s="114">
        <f>(E106-D106)*100</f>
        <v>0.50870965238982024</v>
      </c>
      <c r="F107" s="114">
        <f>(F106-E106)*100</f>
        <v>2.3285641581297605</v>
      </c>
      <c r="G107" s="114">
        <f>(G106-F106)*100</f>
        <v>1.9798712025864056</v>
      </c>
      <c r="H107" s="113"/>
      <c r="I107" s="113"/>
      <c r="J107" s="113"/>
      <c r="K107" s="113"/>
      <c r="L107" s="114">
        <f t="shared" ref="L107:AS107" si="242">(L106-G106)*100</f>
        <v>1.2613751646654459</v>
      </c>
      <c r="M107" s="113">
        <f t="shared" si="242"/>
        <v>-0.52210094156402709</v>
      </c>
      <c r="N107" s="113">
        <f t="shared" si="242"/>
        <v>-1.5549287625659935</v>
      </c>
      <c r="O107" s="113">
        <f t="shared" si="242"/>
        <v>-1.8156947522909694</v>
      </c>
      <c r="P107" s="113">
        <f t="shared" si="242"/>
        <v>0.79028365664852718</v>
      </c>
      <c r="Q107" s="114">
        <f t="shared" si="242"/>
        <v>-0.73601584783693497</v>
      </c>
      <c r="R107" s="113">
        <f t="shared" si="242"/>
        <v>-2.8043533753815715</v>
      </c>
      <c r="S107" s="113">
        <f t="shared" si="242"/>
        <v>-1.2710841758064972</v>
      </c>
      <c r="T107" s="113">
        <f t="shared" si="242"/>
        <v>-0.49892304945384214</v>
      </c>
      <c r="U107" s="113">
        <f t="shared" si="242"/>
        <v>-0.98853406285812628</v>
      </c>
      <c r="V107" s="114">
        <f t="shared" si="242"/>
        <v>-1.3522555875497055</v>
      </c>
      <c r="W107" s="113">
        <f t="shared" si="242"/>
        <v>0.67187336895147831</v>
      </c>
      <c r="X107" s="113">
        <f>(X106-S106)*100</f>
        <v>0.76845511158389335</v>
      </c>
      <c r="Y107" s="113">
        <f t="shared" si="242"/>
        <v>-2.7385234821555859E-2</v>
      </c>
      <c r="Z107" s="113">
        <f t="shared" si="242"/>
        <v>0.10960384265483458</v>
      </c>
      <c r="AA107" s="114">
        <f t="shared" si="242"/>
        <v>0.35742470240803514</v>
      </c>
      <c r="AB107" s="113">
        <f t="shared" si="242"/>
        <v>0.2637874374303073</v>
      </c>
      <c r="AC107" s="113">
        <f t="shared" si="242"/>
        <v>-0.16514085817423974</v>
      </c>
      <c r="AD107" s="113">
        <f t="shared" si="242"/>
        <v>1.7290464328263533</v>
      </c>
      <c r="AE107" s="113">
        <f t="shared" si="242"/>
        <v>2.0124602048039621</v>
      </c>
      <c r="AF107" s="114">
        <f t="shared" si="242"/>
        <v>-0.41044758115216518</v>
      </c>
      <c r="AG107" s="113">
        <f t="shared" si="242"/>
        <v>-0.75026694988828135</v>
      </c>
      <c r="AH107" s="113">
        <f t="shared" si="242"/>
        <v>1.1310965133098398</v>
      </c>
      <c r="AI107" s="113">
        <f t="shared" si="242"/>
        <v>-7.9858030168589167E-2</v>
      </c>
      <c r="AJ107" s="113">
        <f t="shared" si="242"/>
        <v>-3.135894118015786</v>
      </c>
      <c r="AK107" s="114">
        <f t="shared" si="242"/>
        <v>0.63305315617573354</v>
      </c>
      <c r="AL107" s="113">
        <f t="shared" si="242"/>
        <v>1.3336573372594973</v>
      </c>
      <c r="AM107" s="113">
        <f t="shared" si="242"/>
        <v>1.8522592948900156</v>
      </c>
      <c r="AN107" s="113">
        <f t="shared" si="242"/>
        <v>0.57446635384740541</v>
      </c>
      <c r="AO107" s="113">
        <f t="shared" si="242"/>
        <v>0.21559330526051967</v>
      </c>
      <c r="AP107" s="114">
        <f t="shared" si="242"/>
        <v>1.0553833602664431</v>
      </c>
      <c r="AQ107" s="113">
        <f t="shared" si="242"/>
        <v>-1.1290718355646017</v>
      </c>
      <c r="AR107" s="113">
        <f t="shared" si="242"/>
        <v>-4.8043216575406751</v>
      </c>
      <c r="AS107" s="113">
        <f t="shared" si="242"/>
        <v>-1.7351045221582067</v>
      </c>
      <c r="AT107" s="113">
        <f t="shared" ref="AT107:AU107" si="243">(AT106-AO106)*100</f>
        <v>3.0172797083003799</v>
      </c>
      <c r="AU107" s="114">
        <f t="shared" si="243"/>
        <v>-1.1697778669242793</v>
      </c>
      <c r="AV107" s="113"/>
      <c r="AW107" s="113"/>
      <c r="AX107" s="113"/>
      <c r="AY107" s="113"/>
      <c r="AZ107" s="114">
        <f t="shared" ref="AZ107" si="244">(AZ106-AU106)*100</f>
        <v>0.55828148843760916</v>
      </c>
      <c r="BA107" s="113">
        <f>(BA106-AQ106)*100</f>
        <v>-1.2854380428038521</v>
      </c>
      <c r="BB107" s="113">
        <f>(BB106-AR106)*100</f>
        <v>-1.2308054047030255</v>
      </c>
      <c r="BC107" s="113">
        <f>(BC106-AS106)*100</f>
        <v>-2.1332597965085824</v>
      </c>
      <c r="BD107" s="113">
        <f>(BD106-AT106)*100</f>
        <v>-0.34143816675122063</v>
      </c>
      <c r="BE107" s="114">
        <f>(BE106-AZ106)*100</f>
        <v>-1.7946199516235413</v>
      </c>
      <c r="BF107" s="113">
        <f t="shared" ref="BF107:BM107" si="245">(BF106-BA106)*100</f>
        <v>-3.0733865093073214</v>
      </c>
      <c r="BG107" s="113">
        <f t="shared" si="245"/>
        <v>13.897512371913301</v>
      </c>
      <c r="BH107" s="113">
        <f t="shared" si="245"/>
        <v>1.6939836362693721</v>
      </c>
      <c r="BI107" s="113">
        <f t="shared" si="245"/>
        <v>-2.3998383289859175</v>
      </c>
      <c r="BJ107" s="114">
        <f t="shared" si="245"/>
        <v>2.5716208907866438</v>
      </c>
      <c r="BK107" s="113">
        <f t="shared" si="245"/>
        <v>4.2363770313450342</v>
      </c>
      <c r="BL107" s="113">
        <f t="shared" si="245"/>
        <v>-10.046994677652298</v>
      </c>
      <c r="BM107" s="113">
        <f t="shared" si="245"/>
        <v>0.93959131146145181</v>
      </c>
      <c r="BN107" s="113">
        <f t="shared" ref="BN107" si="246">(BN106-BI106)*100</f>
        <v>0.26859539117951026</v>
      </c>
      <c r="BO107" s="114">
        <f t="shared" ref="BO107" si="247">(BO106-BJ106)*100</f>
        <v>-1.2388499103160004</v>
      </c>
      <c r="BP107" s="114"/>
      <c r="BQ107" s="115">
        <f t="shared" ref="BQ107" si="248">(BQ106-BK106)*100</f>
        <v>0.83547925608011553</v>
      </c>
      <c r="BR107" s="113">
        <f t="shared" ref="BR107" si="249">(BR106-BL106)*100</f>
        <v>-0.25786593707250172</v>
      </c>
      <c r="BS107" s="113">
        <f t="shared" ref="BS107" si="250">(BS106-BM106)*100</f>
        <v>-0.10675772825305407</v>
      </c>
      <c r="BT107" s="116">
        <f>(BT106-BN106)*100</f>
        <v>1.0952994204764976</v>
      </c>
      <c r="BU107" s="114">
        <f>(BU106-BO106)*100</f>
        <v>0.40619040341542401</v>
      </c>
      <c r="BV107" s="115"/>
      <c r="BW107" s="113"/>
      <c r="BX107" s="113"/>
      <c r="BY107" s="116"/>
      <c r="BZ107" s="114">
        <f>(BZ106-BU106)*100</f>
        <v>0.23422999630890451</v>
      </c>
      <c r="CA107" s="115"/>
      <c r="CB107" s="113"/>
      <c r="CC107" s="113"/>
      <c r="CD107" s="116"/>
      <c r="CE107" s="114">
        <f>(CE106-BZ106)*100</f>
        <v>0</v>
      </c>
      <c r="CF107" s="115"/>
      <c r="CG107" s="113"/>
      <c r="CH107" s="113"/>
      <c r="CI107" s="116"/>
      <c r="CJ107" s="114">
        <f>(CJ106-CE106)*100</f>
        <v>0</v>
      </c>
      <c r="CK107" s="307"/>
      <c r="CL107" s="657"/>
      <c r="CM107" s="745"/>
      <c r="CN107" s="682"/>
      <c r="CO107" s="675"/>
      <c r="CP107" s="675"/>
      <c r="CQ107" s="675"/>
      <c r="CR107" s="675"/>
      <c r="CS107" s="675"/>
      <c r="CT107" s="307"/>
      <c r="CX107"/>
      <c r="CY107"/>
      <c r="CZ107"/>
      <c r="DA107"/>
      <c r="DB107"/>
      <c r="DC107"/>
    </row>
    <row r="108" spans="1:107" s="312" customFormat="1">
      <c r="A108" s="108" t="s">
        <v>141</v>
      </c>
      <c r="B108" s="160"/>
      <c r="C108" s="158">
        <f>(C109-B109)/(C4-B4)</f>
        <v>0.50495049504950495</v>
      </c>
      <c r="D108" s="158">
        <f>(D109-C109)/(D4-C4)</f>
        <v>8.4337349397590355E-2</v>
      </c>
      <c r="E108" s="158">
        <f>(E109-D109)/(E4-D4)</f>
        <v>0.14527027027027026</v>
      </c>
      <c r="F108" s="158">
        <f>(F109-E109)/(F4-E4)</f>
        <v>0.37321937321937321</v>
      </c>
      <c r="G108" s="158">
        <f t="shared" ref="G108:BM108" si="251">IFERROR((G109-B109)/(G4-B4),)</f>
        <v>0.23171355498721227</v>
      </c>
      <c r="H108" s="161">
        <f t="shared" si="251"/>
        <v>7.0643642072213506E-2</v>
      </c>
      <c r="I108" s="161">
        <f t="shared" si="251"/>
        <v>7.0082449941107183E-2</v>
      </c>
      <c r="J108" s="161">
        <f t="shared" si="251"/>
        <v>9.1381550454742319E-2</v>
      </c>
      <c r="K108" s="161">
        <f t="shared" si="251"/>
        <v>0.13388955105284067</v>
      </c>
      <c r="L108" s="158">
        <f t="shared" si="251"/>
        <v>0.28842105263157897</v>
      </c>
      <c r="M108" s="159">
        <f t="shared" si="251"/>
        <v>0.12</v>
      </c>
      <c r="N108" s="159">
        <f t="shared" si="251"/>
        <v>-3.2967032967032968E-2</v>
      </c>
      <c r="O108" s="159">
        <f t="shared" si="251"/>
        <v>0</v>
      </c>
      <c r="P108" s="159">
        <f t="shared" si="251"/>
        <v>0.24812030075187969</v>
      </c>
      <c r="Q108" s="158">
        <f t="shared" si="251"/>
        <v>9.2715231788079472E-2</v>
      </c>
      <c r="R108" s="159">
        <f t="shared" si="251"/>
        <v>-0.32857142857142857</v>
      </c>
      <c r="S108" s="159">
        <f t="shared" si="251"/>
        <v>-5.128205128205128E-2</v>
      </c>
      <c r="T108" s="159">
        <f t="shared" si="251"/>
        <v>9.90990990990991E-2</v>
      </c>
      <c r="U108" s="159">
        <f t="shared" si="251"/>
        <v>4.2372881355932202E-2</v>
      </c>
      <c r="V108" s="158">
        <f t="shared" si="251"/>
        <v>-2.9177718832891247E-2</v>
      </c>
      <c r="W108" s="159">
        <f t="shared" si="251"/>
        <v>0.27027027027027029</v>
      </c>
      <c r="X108" s="159">
        <f t="shared" si="251"/>
        <v>0.76470588235294112</v>
      </c>
      <c r="Y108" s="159">
        <f t="shared" si="251"/>
        <v>0.16176470588235295</v>
      </c>
      <c r="Z108" s="159">
        <f t="shared" si="251"/>
        <v>0.14102564102564102</v>
      </c>
      <c r="AA108" s="158">
        <f t="shared" si="251"/>
        <v>-0.2</v>
      </c>
      <c r="AB108" s="159">
        <f t="shared" si="251"/>
        <v>0.12820512820512819</v>
      </c>
      <c r="AC108" s="159">
        <f t="shared" si="251"/>
        <v>0.1875</v>
      </c>
      <c r="AD108" s="159">
        <f t="shared" si="251"/>
        <v>1.3986013986013986E-2</v>
      </c>
      <c r="AE108" s="159">
        <f t="shared" si="251"/>
        <v>1.1627906976744186E-2</v>
      </c>
      <c r="AF108" s="158">
        <f t="shared" si="251"/>
        <v>0.13182286302780638</v>
      </c>
      <c r="AG108" s="159">
        <f t="shared" si="251"/>
        <v>0.12534818941504178</v>
      </c>
      <c r="AH108" s="159">
        <f t="shared" si="251"/>
        <v>0.2185430463576159</v>
      </c>
      <c r="AI108" s="159">
        <f t="shared" si="251"/>
        <v>0.17050691244239632</v>
      </c>
      <c r="AJ108" s="159">
        <f t="shared" si="251"/>
        <v>5.9225512528473807E-2</v>
      </c>
      <c r="AK108" s="158">
        <f t="shared" si="251"/>
        <v>0.96078431372549022</v>
      </c>
      <c r="AL108" s="159">
        <f t="shared" si="251"/>
        <v>1.3333333333333333</v>
      </c>
      <c r="AM108" s="159">
        <f t="shared" si="251"/>
        <v>0.38775510204081631</v>
      </c>
      <c r="AN108" s="159">
        <f t="shared" si="251"/>
        <v>-1.1428571428571428</v>
      </c>
      <c r="AO108" s="159">
        <f t="shared" si="251"/>
        <v>0.13043478260869565</v>
      </c>
      <c r="AP108" s="158">
        <f t="shared" si="251"/>
        <v>-22.666666666666668</v>
      </c>
      <c r="AQ108" s="159">
        <f t="shared" si="251"/>
        <v>0.30956521739130433</v>
      </c>
      <c r="AR108" s="159">
        <f t="shared" si="251"/>
        <v>0.62209302325581395</v>
      </c>
      <c r="AS108" s="159">
        <f t="shared" si="251"/>
        <v>0.32</v>
      </c>
      <c r="AT108" s="159">
        <f t="shared" si="251"/>
        <v>1</v>
      </c>
      <c r="AU108" s="158">
        <f t="shared" si="251"/>
        <v>0.34801980198019805</v>
      </c>
      <c r="AV108" s="159">
        <f t="shared" si="251"/>
        <v>0.15286968264686024</v>
      </c>
      <c r="AW108" s="159">
        <f t="shared" si="251"/>
        <v>0.14138153647514526</v>
      </c>
      <c r="AX108" s="159">
        <f t="shared" si="251"/>
        <v>0.16106442577030813</v>
      </c>
      <c r="AY108" s="159">
        <f t="shared" si="251"/>
        <v>0.18377381684081132</v>
      </c>
      <c r="AZ108" s="158">
        <f t="shared" si="251"/>
        <v>9.5670103092783454E-2</v>
      </c>
      <c r="BA108" s="159">
        <f t="shared" si="251"/>
        <v>0.14001530221882172</v>
      </c>
      <c r="BB108" s="159">
        <f t="shared" si="251"/>
        <v>0.12907348242811501</v>
      </c>
      <c r="BC108" s="159">
        <f t="shared" si="251"/>
        <v>0.13973182780522231</v>
      </c>
      <c r="BD108" s="159">
        <f t="shared" si="251"/>
        <v>0.18035943517329911</v>
      </c>
      <c r="BE108" s="158">
        <f t="shared" si="251"/>
        <v>-0.25910931174089069</v>
      </c>
      <c r="BF108" s="159">
        <f t="shared" si="251"/>
        <v>-1.2758620689655173</v>
      </c>
      <c r="BG108" s="159">
        <f t="shared" si="251"/>
        <v>-1.0421686746987953</v>
      </c>
      <c r="BH108" s="159">
        <f t="shared" si="251"/>
        <v>-0.13253012048192772</v>
      </c>
      <c r="BI108" s="159">
        <f t="shared" si="251"/>
        <v>0.40397350993377484</v>
      </c>
      <c r="BJ108" s="158">
        <f t="shared" si="251"/>
        <v>-0.23180592991913745</v>
      </c>
      <c r="BK108" s="159">
        <f t="shared" si="251"/>
        <v>1.064516129032258</v>
      </c>
      <c r="BL108" s="159">
        <f t="shared" si="251"/>
        <v>-2.0634920634920637</v>
      </c>
      <c r="BM108" s="159">
        <f t="shared" si="251"/>
        <v>0.38596491228070173</v>
      </c>
      <c r="BN108" s="159">
        <f t="shared" ref="BN108" si="252">IFERROR((BN109-BI109)/(BN4-BI4),)</f>
        <v>0.18493150684931506</v>
      </c>
      <c r="BO108" s="158">
        <f t="shared" ref="BO108" si="253">IFERROR((BO109-BJ109)/(BO4-BJ4),)</f>
        <v>-4.573170731707317E-2</v>
      </c>
      <c r="BP108" s="158"/>
      <c r="BQ108" s="162">
        <f t="shared" ref="BQ108" si="254">IFERROR((BQ109-BK109)/(BQ4-BK4),)</f>
        <v>0.36886981402002844</v>
      </c>
      <c r="BR108" s="161">
        <f t="shared" ref="BR108" si="255">IFERROR((BR109-BL109)/(BR4-BL4),)</f>
        <v>0.11342681258549968</v>
      </c>
      <c r="BS108" s="161">
        <f t="shared" ref="BS108" si="256">IFERROR((BS109-BM109)/(BS4-BM4),)</f>
        <v>0.14364845434938889</v>
      </c>
      <c r="BT108" s="163">
        <f t="shared" ref="BT108" si="257">IFERROR((BT109-BN109)/(BT4-BN4),)</f>
        <v>0.35254990341274972</v>
      </c>
      <c r="BU108" s="158">
        <f>IFERROR((BU109-BO109)/(BU4-BO4),)</f>
        <v>0.24596418166238174</v>
      </c>
      <c r="BV108" s="162"/>
      <c r="BW108" s="161"/>
      <c r="BX108" s="161"/>
      <c r="BY108" s="163"/>
      <c r="BZ108" s="158">
        <f>IFERROR((BZ109-BU109)/(BZ4-BU4),)</f>
        <v>0.20653833271815114</v>
      </c>
      <c r="CA108" s="162"/>
      <c r="CB108" s="161"/>
      <c r="CC108" s="161"/>
      <c r="CD108" s="163"/>
      <c r="CE108" s="158">
        <f>IFERROR((CE109-BZ109)/(CE4-BZ4),)</f>
        <v>0.16749999999999982</v>
      </c>
      <c r="CF108" s="162"/>
      <c r="CG108" s="161"/>
      <c r="CH108" s="161"/>
      <c r="CI108" s="163"/>
      <c r="CJ108" s="158">
        <f>IFERROR((CJ109-CE109)/(CJ4-CE4),)</f>
        <v>0.16749999999999976</v>
      </c>
      <c r="CK108" s="309"/>
      <c r="CL108" s="658"/>
      <c r="CM108" s="658"/>
      <c r="CN108" s="682"/>
      <c r="CO108" s="311"/>
      <c r="CP108" s="311"/>
      <c r="CQ108" s="311"/>
      <c r="CR108" s="311"/>
      <c r="CS108" s="311"/>
      <c r="CT108" s="309"/>
      <c r="CX108"/>
      <c r="CY108"/>
      <c r="CZ108"/>
      <c r="DA108"/>
      <c r="DB108"/>
      <c r="DC108"/>
    </row>
    <row r="109" spans="1:107" s="299" customFormat="1">
      <c r="A109" s="27" t="s">
        <v>142</v>
      </c>
      <c r="B109" s="76">
        <v>238</v>
      </c>
      <c r="C109" s="76">
        <v>289</v>
      </c>
      <c r="D109" s="76">
        <v>331</v>
      </c>
      <c r="E109" s="76">
        <v>417</v>
      </c>
      <c r="F109" s="76">
        <v>548</v>
      </c>
      <c r="G109" s="76">
        <v>691</v>
      </c>
      <c r="H109" s="110">
        <v>199</v>
      </c>
      <c r="I109" s="110">
        <v>212</v>
      </c>
      <c r="J109" s="110">
        <v>206</v>
      </c>
      <c r="K109" s="109">
        <v>211</v>
      </c>
      <c r="L109" s="111">
        <f>SUM(H109:K109)</f>
        <v>828</v>
      </c>
      <c r="M109" s="109">
        <v>211</v>
      </c>
      <c r="N109" s="110">
        <v>209</v>
      </c>
      <c r="O109" s="110">
        <v>206</v>
      </c>
      <c r="P109" s="109">
        <v>244</v>
      </c>
      <c r="Q109" s="111">
        <f>SUM(M109:P109)</f>
        <v>870</v>
      </c>
      <c r="R109" s="109">
        <v>188</v>
      </c>
      <c r="S109" s="110">
        <v>205</v>
      </c>
      <c r="T109" s="110">
        <v>217</v>
      </c>
      <c r="U109" s="109">
        <v>249</v>
      </c>
      <c r="V109" s="111">
        <f>SUM(R109:U109)</f>
        <v>859</v>
      </c>
      <c r="W109" s="109">
        <v>208</v>
      </c>
      <c r="X109" s="110">
        <v>218</v>
      </c>
      <c r="Y109" s="29">
        <v>206</v>
      </c>
      <c r="Z109" s="59">
        <v>238</v>
      </c>
      <c r="AA109" s="111">
        <f>SUM(W109:Z109)</f>
        <v>870</v>
      </c>
      <c r="AB109" s="109">
        <v>193</v>
      </c>
      <c r="AC109" s="110">
        <v>203</v>
      </c>
      <c r="AD109" s="29">
        <v>204</v>
      </c>
      <c r="AE109" s="109">
        <v>236</v>
      </c>
      <c r="AF109" s="111">
        <v>998</v>
      </c>
      <c r="AG109" s="110">
        <v>238</v>
      </c>
      <c r="AH109" s="110">
        <v>269</v>
      </c>
      <c r="AI109" s="110">
        <v>278</v>
      </c>
      <c r="AJ109" s="109">
        <v>262</v>
      </c>
      <c r="AK109" s="76">
        <f>+SUM(AG109:AJ109)</f>
        <v>1047</v>
      </c>
      <c r="AL109" s="29">
        <v>262</v>
      </c>
      <c r="AM109" s="29">
        <v>326</v>
      </c>
      <c r="AN109" s="29">
        <v>286</v>
      </c>
      <c r="AO109" s="29">
        <v>241</v>
      </c>
      <c r="AP109" s="76">
        <f>SUM(AL109:AO109)</f>
        <v>1115</v>
      </c>
      <c r="AQ109" s="29">
        <v>226.4</v>
      </c>
      <c r="AR109" s="29">
        <v>219</v>
      </c>
      <c r="AS109" s="29">
        <v>230</v>
      </c>
      <c r="AT109" s="29">
        <v>299</v>
      </c>
      <c r="AU109" s="76">
        <f>SUM(AQ109:AT109)</f>
        <v>974.4</v>
      </c>
      <c r="AV109" s="29"/>
      <c r="AW109" s="29"/>
      <c r="AX109" s="29"/>
      <c r="AY109" s="29"/>
      <c r="AZ109" s="76">
        <v>928</v>
      </c>
      <c r="BA109" s="29">
        <v>183</v>
      </c>
      <c r="BB109" s="29">
        <v>202</v>
      </c>
      <c r="BC109" s="898">
        <v>198</v>
      </c>
      <c r="BD109" s="898">
        <v>281</v>
      </c>
      <c r="BE109" s="76">
        <f>SUM(BA109:BD109)</f>
        <v>864</v>
      </c>
      <c r="BF109" s="900">
        <v>146</v>
      </c>
      <c r="BG109" s="894">
        <v>375</v>
      </c>
      <c r="BH109" s="894">
        <v>209</v>
      </c>
      <c r="BI109" s="930">
        <f>950-SUM(BF109:BH109)</f>
        <v>220</v>
      </c>
      <c r="BJ109" s="76">
        <f>SUM(BF109:BI109)</f>
        <v>950</v>
      </c>
      <c r="BK109" s="900">
        <v>212</v>
      </c>
      <c r="BL109" s="28">
        <v>245</v>
      </c>
      <c r="BM109" s="894">
        <v>231</v>
      </c>
      <c r="BN109" s="930">
        <v>247</v>
      </c>
      <c r="BO109" s="76">
        <f>SUM(BK109:BN109)</f>
        <v>935</v>
      </c>
      <c r="BP109" s="76">
        <f>BO109</f>
        <v>935</v>
      </c>
      <c r="BQ109" s="90">
        <f t="shared" ref="BQ109:BT109" si="258">BQ4*BQ106</f>
        <v>232.62720000000002</v>
      </c>
      <c r="BR109" s="28">
        <f t="shared" si="258"/>
        <v>253.29150000000004</v>
      </c>
      <c r="BS109" s="28">
        <f t="shared" si="258"/>
        <v>240.99074999999999</v>
      </c>
      <c r="BT109" s="30">
        <f t="shared" si="258"/>
        <v>279.85060000000004</v>
      </c>
      <c r="BU109" s="76">
        <f>SUM(BQ109:BT109)</f>
        <v>1006.7600500000001</v>
      </c>
      <c r="BV109" s="90"/>
      <c r="BW109" s="28"/>
      <c r="BX109" s="28"/>
      <c r="BY109" s="30"/>
      <c r="BZ109" s="76">
        <f>BZ4*BZ106</f>
        <v>1082.3004125000004</v>
      </c>
      <c r="CA109" s="90"/>
      <c r="CB109" s="28"/>
      <c r="CC109" s="28"/>
      <c r="CD109" s="30"/>
      <c r="CE109" s="76">
        <f>CE4*CE106</f>
        <v>1147.2384372500005</v>
      </c>
      <c r="CF109" s="90"/>
      <c r="CG109" s="28"/>
      <c r="CH109" s="28"/>
      <c r="CI109" s="30"/>
      <c r="CJ109" s="76">
        <f>CJ4*CJ106</f>
        <v>1216.0727434850005</v>
      </c>
      <c r="CK109" s="290"/>
      <c r="CL109" s="658"/>
      <c r="CM109" s="658"/>
      <c r="CN109" s="567"/>
      <c r="CO109" s="658"/>
      <c r="CP109" s="658"/>
      <c r="CQ109" s="658"/>
      <c r="CR109" s="658"/>
      <c r="CS109" s="658"/>
      <c r="CT109" s="290"/>
      <c r="CX109"/>
      <c r="CY109"/>
      <c r="CZ109"/>
      <c r="DA109"/>
      <c r="DB109"/>
      <c r="DC109"/>
    </row>
    <row r="110" spans="1:107">
      <c r="A110" s="62" t="s">
        <v>137</v>
      </c>
      <c r="B110" s="70"/>
      <c r="C110" s="70">
        <f>C109/B109-1</f>
        <v>0.21428571428571419</v>
      </c>
      <c r="D110" s="70">
        <f>D109/C109-1</f>
        <v>0.1453287197231834</v>
      </c>
      <c r="E110" s="70">
        <f>E109/D109-1</f>
        <v>0.25981873111782483</v>
      </c>
      <c r="F110" s="70">
        <f>F109/E109-1</f>
        <v>0.31414868105515592</v>
      </c>
      <c r="G110" s="70">
        <f>G109/F109-1</f>
        <v>0.26094890510948909</v>
      </c>
      <c r="H110" s="118"/>
      <c r="I110" s="64"/>
      <c r="J110" s="64"/>
      <c r="K110" s="64"/>
      <c r="L110" s="70">
        <f t="shared" ref="L110:AF110" si="259">L109/G109-1</f>
        <v>0.19826338639652685</v>
      </c>
      <c r="M110" s="64">
        <f t="shared" si="259"/>
        <v>6.0301507537688481E-2</v>
      </c>
      <c r="N110" s="64">
        <f t="shared" si="259"/>
        <v>-1.4150943396226467E-2</v>
      </c>
      <c r="O110" s="64">
        <f t="shared" si="259"/>
        <v>0</v>
      </c>
      <c r="P110" s="64">
        <f t="shared" si="259"/>
        <v>0.15639810426540279</v>
      </c>
      <c r="Q110" s="70">
        <f t="shared" si="259"/>
        <v>5.0724637681159424E-2</v>
      </c>
      <c r="R110" s="64">
        <f t="shared" si="259"/>
        <v>-0.10900473933649291</v>
      </c>
      <c r="S110" s="64">
        <f t="shared" si="259"/>
        <v>-1.9138755980861233E-2</v>
      </c>
      <c r="T110" s="64">
        <f t="shared" si="259"/>
        <v>5.3398058252427161E-2</v>
      </c>
      <c r="U110" s="64">
        <f t="shared" si="259"/>
        <v>2.0491803278688492E-2</v>
      </c>
      <c r="V110" s="70">
        <f t="shared" si="259"/>
        <v>-1.2643678160919491E-2</v>
      </c>
      <c r="W110" s="64">
        <f t="shared" si="259"/>
        <v>0.1063829787234043</v>
      </c>
      <c r="X110" s="64">
        <f>X109/S109-1</f>
        <v>6.341463414634152E-2</v>
      </c>
      <c r="Y110" s="64">
        <f t="shared" si="259"/>
        <v>-5.0691244239631339E-2</v>
      </c>
      <c r="Z110" s="64">
        <f t="shared" si="259"/>
        <v>-4.4176706827309231E-2</v>
      </c>
      <c r="AA110" s="70">
        <f t="shared" si="259"/>
        <v>1.2805587892898762E-2</v>
      </c>
      <c r="AB110" s="64">
        <f t="shared" si="259"/>
        <v>-7.2115384615384581E-2</v>
      </c>
      <c r="AC110" s="64">
        <f t="shared" si="259"/>
        <v>-6.8807339449541316E-2</v>
      </c>
      <c r="AD110" s="64">
        <f t="shared" si="259"/>
        <v>-9.7087378640776656E-3</v>
      </c>
      <c r="AE110" s="64">
        <f t="shared" si="259"/>
        <v>-8.4033613445377853E-3</v>
      </c>
      <c r="AF110" s="70">
        <f t="shared" si="259"/>
        <v>0.14712643678160919</v>
      </c>
      <c r="AG110" s="64">
        <f t="shared" ref="AG110:AS110" si="260">AG109/AB109 -1</f>
        <v>0.23316062176165797</v>
      </c>
      <c r="AH110" s="64">
        <f t="shared" si="260"/>
        <v>0.32512315270935965</v>
      </c>
      <c r="AI110" s="64">
        <f t="shared" si="260"/>
        <v>0.36274509803921573</v>
      </c>
      <c r="AJ110" s="64">
        <f t="shared" si="260"/>
        <v>0.11016949152542366</v>
      </c>
      <c r="AK110" s="70">
        <f t="shared" si="260"/>
        <v>4.9098196392785676E-2</v>
      </c>
      <c r="AL110" s="64">
        <f t="shared" si="260"/>
        <v>0.10084033613445387</v>
      </c>
      <c r="AM110" s="64">
        <f t="shared" si="260"/>
        <v>0.21189591078066905</v>
      </c>
      <c r="AN110" s="64">
        <f t="shared" si="260"/>
        <v>2.877697841726623E-2</v>
      </c>
      <c r="AO110" s="64">
        <f t="shared" si="260"/>
        <v>-8.0152671755725158E-2</v>
      </c>
      <c r="AP110" s="70">
        <f t="shared" si="260"/>
        <v>6.4947468958930221E-2</v>
      </c>
      <c r="AQ110" s="64">
        <f t="shared" si="260"/>
        <v>-0.13587786259541978</v>
      </c>
      <c r="AR110" s="64">
        <f t="shared" si="260"/>
        <v>-0.32822085889570551</v>
      </c>
      <c r="AS110" s="64">
        <f t="shared" si="260"/>
        <v>-0.19580419580419584</v>
      </c>
      <c r="AT110" s="64">
        <f t="shared" ref="AT110:AU110" si="261">AT109/AO109 -1</f>
        <v>0.24066390041493779</v>
      </c>
      <c r="AU110" s="70">
        <f t="shared" si="261"/>
        <v>-0.12609865470852022</v>
      </c>
      <c r="AV110" s="64"/>
      <c r="AW110" s="64"/>
      <c r="AX110" s="64"/>
      <c r="AY110" s="64"/>
      <c r="AZ110" s="70">
        <f t="shared" ref="AZ110" si="262">AZ109/AU109 -1</f>
        <v>-4.7619047619047561E-2</v>
      </c>
      <c r="BA110" s="64">
        <f>BA109/AQ109 -1</f>
        <v>-0.19169611307420498</v>
      </c>
      <c r="BB110" s="64">
        <f>BB109/AR109 -1</f>
        <v>-7.7625570776255759E-2</v>
      </c>
      <c r="BC110" s="64">
        <f>BC109/AS109 -1</f>
        <v>-0.13913043478260867</v>
      </c>
      <c r="BD110" s="64">
        <f>BD109/AT109 -1</f>
        <v>-6.020066889632103E-2</v>
      </c>
      <c r="BE110" s="70">
        <f>BE109/AZ109 -1</f>
        <v>-6.8965517241379337E-2</v>
      </c>
      <c r="BF110" s="64">
        <f t="shared" ref="BF110:BM110" si="263">BF109/BA109 -1</f>
        <v>-0.20218579234972678</v>
      </c>
      <c r="BG110" s="64">
        <f t="shared" si="263"/>
        <v>0.85643564356435653</v>
      </c>
      <c r="BH110" s="64">
        <f t="shared" si="263"/>
        <v>5.555555555555558E-2</v>
      </c>
      <c r="BI110" s="64">
        <f t="shared" si="263"/>
        <v>-0.2170818505338078</v>
      </c>
      <c r="BJ110" s="70">
        <f t="shared" si="263"/>
        <v>9.9537037037036979E-2</v>
      </c>
      <c r="BK110" s="64">
        <f t="shared" si="263"/>
        <v>0.45205479452054798</v>
      </c>
      <c r="BL110" s="64">
        <f t="shared" si="263"/>
        <v>-0.34666666666666668</v>
      </c>
      <c r="BM110" s="64">
        <f t="shared" si="263"/>
        <v>0.10526315789473695</v>
      </c>
      <c r="BN110" s="64">
        <f t="shared" ref="BN110" si="264">BN109/BI109 -1</f>
        <v>0.1227272727272728</v>
      </c>
      <c r="BO110" s="70">
        <f t="shared" ref="BO110" si="265">BO109/BJ109 -1</f>
        <v>-1.5789473684210575E-2</v>
      </c>
      <c r="BP110" s="70"/>
      <c r="BQ110" s="121">
        <f t="shared" ref="BQ110" si="266">BQ109/BK109 -1</f>
        <v>9.7298113207547221E-2</v>
      </c>
      <c r="BR110" s="64">
        <f t="shared" ref="BR110" si="267">BR109/BL109 -1</f>
        <v>3.3842857142857286E-2</v>
      </c>
      <c r="BS110" s="64">
        <f t="shared" ref="BS110" si="268">BS109/BM109 -1</f>
        <v>4.3250000000000011E-2</v>
      </c>
      <c r="BT110" s="122">
        <f>BT109/BN109 -1</f>
        <v>0.1329983805668018</v>
      </c>
      <c r="BU110" s="70">
        <f>BU109/BO109 -1</f>
        <v>7.6748716577540232E-2</v>
      </c>
      <c r="BV110" s="121"/>
      <c r="BW110" s="64"/>
      <c r="BX110" s="64"/>
      <c r="BY110" s="122"/>
      <c r="BZ110" s="70">
        <f>BZ109/BU109 -1</f>
        <v>7.5033134757383602E-2</v>
      </c>
      <c r="CA110" s="121"/>
      <c r="CB110" s="64"/>
      <c r="CC110" s="64"/>
      <c r="CD110" s="122"/>
      <c r="CE110" s="70">
        <f>CE109/BZ109 -1</f>
        <v>6.0000000000000053E-2</v>
      </c>
      <c r="CF110" s="121"/>
      <c r="CG110" s="64"/>
      <c r="CH110" s="64"/>
      <c r="CI110" s="122"/>
      <c r="CJ110" s="70">
        <f>CJ109/CE109 -1</f>
        <v>6.0000000000000053E-2</v>
      </c>
      <c r="CK110" s="289"/>
      <c r="CL110" s="658"/>
      <c r="CM110" s="658"/>
      <c r="CN110" s="682"/>
      <c r="CO110" s="658"/>
      <c r="CP110" s="658"/>
      <c r="CQ110" s="658"/>
      <c r="CR110" s="658"/>
      <c r="CS110" s="658"/>
      <c r="CT110" s="289"/>
    </row>
    <row r="111" spans="1:107" s="299" customFormat="1">
      <c r="A111" s="27" t="s">
        <v>143</v>
      </c>
      <c r="B111" s="76">
        <f t="shared" ref="B111:AG111" si="269">B4-B109</f>
        <v>2027</v>
      </c>
      <c r="C111" s="76">
        <f t="shared" si="269"/>
        <v>2077</v>
      </c>
      <c r="D111" s="76">
        <f t="shared" si="269"/>
        <v>2533</v>
      </c>
      <c r="E111" s="76">
        <f t="shared" si="269"/>
        <v>3039</v>
      </c>
      <c r="F111" s="76">
        <f t="shared" si="269"/>
        <v>3259</v>
      </c>
      <c r="G111" s="76">
        <f t="shared" si="269"/>
        <v>3529</v>
      </c>
      <c r="H111" s="110">
        <f t="shared" si="269"/>
        <v>893</v>
      </c>
      <c r="I111" s="110">
        <f t="shared" si="269"/>
        <v>954</v>
      </c>
      <c r="J111" s="110">
        <f t="shared" si="269"/>
        <v>941</v>
      </c>
      <c r="K111" s="109">
        <f t="shared" si="269"/>
        <v>1079</v>
      </c>
      <c r="L111" s="76">
        <f t="shared" si="269"/>
        <v>3867</v>
      </c>
      <c r="M111" s="109">
        <f t="shared" si="269"/>
        <v>981</v>
      </c>
      <c r="N111" s="110">
        <f t="shared" si="269"/>
        <v>1048</v>
      </c>
      <c r="O111" s="110">
        <f t="shared" si="269"/>
        <v>1070</v>
      </c>
      <c r="P111" s="109">
        <f t="shared" si="269"/>
        <v>1179</v>
      </c>
      <c r="Q111" s="111">
        <f t="shared" si="269"/>
        <v>4278</v>
      </c>
      <c r="R111" s="109">
        <f t="shared" si="269"/>
        <v>1074</v>
      </c>
      <c r="S111" s="110">
        <f t="shared" si="269"/>
        <v>1130</v>
      </c>
      <c r="T111" s="110">
        <f t="shared" si="269"/>
        <v>1170</v>
      </c>
      <c r="U111" s="109">
        <f t="shared" si="269"/>
        <v>1292</v>
      </c>
      <c r="V111" s="76">
        <f t="shared" si="269"/>
        <v>4666</v>
      </c>
      <c r="W111" s="109">
        <f t="shared" si="269"/>
        <v>1128</v>
      </c>
      <c r="X111" s="110">
        <f t="shared" si="269"/>
        <v>1134</v>
      </c>
      <c r="Y111" s="29">
        <f t="shared" si="269"/>
        <v>1113</v>
      </c>
      <c r="Z111" s="59">
        <f t="shared" si="269"/>
        <v>1225</v>
      </c>
      <c r="AA111" s="111">
        <f t="shared" si="269"/>
        <v>4600</v>
      </c>
      <c r="AB111" s="109">
        <f t="shared" si="269"/>
        <v>1026</v>
      </c>
      <c r="AC111" s="110">
        <f t="shared" si="269"/>
        <v>1069</v>
      </c>
      <c r="AD111" s="29">
        <f t="shared" si="269"/>
        <v>972</v>
      </c>
      <c r="AE111" s="109">
        <f t="shared" si="269"/>
        <v>1055</v>
      </c>
      <c r="AF111" s="76">
        <f t="shared" si="269"/>
        <v>5443</v>
      </c>
      <c r="AG111" s="110">
        <f t="shared" si="269"/>
        <v>1340</v>
      </c>
      <c r="AH111" s="110">
        <f t="shared" ref="AH111:BL111" si="270">AH4-AH109</f>
        <v>1305</v>
      </c>
      <c r="AI111" s="110">
        <f t="shared" si="270"/>
        <v>1332</v>
      </c>
      <c r="AJ111" s="109">
        <f t="shared" si="270"/>
        <v>1468</v>
      </c>
      <c r="AK111" s="76">
        <f t="shared" si="270"/>
        <v>5445</v>
      </c>
      <c r="AL111" s="29">
        <f t="shared" si="270"/>
        <v>1334</v>
      </c>
      <c r="AM111" s="29">
        <f t="shared" si="270"/>
        <v>1395</v>
      </c>
      <c r="AN111" s="29">
        <f t="shared" si="270"/>
        <v>1317</v>
      </c>
      <c r="AO111" s="109">
        <f t="shared" si="270"/>
        <v>1328</v>
      </c>
      <c r="AP111" s="76">
        <f t="shared" si="270"/>
        <v>5374</v>
      </c>
      <c r="AQ111" s="29">
        <f t="shared" si="270"/>
        <v>1254.5999999999999</v>
      </c>
      <c r="AR111" s="29">
        <f t="shared" si="270"/>
        <v>1330</v>
      </c>
      <c r="AS111" s="29">
        <f t="shared" si="270"/>
        <v>1198</v>
      </c>
      <c r="AT111" s="109">
        <f t="shared" si="270"/>
        <v>1328</v>
      </c>
      <c r="AU111" s="76">
        <f t="shared" si="270"/>
        <v>5110.6000000000004</v>
      </c>
      <c r="AV111" s="29"/>
      <c r="AW111" s="29"/>
      <c r="AX111" s="29"/>
      <c r="AY111" s="109"/>
      <c r="AZ111" s="76">
        <f t="shared" ref="AZ111" si="271">AZ4-AZ109</f>
        <v>4672</v>
      </c>
      <c r="BA111" s="29">
        <f t="shared" si="270"/>
        <v>1124</v>
      </c>
      <c r="BB111" s="29">
        <f t="shared" si="270"/>
        <v>1363</v>
      </c>
      <c r="BC111" s="29">
        <f t="shared" si="270"/>
        <v>1219</v>
      </c>
      <c r="BD111" s="109">
        <f t="shared" si="270"/>
        <v>1277</v>
      </c>
      <c r="BE111" s="76">
        <f t="shared" si="270"/>
        <v>4983</v>
      </c>
      <c r="BF111" s="29">
        <f t="shared" si="270"/>
        <v>1190</v>
      </c>
      <c r="BG111" s="29">
        <f t="shared" si="270"/>
        <v>1024</v>
      </c>
      <c r="BH111" s="29">
        <f t="shared" si="270"/>
        <v>1125</v>
      </c>
      <c r="BI111" s="109">
        <f t="shared" si="270"/>
        <v>1187</v>
      </c>
      <c r="BJ111" s="76">
        <f t="shared" si="270"/>
        <v>4526</v>
      </c>
      <c r="BK111" s="29">
        <f t="shared" si="270"/>
        <v>1186</v>
      </c>
      <c r="BL111" s="29">
        <f t="shared" si="270"/>
        <v>1217</v>
      </c>
      <c r="BM111" s="29">
        <f t="shared" ref="BM111:BO111" si="272">BM4-BM109</f>
        <v>1160</v>
      </c>
      <c r="BN111" s="109">
        <f t="shared" si="272"/>
        <v>1306</v>
      </c>
      <c r="BO111" s="76">
        <f t="shared" si="272"/>
        <v>4869</v>
      </c>
      <c r="BP111" s="76"/>
      <c r="BQ111" s="90">
        <f t="shared" ref="BQ111:BU111" si="273">BQ4-BQ109</f>
        <v>1221.2928000000002</v>
      </c>
      <c r="BR111" s="28">
        <f t="shared" si="273"/>
        <v>1281.8085000000001</v>
      </c>
      <c r="BS111" s="28">
        <f t="shared" si="273"/>
        <v>1219.55925</v>
      </c>
      <c r="BT111" s="30">
        <f t="shared" si="273"/>
        <v>1366.3294000000001</v>
      </c>
      <c r="BU111" s="76">
        <f t="shared" si="273"/>
        <v>5088.989950000001</v>
      </c>
      <c r="BV111" s="90"/>
      <c r="BW111" s="28"/>
      <c r="BX111" s="28"/>
      <c r="BY111" s="30"/>
      <c r="BZ111" s="76">
        <f>BZ4-BZ109</f>
        <v>5379.194587500001</v>
      </c>
      <c r="CA111" s="90"/>
      <c r="CB111" s="28"/>
      <c r="CC111" s="28"/>
      <c r="CD111" s="30"/>
      <c r="CE111" s="76">
        <f>CE4-CE109</f>
        <v>5701.9462627500016</v>
      </c>
      <c r="CF111" s="90"/>
      <c r="CG111" s="28"/>
      <c r="CH111" s="28"/>
      <c r="CI111" s="30"/>
      <c r="CJ111" s="76">
        <f>CJ4-CJ109</f>
        <v>6044.0630385150025</v>
      </c>
      <c r="CK111" s="290"/>
      <c r="CL111" s="658"/>
      <c r="CM111" s="658"/>
      <c r="CN111" s="682"/>
      <c r="CO111" s="658"/>
      <c r="CP111" s="658"/>
      <c r="CQ111" s="658"/>
      <c r="CR111" s="658"/>
      <c r="CS111" s="658"/>
      <c r="CT111" s="290"/>
      <c r="CX111"/>
      <c r="CY111"/>
      <c r="CZ111"/>
      <c r="DA111"/>
      <c r="DB111"/>
      <c r="DC111"/>
    </row>
    <row r="112" spans="1:107">
      <c r="A112" s="62" t="s">
        <v>137</v>
      </c>
      <c r="B112" s="70"/>
      <c r="C112" s="70">
        <f>C111/B111-1</f>
        <v>2.4666995559940785E-2</v>
      </c>
      <c r="D112" s="70">
        <f>D111/C111-1</f>
        <v>0.21954742416947526</v>
      </c>
      <c r="E112" s="70">
        <f>E111/D111-1</f>
        <v>0.19976312672720087</v>
      </c>
      <c r="F112" s="70">
        <f>F111/E111-1</f>
        <v>7.239223428759467E-2</v>
      </c>
      <c r="G112" s="70">
        <f>G111/F111-1</f>
        <v>8.2847499232893584E-2</v>
      </c>
      <c r="H112" s="118"/>
      <c r="I112" s="64"/>
      <c r="J112" s="64"/>
      <c r="K112" s="64"/>
      <c r="L112" s="70">
        <f t="shared" ref="L112:AF112" si="274">L111/G111-1</f>
        <v>9.5777840748087373E-2</v>
      </c>
      <c r="M112" s="64">
        <f t="shared" si="274"/>
        <v>9.85442329227324E-2</v>
      </c>
      <c r="N112" s="64">
        <f t="shared" si="274"/>
        <v>9.8532494758909905E-2</v>
      </c>
      <c r="O112" s="64">
        <f t="shared" si="274"/>
        <v>0.13708820403825728</v>
      </c>
      <c r="P112" s="64">
        <f t="shared" si="274"/>
        <v>9.2678405931418073E-2</v>
      </c>
      <c r="Q112" s="70">
        <f t="shared" si="274"/>
        <v>0.10628394103956551</v>
      </c>
      <c r="R112" s="64">
        <f t="shared" si="274"/>
        <v>9.4801223241590238E-2</v>
      </c>
      <c r="S112" s="64">
        <f t="shared" si="274"/>
        <v>7.8244274809160297E-2</v>
      </c>
      <c r="T112" s="64">
        <f t="shared" si="274"/>
        <v>9.3457943925233655E-2</v>
      </c>
      <c r="U112" s="64">
        <f t="shared" si="274"/>
        <v>9.5843935538592051E-2</v>
      </c>
      <c r="V112" s="70">
        <f t="shared" si="274"/>
        <v>9.0696587190275846E-2</v>
      </c>
      <c r="W112" s="64">
        <f t="shared" si="274"/>
        <v>5.027932960893855E-2</v>
      </c>
      <c r="X112" s="64">
        <f t="shared" si="274"/>
        <v>3.5398230088494742E-3</v>
      </c>
      <c r="Y112" s="64">
        <f t="shared" si="274"/>
        <v>-4.8717948717948767E-2</v>
      </c>
      <c r="Z112" s="64">
        <f t="shared" si="274"/>
        <v>-5.1857585139318929E-2</v>
      </c>
      <c r="AA112" s="70">
        <f t="shared" si="274"/>
        <v>-1.4144877839691428E-2</v>
      </c>
      <c r="AB112" s="64">
        <f t="shared" si="274"/>
        <v>-9.0425531914893664E-2</v>
      </c>
      <c r="AC112" s="64">
        <f t="shared" si="274"/>
        <v>-5.7319223985890622E-2</v>
      </c>
      <c r="AD112" s="64">
        <f t="shared" si="274"/>
        <v>-0.12668463611859837</v>
      </c>
      <c r="AE112" s="64">
        <f t="shared" si="274"/>
        <v>-0.13877551020408163</v>
      </c>
      <c r="AF112" s="70">
        <f t="shared" si="274"/>
        <v>0.18326086956521737</v>
      </c>
      <c r="AG112" s="64">
        <f t="shared" ref="AG112:AS112" si="275">AG111/AB111 -1</f>
        <v>0.30604288499025345</v>
      </c>
      <c r="AH112" s="64">
        <f t="shared" si="275"/>
        <v>0.22076707202993462</v>
      </c>
      <c r="AI112" s="64">
        <f t="shared" si="275"/>
        <v>0.37037037037037046</v>
      </c>
      <c r="AJ112" s="64">
        <f t="shared" si="275"/>
        <v>0.39146919431279614</v>
      </c>
      <c r="AK112" s="70">
        <f t="shared" si="275"/>
        <v>3.6744442403091604E-4</v>
      </c>
      <c r="AL112" s="64">
        <f t="shared" si="275"/>
        <v>-4.4776119402984982E-3</v>
      </c>
      <c r="AM112" s="64">
        <f t="shared" si="275"/>
        <v>6.8965517241379226E-2</v>
      </c>
      <c r="AN112" s="64">
        <f t="shared" si="275"/>
        <v>-1.1261261261261257E-2</v>
      </c>
      <c r="AO112" s="64">
        <f t="shared" si="275"/>
        <v>-9.5367847411444107E-2</v>
      </c>
      <c r="AP112" s="70">
        <f t="shared" si="275"/>
        <v>-1.3039485766758507E-2</v>
      </c>
      <c r="AQ112" s="64">
        <f t="shared" si="275"/>
        <v>-5.9520239880060055E-2</v>
      </c>
      <c r="AR112" s="64">
        <f t="shared" si="275"/>
        <v>-4.6594982078853042E-2</v>
      </c>
      <c r="AS112" s="64">
        <f t="shared" si="275"/>
        <v>-9.0356871678056172E-2</v>
      </c>
      <c r="AT112" s="64">
        <f t="shared" ref="AT112:AU112" si="276">AT111/AO111 -1</f>
        <v>0</v>
      </c>
      <c r="AU112" s="70">
        <f t="shared" si="276"/>
        <v>-4.9013770003721535E-2</v>
      </c>
      <c r="AV112" s="64"/>
      <c r="AW112" s="64"/>
      <c r="AX112" s="64"/>
      <c r="AY112" s="64"/>
      <c r="AZ112" s="70">
        <f t="shared" ref="AZ112" si="277">AZ111/AU111 -1</f>
        <v>-8.5821625640825072E-2</v>
      </c>
      <c r="BA112" s="64">
        <f>BA111/AQ111 -1</f>
        <v>-0.10409692332217435</v>
      </c>
      <c r="BB112" s="64">
        <f>BB111/AR111 -1</f>
        <v>2.4812030075187952E-2</v>
      </c>
      <c r="BC112" s="64">
        <f>BC111/AS111 -1</f>
        <v>1.7529215358931483E-2</v>
      </c>
      <c r="BD112" s="64">
        <f>BD111/AT111 -1</f>
        <v>-3.8403614457831359E-2</v>
      </c>
      <c r="BE112" s="70">
        <f>BE111/AZ111 -1</f>
        <v>6.6566780821917915E-2</v>
      </c>
      <c r="BF112" s="64">
        <f t="shared" ref="BF112:BM112" si="278">BF111/BA111 -1</f>
        <v>5.8718861209964501E-2</v>
      </c>
      <c r="BG112" s="64">
        <f t="shared" si="278"/>
        <v>-0.24871606749816577</v>
      </c>
      <c r="BH112" s="64">
        <f t="shared" si="278"/>
        <v>-7.7112387202625143E-2</v>
      </c>
      <c r="BI112" s="64">
        <f t="shared" si="278"/>
        <v>-7.0477682067345393E-2</v>
      </c>
      <c r="BJ112" s="70">
        <f t="shared" si="278"/>
        <v>-9.1711820188641435E-2</v>
      </c>
      <c r="BK112" s="64">
        <f t="shared" si="278"/>
        <v>-3.3613445378151141E-3</v>
      </c>
      <c r="BL112" s="64">
        <f t="shared" si="278"/>
        <v>0.1884765625</v>
      </c>
      <c r="BM112" s="64">
        <f t="shared" si="278"/>
        <v>3.1111111111111089E-2</v>
      </c>
      <c r="BN112" s="64">
        <f t="shared" ref="BN112" si="279">BN111/BI111 -1</f>
        <v>0.10025273799494516</v>
      </c>
      <c r="BO112" s="70">
        <f t="shared" ref="BO112" si="280">BO111/BJ111 -1</f>
        <v>7.5784357048166218E-2</v>
      </c>
      <c r="BP112" s="70"/>
      <c r="BQ112" s="121">
        <f t="shared" ref="BQ112" si="281">BQ111/BK111 -1</f>
        <v>2.9757841483979863E-2</v>
      </c>
      <c r="BR112" s="64">
        <f t="shared" ref="BR112" si="282">BR111/BL111 -1</f>
        <v>5.3252670501232613E-2</v>
      </c>
      <c r="BS112" s="64">
        <f t="shared" ref="BS112" si="283">BS111/BM111 -1</f>
        <v>5.1344181034482794E-2</v>
      </c>
      <c r="BT112" s="122">
        <f>BT111/BN111 -1</f>
        <v>4.6194027565084284E-2</v>
      </c>
      <c r="BU112" s="70">
        <f>BU111/BO111 -1</f>
        <v>4.5181751899774358E-2</v>
      </c>
      <c r="BV112" s="121"/>
      <c r="BW112" s="64"/>
      <c r="BX112" s="64"/>
      <c r="BY112" s="122"/>
      <c r="BZ112" s="70">
        <f>BZ111/BU111 -1</f>
        <v>5.7025979683846595E-2</v>
      </c>
      <c r="CA112" s="121"/>
      <c r="CB112" s="64"/>
      <c r="CC112" s="64"/>
      <c r="CD112" s="122"/>
      <c r="CE112" s="70">
        <f>CE111/BZ111 -1</f>
        <v>6.0000000000000053E-2</v>
      </c>
      <c r="CF112" s="121"/>
      <c r="CG112" s="64"/>
      <c r="CH112" s="64"/>
      <c r="CI112" s="122"/>
      <c r="CJ112" s="70">
        <f>CJ111/CE111 -1</f>
        <v>6.0000000000000053E-2</v>
      </c>
      <c r="CK112" s="289"/>
      <c r="CL112" s="745"/>
      <c r="CM112" s="745"/>
      <c r="CN112" s="682"/>
      <c r="CO112" s="658"/>
      <c r="CP112" s="658"/>
      <c r="CQ112" s="658"/>
      <c r="CR112" s="658"/>
      <c r="CS112" s="658"/>
      <c r="CT112" s="289"/>
    </row>
    <row r="113" spans="1:107" s="612" customFormat="1" hidden="1">
      <c r="A113" s="627" t="s">
        <v>236</v>
      </c>
      <c r="B113" s="628"/>
      <c r="C113" s="628"/>
      <c r="D113" s="628"/>
      <c r="E113" s="628"/>
      <c r="F113" s="628"/>
      <c r="G113" s="628"/>
      <c r="H113" s="629"/>
      <c r="I113" s="629"/>
      <c r="J113" s="629"/>
      <c r="K113" s="629"/>
      <c r="L113" s="628"/>
      <c r="M113" s="629"/>
      <c r="N113" s="629"/>
      <c r="O113" s="629"/>
      <c r="P113" s="629"/>
      <c r="Q113" s="628"/>
      <c r="R113" s="629"/>
      <c r="S113" s="629"/>
      <c r="T113" s="629"/>
      <c r="U113" s="629"/>
      <c r="V113" s="628"/>
      <c r="W113" s="630"/>
      <c r="X113" s="629"/>
      <c r="Y113" s="630"/>
      <c r="Z113" s="630"/>
      <c r="AA113" s="631"/>
      <c r="AB113" s="630"/>
      <c r="AC113" s="629"/>
      <c r="AD113" s="629"/>
      <c r="AE113" s="629"/>
      <c r="AF113" s="631"/>
      <c r="AG113" s="630"/>
      <c r="AH113" s="629"/>
      <c r="AI113" s="629"/>
      <c r="AJ113" s="629"/>
      <c r="AK113" s="628">
        <f t="shared" ref="AK113:BE113" si="284">AK115/AK4</f>
        <v>0.16343191620455946</v>
      </c>
      <c r="AL113" s="629">
        <f t="shared" si="284"/>
        <v>0.16729323308270677</v>
      </c>
      <c r="AM113" s="629">
        <f t="shared" si="284"/>
        <v>0.17547937245787332</v>
      </c>
      <c r="AN113" s="629">
        <f t="shared" si="284"/>
        <v>0.18902058640049907</v>
      </c>
      <c r="AO113" s="629">
        <f t="shared" si="284"/>
        <v>0.15933715742511154</v>
      </c>
      <c r="AP113" s="628">
        <f t="shared" si="284"/>
        <v>0.17290799815071659</v>
      </c>
      <c r="AQ113" s="629">
        <f t="shared" si="284"/>
        <v>0.17582714382174205</v>
      </c>
      <c r="AR113" s="629">
        <f t="shared" si="284"/>
        <v>0.19883795997417689</v>
      </c>
      <c r="AS113" s="629">
        <f t="shared" si="284"/>
        <v>0.16316526610644258</v>
      </c>
      <c r="AT113" s="629">
        <f t="shared" si="284"/>
        <v>0.14013521819299324</v>
      </c>
      <c r="AU113" s="628">
        <f t="shared" si="284"/>
        <v>0.16917009038619557</v>
      </c>
      <c r="AV113" s="629"/>
      <c r="AW113" s="629"/>
      <c r="AX113" s="629"/>
      <c r="AY113" s="629"/>
      <c r="AZ113" s="628">
        <f t="shared" ref="AZ113" si="285">AZ115/AZ4</f>
        <v>0.17553571428571429</v>
      </c>
      <c r="BA113" s="629">
        <f t="shared" si="284"/>
        <v>0.12930374904361133</v>
      </c>
      <c r="BB113" s="629">
        <f t="shared" si="284"/>
        <v>0.13226837060702876</v>
      </c>
      <c r="BC113" s="629">
        <f t="shared" si="284"/>
        <v>0.14326040931545519</v>
      </c>
      <c r="BD113" s="629">
        <f t="shared" si="284"/>
        <v>0.21822849807445444</v>
      </c>
      <c r="BE113" s="628">
        <f t="shared" si="284"/>
        <v>0.15717461946297245</v>
      </c>
      <c r="BF113" s="633"/>
      <c r="BG113" s="633"/>
      <c r="BH113" s="633"/>
      <c r="BI113" s="634"/>
      <c r="BJ113" s="628"/>
      <c r="BK113" s="633"/>
      <c r="BL113" s="633"/>
      <c r="BM113" s="633"/>
      <c r="BN113" s="634"/>
      <c r="BO113" s="628"/>
      <c r="BP113" s="628"/>
      <c r="BQ113" s="633"/>
      <c r="BR113" s="633"/>
      <c r="BS113" s="633"/>
      <c r="BT113" s="634"/>
      <c r="BU113" s="628"/>
      <c r="BV113" s="633"/>
      <c r="BW113" s="633"/>
      <c r="BX113" s="633"/>
      <c r="BY113" s="634"/>
      <c r="BZ113" s="628"/>
      <c r="CA113" s="633"/>
      <c r="CB113" s="633"/>
      <c r="CC113" s="633"/>
      <c r="CD113" s="634"/>
      <c r="CE113" s="628"/>
      <c r="CF113" s="633"/>
      <c r="CG113" s="633"/>
      <c r="CH113" s="633"/>
      <c r="CI113" s="634"/>
      <c r="CJ113" s="628"/>
      <c r="CK113" s="611"/>
      <c r="CL113" s="677"/>
      <c r="CM113" s="677"/>
      <c r="CN113" s="677"/>
      <c r="CO113" s="981"/>
      <c r="CP113" s="677"/>
      <c r="CQ113" s="677"/>
      <c r="CR113" s="677"/>
      <c r="CS113" s="677"/>
      <c r="CT113" s="430"/>
      <c r="CX113"/>
      <c r="CY113"/>
      <c r="CZ113"/>
      <c r="DA113"/>
      <c r="DB113"/>
      <c r="DC113"/>
    </row>
    <row r="114" spans="1:107" s="316" customFormat="1" hidden="1">
      <c r="A114" s="613" t="s">
        <v>140</v>
      </c>
      <c r="B114" s="614"/>
      <c r="C114" s="114"/>
      <c r="D114" s="114"/>
      <c r="E114" s="114"/>
      <c r="F114" s="114"/>
      <c r="G114" s="114"/>
      <c r="H114" s="113"/>
      <c r="I114" s="113"/>
      <c r="J114" s="113"/>
      <c r="K114" s="113"/>
      <c r="L114" s="114"/>
      <c r="M114" s="113"/>
      <c r="N114" s="113"/>
      <c r="O114" s="113"/>
      <c r="P114" s="113"/>
      <c r="Q114" s="114"/>
      <c r="R114" s="113"/>
      <c r="S114" s="113"/>
      <c r="T114" s="113"/>
      <c r="U114" s="113"/>
      <c r="V114" s="114"/>
      <c r="W114" s="113"/>
      <c r="X114" s="113"/>
      <c r="Y114" s="113"/>
      <c r="Z114" s="113"/>
      <c r="AA114" s="114"/>
      <c r="AB114" s="113"/>
      <c r="AC114" s="113"/>
      <c r="AD114" s="113"/>
      <c r="AE114" s="113"/>
      <c r="AF114" s="114"/>
      <c r="AG114" s="615"/>
      <c r="AH114" s="616"/>
      <c r="AI114" s="616"/>
      <c r="AJ114" s="615"/>
      <c r="AK114" s="617"/>
      <c r="AL114" s="615"/>
      <c r="AM114" s="615"/>
      <c r="AN114" s="615"/>
      <c r="AO114" s="615"/>
      <c r="AP114" s="617">
        <f>(AP113-AK106)*100</f>
        <v>1.1632582254228612</v>
      </c>
      <c r="AQ114" s="615">
        <f>(AQ113-AL106)*100</f>
        <v>1.1666742819235798</v>
      </c>
      <c r="AR114" s="615">
        <f>(AR113-AM106)*100</f>
        <v>0.94132069236248783</v>
      </c>
      <c r="AS114" s="615">
        <f>(AS113-AN106)*100</f>
        <v>-1.525020488544762</v>
      </c>
      <c r="AT114" s="615"/>
      <c r="AU114" s="617">
        <f t="shared" ref="AU114" si="286">(AU113-AP106)*100</f>
        <v>-0.26591591129568326</v>
      </c>
      <c r="AV114" s="615"/>
      <c r="AW114" s="615"/>
      <c r="AX114" s="615"/>
      <c r="AY114" s="615"/>
      <c r="AZ114" s="617">
        <f t="shared" ref="AZ114" si="287">(AZ113-AU106)*100</f>
        <v>1.5404243455804685</v>
      </c>
      <c r="BA114" s="615">
        <f>(BA113-AQ106)*100</f>
        <v>-2.3565933603248905</v>
      </c>
      <c r="BB114" s="615">
        <f>(BB113-AR106)*100</f>
        <v>-0.91131658681165018</v>
      </c>
      <c r="BC114" s="615">
        <f>(BC113-AS106)*100</f>
        <v>-1.780401645485294</v>
      </c>
      <c r="BD114" s="615">
        <f>(BD113-AT106)*100</f>
        <v>3.4454681233643121</v>
      </c>
      <c r="BE114" s="617">
        <f>(BE113-AZ106)*100</f>
        <v>-0.85396662513132493</v>
      </c>
      <c r="BF114" s="619"/>
      <c r="BG114" s="619"/>
      <c r="BH114" s="619"/>
      <c r="BI114" s="620"/>
      <c r="BJ114" s="617"/>
      <c r="BK114" s="619"/>
      <c r="BL114" s="619"/>
      <c r="BM114" s="619"/>
      <c r="BN114" s="620"/>
      <c r="BO114" s="617"/>
      <c r="BP114" s="617"/>
      <c r="BQ114" s="619"/>
      <c r="BR114" s="619"/>
      <c r="BS114" s="619"/>
      <c r="BT114" s="620"/>
      <c r="BU114" s="617"/>
      <c r="BV114" s="619"/>
      <c r="BW114" s="619"/>
      <c r="BX114" s="619"/>
      <c r="BY114" s="620"/>
      <c r="BZ114" s="617"/>
      <c r="CA114" s="619"/>
      <c r="CB114" s="619"/>
      <c r="CC114" s="619"/>
      <c r="CD114" s="620"/>
      <c r="CE114" s="617"/>
      <c r="CF114" s="619"/>
      <c r="CG114" s="619"/>
      <c r="CH114" s="619"/>
      <c r="CI114" s="620"/>
      <c r="CJ114" s="617"/>
      <c r="CK114" s="66"/>
      <c r="CL114" s="658"/>
      <c r="CM114" s="658"/>
      <c r="CN114" s="658"/>
      <c r="CO114" s="658"/>
      <c r="CP114" s="658"/>
      <c r="CQ114" s="658"/>
      <c r="CR114" s="658"/>
      <c r="CS114" s="658"/>
      <c r="CT114" s="289"/>
      <c r="CX114"/>
      <c r="CY114"/>
      <c r="CZ114"/>
      <c r="DA114"/>
      <c r="DB114"/>
      <c r="DC114"/>
    </row>
    <row r="115" spans="1:107" s="623" customFormat="1" hidden="1">
      <c r="A115" s="621" t="s">
        <v>237</v>
      </c>
      <c r="B115" s="433"/>
      <c r="C115" s="433"/>
      <c r="D115" s="433"/>
      <c r="E115" s="433"/>
      <c r="F115" s="433"/>
      <c r="G115" s="433"/>
      <c r="H115" s="437"/>
      <c r="I115" s="437"/>
      <c r="J115" s="437"/>
      <c r="K115" s="437"/>
      <c r="L115" s="433"/>
      <c r="M115" s="437"/>
      <c r="N115" s="437"/>
      <c r="O115" s="437"/>
      <c r="P115" s="437"/>
      <c r="Q115" s="433"/>
      <c r="R115" s="437"/>
      <c r="S115" s="437"/>
      <c r="T115" s="437"/>
      <c r="U115" s="437"/>
      <c r="V115" s="433"/>
      <c r="W115" s="401"/>
      <c r="X115" s="437"/>
      <c r="Y115" s="401"/>
      <c r="Z115" s="401"/>
      <c r="AA115" s="398"/>
      <c r="AB115" s="401"/>
      <c r="AC115" s="437"/>
      <c r="AD115" s="437"/>
      <c r="AE115" s="437"/>
      <c r="AF115" s="398"/>
      <c r="AG115" s="401"/>
      <c r="AH115" s="437"/>
      <c r="AI115" s="437"/>
      <c r="AJ115" s="437"/>
      <c r="AK115" s="433">
        <f t="shared" ref="AK115:AP115" si="288">AK109-AK117</f>
        <v>1061</v>
      </c>
      <c r="AL115" s="437">
        <f t="shared" si="288"/>
        <v>267</v>
      </c>
      <c r="AM115" s="437">
        <f t="shared" si="288"/>
        <v>302</v>
      </c>
      <c r="AN115" s="437">
        <f t="shared" si="288"/>
        <v>303</v>
      </c>
      <c r="AO115" s="437">
        <f t="shared" si="288"/>
        <v>250</v>
      </c>
      <c r="AP115" s="433">
        <f t="shared" si="288"/>
        <v>1122</v>
      </c>
      <c r="AQ115" s="437">
        <f t="shared" ref="AQ115:BA115" si="289">AQ109-AQ117</f>
        <v>260.39999999999998</v>
      </c>
      <c r="AR115" s="437">
        <f t="shared" si="289"/>
        <v>308</v>
      </c>
      <c r="AS115" s="437">
        <f t="shared" si="289"/>
        <v>233</v>
      </c>
      <c r="AT115" s="437">
        <f t="shared" si="289"/>
        <v>228</v>
      </c>
      <c r="AU115" s="433">
        <f t="shared" si="289"/>
        <v>1029.4000000000001</v>
      </c>
      <c r="AV115" s="437"/>
      <c r="AW115" s="437"/>
      <c r="AX115" s="437"/>
      <c r="AY115" s="437"/>
      <c r="AZ115" s="433">
        <f t="shared" ref="AZ115" si="290">AZ109-AZ117</f>
        <v>983</v>
      </c>
      <c r="BA115" s="437">
        <f t="shared" si="289"/>
        <v>169</v>
      </c>
      <c r="BB115" s="437">
        <f>BB109-BB117</f>
        <v>207</v>
      </c>
      <c r="BC115" s="437">
        <f>BC109-BC117</f>
        <v>203</v>
      </c>
      <c r="BD115" s="437">
        <f>BD109-BD117</f>
        <v>340</v>
      </c>
      <c r="BE115" s="433">
        <f>BE109-BE117</f>
        <v>919</v>
      </c>
      <c r="BF115" s="403"/>
      <c r="BG115" s="403"/>
      <c r="BH115" s="403"/>
      <c r="BI115" s="404"/>
      <c r="BJ115" s="433"/>
      <c r="BK115" s="403"/>
      <c r="BL115" s="403"/>
      <c r="BM115" s="403"/>
      <c r="BN115" s="404"/>
      <c r="BO115" s="433"/>
      <c r="BP115" s="433"/>
      <c r="BQ115" s="403"/>
      <c r="BR115" s="403"/>
      <c r="BS115" s="403"/>
      <c r="BT115" s="404"/>
      <c r="BU115" s="433"/>
      <c r="BV115" s="403"/>
      <c r="BW115" s="403"/>
      <c r="BX115" s="403"/>
      <c r="BY115" s="404"/>
      <c r="BZ115" s="433"/>
      <c r="CA115" s="403"/>
      <c r="CB115" s="403"/>
      <c r="CC115" s="403"/>
      <c r="CD115" s="404"/>
      <c r="CE115" s="433"/>
      <c r="CF115" s="403"/>
      <c r="CG115" s="403"/>
      <c r="CH115" s="403"/>
      <c r="CI115" s="404"/>
      <c r="CJ115" s="433"/>
      <c r="CK115" s="438"/>
      <c r="CL115" s="678"/>
      <c r="CM115" s="678"/>
      <c r="CN115" s="678"/>
      <c r="CO115" s="982"/>
      <c r="CP115" s="678"/>
      <c r="CQ115" s="678"/>
      <c r="CR115" s="678"/>
      <c r="CS115" s="678"/>
      <c r="CT115" s="400"/>
      <c r="CX115"/>
      <c r="CY115"/>
      <c r="CZ115"/>
      <c r="DA115"/>
      <c r="DB115"/>
      <c r="DC115"/>
    </row>
    <row r="116" spans="1:107" s="316" customFormat="1" hidden="1">
      <c r="A116" s="624" t="s">
        <v>137</v>
      </c>
      <c r="B116" s="378"/>
      <c r="C116" s="378"/>
      <c r="D116" s="378"/>
      <c r="E116" s="378"/>
      <c r="F116" s="378"/>
      <c r="G116" s="378"/>
      <c r="H116" s="382"/>
      <c r="I116" s="382"/>
      <c r="J116" s="382"/>
      <c r="K116" s="382"/>
      <c r="L116" s="378"/>
      <c r="M116" s="382"/>
      <c r="N116" s="382"/>
      <c r="O116" s="382"/>
      <c r="P116" s="382"/>
      <c r="Q116" s="378"/>
      <c r="R116" s="382"/>
      <c r="S116" s="382"/>
      <c r="T116" s="382"/>
      <c r="U116" s="382"/>
      <c r="V116" s="378"/>
      <c r="W116" s="64"/>
      <c r="X116" s="382"/>
      <c r="Y116" s="64"/>
      <c r="Z116" s="64"/>
      <c r="AA116" s="70"/>
      <c r="AB116" s="64"/>
      <c r="AC116" s="382"/>
      <c r="AD116" s="382"/>
      <c r="AE116" s="382"/>
      <c r="AF116" s="70"/>
      <c r="AG116" s="64"/>
      <c r="AH116" s="382"/>
      <c r="AI116" s="382"/>
      <c r="AJ116" s="382"/>
      <c r="AK116" s="378"/>
      <c r="AL116" s="382"/>
      <c r="AM116" s="382"/>
      <c r="AN116" s="382"/>
      <c r="AO116" s="382"/>
      <c r="AP116" s="378">
        <f>AP115/AK115-1</f>
        <v>5.7492931196984065E-2</v>
      </c>
      <c r="AQ116" s="382">
        <f>AQ115/AL115-1</f>
        <v>-2.4719101123595544E-2</v>
      </c>
      <c r="AR116" s="382">
        <f>AR115/AM115-1</f>
        <v>1.9867549668874274E-2</v>
      </c>
      <c r="AS116" s="382">
        <f>AS115/AN115-1</f>
        <v>-0.23102310231023104</v>
      </c>
      <c r="AT116" s="382"/>
      <c r="AU116" s="378">
        <f t="shared" ref="AU116" si="291">AU115/AP115-1</f>
        <v>-8.2531194295900057E-2</v>
      </c>
      <c r="AV116" s="382"/>
      <c r="AW116" s="382"/>
      <c r="AX116" s="382"/>
      <c r="AY116" s="382"/>
      <c r="AZ116" s="378">
        <f t="shared" ref="AZ116" si="292">AZ115/AU115-1</f>
        <v>-4.5074800854867036E-2</v>
      </c>
      <c r="BA116" s="382">
        <f>BA115/AQ115-1</f>
        <v>-0.35099846390168965</v>
      </c>
      <c r="BB116" s="382">
        <f>BB115/AR115-1</f>
        <v>-0.32792207792207795</v>
      </c>
      <c r="BC116" s="382">
        <f>BC115/AS115-1</f>
        <v>-0.128755364806867</v>
      </c>
      <c r="BD116" s="382">
        <f>BD115/AT115-1</f>
        <v>0.49122807017543857</v>
      </c>
      <c r="BE116" s="378">
        <f>BE115/AZ115-1</f>
        <v>-6.5106815869786394E-2</v>
      </c>
      <c r="BF116" s="238"/>
      <c r="BG116" s="238"/>
      <c r="BH116" s="238"/>
      <c r="BI116" s="241"/>
      <c r="BJ116" s="378"/>
      <c r="BK116" s="238"/>
      <c r="BL116" s="238"/>
      <c r="BM116" s="238"/>
      <c r="BN116" s="241"/>
      <c r="BO116" s="378"/>
      <c r="BP116" s="378"/>
      <c r="BQ116" s="238"/>
      <c r="BR116" s="238"/>
      <c r="BS116" s="238"/>
      <c r="BT116" s="241"/>
      <c r="BU116" s="378"/>
      <c r="BV116" s="238"/>
      <c r="BW116" s="238"/>
      <c r="BX116" s="238"/>
      <c r="BY116" s="241"/>
      <c r="BZ116" s="378"/>
      <c r="CA116" s="238"/>
      <c r="CB116" s="238"/>
      <c r="CC116" s="238"/>
      <c r="CD116" s="241"/>
      <c r="CE116" s="378"/>
      <c r="CF116" s="238"/>
      <c r="CG116" s="238"/>
      <c r="CH116" s="238"/>
      <c r="CI116" s="241"/>
      <c r="CJ116" s="378"/>
      <c r="CK116" s="66"/>
      <c r="CL116" s="983"/>
      <c r="CM116" s="658"/>
      <c r="CN116" s="658"/>
      <c r="CO116" s="658"/>
      <c r="CP116" s="658"/>
      <c r="CQ116" s="658"/>
      <c r="CR116" s="658"/>
      <c r="CS116" s="658"/>
      <c r="CT116" s="289"/>
      <c r="CX116"/>
      <c r="CY116"/>
      <c r="CZ116"/>
      <c r="DA116"/>
      <c r="DB116"/>
      <c r="DC116"/>
    </row>
    <row r="117" spans="1:107" s="623" customFormat="1" hidden="1">
      <c r="A117" s="625" t="s">
        <v>234</v>
      </c>
      <c r="B117" s="433"/>
      <c r="C117" s="433"/>
      <c r="D117" s="433"/>
      <c r="E117" s="433"/>
      <c r="F117" s="433"/>
      <c r="G117" s="433"/>
      <c r="H117" s="437"/>
      <c r="I117" s="437"/>
      <c r="J117" s="437"/>
      <c r="K117" s="437"/>
      <c r="L117" s="433"/>
      <c r="M117" s="437"/>
      <c r="N117" s="437"/>
      <c r="O117" s="437"/>
      <c r="P117" s="437"/>
      <c r="Q117" s="433"/>
      <c r="R117" s="437"/>
      <c r="S117" s="437"/>
      <c r="T117" s="437"/>
      <c r="U117" s="437"/>
      <c r="V117" s="433"/>
      <c r="W117" s="401"/>
      <c r="X117" s="437"/>
      <c r="Y117" s="401"/>
      <c r="Z117" s="401"/>
      <c r="AA117" s="398"/>
      <c r="AB117" s="401"/>
      <c r="AC117" s="437"/>
      <c r="AD117" s="437"/>
      <c r="AE117" s="437"/>
      <c r="AF117" s="398"/>
      <c r="AG117" s="401"/>
      <c r="AH117" s="437"/>
      <c r="AI117" s="437"/>
      <c r="AJ117" s="437"/>
      <c r="AK117" s="433">
        <v>-14</v>
      </c>
      <c r="AL117" s="437">
        <v>-5</v>
      </c>
      <c r="AM117" s="437">
        <v>24</v>
      </c>
      <c r="AN117" s="437">
        <v>-17</v>
      </c>
      <c r="AO117" s="437">
        <f>AP117-SUM(AL117:AN117)</f>
        <v>-9</v>
      </c>
      <c r="AP117" s="433">
        <v>-7</v>
      </c>
      <c r="AQ117" s="437">
        <v>-34</v>
      </c>
      <c r="AR117" s="672">
        <v>-89</v>
      </c>
      <c r="AS117" s="704">
        <v>-3</v>
      </c>
      <c r="AT117" s="437">
        <f>AU117-SUM(AQ117:AS117)</f>
        <v>71</v>
      </c>
      <c r="AU117" s="717">
        <v>-55</v>
      </c>
      <c r="AV117" s="437"/>
      <c r="AW117" s="672"/>
      <c r="AX117" s="704"/>
      <c r="AY117" s="437"/>
      <c r="AZ117" s="717">
        <v>-55</v>
      </c>
      <c r="BA117" s="672">
        <v>14</v>
      </c>
      <c r="BB117" s="672">
        <v>-5</v>
      </c>
      <c r="BC117" s="754">
        <v>-5</v>
      </c>
      <c r="BD117" s="437">
        <f>BE117-SUM(BA117:BC117)</f>
        <v>-59</v>
      </c>
      <c r="BE117" s="755">
        <v>-55</v>
      </c>
      <c r="BF117" s="403"/>
      <c r="BG117" s="403"/>
      <c r="BH117" s="403"/>
      <c r="BI117" s="404"/>
      <c r="BJ117" s="433"/>
      <c r="BK117" s="403"/>
      <c r="BL117" s="403"/>
      <c r="BM117" s="403"/>
      <c r="BN117" s="404"/>
      <c r="BO117" s="433"/>
      <c r="BP117" s="433"/>
      <c r="BQ117" s="403"/>
      <c r="BR117" s="403"/>
      <c r="BS117" s="403"/>
      <c r="BT117" s="404"/>
      <c r="BU117" s="433"/>
      <c r="BV117" s="403"/>
      <c r="BW117" s="403"/>
      <c r="BX117" s="403"/>
      <c r="BY117" s="404"/>
      <c r="BZ117" s="433"/>
      <c r="CA117" s="403"/>
      <c r="CB117" s="403"/>
      <c r="CC117" s="403"/>
      <c r="CD117" s="404"/>
      <c r="CE117" s="433"/>
      <c r="CF117" s="403"/>
      <c r="CG117" s="403"/>
      <c r="CH117" s="403"/>
      <c r="CI117" s="404"/>
      <c r="CJ117" s="433"/>
      <c r="CK117" s="438"/>
      <c r="CL117" s="678"/>
      <c r="CM117" s="678"/>
      <c r="CN117" s="678"/>
      <c r="CO117" s="982"/>
      <c r="CP117" s="678"/>
      <c r="CQ117" s="678"/>
      <c r="CR117" s="678"/>
      <c r="CS117" s="678"/>
      <c r="CT117" s="400"/>
      <c r="CX117"/>
      <c r="CY117"/>
      <c r="CZ117"/>
      <c r="DA117"/>
      <c r="DB117"/>
      <c r="DC117"/>
    </row>
    <row r="118" spans="1:107" s="612" customFormat="1" hidden="1">
      <c r="A118" s="626" t="s">
        <v>235</v>
      </c>
      <c r="B118" s="425"/>
      <c r="C118" s="425"/>
      <c r="D118" s="425"/>
      <c r="E118" s="425"/>
      <c r="F118" s="425"/>
      <c r="G118" s="425"/>
      <c r="H118" s="609"/>
      <c r="I118" s="609"/>
      <c r="J118" s="609"/>
      <c r="K118" s="609"/>
      <c r="L118" s="425"/>
      <c r="M118" s="609"/>
      <c r="N118" s="609"/>
      <c r="O118" s="609"/>
      <c r="P118" s="609"/>
      <c r="Q118" s="425"/>
      <c r="R118" s="609"/>
      <c r="S118" s="609"/>
      <c r="T118" s="609"/>
      <c r="U118" s="609"/>
      <c r="V118" s="425"/>
      <c r="W118" s="431"/>
      <c r="X118" s="609"/>
      <c r="Y118" s="431"/>
      <c r="Z118" s="431"/>
      <c r="AA118" s="474"/>
      <c r="AB118" s="431"/>
      <c r="AC118" s="609"/>
      <c r="AD118" s="609"/>
      <c r="AE118" s="609"/>
      <c r="AF118" s="474"/>
      <c r="AG118" s="431"/>
      <c r="AH118" s="609"/>
      <c r="AI118" s="609"/>
      <c r="AJ118" s="609"/>
      <c r="AK118" s="425">
        <f t="shared" ref="AK118:AR118" si="293">AK117/AK98</f>
        <v>-5.2822215514639298E-4</v>
      </c>
      <c r="AL118" s="609">
        <f t="shared" si="293"/>
        <v>-1.3865779256794233E-3</v>
      </c>
      <c r="AM118" s="609">
        <f t="shared" si="293"/>
        <v>4.5078888054094664E-3</v>
      </c>
      <c r="AN118" s="609">
        <f t="shared" si="293"/>
        <v>-2.9903254177660512E-3</v>
      </c>
      <c r="AO118" s="609">
        <f t="shared" si="293"/>
        <v>-1.1972861513901822E-3</v>
      </c>
      <c r="AP118" s="425">
        <f t="shared" si="293"/>
        <v>-3.162841135008133E-4</v>
      </c>
      <c r="AQ118" s="609">
        <f t="shared" si="293"/>
        <v>-7.9198695550896803E-3</v>
      </c>
      <c r="AR118" s="609">
        <f t="shared" si="293"/>
        <v>-1.3185185185185185E-2</v>
      </c>
      <c r="AS118" s="609">
        <f t="shared" ref="AS118:BC118" si="294">AS117/AS98</f>
        <v>-5.1037767948281724E-4</v>
      </c>
      <c r="AT118" s="609">
        <f t="shared" si="294"/>
        <v>9.956527836208106E-3</v>
      </c>
      <c r="AU118" s="425">
        <f t="shared" si="294"/>
        <v>-2.2867121237319142E-3</v>
      </c>
      <c r="AV118" s="609"/>
      <c r="AW118" s="609"/>
      <c r="AX118" s="609"/>
      <c r="AY118" s="609"/>
      <c r="AZ118" s="425">
        <f t="shared" ref="AZ118" si="295">AZ117/AZ98</f>
        <v>-2.2867121237319142E-3</v>
      </c>
      <c r="BA118" s="609">
        <f t="shared" si="294"/>
        <v>3.1312905390293E-3</v>
      </c>
      <c r="BB118" s="609">
        <f t="shared" si="294"/>
        <v>-6.5963060686015829E-4</v>
      </c>
      <c r="BC118" s="609">
        <f t="shared" si="294"/>
        <v>-9.4073377234242712E-4</v>
      </c>
      <c r="BD118" s="609">
        <f>BD117/BD98</f>
        <v>-7.5054064368400963E-3</v>
      </c>
      <c r="BE118" s="425">
        <f>BE117/BE98</f>
        <v>-2.1802037499504497E-3</v>
      </c>
      <c r="BF118" s="479"/>
      <c r="BG118" s="479"/>
      <c r="BH118" s="479"/>
      <c r="BI118" s="481"/>
      <c r="BJ118" s="425"/>
      <c r="BK118" s="479"/>
      <c r="BL118" s="479"/>
      <c r="BM118" s="479"/>
      <c r="BN118" s="481"/>
      <c r="BO118" s="425"/>
      <c r="BP118" s="425"/>
      <c r="BQ118" s="479"/>
      <c r="BR118" s="479"/>
      <c r="BS118" s="479"/>
      <c r="BT118" s="481"/>
      <c r="BU118" s="425"/>
      <c r="BV118" s="479"/>
      <c r="BW118" s="479"/>
      <c r="BX118" s="479"/>
      <c r="BY118" s="481"/>
      <c r="BZ118" s="425"/>
      <c r="CA118" s="479"/>
      <c r="CB118" s="479"/>
      <c r="CC118" s="479"/>
      <c r="CD118" s="481"/>
      <c r="CE118" s="425"/>
      <c r="CF118" s="479"/>
      <c r="CG118" s="479"/>
      <c r="CH118" s="479"/>
      <c r="CI118" s="481"/>
      <c r="CJ118" s="425"/>
      <c r="CK118" s="611"/>
      <c r="CL118" s="677"/>
      <c r="CM118" s="677"/>
      <c r="CN118" s="677"/>
      <c r="CO118" s="981"/>
      <c r="CP118" s="677"/>
      <c r="CQ118" s="677"/>
      <c r="CR118" s="677"/>
      <c r="CS118" s="677"/>
      <c r="CT118" s="430"/>
      <c r="CX118"/>
      <c r="CY118"/>
      <c r="CZ118"/>
      <c r="DA118"/>
      <c r="DB118"/>
      <c r="DC118"/>
    </row>
    <row r="119" spans="1:107" s="299" customFormat="1">
      <c r="A119" s="94" t="s">
        <v>132</v>
      </c>
      <c r="B119" s="101">
        <f t="shared" ref="B119:AG119" si="296">B122/B14</f>
        <v>8.0069124423963134E-2</v>
      </c>
      <c r="C119" s="101">
        <f t="shared" si="296"/>
        <v>9.5389507154213043E-2</v>
      </c>
      <c r="D119" s="101">
        <f t="shared" si="296"/>
        <v>9.4865525672371637E-2</v>
      </c>
      <c r="E119" s="101">
        <f t="shared" si="296"/>
        <v>8.6975149957155093E-2</v>
      </c>
      <c r="F119" s="101">
        <f t="shared" si="296"/>
        <v>9.1271422877640493E-2</v>
      </c>
      <c r="G119" s="101">
        <f t="shared" si="296"/>
        <v>9.1406249999999994E-2</v>
      </c>
      <c r="H119" s="102">
        <f t="shared" si="296"/>
        <v>9.3537414965986401E-2</v>
      </c>
      <c r="I119" s="102">
        <f t="shared" si="296"/>
        <v>9.45945945945946E-2</v>
      </c>
      <c r="J119" s="102">
        <f t="shared" si="296"/>
        <v>9.4117647058823528E-2</v>
      </c>
      <c r="K119" s="102">
        <f t="shared" si="296"/>
        <v>8.1683168316831686E-2</v>
      </c>
      <c r="L119" s="101">
        <f t="shared" si="296"/>
        <v>9.0444930707512763E-2</v>
      </c>
      <c r="M119" s="102">
        <f t="shared" si="296"/>
        <v>7.5144508670520235E-2</v>
      </c>
      <c r="N119" s="102">
        <f t="shared" si="296"/>
        <v>8.0820265379975872E-2</v>
      </c>
      <c r="O119" s="102">
        <f t="shared" si="296"/>
        <v>8.364544319600499E-2</v>
      </c>
      <c r="P119" s="102">
        <f t="shared" si="296"/>
        <v>8.2716049382716053E-2</v>
      </c>
      <c r="Q119" s="101">
        <f t="shared" si="296"/>
        <v>8.0779054916985948E-2</v>
      </c>
      <c r="R119" s="102">
        <f t="shared" si="296"/>
        <v>7.7806122448979595E-2</v>
      </c>
      <c r="S119" s="102">
        <f t="shared" si="296"/>
        <v>8.1280788177339899E-2</v>
      </c>
      <c r="T119" s="102">
        <f t="shared" si="296"/>
        <v>8.4472049689440998E-2</v>
      </c>
      <c r="U119" s="102">
        <f t="shared" si="296"/>
        <v>7.9701120797011207E-2</v>
      </c>
      <c r="V119" s="101">
        <f t="shared" si="296"/>
        <v>8.0836454431960053E-2</v>
      </c>
      <c r="W119" s="102">
        <f t="shared" si="296"/>
        <v>6.575342465753424E-2</v>
      </c>
      <c r="X119" s="102">
        <f t="shared" si="296"/>
        <v>-0.69915254237288138</v>
      </c>
      <c r="Y119" s="102">
        <f t="shared" si="296"/>
        <v>7.8911564625850333E-2</v>
      </c>
      <c r="Z119" s="102">
        <f t="shared" si="296"/>
        <v>8.1707317073170735E-2</v>
      </c>
      <c r="AA119" s="101">
        <f t="shared" si="296"/>
        <v>-5.694595574900254E-2</v>
      </c>
      <c r="AB119" s="102">
        <f t="shared" si="296"/>
        <v>-3.7333333333333336E-2</v>
      </c>
      <c r="AC119" s="102">
        <f t="shared" si="296"/>
        <v>7.3138297872340427E-2</v>
      </c>
      <c r="AD119" s="102">
        <f t="shared" si="296"/>
        <v>7.6315789473684212E-2</v>
      </c>
      <c r="AE119" s="102">
        <f t="shared" si="296"/>
        <v>9.8273572377158031E-2</v>
      </c>
      <c r="AF119" s="101">
        <f t="shared" si="296"/>
        <v>7.4188562596599686E-2</v>
      </c>
      <c r="AG119" s="102">
        <f t="shared" si="296"/>
        <v>8.5642317380352648E-2</v>
      </c>
      <c r="AH119" s="102">
        <f t="shared" ref="AH119:BJ119" si="297">AH122/AH14</f>
        <v>8.641202254226675E-2</v>
      </c>
      <c r="AI119" s="102">
        <f t="shared" si="297"/>
        <v>8.1447963800904979E-2</v>
      </c>
      <c r="AJ119" s="102">
        <f t="shared" si="297"/>
        <v>8.4840923268870869E-2</v>
      </c>
      <c r="AK119" s="101">
        <f t="shared" si="297"/>
        <v>8.4609313338595102E-2</v>
      </c>
      <c r="AL119" s="102">
        <f t="shared" si="297"/>
        <v>8.1525312294543059E-2</v>
      </c>
      <c r="AM119" s="102">
        <f t="shared" si="297"/>
        <v>8.3439490445859868E-2</v>
      </c>
      <c r="AN119" s="102">
        <f t="shared" si="297"/>
        <v>8.9572192513368981E-2</v>
      </c>
      <c r="AO119" s="102">
        <f t="shared" si="297"/>
        <v>8.2990397805212626E-2</v>
      </c>
      <c r="AP119" s="101">
        <f t="shared" si="297"/>
        <v>8.4367245657568243E-2</v>
      </c>
      <c r="AQ119" s="102">
        <f t="shared" si="297"/>
        <v>8.6074177746676001E-2</v>
      </c>
      <c r="AR119" s="102">
        <f t="shared" si="297"/>
        <v>8.238446081714669E-2</v>
      </c>
      <c r="AS119" s="102">
        <f t="shared" si="297"/>
        <v>8.137931034482758E-2</v>
      </c>
      <c r="AT119" s="102">
        <f t="shared" si="297"/>
        <v>8.6354647330257092E-2</v>
      </c>
      <c r="AU119" s="101">
        <f t="shared" si="297"/>
        <v>8.4055017829852266E-2</v>
      </c>
      <c r="AV119" s="102"/>
      <c r="AW119" s="102"/>
      <c r="AX119" s="102"/>
      <c r="AY119" s="102"/>
      <c r="AZ119" s="101">
        <f t="shared" ref="AZ119" si="298">AZ122/AZ14</f>
        <v>8.5503053680488592E-2</v>
      </c>
      <c r="BA119" s="102">
        <f t="shared" si="297"/>
        <v>0.20191649555099248</v>
      </c>
      <c r="BB119" s="102">
        <f t="shared" si="297"/>
        <v>7.6537013801756593E-2</v>
      </c>
      <c r="BC119" s="102">
        <f t="shared" si="297"/>
        <v>7.768268597761685E-2</v>
      </c>
      <c r="BD119" s="102">
        <f t="shared" si="297"/>
        <v>7.2218607677293434E-2</v>
      </c>
      <c r="BE119" s="101">
        <f t="shared" si="297"/>
        <v>0.10571101292750777</v>
      </c>
      <c r="BF119" s="103">
        <f t="shared" si="297"/>
        <v>6.7885117493472591E-2</v>
      </c>
      <c r="BG119" s="102">
        <f t="shared" si="297"/>
        <v>7.5517661388550553E-2</v>
      </c>
      <c r="BH119" s="102">
        <f t="shared" si="297"/>
        <v>7.9169370538611297E-2</v>
      </c>
      <c r="BI119" s="104">
        <f t="shared" si="297"/>
        <v>7.9107505070993914E-2</v>
      </c>
      <c r="BJ119" s="101">
        <f t="shared" si="297"/>
        <v>7.5395544074911211E-2</v>
      </c>
      <c r="BK119" s="103">
        <f t="shared" ref="BK119:BO119" si="299">BK122/BK14</f>
        <v>7.365627073656271E-2</v>
      </c>
      <c r="BL119" s="102">
        <f t="shared" si="299"/>
        <v>7.3954983922829579E-2</v>
      </c>
      <c r="BM119" s="102">
        <f t="shared" si="299"/>
        <v>7.2585871678548283E-2</v>
      </c>
      <c r="BN119" s="104">
        <f t="shared" si="299"/>
        <v>7.4427480916030533E-2</v>
      </c>
      <c r="BO119" s="101">
        <f t="shared" si="299"/>
        <v>7.3660352922130481E-2</v>
      </c>
      <c r="BP119" s="101">
        <f t="shared" ref="BP119" si="300">BP122/BP14</f>
        <v>7.3660352922130481E-2</v>
      </c>
      <c r="BQ119" s="347">
        <v>7.5999999999999998E-2</v>
      </c>
      <c r="BR119" s="345">
        <v>7.5999999999999998E-2</v>
      </c>
      <c r="BS119" s="345">
        <v>7.5999999999999998E-2</v>
      </c>
      <c r="BT119" s="348">
        <v>7.5999999999999998E-2</v>
      </c>
      <c r="BU119" s="101">
        <f>BU122/BU14</f>
        <v>7.5999999999999998E-2</v>
      </c>
      <c r="BV119" s="347"/>
      <c r="BW119" s="345"/>
      <c r="BX119" s="345"/>
      <c r="BY119" s="348"/>
      <c r="BZ119" s="346">
        <f>BU119+0.001</f>
        <v>7.6999999999999999E-2</v>
      </c>
      <c r="CA119" s="347"/>
      <c r="CB119" s="345"/>
      <c r="CC119" s="345"/>
      <c r="CD119" s="348"/>
      <c r="CE119" s="346">
        <f>BZ119+0.001</f>
        <v>7.8E-2</v>
      </c>
      <c r="CF119" s="347"/>
      <c r="CG119" s="345"/>
      <c r="CH119" s="345"/>
      <c r="CI119" s="348"/>
      <c r="CJ119" s="346">
        <f>CE119+0.001</f>
        <v>7.9000000000000001E-2</v>
      </c>
      <c r="CK119" s="290"/>
      <c r="CL119" s="657" t="s">
        <v>348</v>
      </c>
      <c r="CM119" s="658"/>
      <c r="CN119" s="682"/>
      <c r="CO119" s="658"/>
      <c r="CP119" s="658"/>
      <c r="CQ119" s="657"/>
      <c r="CR119" s="658"/>
      <c r="CS119" s="658"/>
      <c r="CT119" s="290"/>
      <c r="CX119"/>
      <c r="CY119"/>
      <c r="CZ119"/>
      <c r="DA119"/>
      <c r="DB119"/>
      <c r="DC119"/>
    </row>
    <row r="120" spans="1:107" s="308" customFormat="1">
      <c r="A120" s="112" t="s">
        <v>140</v>
      </c>
      <c r="B120" s="114"/>
      <c r="C120" s="114">
        <f>(C119-B119)*100</f>
        <v>1.5320382730249911</v>
      </c>
      <c r="D120" s="114">
        <f>(D119-C119)*100</f>
        <v>-5.239814818414068E-2</v>
      </c>
      <c r="E120" s="114">
        <f>(E119-D119)*100</f>
        <v>-0.78903757152165444</v>
      </c>
      <c r="F120" s="114">
        <f>(F119-E119)*100</f>
        <v>0.42962729204854</v>
      </c>
      <c r="G120" s="114">
        <f>(G119-F119)*100</f>
        <v>1.3482712235950156E-2</v>
      </c>
      <c r="H120" s="113"/>
      <c r="I120" s="113"/>
      <c r="J120" s="113"/>
      <c r="K120" s="113"/>
      <c r="L120" s="114">
        <f t="shared" ref="L120:AS120" si="301">(L119-G119)*100</f>
        <v>-9.6131929248723103E-2</v>
      </c>
      <c r="M120" s="113">
        <f t="shared" si="301"/>
        <v>-1.8392906295466167</v>
      </c>
      <c r="N120" s="113">
        <f t="shared" si="301"/>
        <v>-1.3774329214618728</v>
      </c>
      <c r="O120" s="113">
        <f t="shared" si="301"/>
        <v>-1.0472203862818539</v>
      </c>
      <c r="P120" s="113">
        <f t="shared" si="301"/>
        <v>0.10328810658843668</v>
      </c>
      <c r="Q120" s="114">
        <f t="shared" si="301"/>
        <v>-0.96658757905268144</v>
      </c>
      <c r="R120" s="113">
        <f t="shared" si="301"/>
        <v>0.26616137784593596</v>
      </c>
      <c r="S120" s="113">
        <f t="shared" si="301"/>
        <v>4.605227973640269E-2</v>
      </c>
      <c r="T120" s="113">
        <f t="shared" si="301"/>
        <v>8.2660649343600789E-2</v>
      </c>
      <c r="U120" s="113">
        <f t="shared" si="301"/>
        <v>-0.30149285857048458</v>
      </c>
      <c r="V120" s="114">
        <f t="shared" si="301"/>
        <v>5.7399514974104671E-3</v>
      </c>
      <c r="W120" s="113">
        <f t="shared" si="301"/>
        <v>-1.2052697791445355</v>
      </c>
      <c r="X120" s="113">
        <f t="shared" si="301"/>
        <v>-78.043333055022117</v>
      </c>
      <c r="Y120" s="113">
        <f t="shared" si="301"/>
        <v>-0.55604850635906644</v>
      </c>
      <c r="Z120" s="113">
        <f t="shared" si="301"/>
        <v>0.20061962761595276</v>
      </c>
      <c r="AA120" s="114">
        <f t="shared" si="301"/>
        <v>-13.77824101809626</v>
      </c>
      <c r="AB120" s="113">
        <f t="shared" si="301"/>
        <v>-10.308675799086759</v>
      </c>
      <c r="AC120" s="113">
        <f t="shared" si="301"/>
        <v>77.22908402452218</v>
      </c>
      <c r="AD120" s="113">
        <f t="shared" si="301"/>
        <v>-0.25957751521661215</v>
      </c>
      <c r="AE120" s="113">
        <f t="shared" si="301"/>
        <v>1.6566255303987296</v>
      </c>
      <c r="AF120" s="114">
        <f t="shared" si="301"/>
        <v>13.113451834560221</v>
      </c>
      <c r="AG120" s="113">
        <f t="shared" si="301"/>
        <v>12.297565071368599</v>
      </c>
      <c r="AH120" s="113">
        <f t="shared" si="301"/>
        <v>1.3273724669926323</v>
      </c>
      <c r="AI120" s="113">
        <f t="shared" si="301"/>
        <v>0.51321743272207676</v>
      </c>
      <c r="AJ120" s="113">
        <f t="shared" si="301"/>
        <v>-1.3432649108287162</v>
      </c>
      <c r="AK120" s="114">
        <f t="shared" si="301"/>
        <v>1.0420750741995417</v>
      </c>
      <c r="AL120" s="113">
        <f t="shared" si="301"/>
        <v>-0.41170050858095886</v>
      </c>
      <c r="AM120" s="113">
        <f t="shared" si="301"/>
        <v>-0.29725320964068824</v>
      </c>
      <c r="AN120" s="113">
        <f t="shared" si="301"/>
        <v>0.81242287124640011</v>
      </c>
      <c r="AO120" s="113">
        <f t="shared" si="301"/>
        <v>-0.18505254636582424</v>
      </c>
      <c r="AP120" s="114">
        <f t="shared" si="301"/>
        <v>-2.4206768102685849E-2</v>
      </c>
      <c r="AQ120" s="113">
        <f t="shared" si="301"/>
        <v>0.45488654521329414</v>
      </c>
      <c r="AR120" s="113">
        <f t="shared" si="301"/>
        <v>-0.10550296287131777</v>
      </c>
      <c r="AS120" s="113">
        <f t="shared" si="301"/>
        <v>-0.81928821685414022</v>
      </c>
      <c r="AT120" s="113">
        <f t="shared" ref="AT120:AU120" si="302">(AT119-AO119)*100</f>
        <v>0.33642495250444659</v>
      </c>
      <c r="AU120" s="114">
        <f t="shared" si="302"/>
        <v>-3.1222782771597735E-2</v>
      </c>
      <c r="AV120" s="113"/>
      <c r="AW120" s="113"/>
      <c r="AX120" s="113"/>
      <c r="AY120" s="113"/>
      <c r="AZ120" s="114">
        <f t="shared" ref="AZ120" si="303">(AZ119-AU119)*100</f>
        <v>0.14480358506363256</v>
      </c>
      <c r="BA120" s="113">
        <f>(BA119-AQ119)*100</f>
        <v>11.584231780431647</v>
      </c>
      <c r="BB120" s="113">
        <f>(BB119-AR119)*100</f>
        <v>-0.5847447015390097</v>
      </c>
      <c r="BC120" s="113">
        <f>(BC119-AS119)*100</f>
        <v>-0.36966243672107296</v>
      </c>
      <c r="BD120" s="113">
        <f>(BD119-AT119)*100</f>
        <v>-1.4136039652963659</v>
      </c>
      <c r="BE120" s="114">
        <f>(BE119-AZ119)*100</f>
        <v>2.0207959247019183</v>
      </c>
      <c r="BF120" s="113">
        <f t="shared" ref="BF120:BM120" si="304">(BF119-BA119)*100</f>
        <v>-13.403137805751989</v>
      </c>
      <c r="BG120" s="113">
        <f t="shared" si="304"/>
        <v>-0.101935241320604</v>
      </c>
      <c r="BH120" s="113">
        <f t="shared" si="304"/>
        <v>0.14866845609944473</v>
      </c>
      <c r="BI120" s="113">
        <f t="shared" si="304"/>
        <v>0.68888973937004794</v>
      </c>
      <c r="BJ120" s="114">
        <f t="shared" si="304"/>
        <v>-3.0315468852596563</v>
      </c>
      <c r="BK120" s="113">
        <f t="shared" si="304"/>
        <v>0.57711532430901191</v>
      </c>
      <c r="BL120" s="113">
        <f t="shared" si="304"/>
        <v>-0.15626774657209741</v>
      </c>
      <c r="BM120" s="113">
        <f t="shared" si="304"/>
        <v>-0.6583498860063014</v>
      </c>
      <c r="BN120" s="113">
        <f t="shared" ref="BN120" si="305">(BN119-BI119)*100</f>
        <v>-0.46800241549633803</v>
      </c>
      <c r="BO120" s="114">
        <f t="shared" ref="BO120" si="306">(BO119-BJ119)*100</f>
        <v>-0.17351911527807296</v>
      </c>
      <c r="BP120" s="114"/>
      <c r="BQ120" s="115">
        <f t="shared" ref="BQ120" si="307">(BQ119-BK119)*100</f>
        <v>0.23437292634372886</v>
      </c>
      <c r="BR120" s="113">
        <f t="shared" ref="BR120" si="308">(BR119-BL119)*100</f>
        <v>0.20450160771704196</v>
      </c>
      <c r="BS120" s="113">
        <f t="shared" ref="BS120" si="309">(BS119-BM119)*100</f>
        <v>0.34141283214517149</v>
      </c>
      <c r="BT120" s="116">
        <f>(BT119-BN119)*100</f>
        <v>0.15725190839694647</v>
      </c>
      <c r="BU120" s="114">
        <f>(BU119-BO119)*100</f>
        <v>0.23396470778695166</v>
      </c>
      <c r="BV120" s="115"/>
      <c r="BW120" s="113"/>
      <c r="BX120" s="113"/>
      <c r="BY120" s="116"/>
      <c r="BZ120" s="114">
        <f>(BZ119-BU119)*100</f>
        <v>0.10000000000000009</v>
      </c>
      <c r="CA120" s="115"/>
      <c r="CB120" s="113"/>
      <c r="CC120" s="113"/>
      <c r="CD120" s="116"/>
      <c r="CE120" s="114">
        <f>(CE119-BZ119)*100</f>
        <v>0.10000000000000009</v>
      </c>
      <c r="CF120" s="115"/>
      <c r="CG120" s="113"/>
      <c r="CH120" s="113"/>
      <c r="CI120" s="116"/>
      <c r="CJ120" s="114">
        <f>(CJ119-CE119)*100</f>
        <v>0.10000000000000009</v>
      </c>
      <c r="CK120" s="307"/>
      <c r="CL120" s="658"/>
      <c r="CM120" s="658"/>
      <c r="CN120" s="682"/>
      <c r="CO120" s="675"/>
      <c r="CP120" s="675"/>
      <c r="CQ120" s="675"/>
      <c r="CR120" s="675"/>
      <c r="CS120" s="675"/>
      <c r="CT120" s="307"/>
      <c r="CX120"/>
      <c r="CY120"/>
      <c r="CZ120"/>
      <c r="DA120"/>
      <c r="DB120"/>
      <c r="DC120"/>
    </row>
    <row r="121" spans="1:107" s="312" customFormat="1">
      <c r="A121" s="108" t="s">
        <v>141</v>
      </c>
      <c r="B121" s="160"/>
      <c r="C121" s="158">
        <f>(C122-B122)/(C14-B14)</f>
        <v>0.27152317880794702</v>
      </c>
      <c r="D121" s="158">
        <f>(D122-C122)/(D14-C14)</f>
        <v>8.8607594936708861E-2</v>
      </c>
      <c r="E121" s="158">
        <f>(E122-D122)/(E14-D14)</f>
        <v>3.1141868512110725E-2</v>
      </c>
      <c r="F121" s="158">
        <f>(F122-E122)/(F14-E14)</f>
        <v>0.14857142857142858</v>
      </c>
      <c r="G121" s="158">
        <f t="shared" ref="G121:BM121" si="310">IFERROR((G122-B122)/(G11-B11),0)</f>
        <v>6.0897435897435896E-2</v>
      </c>
      <c r="H121" s="161">
        <f t="shared" si="310"/>
        <v>7.2212593876372036E-2</v>
      </c>
      <c r="I121" s="161">
        <f t="shared" si="310"/>
        <v>3.9769277474195508E-2</v>
      </c>
      <c r="J121" s="161">
        <f t="shared" si="310"/>
        <v>7.4371321562332796E-2</v>
      </c>
      <c r="K121" s="161">
        <f t="shared" si="310"/>
        <v>5.207667731629393E-2</v>
      </c>
      <c r="L121" s="158">
        <f t="shared" si="310"/>
        <v>7.1868583162217657E-3</v>
      </c>
      <c r="M121" s="159">
        <f t="shared" si="310"/>
        <v>0.02</v>
      </c>
      <c r="N121" s="159">
        <f t="shared" si="310"/>
        <v>-5.7971014492753624E-2</v>
      </c>
      <c r="O121" s="159">
        <f t="shared" si="310"/>
        <v>-2.7051397655545538E-3</v>
      </c>
      <c r="P121" s="159">
        <f t="shared" si="310"/>
        <v>8.3682008368200832E-4</v>
      </c>
      <c r="Q121" s="158">
        <f t="shared" si="310"/>
        <v>-3.7593984962406013E-2</v>
      </c>
      <c r="R121" s="159">
        <f t="shared" si="310"/>
        <v>8.7378640776699032E-2</v>
      </c>
      <c r="S121" s="159">
        <f t="shared" si="310"/>
        <v>-1.2269938650306749E-3</v>
      </c>
      <c r="T121" s="159">
        <f t="shared" si="310"/>
        <v>5.1020408163265302E-3</v>
      </c>
      <c r="U121" s="159">
        <f t="shared" si="310"/>
        <v>2.7829313543599257E-3</v>
      </c>
      <c r="V121" s="158">
        <f t="shared" si="310"/>
        <v>0.16666666666666666</v>
      </c>
      <c r="W121" s="159">
        <f t="shared" si="310"/>
        <v>2.7426160337552744E-2</v>
      </c>
      <c r="X121" s="159">
        <f t="shared" si="310"/>
        <v>0.41036269430051814</v>
      </c>
      <c r="Y121" s="159">
        <f t="shared" si="310"/>
        <v>-1.1111111111111112</v>
      </c>
      <c r="Z121" s="159">
        <f t="shared" si="310"/>
        <v>-2.3622047244094488E-3</v>
      </c>
      <c r="AA121" s="158">
        <f t="shared" si="310"/>
        <v>0.15407407407407409</v>
      </c>
      <c r="AB121" s="159">
        <f t="shared" si="310"/>
        <v>0.76767676767676762</v>
      </c>
      <c r="AC121" s="159">
        <f t="shared" si="310"/>
        <v>0.26101694915254237</v>
      </c>
      <c r="AD121" s="159">
        <f t="shared" si="310"/>
        <v>0</v>
      </c>
      <c r="AE121" s="159">
        <f t="shared" si="310"/>
        <v>3.9128004471771938E-3</v>
      </c>
      <c r="AF121" s="158">
        <f t="shared" si="310"/>
        <v>0.14690959409594095</v>
      </c>
      <c r="AG121" s="159">
        <f t="shared" si="310"/>
        <v>0.63320463320463316</v>
      </c>
      <c r="AH121" s="159">
        <f t="shared" si="310"/>
        <v>-7.1675302245250427E-2</v>
      </c>
      <c r="AI121" s="159">
        <f t="shared" si="310"/>
        <v>9.9706744868035185E-2</v>
      </c>
      <c r="AJ121" s="159">
        <f t="shared" si="310"/>
        <v>0.13537117903930132</v>
      </c>
      <c r="AK121" s="158">
        <f t="shared" si="310"/>
        <v>-5.7613168724279837E-2</v>
      </c>
      <c r="AL121" s="159">
        <f t="shared" si="310"/>
        <v>-0.38709677419354838</v>
      </c>
      <c r="AM121" s="159">
        <f t="shared" si="310"/>
        <v>2.023121387283237E-2</v>
      </c>
      <c r="AN121" s="159">
        <f t="shared" si="310"/>
        <v>-6.2992125984251968E-2</v>
      </c>
      <c r="AO121" s="159">
        <f t="shared" si="310"/>
        <v>4.6583850931677016E-2</v>
      </c>
      <c r="AP121" s="158">
        <f t="shared" si="310"/>
        <v>3.4031413612565446E-2</v>
      </c>
      <c r="AQ121" s="159">
        <f t="shared" si="310"/>
        <v>-3.937007874015748E-3</v>
      </c>
      <c r="AR121" s="159">
        <f t="shared" si="310"/>
        <v>5.5172413793103448E-2</v>
      </c>
      <c r="AS121" s="159">
        <f t="shared" si="310"/>
        <v>-3.0188679245283019E-2</v>
      </c>
      <c r="AT121" s="159">
        <f t="shared" si="310"/>
        <v>2.247191011235955E-2</v>
      </c>
      <c r="AU121" s="158">
        <f t="shared" si="310"/>
        <v>-1.3837638376383764E-2</v>
      </c>
      <c r="AV121" s="159">
        <f t="shared" si="310"/>
        <v>0.10423728813559321</v>
      </c>
      <c r="AW121" s="159">
        <f t="shared" si="310"/>
        <v>0.18721461187214611</v>
      </c>
      <c r="AX121" s="159">
        <f t="shared" si="310"/>
        <v>6.6893424036281179E-2</v>
      </c>
      <c r="AY121" s="159">
        <f t="shared" si="310"/>
        <v>3.9081145584725537E-2</v>
      </c>
      <c r="AZ121" s="158">
        <f t="shared" si="310"/>
        <v>-4.7496790757381259E-2</v>
      </c>
      <c r="BA121" s="159">
        <f t="shared" si="310"/>
        <v>0.22213855421686746</v>
      </c>
      <c r="BB121" s="159">
        <f t="shared" si="310"/>
        <v>4.6037735849056606E-2</v>
      </c>
      <c r="BC121" s="159">
        <f t="shared" si="310"/>
        <v>0.17960426179604261</v>
      </c>
      <c r="BD121" s="159">
        <f t="shared" si="310"/>
        <v>6.3283922462941844E-2</v>
      </c>
      <c r="BE121" s="158">
        <f t="shared" si="310"/>
        <v>0.53023255813953485</v>
      </c>
      <c r="BF121" s="159">
        <f t="shared" si="310"/>
        <v>0.61414790996784563</v>
      </c>
      <c r="BG121" s="159">
        <f t="shared" si="310"/>
        <v>-1.4524328249818446E-3</v>
      </c>
      <c r="BH121" s="159">
        <f t="shared" si="310"/>
        <v>1.038961038961039E-2</v>
      </c>
      <c r="BI121" s="159">
        <f t="shared" si="310"/>
        <v>1.9801980198019802E-2</v>
      </c>
      <c r="BJ121" s="158">
        <f t="shared" si="310"/>
        <v>0.17899999999999999</v>
      </c>
      <c r="BK121" s="159">
        <f t="shared" si="310"/>
        <v>1.1400651465798045E-2</v>
      </c>
      <c r="BL121" s="159">
        <f t="shared" si="310"/>
        <v>0.21428571428571427</v>
      </c>
      <c r="BM121" s="159">
        <f t="shared" si="310"/>
        <v>1.6207455429497569E-2</v>
      </c>
      <c r="BN121" s="159">
        <f t="shared" ref="BN121" si="311">IFERROR((BN122-BI122)/(BN11-BI11),0)</f>
        <v>0</v>
      </c>
      <c r="BO121" s="158">
        <f t="shared" ref="BO121" si="312">IFERROR((BO122-BJ122)/(BO11-BJ11),0)</f>
        <v>2.6373626373626374E-2</v>
      </c>
      <c r="BP121" s="158"/>
      <c r="BQ121" s="162">
        <f t="shared" ref="BQ121" si="313">IFERROR((BQ122-BK122)/(BQ11-BK11),0)</f>
        <v>-2.8677621091354965E-3</v>
      </c>
      <c r="BR121" s="161">
        <f t="shared" ref="BR121" si="314">IFERROR((BR122-BL122)/(BR11-BL11),0)</f>
        <v>-4.503330625507727E-3</v>
      </c>
      <c r="BS121" s="161">
        <f t="shared" ref="BS121" si="315">IFERROR((BS122-BM122)/(BS11-BM11),0)</f>
        <v>-1.7913788235294117E-2</v>
      </c>
      <c r="BT121" s="163">
        <f t="shared" ref="BT121" si="316">IFERROR((BT122-BN122)/(BT11-BN11),0)</f>
        <v>-3.6770856102003677E-3</v>
      </c>
      <c r="BU121" s="158">
        <f>IFERROR((BU122-BO122)/(BU11-BO11),0)</f>
        <v>-4.8420024321037727E-3</v>
      </c>
      <c r="BV121" s="162"/>
      <c r="BW121" s="161"/>
      <c r="BX121" s="161"/>
      <c r="BY121" s="163"/>
      <c r="BZ121" s="158">
        <f>IFERROR((BZ122-BU122)/(BZ14-BU14),0)</f>
        <v>0.11033333333333337</v>
      </c>
      <c r="CA121" s="162"/>
      <c r="CB121" s="161"/>
      <c r="CC121" s="161"/>
      <c r="CD121" s="163"/>
      <c r="CE121" s="158">
        <f>IFERROR((CE122-BZ122)/(CE14-BZ14),0)</f>
        <v>0.10299999999999999</v>
      </c>
      <c r="CF121" s="162"/>
      <c r="CG121" s="161"/>
      <c r="CH121" s="161"/>
      <c r="CI121" s="163"/>
      <c r="CJ121" s="158">
        <f>IFERROR((CJ122-CE122)/(CJ14-CE14),0)</f>
        <v>0.10400000000000005</v>
      </c>
      <c r="CK121" s="309"/>
      <c r="CL121" s="657"/>
      <c r="CM121" s="675"/>
      <c r="CN121" s="567"/>
      <c r="CO121" s="311"/>
      <c r="CP121" s="311"/>
      <c r="CQ121" s="311"/>
      <c r="CR121" s="311"/>
      <c r="CS121" s="311"/>
      <c r="CT121" s="309"/>
      <c r="CX121"/>
      <c r="CY121"/>
      <c r="CZ121"/>
      <c r="DA121"/>
      <c r="DB121"/>
      <c r="DC121"/>
    </row>
    <row r="122" spans="1:107" s="299" customFormat="1">
      <c r="A122" s="27" t="s">
        <v>144</v>
      </c>
      <c r="B122" s="76">
        <v>139</v>
      </c>
      <c r="C122" s="76">
        <v>180</v>
      </c>
      <c r="D122" s="76">
        <v>194</v>
      </c>
      <c r="E122" s="76">
        <v>203</v>
      </c>
      <c r="F122" s="76">
        <v>229</v>
      </c>
      <c r="G122" s="76">
        <v>234</v>
      </c>
      <c r="H122" s="110">
        <v>55</v>
      </c>
      <c r="I122" s="110">
        <v>63</v>
      </c>
      <c r="J122" s="110">
        <v>64</v>
      </c>
      <c r="K122" s="109">
        <v>66</v>
      </c>
      <c r="L122" s="111">
        <f>SUM(H122:K122)</f>
        <v>248</v>
      </c>
      <c r="M122" s="109">
        <v>52</v>
      </c>
      <c r="N122" s="110">
        <v>67</v>
      </c>
      <c r="O122" s="110">
        <v>67</v>
      </c>
      <c r="P122" s="109">
        <v>67</v>
      </c>
      <c r="Q122" s="111">
        <f>SUM(M122:P122)</f>
        <v>253</v>
      </c>
      <c r="R122" s="109">
        <v>61</v>
      </c>
      <c r="S122" s="110">
        <v>66</v>
      </c>
      <c r="T122" s="110">
        <v>68</v>
      </c>
      <c r="U122" s="109">
        <v>64</v>
      </c>
      <c r="V122" s="111">
        <f>SUM(R122:U122)</f>
        <v>259</v>
      </c>
      <c r="W122" s="109">
        <v>48</v>
      </c>
      <c r="X122" s="110">
        <f>-330</f>
        <v>-330</v>
      </c>
      <c r="Y122" s="29">
        <v>58</v>
      </c>
      <c r="Z122" s="59">
        <v>67</v>
      </c>
      <c r="AA122" s="111">
        <f>SUM(W122:Z122)</f>
        <v>-157</v>
      </c>
      <c r="AB122" s="109">
        <v>-28</v>
      </c>
      <c r="AC122" s="110">
        <v>55</v>
      </c>
      <c r="AD122" s="29">
        <v>58</v>
      </c>
      <c r="AE122" s="109">
        <v>74</v>
      </c>
      <c r="AF122" s="111">
        <v>480</v>
      </c>
      <c r="AG122" s="110">
        <v>136</v>
      </c>
      <c r="AH122" s="110">
        <v>138</v>
      </c>
      <c r="AI122" s="110">
        <v>126</v>
      </c>
      <c r="AJ122" s="109">
        <v>136</v>
      </c>
      <c r="AK122" s="76">
        <f>+SUM(AG122:AJ122)</f>
        <v>536</v>
      </c>
      <c r="AL122" s="29">
        <v>124</v>
      </c>
      <c r="AM122" s="29">
        <v>131</v>
      </c>
      <c r="AN122" s="29">
        <v>134</v>
      </c>
      <c r="AO122" s="29">
        <v>121</v>
      </c>
      <c r="AP122" s="76">
        <f>SUM(AL122:AO122)</f>
        <v>510</v>
      </c>
      <c r="AQ122" s="29">
        <v>123</v>
      </c>
      <c r="AR122" s="29">
        <v>123</v>
      </c>
      <c r="AS122" s="29">
        <v>118</v>
      </c>
      <c r="AT122" s="29">
        <v>131</v>
      </c>
      <c r="AU122" s="76">
        <f>SUM(AQ122:AT122)</f>
        <v>495</v>
      </c>
      <c r="AV122" s="29"/>
      <c r="AW122" s="29"/>
      <c r="AX122" s="29"/>
      <c r="AY122" s="29"/>
      <c r="AZ122" s="76">
        <v>532</v>
      </c>
      <c r="BA122" s="29">
        <v>295</v>
      </c>
      <c r="BB122" s="29">
        <v>122</v>
      </c>
      <c r="BC122" s="898">
        <v>118</v>
      </c>
      <c r="BD122" s="898">
        <v>111</v>
      </c>
      <c r="BE122" s="76">
        <f>SUM(BA122:BD122)</f>
        <v>646</v>
      </c>
      <c r="BF122" s="900">
        <v>104</v>
      </c>
      <c r="BG122" s="894">
        <v>124</v>
      </c>
      <c r="BH122" s="894">
        <v>122</v>
      </c>
      <c r="BI122" s="930">
        <f>467-SUM(BF122:BH122)</f>
        <v>117</v>
      </c>
      <c r="BJ122" s="76">
        <f>SUM(BF122:BI122)</f>
        <v>467</v>
      </c>
      <c r="BK122" s="900">
        <v>111</v>
      </c>
      <c r="BL122" s="28">
        <v>115</v>
      </c>
      <c r="BM122" s="894">
        <v>112</v>
      </c>
      <c r="BN122" s="930">
        <v>117</v>
      </c>
      <c r="BO122" s="76">
        <f>SUM(BK122:BN122)</f>
        <v>455</v>
      </c>
      <c r="BP122" s="76">
        <f>BO122</f>
        <v>455</v>
      </c>
      <c r="BQ122" s="90">
        <f t="shared" ref="BQ122:BT122" si="317">BQ14*BQ119</f>
        <v>115.67731999999999</v>
      </c>
      <c r="BR122" s="28">
        <f t="shared" si="317"/>
        <v>120.54360000000001</v>
      </c>
      <c r="BS122" s="28">
        <f t="shared" si="317"/>
        <v>119.61336</v>
      </c>
      <c r="BT122" s="30">
        <f t="shared" si="317"/>
        <v>123.05616000000001</v>
      </c>
      <c r="BU122" s="76">
        <f>SUM(BQ122:BT122)</f>
        <v>478.89044000000001</v>
      </c>
      <c r="BV122" s="90"/>
      <c r="BW122" s="28"/>
      <c r="BX122" s="28"/>
      <c r="BY122" s="30"/>
      <c r="BZ122" s="76">
        <f>BZ14*BZ119</f>
        <v>499.74737890000006</v>
      </c>
      <c r="CA122" s="90"/>
      <c r="CB122" s="28"/>
      <c r="CC122" s="28"/>
      <c r="CD122" s="30"/>
      <c r="CE122" s="76">
        <f>CE14*CE119</f>
        <v>526.48710878400004</v>
      </c>
      <c r="CF122" s="90"/>
      <c r="CG122" s="28"/>
      <c r="CH122" s="28"/>
      <c r="CI122" s="30"/>
      <c r="CJ122" s="76">
        <f>CJ14*CJ119</f>
        <v>554.56642125248004</v>
      </c>
      <c r="CK122" s="290"/>
      <c r="CL122" s="658"/>
      <c r="CM122" s="658"/>
      <c r="CN122" s="682"/>
      <c r="CO122" s="658"/>
      <c r="CP122" s="658"/>
      <c r="CQ122" s="658"/>
      <c r="CR122" s="658"/>
      <c r="CS122" s="658"/>
      <c r="CT122" s="290"/>
      <c r="CX122"/>
      <c r="CY122"/>
      <c r="CZ122"/>
      <c r="DA122"/>
      <c r="DB122"/>
      <c r="DC122"/>
    </row>
    <row r="123" spans="1:107">
      <c r="A123" s="62" t="s">
        <v>137</v>
      </c>
      <c r="B123" s="70"/>
      <c r="C123" s="70">
        <f>C122/B122-1</f>
        <v>0.29496402877697836</v>
      </c>
      <c r="D123" s="70">
        <f>D122/C122-1</f>
        <v>7.7777777777777724E-2</v>
      </c>
      <c r="E123" s="70">
        <f>E122/D122-1</f>
        <v>4.6391752577319645E-2</v>
      </c>
      <c r="F123" s="70">
        <f>F122/E122-1</f>
        <v>0.12807881773399021</v>
      </c>
      <c r="G123" s="70">
        <f>G122/F122-1</f>
        <v>2.1834061135371119E-2</v>
      </c>
      <c r="H123" s="118"/>
      <c r="I123" s="64"/>
      <c r="J123" s="64"/>
      <c r="K123" s="64"/>
      <c r="L123" s="70">
        <f t="shared" ref="L123:AF123" si="318">L122/G122-1</f>
        <v>5.9829059829059839E-2</v>
      </c>
      <c r="M123" s="64">
        <f t="shared" si="318"/>
        <v>-5.4545454545454564E-2</v>
      </c>
      <c r="N123" s="64">
        <f t="shared" si="318"/>
        <v>6.3492063492063489E-2</v>
      </c>
      <c r="O123" s="64">
        <f t="shared" si="318"/>
        <v>4.6875E-2</v>
      </c>
      <c r="P123" s="64">
        <f t="shared" si="318"/>
        <v>1.5151515151515138E-2</v>
      </c>
      <c r="Q123" s="70">
        <f t="shared" si="318"/>
        <v>2.0161290322580738E-2</v>
      </c>
      <c r="R123" s="64">
        <f t="shared" si="318"/>
        <v>0.17307692307692313</v>
      </c>
      <c r="S123" s="64">
        <f t="shared" si="318"/>
        <v>-1.4925373134328401E-2</v>
      </c>
      <c r="T123" s="64">
        <f t="shared" si="318"/>
        <v>1.4925373134328401E-2</v>
      </c>
      <c r="U123" s="64">
        <f t="shared" si="318"/>
        <v>-4.4776119402985093E-2</v>
      </c>
      <c r="V123" s="70">
        <f t="shared" si="318"/>
        <v>2.3715415019762931E-2</v>
      </c>
      <c r="W123" s="64">
        <f t="shared" si="318"/>
        <v>-0.21311475409836067</v>
      </c>
      <c r="X123" s="64">
        <f>X122/S122-1</f>
        <v>-6</v>
      </c>
      <c r="Y123" s="64">
        <f t="shared" si="318"/>
        <v>-0.1470588235294118</v>
      </c>
      <c r="Z123" s="64">
        <f t="shared" si="318"/>
        <v>4.6875E-2</v>
      </c>
      <c r="AA123" s="70">
        <f t="shared" si="318"/>
        <v>-1.6061776061776061</v>
      </c>
      <c r="AB123" s="64">
        <f t="shared" si="318"/>
        <v>-1.5833333333333335</v>
      </c>
      <c r="AC123" s="64">
        <f t="shared" si="318"/>
        <v>-1.1666666666666667</v>
      </c>
      <c r="AD123" s="64">
        <f t="shared" si="318"/>
        <v>0</v>
      </c>
      <c r="AE123" s="64">
        <f t="shared" si="318"/>
        <v>0.10447761194029859</v>
      </c>
      <c r="AF123" s="70">
        <f t="shared" si="318"/>
        <v>-4.0573248407643314</v>
      </c>
      <c r="AG123" s="64">
        <f t="shared" ref="AG123:AS123" si="319">AG122/AB122 -1</f>
        <v>-5.8571428571428568</v>
      </c>
      <c r="AH123" s="64">
        <f t="shared" si="319"/>
        <v>1.5090909090909093</v>
      </c>
      <c r="AI123" s="64">
        <f t="shared" si="319"/>
        <v>1.1724137931034484</v>
      </c>
      <c r="AJ123" s="64">
        <f t="shared" si="319"/>
        <v>0.83783783783783794</v>
      </c>
      <c r="AK123" s="70">
        <f t="shared" si="319"/>
        <v>0.1166666666666667</v>
      </c>
      <c r="AL123" s="64">
        <f t="shared" si="319"/>
        <v>-8.8235294117647078E-2</v>
      </c>
      <c r="AM123" s="64">
        <f t="shared" si="319"/>
        <v>-5.0724637681159424E-2</v>
      </c>
      <c r="AN123" s="64">
        <f t="shared" si="319"/>
        <v>6.3492063492063489E-2</v>
      </c>
      <c r="AO123" s="64">
        <f t="shared" si="319"/>
        <v>-0.11029411764705888</v>
      </c>
      <c r="AP123" s="70">
        <f t="shared" si="319"/>
        <v>-4.8507462686567138E-2</v>
      </c>
      <c r="AQ123" s="64">
        <f t="shared" si="319"/>
        <v>-8.0645161290322509E-3</v>
      </c>
      <c r="AR123" s="64">
        <f t="shared" si="319"/>
        <v>-6.1068702290076327E-2</v>
      </c>
      <c r="AS123" s="64">
        <f t="shared" si="319"/>
        <v>-0.11940298507462688</v>
      </c>
      <c r="AT123" s="64">
        <f t="shared" ref="AT123:AU123" si="320">AT122/AO122 -1</f>
        <v>8.2644628099173501E-2</v>
      </c>
      <c r="AU123" s="70">
        <f t="shared" si="320"/>
        <v>-2.9411764705882359E-2</v>
      </c>
      <c r="AV123" s="64"/>
      <c r="AW123" s="64"/>
      <c r="AX123" s="64"/>
      <c r="AY123" s="64"/>
      <c r="AZ123" s="70">
        <f t="shared" ref="AZ123" si="321">AZ122/AU122 -1</f>
        <v>7.4747474747474785E-2</v>
      </c>
      <c r="BA123" s="64">
        <f>BA122/AQ122 -1</f>
        <v>1.3983739837398375</v>
      </c>
      <c r="BB123" s="64">
        <f>BB122/AR122 -1</f>
        <v>-8.1300813008130524E-3</v>
      </c>
      <c r="BC123" s="64">
        <f>BC122/AS122 -1</f>
        <v>0</v>
      </c>
      <c r="BD123" s="64">
        <f>BD122/AT122 -1</f>
        <v>-0.15267175572519087</v>
      </c>
      <c r="BE123" s="70">
        <f>BE122/AZ122 -1</f>
        <v>0.21428571428571419</v>
      </c>
      <c r="BF123" s="64">
        <f t="shared" ref="BF123:BM123" si="322">BF122/BA122 -1</f>
        <v>-0.64745762711864407</v>
      </c>
      <c r="BG123" s="64">
        <f t="shared" si="322"/>
        <v>1.6393442622950838E-2</v>
      </c>
      <c r="BH123" s="64">
        <f t="shared" si="322"/>
        <v>3.3898305084745672E-2</v>
      </c>
      <c r="BI123" s="64">
        <f t="shared" si="322"/>
        <v>5.4054054054053946E-2</v>
      </c>
      <c r="BJ123" s="70">
        <f t="shared" si="322"/>
        <v>-0.27708978328173373</v>
      </c>
      <c r="BK123" s="64">
        <f t="shared" si="322"/>
        <v>6.7307692307692291E-2</v>
      </c>
      <c r="BL123" s="64">
        <f t="shared" si="322"/>
        <v>-7.2580645161290369E-2</v>
      </c>
      <c r="BM123" s="64">
        <f t="shared" si="322"/>
        <v>-8.1967213114754078E-2</v>
      </c>
      <c r="BN123" s="64">
        <f t="shared" ref="BN123" si="323">BN122/BI122 -1</f>
        <v>0</v>
      </c>
      <c r="BO123" s="70">
        <f t="shared" ref="BO123" si="324">BO122/BJ122 -1</f>
        <v>-2.5695931477516032E-2</v>
      </c>
      <c r="BP123" s="70"/>
      <c r="BQ123" s="121">
        <f t="shared" ref="BQ123" si="325">BQ122/BK122 -1</f>
        <v>4.2138018018017975E-2</v>
      </c>
      <c r="BR123" s="64">
        <f t="shared" ref="BR123" si="326">BR122/BL122 -1</f>
        <v>4.8205217391304345E-2</v>
      </c>
      <c r="BS123" s="64">
        <f t="shared" ref="BS123" si="327">BS122/BM122 -1</f>
        <v>6.7976428571428604E-2</v>
      </c>
      <c r="BT123" s="122">
        <f>BT122/BN122 -1</f>
        <v>5.1762051282051358E-2</v>
      </c>
      <c r="BU123" s="70">
        <f>BU122/BO122 -1</f>
        <v>5.2506461538461613E-2</v>
      </c>
      <c r="BV123" s="121"/>
      <c r="BW123" s="64"/>
      <c r="BX123" s="64"/>
      <c r="BY123" s="122"/>
      <c r="BZ123" s="70">
        <f>BZ122/BU122 -1</f>
        <v>4.3552631578947398E-2</v>
      </c>
      <c r="CA123" s="121"/>
      <c r="CB123" s="64"/>
      <c r="CC123" s="64"/>
      <c r="CD123" s="122"/>
      <c r="CE123" s="70">
        <f>CE122/BZ122 -1</f>
        <v>5.3506493506493502E-2</v>
      </c>
      <c r="CF123" s="121"/>
      <c r="CG123" s="64"/>
      <c r="CH123" s="64"/>
      <c r="CI123" s="122"/>
      <c r="CJ123" s="70">
        <f>CJ122/CE122 -1</f>
        <v>5.3333333333333233E-2</v>
      </c>
      <c r="CK123" s="289"/>
      <c r="CL123" s="658"/>
      <c r="CM123" s="658"/>
      <c r="CN123" s="682"/>
      <c r="CO123" s="658"/>
      <c r="CP123" s="658"/>
      <c r="CQ123" s="658"/>
      <c r="CR123" s="658"/>
      <c r="CS123" s="658"/>
      <c r="CT123" s="289"/>
    </row>
    <row r="124" spans="1:107" s="299" customFormat="1">
      <c r="A124" s="27" t="s">
        <v>145</v>
      </c>
      <c r="B124" s="76">
        <f t="shared" ref="B124:AG124" si="328">B14-B122</f>
        <v>1597</v>
      </c>
      <c r="C124" s="76">
        <f t="shared" si="328"/>
        <v>1707</v>
      </c>
      <c r="D124" s="76">
        <f t="shared" si="328"/>
        <v>1851</v>
      </c>
      <c r="E124" s="76">
        <f t="shared" si="328"/>
        <v>2131</v>
      </c>
      <c r="F124" s="76">
        <f t="shared" si="328"/>
        <v>2280</v>
      </c>
      <c r="G124" s="76">
        <f t="shared" si="328"/>
        <v>2326</v>
      </c>
      <c r="H124" s="110">
        <f t="shared" si="328"/>
        <v>533</v>
      </c>
      <c r="I124" s="110">
        <f t="shared" si="328"/>
        <v>603</v>
      </c>
      <c r="J124" s="110">
        <f t="shared" si="328"/>
        <v>616</v>
      </c>
      <c r="K124" s="109">
        <f t="shared" si="328"/>
        <v>742</v>
      </c>
      <c r="L124" s="76">
        <f t="shared" si="328"/>
        <v>2494</v>
      </c>
      <c r="M124" s="109">
        <f t="shared" si="328"/>
        <v>640</v>
      </c>
      <c r="N124" s="110">
        <f t="shared" si="328"/>
        <v>762</v>
      </c>
      <c r="O124" s="110">
        <f t="shared" si="328"/>
        <v>734</v>
      </c>
      <c r="P124" s="109">
        <f t="shared" si="328"/>
        <v>743</v>
      </c>
      <c r="Q124" s="111">
        <f t="shared" si="328"/>
        <v>2879</v>
      </c>
      <c r="R124" s="109">
        <f t="shared" si="328"/>
        <v>723</v>
      </c>
      <c r="S124" s="110">
        <f t="shared" si="328"/>
        <v>746</v>
      </c>
      <c r="T124" s="110">
        <f t="shared" si="328"/>
        <v>737</v>
      </c>
      <c r="U124" s="109">
        <f t="shared" si="328"/>
        <v>739</v>
      </c>
      <c r="V124" s="76">
        <f t="shared" si="328"/>
        <v>2945</v>
      </c>
      <c r="W124" s="109">
        <f t="shared" si="328"/>
        <v>682</v>
      </c>
      <c r="X124" s="110">
        <f t="shared" si="328"/>
        <v>802</v>
      </c>
      <c r="Y124" s="29">
        <f t="shared" si="328"/>
        <v>677</v>
      </c>
      <c r="Z124" s="59">
        <f t="shared" si="328"/>
        <v>753</v>
      </c>
      <c r="AA124" s="111">
        <f t="shared" si="328"/>
        <v>2914</v>
      </c>
      <c r="AB124" s="109">
        <f t="shared" si="328"/>
        <v>778</v>
      </c>
      <c r="AC124" s="110">
        <f t="shared" si="328"/>
        <v>697</v>
      </c>
      <c r="AD124" s="29">
        <f t="shared" si="328"/>
        <v>702</v>
      </c>
      <c r="AE124" s="109">
        <f t="shared" si="328"/>
        <v>679</v>
      </c>
      <c r="AF124" s="76">
        <f t="shared" si="328"/>
        <v>5990</v>
      </c>
      <c r="AG124" s="110">
        <f t="shared" si="328"/>
        <v>1452</v>
      </c>
      <c r="AH124" s="110">
        <f t="shared" ref="AH124:BL124" si="329">AH14-AH122</f>
        <v>1459</v>
      </c>
      <c r="AI124" s="110">
        <f t="shared" si="329"/>
        <v>1421</v>
      </c>
      <c r="AJ124" s="109">
        <f t="shared" si="329"/>
        <v>1467</v>
      </c>
      <c r="AK124" s="76">
        <f t="shared" si="329"/>
        <v>5799</v>
      </c>
      <c r="AL124" s="29">
        <f t="shared" si="329"/>
        <v>1397</v>
      </c>
      <c r="AM124" s="29">
        <f t="shared" si="329"/>
        <v>1439</v>
      </c>
      <c r="AN124" s="29">
        <f t="shared" si="329"/>
        <v>1362</v>
      </c>
      <c r="AO124" s="109">
        <f t="shared" si="329"/>
        <v>1337</v>
      </c>
      <c r="AP124" s="76">
        <f t="shared" si="329"/>
        <v>5535</v>
      </c>
      <c r="AQ124" s="29">
        <f t="shared" si="329"/>
        <v>1306</v>
      </c>
      <c r="AR124" s="29">
        <f t="shared" si="329"/>
        <v>1370</v>
      </c>
      <c r="AS124" s="29">
        <f t="shared" si="329"/>
        <v>1332</v>
      </c>
      <c r="AT124" s="109">
        <f t="shared" si="329"/>
        <v>1386</v>
      </c>
      <c r="AU124" s="76">
        <f t="shared" si="329"/>
        <v>5394</v>
      </c>
      <c r="AV124" s="29"/>
      <c r="AW124" s="29"/>
      <c r="AX124" s="29"/>
      <c r="AY124" s="109"/>
      <c r="AZ124" s="76">
        <f t="shared" ref="AZ124" si="330">AZ14-AZ122</f>
        <v>5690</v>
      </c>
      <c r="BA124" s="29">
        <f t="shared" si="329"/>
        <v>1166</v>
      </c>
      <c r="BB124" s="29">
        <f t="shared" si="329"/>
        <v>1472</v>
      </c>
      <c r="BC124" s="29">
        <f t="shared" si="329"/>
        <v>1401</v>
      </c>
      <c r="BD124" s="109">
        <f t="shared" si="329"/>
        <v>1426</v>
      </c>
      <c r="BE124" s="76">
        <f t="shared" si="329"/>
        <v>5465</v>
      </c>
      <c r="BF124" s="29">
        <f t="shared" si="329"/>
        <v>1428</v>
      </c>
      <c r="BG124" s="29">
        <f t="shared" si="329"/>
        <v>1518</v>
      </c>
      <c r="BH124" s="29">
        <f t="shared" si="329"/>
        <v>1419</v>
      </c>
      <c r="BI124" s="109">
        <f t="shared" si="329"/>
        <v>1362</v>
      </c>
      <c r="BJ124" s="76">
        <f t="shared" si="329"/>
        <v>5727</v>
      </c>
      <c r="BK124" s="29">
        <f t="shared" si="329"/>
        <v>1396</v>
      </c>
      <c r="BL124" s="29">
        <f t="shared" si="329"/>
        <v>1440</v>
      </c>
      <c r="BM124" s="29">
        <f t="shared" ref="BM124:BO124" si="331">BM14-BM122</f>
        <v>1431</v>
      </c>
      <c r="BN124" s="109">
        <f t="shared" si="331"/>
        <v>1455</v>
      </c>
      <c r="BO124" s="76">
        <f t="shared" si="331"/>
        <v>5722</v>
      </c>
      <c r="BP124" s="76"/>
      <c r="BQ124" s="90">
        <f t="shared" ref="BQ124:BU124" si="332">BQ14-BQ122</f>
        <v>1406.3926799999999</v>
      </c>
      <c r="BR124" s="28">
        <f t="shared" si="332"/>
        <v>1465.5564000000002</v>
      </c>
      <c r="BS124" s="28">
        <f t="shared" si="332"/>
        <v>1454.2466400000001</v>
      </c>
      <c r="BT124" s="30">
        <f t="shared" si="332"/>
        <v>1496.10384</v>
      </c>
      <c r="BU124" s="76">
        <f t="shared" si="332"/>
        <v>5822.2995600000004</v>
      </c>
      <c r="BV124" s="90"/>
      <c r="BW124" s="28"/>
      <c r="BX124" s="28"/>
      <c r="BY124" s="30"/>
      <c r="BZ124" s="76">
        <f>BZ14-BZ122</f>
        <v>5990.4783211000013</v>
      </c>
      <c r="CA124" s="90"/>
      <c r="CB124" s="28"/>
      <c r="CC124" s="28"/>
      <c r="CD124" s="30"/>
      <c r="CE124" s="76">
        <f>CE14-CE122</f>
        <v>6223.3476192160006</v>
      </c>
      <c r="CF124" s="90"/>
      <c r="CG124" s="28"/>
      <c r="CH124" s="28"/>
      <c r="CI124" s="30"/>
      <c r="CJ124" s="76">
        <f>CJ14-CJ122</f>
        <v>6465.2616958675208</v>
      </c>
      <c r="CK124" s="290"/>
      <c r="CL124" s="658"/>
      <c r="CM124" s="658"/>
      <c r="CN124" s="682"/>
      <c r="CO124" s="658"/>
      <c r="CP124" s="658"/>
      <c r="CQ124" s="658"/>
      <c r="CR124" s="658"/>
      <c r="CS124" s="658"/>
      <c r="CT124" s="290"/>
      <c r="CX124"/>
      <c r="CY124"/>
      <c r="CZ124"/>
      <c r="DA124"/>
      <c r="DB124"/>
      <c r="DC124"/>
    </row>
    <row r="125" spans="1:107">
      <c r="A125" s="62" t="s">
        <v>137</v>
      </c>
      <c r="B125" s="70"/>
      <c r="C125" s="70">
        <f>C124/B124-1</f>
        <v>6.8879148403256041E-2</v>
      </c>
      <c r="D125" s="70">
        <f>D124/C124-1</f>
        <v>8.4358523725834855E-2</v>
      </c>
      <c r="E125" s="70">
        <f>E124/D124-1</f>
        <v>0.15126958400864399</v>
      </c>
      <c r="F125" s="70">
        <f>F124/E124-1</f>
        <v>6.9920225246363099E-2</v>
      </c>
      <c r="G125" s="70">
        <f>G124/F124-1</f>
        <v>2.017543859649118E-2</v>
      </c>
      <c r="H125" s="118"/>
      <c r="I125" s="64"/>
      <c r="J125" s="64"/>
      <c r="K125" s="64"/>
      <c r="L125" s="70">
        <f t="shared" ref="L125:AF125" si="333">L124/G124-1</f>
        <v>7.2226999140154735E-2</v>
      </c>
      <c r="M125" s="64">
        <f t="shared" si="333"/>
        <v>0.20075046904315208</v>
      </c>
      <c r="N125" s="64">
        <f t="shared" si="333"/>
        <v>0.26368159203980102</v>
      </c>
      <c r="O125" s="64">
        <f t="shared" si="333"/>
        <v>0.19155844155844148</v>
      </c>
      <c r="P125" s="64">
        <f t="shared" si="333"/>
        <v>1.3477088948787852E-3</v>
      </c>
      <c r="Q125" s="70">
        <f t="shared" si="333"/>
        <v>0.15437048917401763</v>
      </c>
      <c r="R125" s="64">
        <f t="shared" si="333"/>
        <v>0.12968749999999996</v>
      </c>
      <c r="S125" s="64">
        <f t="shared" si="333"/>
        <v>-2.0997375328083989E-2</v>
      </c>
      <c r="T125" s="64">
        <f t="shared" si="333"/>
        <v>4.0871934604904681E-3</v>
      </c>
      <c r="U125" s="64">
        <f t="shared" si="333"/>
        <v>-5.3835800807536804E-3</v>
      </c>
      <c r="V125" s="70">
        <f t="shared" si="333"/>
        <v>2.2924626606460663E-2</v>
      </c>
      <c r="W125" s="64">
        <f t="shared" si="333"/>
        <v>-5.6708160442600297E-2</v>
      </c>
      <c r="X125" s="64">
        <f t="shared" si="333"/>
        <v>7.5067024128686377E-2</v>
      </c>
      <c r="Y125" s="64">
        <f t="shared" si="333"/>
        <v>-8.1411126187245553E-2</v>
      </c>
      <c r="Z125" s="64">
        <f t="shared" si="333"/>
        <v>1.8944519621109546E-2</v>
      </c>
      <c r="AA125" s="70">
        <f t="shared" si="333"/>
        <v>-1.0526315789473717E-2</v>
      </c>
      <c r="AB125" s="64">
        <f t="shared" si="333"/>
        <v>0.1407624633431086</v>
      </c>
      <c r="AC125" s="64">
        <f t="shared" si="333"/>
        <v>-0.13092269326683292</v>
      </c>
      <c r="AD125" s="64">
        <f t="shared" si="333"/>
        <v>3.692762186115206E-2</v>
      </c>
      <c r="AE125" s="64">
        <f t="shared" si="333"/>
        <v>-9.8273572377158058E-2</v>
      </c>
      <c r="AF125" s="70">
        <f t="shared" si="333"/>
        <v>1.0555936856554564</v>
      </c>
      <c r="AG125" s="64">
        <f t="shared" ref="AG125:AS125" si="334">AG124/AB124 -1</f>
        <v>0.86632390745501286</v>
      </c>
      <c r="AH125" s="64">
        <f t="shared" si="334"/>
        <v>1.0932568149210904</v>
      </c>
      <c r="AI125" s="64">
        <f t="shared" si="334"/>
        <v>1.0242165242165244</v>
      </c>
      <c r="AJ125" s="64">
        <f t="shared" si="334"/>
        <v>1.1605301914580264</v>
      </c>
      <c r="AK125" s="70">
        <f t="shared" si="334"/>
        <v>-3.1886477462437446E-2</v>
      </c>
      <c r="AL125" s="64">
        <f t="shared" si="334"/>
        <v>-3.7878787878787845E-2</v>
      </c>
      <c r="AM125" s="64">
        <f t="shared" si="334"/>
        <v>-1.3708019191226883E-2</v>
      </c>
      <c r="AN125" s="64">
        <f t="shared" si="334"/>
        <v>-4.1520056298381403E-2</v>
      </c>
      <c r="AO125" s="64">
        <f t="shared" si="334"/>
        <v>-8.861622358554877E-2</v>
      </c>
      <c r="AP125" s="70">
        <f t="shared" si="334"/>
        <v>-4.5525090532850476E-2</v>
      </c>
      <c r="AQ125" s="64">
        <f t="shared" si="334"/>
        <v>-6.513958482462423E-2</v>
      </c>
      <c r="AR125" s="64">
        <f t="shared" si="334"/>
        <v>-4.7949965253648363E-2</v>
      </c>
      <c r="AS125" s="64">
        <f t="shared" si="334"/>
        <v>-2.2026431718061623E-2</v>
      </c>
      <c r="AT125" s="64">
        <f t="shared" ref="AT125:AU125" si="335">AT124/AO124 -1</f>
        <v>3.6649214659685958E-2</v>
      </c>
      <c r="AU125" s="70">
        <f t="shared" si="335"/>
        <v>-2.5474254742547386E-2</v>
      </c>
      <c r="AV125" s="64"/>
      <c r="AW125" s="64"/>
      <c r="AX125" s="64"/>
      <c r="AY125" s="64"/>
      <c r="AZ125" s="70">
        <f t="shared" ref="AZ125" si="336">AZ124/AU124 -1</f>
        <v>5.4875787912495255E-2</v>
      </c>
      <c r="BA125" s="64">
        <f>BA124/AQ124 -1</f>
        <v>-0.10719754977029095</v>
      </c>
      <c r="BB125" s="64">
        <f>BB124/AR124 -1</f>
        <v>7.4452554744525612E-2</v>
      </c>
      <c r="BC125" s="64">
        <f>BC124/AS124 -1</f>
        <v>5.1801801801801828E-2</v>
      </c>
      <c r="BD125" s="64">
        <f>BD124/AT124 -1</f>
        <v>2.8860028860028919E-2</v>
      </c>
      <c r="BE125" s="70">
        <f>BE124/AZ124 -1</f>
        <v>-3.9543057996485054E-2</v>
      </c>
      <c r="BF125" s="64">
        <f t="shared" ref="BF125:BM125" si="337">BF124/BA124 -1</f>
        <v>0.22469982847341341</v>
      </c>
      <c r="BG125" s="64">
        <f t="shared" si="337"/>
        <v>3.125E-2</v>
      </c>
      <c r="BH125" s="64">
        <f t="shared" si="337"/>
        <v>1.2847965738758127E-2</v>
      </c>
      <c r="BI125" s="64">
        <f t="shared" si="337"/>
        <v>-4.4880785413744739E-2</v>
      </c>
      <c r="BJ125" s="70">
        <f t="shared" si="337"/>
        <v>4.7941445562671436E-2</v>
      </c>
      <c r="BK125" s="64">
        <f t="shared" si="337"/>
        <v>-2.2408963585434205E-2</v>
      </c>
      <c r="BL125" s="64">
        <f t="shared" si="337"/>
        <v>-5.1383399209486202E-2</v>
      </c>
      <c r="BM125" s="64">
        <f t="shared" si="337"/>
        <v>8.4566596194504129E-3</v>
      </c>
      <c r="BN125" s="64">
        <f t="shared" ref="BN125" si="338">BN124/BI124 -1</f>
        <v>6.8281938325991165E-2</v>
      </c>
      <c r="BO125" s="70">
        <f t="shared" ref="BO125" si="339">BO124/BJ124 -1</f>
        <v>-8.7305744718002565E-4</v>
      </c>
      <c r="BP125" s="70"/>
      <c r="BQ125" s="121">
        <f t="shared" ref="BQ125" si="340">BQ124/BK124 -1</f>
        <v>7.4446131805157023E-3</v>
      </c>
      <c r="BR125" s="64">
        <f t="shared" ref="BR125" si="341">BR124/BL124 -1</f>
        <v>1.7747500000000027E-2</v>
      </c>
      <c r="BS125" s="64">
        <f t="shared" ref="BS125" si="342">BS124/BM124 -1</f>
        <v>1.6245031446540992E-2</v>
      </c>
      <c r="BT125" s="122">
        <f>BT124/BN124 -1</f>
        <v>2.8250061855670028E-2</v>
      </c>
      <c r="BU125" s="70">
        <f>BU124/BO124 -1</f>
        <v>1.7528759175113651E-2</v>
      </c>
      <c r="BV125" s="121"/>
      <c r="BW125" s="64"/>
      <c r="BX125" s="64"/>
      <c r="BY125" s="122"/>
      <c r="BZ125" s="70">
        <f>BZ124/BU124 -1</f>
        <v>2.8885281385281569E-2</v>
      </c>
      <c r="CA125" s="121"/>
      <c r="CB125" s="64"/>
      <c r="CC125" s="64"/>
      <c r="CD125" s="122"/>
      <c r="CE125" s="70">
        <f>CE124/BZ124 -1</f>
        <v>3.8873239436619578E-2</v>
      </c>
      <c r="CF125" s="121"/>
      <c r="CG125" s="64"/>
      <c r="CH125" s="64"/>
      <c r="CI125" s="122"/>
      <c r="CJ125" s="70">
        <f>CJ124/CE124 -1</f>
        <v>3.8872017353579258E-2</v>
      </c>
      <c r="CK125" s="289"/>
      <c r="CL125" s="658"/>
      <c r="CM125" s="658"/>
      <c r="CN125" s="682"/>
      <c r="CO125" s="658"/>
      <c r="CP125" s="658"/>
      <c r="CQ125" s="658"/>
      <c r="CR125" s="658"/>
      <c r="CS125" s="658"/>
      <c r="CT125" s="289"/>
    </row>
    <row r="126" spans="1:107" s="612" customFormat="1" hidden="1">
      <c r="A126" s="627" t="s">
        <v>242</v>
      </c>
      <c r="B126" s="628"/>
      <c r="C126" s="628"/>
      <c r="D126" s="628"/>
      <c r="E126" s="628"/>
      <c r="F126" s="628"/>
      <c r="G126" s="628"/>
      <c r="H126" s="629"/>
      <c r="I126" s="629"/>
      <c r="J126" s="629"/>
      <c r="K126" s="629"/>
      <c r="L126" s="628"/>
      <c r="M126" s="629"/>
      <c r="N126" s="629"/>
      <c r="O126" s="629"/>
      <c r="P126" s="629"/>
      <c r="Q126" s="628"/>
      <c r="R126" s="629"/>
      <c r="S126" s="629"/>
      <c r="T126" s="629"/>
      <c r="U126" s="629"/>
      <c r="V126" s="628"/>
      <c r="W126" s="630"/>
      <c r="X126" s="629"/>
      <c r="Y126" s="630"/>
      <c r="Z126" s="630"/>
      <c r="AA126" s="631"/>
      <c r="AB126" s="630"/>
      <c r="AC126" s="629"/>
      <c r="AD126" s="629"/>
      <c r="AE126" s="629"/>
      <c r="AF126" s="631"/>
      <c r="AG126" s="630"/>
      <c r="AH126" s="629"/>
      <c r="AI126" s="629"/>
      <c r="AJ126" s="629"/>
      <c r="AK126" s="628">
        <f t="shared" ref="AK126:BE126" si="343">AK128/AK14</f>
        <v>7.7979479084451464E-2</v>
      </c>
      <c r="AL126" s="629">
        <f t="shared" si="343"/>
        <v>8.4812623274161739E-2</v>
      </c>
      <c r="AM126" s="629">
        <f t="shared" si="343"/>
        <v>9.1082802547770694E-2</v>
      </c>
      <c r="AN126" s="629">
        <f t="shared" si="343"/>
        <v>8.0213903743315509E-2</v>
      </c>
      <c r="AO126" s="629">
        <f t="shared" si="343"/>
        <v>9.2592592592592587E-2</v>
      </c>
      <c r="AP126" s="628">
        <f t="shared" si="343"/>
        <v>8.7179487179487175E-2</v>
      </c>
      <c r="AQ126" s="629">
        <f t="shared" si="343"/>
        <v>8.2575227431770468E-2</v>
      </c>
      <c r="AR126" s="629">
        <f t="shared" si="343"/>
        <v>7.7695914266577362E-2</v>
      </c>
      <c r="AS126" s="629">
        <f t="shared" si="343"/>
        <v>9.1034482758620694E-2</v>
      </c>
      <c r="AT126" s="629">
        <f t="shared" si="343"/>
        <v>8.2399472643375077E-2</v>
      </c>
      <c r="AU126" s="628">
        <f t="shared" si="343"/>
        <v>8.3375785362540325E-2</v>
      </c>
      <c r="AV126" s="629"/>
      <c r="AW126" s="629"/>
      <c r="AX126" s="629"/>
      <c r="AY126" s="629"/>
      <c r="AZ126" s="628">
        <f t="shared" ref="AZ126" si="344">AZ128/AZ14</f>
        <v>8.4860173577627776E-2</v>
      </c>
      <c r="BA126" s="629">
        <f t="shared" si="343"/>
        <v>0.20260095824777549</v>
      </c>
      <c r="BB126" s="629">
        <f t="shared" si="343"/>
        <v>7.6537013801756593E-2</v>
      </c>
      <c r="BC126" s="629">
        <f t="shared" si="343"/>
        <v>7.768268597761685E-2</v>
      </c>
      <c r="BD126" s="629">
        <f t="shared" si="343"/>
        <v>6.8965517241379309E-2</v>
      </c>
      <c r="BE126" s="628">
        <f t="shared" si="343"/>
        <v>0.10505645557191949</v>
      </c>
      <c r="BF126" s="633"/>
      <c r="BG126" s="633"/>
      <c r="BH126" s="633"/>
      <c r="BI126" s="634"/>
      <c r="BJ126" s="628"/>
      <c r="BK126" s="633"/>
      <c r="BL126" s="633"/>
      <c r="BM126" s="633"/>
      <c r="BN126" s="634"/>
      <c r="BO126" s="628"/>
      <c r="BP126" s="628"/>
      <c r="BQ126" s="633"/>
      <c r="BR126" s="633"/>
      <c r="BS126" s="633"/>
      <c r="BT126" s="634"/>
      <c r="BU126" s="628"/>
      <c r="BV126" s="633"/>
      <c r="BW126" s="633"/>
      <c r="BX126" s="633"/>
      <c r="BY126" s="634"/>
      <c r="BZ126" s="628"/>
      <c r="CA126" s="633"/>
      <c r="CB126" s="633"/>
      <c r="CC126" s="633"/>
      <c r="CD126" s="634"/>
      <c r="CE126" s="628"/>
      <c r="CF126" s="633"/>
      <c r="CG126" s="633"/>
      <c r="CH126" s="633"/>
      <c r="CI126" s="634"/>
      <c r="CJ126" s="628"/>
      <c r="CK126" s="611"/>
      <c r="CL126" s="677"/>
      <c r="CM126" s="677"/>
      <c r="CN126" s="677"/>
      <c r="CO126" s="981"/>
      <c r="CP126" s="677"/>
      <c r="CQ126" s="677"/>
      <c r="CR126" s="677"/>
      <c r="CS126" s="677"/>
      <c r="CT126" s="430"/>
      <c r="CX126"/>
      <c r="CY126"/>
      <c r="CZ126"/>
      <c r="DA126"/>
      <c r="DB126"/>
      <c r="DC126"/>
    </row>
    <row r="127" spans="1:107" s="316" customFormat="1" hidden="1">
      <c r="A127" s="613" t="s">
        <v>140</v>
      </c>
      <c r="B127" s="614"/>
      <c r="C127" s="114"/>
      <c r="D127" s="114"/>
      <c r="E127" s="114"/>
      <c r="F127" s="114"/>
      <c r="G127" s="114"/>
      <c r="H127" s="113"/>
      <c r="I127" s="113"/>
      <c r="J127" s="113"/>
      <c r="K127" s="113"/>
      <c r="L127" s="114"/>
      <c r="M127" s="113"/>
      <c r="N127" s="113"/>
      <c r="O127" s="113"/>
      <c r="P127" s="113"/>
      <c r="Q127" s="114"/>
      <c r="R127" s="113"/>
      <c r="S127" s="113"/>
      <c r="T127" s="113"/>
      <c r="U127" s="113"/>
      <c r="V127" s="114"/>
      <c r="W127" s="113"/>
      <c r="X127" s="113"/>
      <c r="Y127" s="113"/>
      <c r="Z127" s="113"/>
      <c r="AA127" s="114"/>
      <c r="AB127" s="113"/>
      <c r="AC127" s="113"/>
      <c r="AD127" s="113"/>
      <c r="AE127" s="113"/>
      <c r="AF127" s="114"/>
      <c r="AG127" s="615"/>
      <c r="AH127" s="616"/>
      <c r="AI127" s="616"/>
      <c r="AJ127" s="615"/>
      <c r="AK127" s="617"/>
      <c r="AL127" s="615"/>
      <c r="AM127" s="615"/>
      <c r="AN127" s="615"/>
      <c r="AO127" s="615"/>
      <c r="AP127" s="617">
        <f t="shared" ref="AP127:AU127" si="345">(AP126-AK119)*100</f>
        <v>0.25701738408920732</v>
      </c>
      <c r="AQ127" s="615">
        <f t="shared" si="345"/>
        <v>0.10499151372274085</v>
      </c>
      <c r="AR127" s="615">
        <f t="shared" si="345"/>
        <v>-0.57435761792825057</v>
      </c>
      <c r="AS127" s="615">
        <f t="shared" si="345"/>
        <v>0.14622902452517128</v>
      </c>
      <c r="AT127" s="615">
        <f t="shared" si="345"/>
        <v>-5.909251618375494E-2</v>
      </c>
      <c r="AU127" s="617">
        <f t="shared" si="345"/>
        <v>-9.9146029502791833E-2</v>
      </c>
      <c r="AV127" s="615"/>
      <c r="AW127" s="615"/>
      <c r="AX127" s="615"/>
      <c r="AY127" s="615"/>
      <c r="AZ127" s="617">
        <f t="shared" ref="AZ127" si="346">(AZ126-AU119)*100</f>
        <v>8.0515574777551002E-2</v>
      </c>
      <c r="BA127" s="615">
        <f>(BA126-AQ119)*100</f>
        <v>11.65267805010995</v>
      </c>
      <c r="BB127" s="615">
        <f>(BB126-AR119)*100</f>
        <v>-0.5847447015390097</v>
      </c>
      <c r="BC127" s="615">
        <f>(BC126-AS119)*100</f>
        <v>-0.36966243672107296</v>
      </c>
      <c r="BD127" s="615">
        <f>(BD126-AT119)*100</f>
        <v>-1.7389130088877782</v>
      </c>
      <c r="BE127" s="617">
        <f>(BE126-AZ119)*100</f>
        <v>1.9553401891430899</v>
      </c>
      <c r="BF127" s="619"/>
      <c r="BG127" s="619"/>
      <c r="BH127" s="619"/>
      <c r="BI127" s="620"/>
      <c r="BJ127" s="617"/>
      <c r="BK127" s="619"/>
      <c r="BL127" s="619"/>
      <c r="BM127" s="619"/>
      <c r="BN127" s="620"/>
      <c r="BO127" s="617"/>
      <c r="BP127" s="617"/>
      <c r="BQ127" s="619"/>
      <c r="BR127" s="619"/>
      <c r="BS127" s="619"/>
      <c r="BT127" s="620"/>
      <c r="BU127" s="617"/>
      <c r="BV127" s="619"/>
      <c r="BW127" s="619"/>
      <c r="BX127" s="619"/>
      <c r="BY127" s="620"/>
      <c r="BZ127" s="617"/>
      <c r="CA127" s="619"/>
      <c r="CB127" s="619"/>
      <c r="CC127" s="619"/>
      <c r="CD127" s="620"/>
      <c r="CE127" s="617"/>
      <c r="CF127" s="619"/>
      <c r="CG127" s="619"/>
      <c r="CH127" s="619"/>
      <c r="CI127" s="620"/>
      <c r="CJ127" s="617"/>
      <c r="CK127" s="66"/>
      <c r="CL127" s="658"/>
      <c r="CM127" s="658"/>
      <c r="CN127" s="658"/>
      <c r="CO127" s="658"/>
      <c r="CP127" s="658"/>
      <c r="CQ127" s="658"/>
      <c r="CR127" s="658"/>
      <c r="CS127" s="658"/>
      <c r="CT127" s="289"/>
      <c r="CX127"/>
      <c r="CY127"/>
      <c r="CZ127"/>
      <c r="DA127"/>
      <c r="DB127"/>
      <c r="DC127"/>
    </row>
    <row r="128" spans="1:107" s="623" customFormat="1" hidden="1">
      <c r="A128" s="621" t="s">
        <v>243</v>
      </c>
      <c r="B128" s="433"/>
      <c r="C128" s="433"/>
      <c r="D128" s="433"/>
      <c r="E128" s="433"/>
      <c r="F128" s="433"/>
      <c r="G128" s="433"/>
      <c r="H128" s="437"/>
      <c r="I128" s="437"/>
      <c r="J128" s="437"/>
      <c r="K128" s="437"/>
      <c r="L128" s="433"/>
      <c r="M128" s="437"/>
      <c r="N128" s="437"/>
      <c r="O128" s="437"/>
      <c r="P128" s="437"/>
      <c r="Q128" s="433"/>
      <c r="R128" s="437"/>
      <c r="S128" s="437"/>
      <c r="T128" s="437"/>
      <c r="U128" s="437"/>
      <c r="V128" s="433"/>
      <c r="W128" s="401"/>
      <c r="X128" s="437"/>
      <c r="Y128" s="401"/>
      <c r="Z128" s="401"/>
      <c r="AA128" s="398"/>
      <c r="AB128" s="401"/>
      <c r="AC128" s="437"/>
      <c r="AD128" s="437"/>
      <c r="AE128" s="437"/>
      <c r="AF128" s="398"/>
      <c r="AG128" s="401"/>
      <c r="AH128" s="437"/>
      <c r="AI128" s="437"/>
      <c r="AJ128" s="437"/>
      <c r="AK128" s="433">
        <f t="shared" ref="AK128:AQ128" si="347">AK122-AK130</f>
        <v>494</v>
      </c>
      <c r="AL128" s="437">
        <f t="shared" si="347"/>
        <v>129</v>
      </c>
      <c r="AM128" s="437">
        <f t="shared" si="347"/>
        <v>143</v>
      </c>
      <c r="AN128" s="437">
        <f t="shared" si="347"/>
        <v>120</v>
      </c>
      <c r="AO128" s="437">
        <f t="shared" si="347"/>
        <v>135</v>
      </c>
      <c r="AP128" s="433">
        <f t="shared" si="347"/>
        <v>527</v>
      </c>
      <c r="AQ128" s="437">
        <f t="shared" si="347"/>
        <v>118</v>
      </c>
      <c r="AR128" s="437">
        <f t="shared" ref="AR128:BB128" si="348">AR122-AR130</f>
        <v>116</v>
      </c>
      <c r="AS128" s="437">
        <f t="shared" si="348"/>
        <v>132</v>
      </c>
      <c r="AT128" s="437">
        <f t="shared" si="348"/>
        <v>125</v>
      </c>
      <c r="AU128" s="433">
        <f t="shared" si="348"/>
        <v>491</v>
      </c>
      <c r="AV128" s="437"/>
      <c r="AW128" s="437"/>
      <c r="AX128" s="437"/>
      <c r="AY128" s="437"/>
      <c r="AZ128" s="433">
        <f t="shared" ref="AZ128" si="349">AZ122-AZ130</f>
        <v>528</v>
      </c>
      <c r="BA128" s="437">
        <f t="shared" si="348"/>
        <v>296</v>
      </c>
      <c r="BB128" s="437">
        <f t="shared" si="348"/>
        <v>122</v>
      </c>
      <c r="BC128" s="437">
        <f>BC122-BC130</f>
        <v>118</v>
      </c>
      <c r="BD128" s="437">
        <f>BD122-BD130</f>
        <v>106</v>
      </c>
      <c r="BE128" s="433">
        <f>BE122-BE130</f>
        <v>642</v>
      </c>
      <c r="BF128" s="403"/>
      <c r="BG128" s="403"/>
      <c r="BH128" s="403"/>
      <c r="BI128" s="404"/>
      <c r="BJ128" s="433"/>
      <c r="BK128" s="403"/>
      <c r="BL128" s="403"/>
      <c r="BM128" s="403"/>
      <c r="BN128" s="404"/>
      <c r="BO128" s="433"/>
      <c r="BP128" s="433"/>
      <c r="BQ128" s="403"/>
      <c r="BR128" s="403"/>
      <c r="BS128" s="403"/>
      <c r="BT128" s="404"/>
      <c r="BU128" s="433"/>
      <c r="BV128" s="403"/>
      <c r="BW128" s="403"/>
      <c r="BX128" s="403"/>
      <c r="BY128" s="404"/>
      <c r="BZ128" s="433"/>
      <c r="CA128" s="403"/>
      <c r="CB128" s="403"/>
      <c r="CC128" s="403"/>
      <c r="CD128" s="404"/>
      <c r="CE128" s="433"/>
      <c r="CF128" s="403"/>
      <c r="CG128" s="403"/>
      <c r="CH128" s="403"/>
      <c r="CI128" s="404"/>
      <c r="CJ128" s="433"/>
      <c r="CK128" s="438"/>
      <c r="CL128" s="678"/>
      <c r="CM128" s="678"/>
      <c r="CN128" s="678"/>
      <c r="CO128" s="982"/>
      <c r="CP128" s="678"/>
      <c r="CQ128" s="678"/>
      <c r="CR128" s="678"/>
      <c r="CS128" s="678"/>
      <c r="CT128" s="400"/>
      <c r="CX128"/>
      <c r="CY128"/>
      <c r="CZ128"/>
      <c r="DA128"/>
      <c r="DB128"/>
      <c r="DC128"/>
    </row>
    <row r="129" spans="1:107" s="316" customFormat="1" hidden="1">
      <c r="A129" s="624" t="s">
        <v>137</v>
      </c>
      <c r="B129" s="378"/>
      <c r="C129" s="378"/>
      <c r="D129" s="378"/>
      <c r="E129" s="378"/>
      <c r="F129" s="378"/>
      <c r="G129" s="378"/>
      <c r="H129" s="382"/>
      <c r="I129" s="382"/>
      <c r="J129" s="382"/>
      <c r="K129" s="382"/>
      <c r="L129" s="378"/>
      <c r="M129" s="382"/>
      <c r="N129" s="382"/>
      <c r="O129" s="382"/>
      <c r="P129" s="382"/>
      <c r="Q129" s="378"/>
      <c r="R129" s="382"/>
      <c r="S129" s="382"/>
      <c r="T129" s="382"/>
      <c r="U129" s="382"/>
      <c r="V129" s="378"/>
      <c r="W129" s="64"/>
      <c r="X129" s="382"/>
      <c r="Y129" s="64"/>
      <c r="Z129" s="64"/>
      <c r="AA129" s="70"/>
      <c r="AB129" s="64"/>
      <c r="AC129" s="382"/>
      <c r="AD129" s="382"/>
      <c r="AE129" s="382"/>
      <c r="AF129" s="70"/>
      <c r="AG129" s="64"/>
      <c r="AH129" s="382"/>
      <c r="AI129" s="382"/>
      <c r="AJ129" s="382"/>
      <c r="AK129" s="378"/>
      <c r="AL129" s="382"/>
      <c r="AM129" s="382"/>
      <c r="AN129" s="382"/>
      <c r="AO129" s="382"/>
      <c r="AP129" s="378">
        <f t="shared" ref="AP129:AU129" si="350">AP128/AK128-1</f>
        <v>6.68016194331984E-2</v>
      </c>
      <c r="AQ129" s="382">
        <f t="shared" si="350"/>
        <v>-8.5271317829457405E-2</v>
      </c>
      <c r="AR129" s="382">
        <f t="shared" si="350"/>
        <v>-0.18881118881118886</v>
      </c>
      <c r="AS129" s="382">
        <f t="shared" si="350"/>
        <v>0.10000000000000009</v>
      </c>
      <c r="AT129" s="382">
        <f t="shared" si="350"/>
        <v>-7.407407407407407E-2</v>
      </c>
      <c r="AU129" s="378">
        <f t="shared" si="350"/>
        <v>-6.8311195445920347E-2</v>
      </c>
      <c r="AV129" s="382"/>
      <c r="AW129" s="382"/>
      <c r="AX129" s="382"/>
      <c r="AY129" s="382"/>
      <c r="AZ129" s="378">
        <f t="shared" ref="AZ129" si="351">AZ128/AU128-1</f>
        <v>7.5356415478615046E-2</v>
      </c>
      <c r="BA129" s="382">
        <f>BA128/AQ128-1</f>
        <v>1.5084745762711864</v>
      </c>
      <c r="BB129" s="382">
        <f>BB128/AR128-1</f>
        <v>5.1724137931034475E-2</v>
      </c>
      <c r="BC129" s="382">
        <f>BC128/AS128-1</f>
        <v>-0.10606060606060608</v>
      </c>
      <c r="BD129" s="382">
        <f>BD128/AT128-1</f>
        <v>-0.15200000000000002</v>
      </c>
      <c r="BE129" s="378">
        <f>BE128/AZ128-1</f>
        <v>0.21590909090909083</v>
      </c>
      <c r="BF129" s="238"/>
      <c r="BG129" s="238"/>
      <c r="BH129" s="238"/>
      <c r="BI129" s="241"/>
      <c r="BJ129" s="378"/>
      <c r="BK129" s="238"/>
      <c r="BL129" s="238"/>
      <c r="BM129" s="238"/>
      <c r="BN129" s="241"/>
      <c r="BO129" s="378"/>
      <c r="BP129" s="378"/>
      <c r="BQ129" s="238"/>
      <c r="BR129" s="238"/>
      <c r="BS129" s="238"/>
      <c r="BT129" s="241"/>
      <c r="BU129" s="378"/>
      <c r="BV129" s="238"/>
      <c r="BW129" s="238"/>
      <c r="BX129" s="238"/>
      <c r="BY129" s="241"/>
      <c r="BZ129" s="378"/>
      <c r="CA129" s="238"/>
      <c r="CB129" s="238"/>
      <c r="CC129" s="238"/>
      <c r="CD129" s="241"/>
      <c r="CE129" s="378"/>
      <c r="CF129" s="238"/>
      <c r="CG129" s="238"/>
      <c r="CH129" s="238"/>
      <c r="CI129" s="241"/>
      <c r="CJ129" s="378"/>
      <c r="CK129" s="66"/>
      <c r="CL129" s="983"/>
      <c r="CM129" s="658"/>
      <c r="CN129" s="658"/>
      <c r="CO129" s="658"/>
      <c r="CP129" s="658"/>
      <c r="CQ129" s="658"/>
      <c r="CR129" s="658"/>
      <c r="CS129" s="658"/>
      <c r="CT129" s="289"/>
      <c r="CX129"/>
      <c r="CY129"/>
      <c r="CZ129"/>
      <c r="DA129"/>
      <c r="DB129"/>
      <c r="DC129"/>
    </row>
    <row r="130" spans="1:107" s="623" customFormat="1" hidden="1">
      <c r="A130" s="625" t="s">
        <v>234</v>
      </c>
      <c r="B130" s="433"/>
      <c r="C130" s="433"/>
      <c r="D130" s="433"/>
      <c r="E130" s="433"/>
      <c r="F130" s="433"/>
      <c r="G130" s="433"/>
      <c r="H130" s="437"/>
      <c r="I130" s="437"/>
      <c r="J130" s="437"/>
      <c r="K130" s="437"/>
      <c r="L130" s="433"/>
      <c r="M130" s="437"/>
      <c r="N130" s="437"/>
      <c r="O130" s="437"/>
      <c r="P130" s="437"/>
      <c r="Q130" s="433"/>
      <c r="R130" s="437"/>
      <c r="S130" s="437"/>
      <c r="T130" s="437"/>
      <c r="U130" s="437"/>
      <c r="V130" s="433"/>
      <c r="W130" s="401"/>
      <c r="X130" s="437"/>
      <c r="Y130" s="401"/>
      <c r="Z130" s="401"/>
      <c r="AA130" s="398"/>
      <c r="AB130" s="401"/>
      <c r="AC130" s="437"/>
      <c r="AD130" s="437"/>
      <c r="AE130" s="437"/>
      <c r="AF130" s="398"/>
      <c r="AG130" s="401"/>
      <c r="AH130" s="437"/>
      <c r="AI130" s="437"/>
      <c r="AJ130" s="437"/>
      <c r="AK130" s="433">
        <v>42</v>
      </c>
      <c r="AL130" s="437">
        <v>-5</v>
      </c>
      <c r="AM130" s="437">
        <v>-12</v>
      </c>
      <c r="AN130" s="437">
        <v>14</v>
      </c>
      <c r="AO130" s="437">
        <f>AP130-SUM(AL130:AN130)</f>
        <v>-14</v>
      </c>
      <c r="AP130" s="433">
        <v>-17</v>
      </c>
      <c r="AQ130" s="704">
        <v>5</v>
      </c>
      <c r="AR130" s="704">
        <v>7</v>
      </c>
      <c r="AS130" s="704">
        <v>-14</v>
      </c>
      <c r="AT130" s="437">
        <f>AU130-SUM(AQ130:AS130)</f>
        <v>6</v>
      </c>
      <c r="AU130" s="717">
        <v>4</v>
      </c>
      <c r="AV130" s="704"/>
      <c r="AW130" s="704"/>
      <c r="AX130" s="704"/>
      <c r="AY130" s="437"/>
      <c r="AZ130" s="717">
        <v>4</v>
      </c>
      <c r="BA130" s="672">
        <v>-1</v>
      </c>
      <c r="BB130" s="672">
        <v>0</v>
      </c>
      <c r="BC130" s="754">
        <v>0</v>
      </c>
      <c r="BD130" s="437">
        <f>BE130-SUM(BA130:BC130)</f>
        <v>5</v>
      </c>
      <c r="BE130" s="755">
        <v>4</v>
      </c>
      <c r="BF130" s="403"/>
      <c r="BG130" s="403"/>
      <c r="BH130" s="403"/>
      <c r="BI130" s="404"/>
      <c r="BJ130" s="433"/>
      <c r="BK130" s="403"/>
      <c r="BL130" s="403"/>
      <c r="BM130" s="403"/>
      <c r="BN130" s="404"/>
      <c r="BO130" s="433"/>
      <c r="BP130" s="433"/>
      <c r="BQ130" s="403"/>
      <c r="BR130" s="403"/>
      <c r="BS130" s="403"/>
      <c r="BT130" s="404"/>
      <c r="BU130" s="433"/>
      <c r="BV130" s="403"/>
      <c r="BW130" s="403"/>
      <c r="BX130" s="403"/>
      <c r="BY130" s="404"/>
      <c r="BZ130" s="433"/>
      <c r="CA130" s="403"/>
      <c r="CB130" s="403"/>
      <c r="CC130" s="403"/>
      <c r="CD130" s="404"/>
      <c r="CE130" s="433"/>
      <c r="CF130" s="403"/>
      <c r="CG130" s="403"/>
      <c r="CH130" s="403"/>
      <c r="CI130" s="404"/>
      <c r="CJ130" s="433"/>
      <c r="CK130" s="438"/>
      <c r="CL130" s="678"/>
      <c r="CM130" s="678"/>
      <c r="CN130" s="678"/>
      <c r="CO130" s="982"/>
      <c r="CP130" s="678"/>
      <c r="CQ130" s="678"/>
      <c r="CR130" s="678"/>
      <c r="CS130" s="678"/>
      <c r="CT130" s="400"/>
      <c r="CX130"/>
      <c r="CY130"/>
      <c r="CZ130"/>
      <c r="DA130"/>
      <c r="DB130"/>
      <c r="DC130"/>
    </row>
    <row r="131" spans="1:107" s="612" customFormat="1" hidden="1">
      <c r="A131" s="626" t="s">
        <v>235</v>
      </c>
      <c r="B131" s="425"/>
      <c r="C131" s="425"/>
      <c r="D131" s="425"/>
      <c r="E131" s="425"/>
      <c r="F131" s="425"/>
      <c r="G131" s="425"/>
      <c r="H131" s="609"/>
      <c r="I131" s="609"/>
      <c r="J131" s="609"/>
      <c r="K131" s="609"/>
      <c r="L131" s="425"/>
      <c r="M131" s="609"/>
      <c r="N131" s="609"/>
      <c r="O131" s="609"/>
      <c r="P131" s="609"/>
      <c r="Q131" s="425"/>
      <c r="R131" s="609"/>
      <c r="S131" s="609"/>
      <c r="T131" s="609"/>
      <c r="U131" s="609"/>
      <c r="V131" s="425"/>
      <c r="W131" s="431"/>
      <c r="X131" s="609"/>
      <c r="Y131" s="431"/>
      <c r="Z131" s="431"/>
      <c r="AA131" s="474"/>
      <c r="AB131" s="431"/>
      <c r="AC131" s="609"/>
      <c r="AD131" s="609"/>
      <c r="AE131" s="609"/>
      <c r="AF131" s="474"/>
      <c r="AG131" s="431"/>
      <c r="AH131" s="609"/>
      <c r="AI131" s="609"/>
      <c r="AJ131" s="609"/>
      <c r="AK131" s="425">
        <f t="shared" ref="AK131:AR131" si="352">AK130/AK111</f>
        <v>7.7134986225895321E-3</v>
      </c>
      <c r="AL131" s="609">
        <f t="shared" si="352"/>
        <v>-3.7481259370314842E-3</v>
      </c>
      <c r="AM131" s="609">
        <f t="shared" si="352"/>
        <v>-8.6021505376344086E-3</v>
      </c>
      <c r="AN131" s="609">
        <f t="shared" si="352"/>
        <v>1.0630220197418374E-2</v>
      </c>
      <c r="AO131" s="609">
        <f t="shared" si="352"/>
        <v>-1.0542168674698794E-2</v>
      </c>
      <c r="AP131" s="425">
        <f t="shared" si="352"/>
        <v>-3.1633792333457386E-3</v>
      </c>
      <c r="AQ131" s="609">
        <f t="shared" si="352"/>
        <v>3.985333970986769E-3</v>
      </c>
      <c r="AR131" s="609">
        <f t="shared" si="352"/>
        <v>5.263157894736842E-3</v>
      </c>
      <c r="AS131" s="609">
        <f t="shared" ref="AS131:BC131" si="353">AS130/AS111</f>
        <v>-1.1686143572621035E-2</v>
      </c>
      <c r="AT131" s="609">
        <f t="shared" si="353"/>
        <v>4.5180722891566263E-3</v>
      </c>
      <c r="AU131" s="425">
        <f t="shared" si="353"/>
        <v>7.8268696434860867E-4</v>
      </c>
      <c r="AV131" s="609"/>
      <c r="AW131" s="609"/>
      <c r="AX131" s="609"/>
      <c r="AY131" s="609"/>
      <c r="AZ131" s="425">
        <f t="shared" ref="AZ131" si="354">AZ130/AZ111</f>
        <v>8.5616438356164379E-4</v>
      </c>
      <c r="BA131" s="609">
        <f t="shared" si="353"/>
        <v>-8.8967971530249106E-4</v>
      </c>
      <c r="BB131" s="609">
        <f t="shared" si="353"/>
        <v>0</v>
      </c>
      <c r="BC131" s="609">
        <f t="shared" si="353"/>
        <v>0</v>
      </c>
      <c r="BD131" s="609">
        <f>BD130/BD111</f>
        <v>3.9154267815191858E-3</v>
      </c>
      <c r="BE131" s="425">
        <f>BE130/BE111</f>
        <v>8.027292795504716E-4</v>
      </c>
      <c r="BF131" s="479"/>
      <c r="BG131" s="479"/>
      <c r="BH131" s="479"/>
      <c r="BI131" s="481"/>
      <c r="BJ131" s="425"/>
      <c r="BK131" s="479"/>
      <c r="BL131" s="479"/>
      <c r="BM131" s="479"/>
      <c r="BN131" s="481"/>
      <c r="BO131" s="425"/>
      <c r="BP131" s="425"/>
      <c r="BQ131" s="479"/>
      <c r="BR131" s="479"/>
      <c r="BS131" s="479"/>
      <c r="BT131" s="481"/>
      <c r="BU131" s="425"/>
      <c r="BV131" s="479"/>
      <c r="BW131" s="479"/>
      <c r="BX131" s="479"/>
      <c r="BY131" s="481"/>
      <c r="BZ131" s="425"/>
      <c r="CA131" s="479"/>
      <c r="CB131" s="479"/>
      <c r="CC131" s="479"/>
      <c r="CD131" s="481"/>
      <c r="CE131" s="425"/>
      <c r="CF131" s="479"/>
      <c r="CG131" s="479"/>
      <c r="CH131" s="479"/>
      <c r="CI131" s="481"/>
      <c r="CJ131" s="425"/>
      <c r="CK131" s="611"/>
      <c r="CL131" s="677"/>
      <c r="CM131" s="677"/>
      <c r="CN131" s="677"/>
      <c r="CO131" s="981"/>
      <c r="CP131" s="677"/>
      <c r="CQ131" s="677"/>
      <c r="CR131" s="677"/>
      <c r="CS131" s="677"/>
      <c r="CT131" s="430"/>
      <c r="CX131"/>
      <c r="CY131"/>
      <c r="CZ131"/>
      <c r="DA131"/>
      <c r="DB131"/>
      <c r="DC131"/>
    </row>
    <row r="132" spans="1:107" s="299" customFormat="1">
      <c r="A132" s="63" t="s">
        <v>153</v>
      </c>
      <c r="B132" s="101">
        <f t="shared" ref="B132:AG132" si="355">B135/B24</f>
        <v>8.8590141330575661E-2</v>
      </c>
      <c r="C132" s="101">
        <f t="shared" si="355"/>
        <v>0.1227781435154707</v>
      </c>
      <c r="D132" s="101">
        <f t="shared" si="355"/>
        <v>0.11984171848501979</v>
      </c>
      <c r="E132" s="101">
        <f t="shared" si="355"/>
        <v>0.11342351716961499</v>
      </c>
      <c r="F132" s="101">
        <f t="shared" si="355"/>
        <v>0.10451018428709991</v>
      </c>
      <c r="G132" s="101">
        <f t="shared" si="355"/>
        <v>0.10637352875860537</v>
      </c>
      <c r="H132" s="102">
        <f t="shared" si="355"/>
        <v>0.10526315789473684</v>
      </c>
      <c r="I132" s="102">
        <f t="shared" si="355"/>
        <v>0.10771704180064309</v>
      </c>
      <c r="J132" s="102">
        <f t="shared" si="355"/>
        <v>0.11146752205292702</v>
      </c>
      <c r="K132" s="102">
        <f t="shared" si="355"/>
        <v>0.10866372980910426</v>
      </c>
      <c r="L132" s="101">
        <f t="shared" si="355"/>
        <v>0.10803820135296459</v>
      </c>
      <c r="M132" s="102">
        <f t="shared" si="355"/>
        <v>0.10538286580742987</v>
      </c>
      <c r="N132" s="102">
        <f t="shared" si="355"/>
        <v>0.11592076302274394</v>
      </c>
      <c r="O132" s="102">
        <f t="shared" si="355"/>
        <v>0.10661764705882353</v>
      </c>
      <c r="P132" s="102">
        <f t="shared" si="355"/>
        <v>0.10395314787701318</v>
      </c>
      <c r="Q132" s="101">
        <f t="shared" si="355"/>
        <v>0.10798816568047337</v>
      </c>
      <c r="R132" s="102">
        <f t="shared" si="355"/>
        <v>0.11549707602339181</v>
      </c>
      <c r="S132" s="102">
        <f t="shared" si="355"/>
        <v>0.10621387283236994</v>
      </c>
      <c r="T132" s="102">
        <f t="shared" si="355"/>
        <v>0.10386819484240688</v>
      </c>
      <c r="U132" s="102">
        <f t="shared" si="355"/>
        <v>0.10898796886058032</v>
      </c>
      <c r="V132" s="101">
        <f t="shared" si="355"/>
        <v>0.10861355871246178</v>
      </c>
      <c r="W132" s="102">
        <f t="shared" si="355"/>
        <v>0.115356355620867</v>
      </c>
      <c r="X132" s="102">
        <f t="shared" si="355"/>
        <v>0.11448763250883393</v>
      </c>
      <c r="Y132" s="102">
        <f t="shared" si="355"/>
        <v>0.11574406901509705</v>
      </c>
      <c r="Z132" s="102">
        <f t="shared" si="355"/>
        <v>0.10862619808306709</v>
      </c>
      <c r="AA132" s="101">
        <f t="shared" si="355"/>
        <v>0.11339846475924634</v>
      </c>
      <c r="AB132" s="102">
        <f t="shared" si="355"/>
        <v>0.11662904439428141</v>
      </c>
      <c r="AC132" s="102">
        <f t="shared" si="355"/>
        <v>0.11054172767203514</v>
      </c>
      <c r="AD132" s="102">
        <f t="shared" si="355"/>
        <v>0.1259731068648266</v>
      </c>
      <c r="AE132" s="102">
        <f t="shared" si="355"/>
        <v>0.14102564102564102</v>
      </c>
      <c r="AF132" s="101">
        <f t="shared" si="355"/>
        <v>0.13806793118659022</v>
      </c>
      <c r="AG132" s="102">
        <f t="shared" si="355"/>
        <v>0.13803872579637727</v>
      </c>
      <c r="AH132" s="102">
        <f t="shared" ref="AH132:BJ132" si="356">AH135/AH24</f>
        <v>0.13227848101265824</v>
      </c>
      <c r="AI132" s="102">
        <f t="shared" si="356"/>
        <v>0.13893858079904592</v>
      </c>
      <c r="AJ132" s="102">
        <f t="shared" si="356"/>
        <v>0.1111734980348119</v>
      </c>
      <c r="AK132" s="101">
        <f t="shared" si="356"/>
        <v>0.12968820605512879</v>
      </c>
      <c r="AL132" s="102">
        <f t="shared" si="356"/>
        <v>0.13080684596577016</v>
      </c>
      <c r="AM132" s="102">
        <f t="shared" si="356"/>
        <v>0.12603550295857988</v>
      </c>
      <c r="AN132" s="102">
        <f t="shared" si="356"/>
        <v>0.1235474006116208</v>
      </c>
      <c r="AO132" s="102">
        <f t="shared" si="356"/>
        <v>0.1227106227106227</v>
      </c>
      <c r="AP132" s="101">
        <f t="shared" si="356"/>
        <v>0.12577663282315502</v>
      </c>
      <c r="AQ132" s="102">
        <f t="shared" si="356"/>
        <v>0.13214739517153748</v>
      </c>
      <c r="AR132" s="102">
        <f t="shared" si="356"/>
        <v>0.12345679012345678</v>
      </c>
      <c r="AS132" s="102">
        <f t="shared" si="356"/>
        <v>0.12863913337846988</v>
      </c>
      <c r="AT132" s="102">
        <f t="shared" si="356"/>
        <v>0.12332751599767307</v>
      </c>
      <c r="AU132" s="101">
        <f t="shared" si="356"/>
        <v>0.12680297987002695</v>
      </c>
      <c r="AV132" s="102"/>
      <c r="AW132" s="102"/>
      <c r="AX132" s="102"/>
      <c r="AY132" s="102"/>
      <c r="AZ132" s="101">
        <f t="shared" ref="AZ132" si="357">AZ135/AZ24</f>
        <v>0.12696148359486448</v>
      </c>
      <c r="BA132" s="102">
        <f t="shared" si="356"/>
        <v>0.14052953156822812</v>
      </c>
      <c r="BB132" s="102">
        <f t="shared" si="356"/>
        <v>0.11802437459910199</v>
      </c>
      <c r="BC132" s="102">
        <f t="shared" si="356"/>
        <v>0.1331306990881459</v>
      </c>
      <c r="BD132" s="102">
        <f t="shared" si="356"/>
        <v>0.1373070782331027</v>
      </c>
      <c r="BE132" s="101">
        <f t="shared" si="356"/>
        <v>0.13239780353874314</v>
      </c>
      <c r="BF132" s="102">
        <f t="shared" si="356"/>
        <v>0.1114335461404527</v>
      </c>
      <c r="BG132" s="102">
        <f t="shared" si="356"/>
        <v>0.13466183574879226</v>
      </c>
      <c r="BH132" s="102">
        <f t="shared" si="356"/>
        <v>0.13388888888888889</v>
      </c>
      <c r="BI132" s="102">
        <f t="shared" si="356"/>
        <v>0.13742071881606766</v>
      </c>
      <c r="BJ132" s="101">
        <f t="shared" si="356"/>
        <v>0.12954320463866498</v>
      </c>
      <c r="BK132" s="102">
        <f t="shared" ref="BK132:BO132" si="358">BK135/BK24</f>
        <v>0.12300683371298406</v>
      </c>
      <c r="BL132" s="102">
        <f t="shared" si="358"/>
        <v>0.12414518674381904</v>
      </c>
      <c r="BM132" s="102">
        <f t="shared" si="358"/>
        <v>0.14395886889460155</v>
      </c>
      <c r="BN132" s="102">
        <f t="shared" si="358"/>
        <v>0.12723112128146452</v>
      </c>
      <c r="BO132" s="101">
        <f t="shared" si="358"/>
        <v>0.12970335174007963</v>
      </c>
      <c r="BP132" s="101">
        <f t="shared" ref="BP132" si="359">BP135/BP24</f>
        <v>0.12970335174007963</v>
      </c>
      <c r="BQ132" s="347">
        <v>0.13</v>
      </c>
      <c r="BR132" s="345">
        <v>0.13200000000000001</v>
      </c>
      <c r="BS132" s="345">
        <v>0.13200000000000001</v>
      </c>
      <c r="BT132" s="348">
        <v>0.13500000000000001</v>
      </c>
      <c r="BU132" s="101">
        <f>BU135/BU24</f>
        <v>0.13240233069116766</v>
      </c>
      <c r="BV132" s="347"/>
      <c r="BW132" s="345"/>
      <c r="BX132" s="345"/>
      <c r="BY132" s="348"/>
      <c r="BZ132" s="346">
        <f>+BU132+0.2%</f>
        <v>0.13440233069116767</v>
      </c>
      <c r="CA132" s="347"/>
      <c r="CB132" s="345"/>
      <c r="CC132" s="345"/>
      <c r="CD132" s="348"/>
      <c r="CE132" s="346">
        <v>0.13400000000000001</v>
      </c>
      <c r="CF132" s="347"/>
      <c r="CG132" s="345"/>
      <c r="CH132" s="345"/>
      <c r="CI132" s="348"/>
      <c r="CJ132" s="346">
        <v>0.13400000000000001</v>
      </c>
      <c r="CK132" s="290"/>
      <c r="CL132" s="657" t="s">
        <v>349</v>
      </c>
      <c r="CM132" s="658"/>
      <c r="CN132" s="682"/>
      <c r="CO132" s="658"/>
      <c r="CP132" s="658"/>
      <c r="CQ132" s="657"/>
      <c r="CR132" s="658"/>
      <c r="CS132" s="658"/>
      <c r="CT132" s="290"/>
      <c r="CX132"/>
      <c r="CY132"/>
      <c r="CZ132"/>
      <c r="DA132"/>
      <c r="DB132"/>
      <c r="DC132"/>
    </row>
    <row r="133" spans="1:107" s="308" customFormat="1">
      <c r="A133" s="112" t="s">
        <v>140</v>
      </c>
      <c r="B133" s="114"/>
      <c r="C133" s="114">
        <f>(C132-B132)*100</f>
        <v>3.4188002184895039</v>
      </c>
      <c r="D133" s="114">
        <f>(D132-C132)*100</f>
        <v>-0.29364250304509121</v>
      </c>
      <c r="E133" s="114">
        <f>(E132-D132)*100</f>
        <v>-0.64182013154047979</v>
      </c>
      <c r="F133" s="114">
        <f>(F132-E132)*100</f>
        <v>-0.89133328825150848</v>
      </c>
      <c r="G133" s="114">
        <f>(G132-F132)*100</f>
        <v>0.18633444715054626</v>
      </c>
      <c r="H133" s="113"/>
      <c r="I133" s="113"/>
      <c r="J133" s="113"/>
      <c r="K133" s="113"/>
      <c r="L133" s="114">
        <f t="shared" ref="L133:AS133" si="360">(L132-G132)*100</f>
        <v>0.16646725943592205</v>
      </c>
      <c r="M133" s="113">
        <f t="shared" si="360"/>
        <v>1.1970791269302894E-2</v>
      </c>
      <c r="N133" s="113">
        <f t="shared" si="360"/>
        <v>0.82037212221008482</v>
      </c>
      <c r="O133" s="113">
        <f t="shared" si="360"/>
        <v>-0.4849874994103498</v>
      </c>
      <c r="P133" s="113">
        <f t="shared" si="360"/>
        <v>-0.47105819320910763</v>
      </c>
      <c r="Q133" s="114">
        <f t="shared" si="360"/>
        <v>-5.0035672491219318E-3</v>
      </c>
      <c r="R133" s="113">
        <f t="shared" si="360"/>
        <v>1.0114210215961941</v>
      </c>
      <c r="S133" s="113">
        <f t="shared" si="360"/>
        <v>-0.97068901903740046</v>
      </c>
      <c r="T133" s="113">
        <f t="shared" si="360"/>
        <v>-0.27494522164166479</v>
      </c>
      <c r="U133" s="113">
        <f t="shared" si="360"/>
        <v>0.50348209835671398</v>
      </c>
      <c r="V133" s="114">
        <f t="shared" si="360"/>
        <v>6.2539303198841378E-2</v>
      </c>
      <c r="W133" s="113">
        <f t="shared" si="360"/>
        <v>-1.4072040252480211E-2</v>
      </c>
      <c r="X133" s="113">
        <f t="shared" si="360"/>
        <v>0.82737596764639876</v>
      </c>
      <c r="Y133" s="113">
        <f t="shared" si="360"/>
        <v>1.1875874172690177</v>
      </c>
      <c r="Z133" s="113">
        <f t="shared" si="360"/>
        <v>-3.6177077751323172E-2</v>
      </c>
      <c r="AA133" s="114">
        <f t="shared" si="360"/>
        <v>0.47849060467845539</v>
      </c>
      <c r="AB133" s="113">
        <f t="shared" si="360"/>
        <v>0.12726887734144099</v>
      </c>
      <c r="AC133" s="113">
        <f t="shared" si="360"/>
        <v>-0.39459048367987831</v>
      </c>
      <c r="AD133" s="113">
        <f t="shared" si="360"/>
        <v>1.0229037849729548</v>
      </c>
      <c r="AE133" s="113">
        <f t="shared" si="360"/>
        <v>3.2399442942573935</v>
      </c>
      <c r="AF133" s="114">
        <f t="shared" si="360"/>
        <v>2.4669466427343885</v>
      </c>
      <c r="AG133" s="113">
        <f t="shared" si="360"/>
        <v>2.1409681402095857</v>
      </c>
      <c r="AH133" s="113">
        <f t="shared" si="360"/>
        <v>2.1736753340623096</v>
      </c>
      <c r="AI133" s="113">
        <f t="shared" si="360"/>
        <v>1.2965473934219318</v>
      </c>
      <c r="AJ133" s="113">
        <f t="shared" si="360"/>
        <v>-2.9852142990829127</v>
      </c>
      <c r="AK133" s="114">
        <f t="shared" si="360"/>
        <v>-0.83797251314614296</v>
      </c>
      <c r="AL133" s="113">
        <f t="shared" si="360"/>
        <v>-0.72318798306071075</v>
      </c>
      <c r="AM133" s="113">
        <f t="shared" si="360"/>
        <v>-0.6242978054078363</v>
      </c>
      <c r="AN133" s="113">
        <f t="shared" si="360"/>
        <v>-1.5391180187425122</v>
      </c>
      <c r="AO133" s="113">
        <f t="shared" si="360"/>
        <v>1.1537124675810806</v>
      </c>
      <c r="AP133" s="114">
        <f t="shared" si="360"/>
        <v>-0.3911573231973775</v>
      </c>
      <c r="AQ133" s="113">
        <f t="shared" si="360"/>
        <v>0.13405492057673163</v>
      </c>
      <c r="AR133" s="113">
        <f t="shared" si="360"/>
        <v>-0.25787128351230926</v>
      </c>
      <c r="AS133" s="113">
        <f t="shared" si="360"/>
        <v>0.50917327668490864</v>
      </c>
      <c r="AT133" s="113">
        <f t="shared" ref="AT133:AU133" si="361">(AT132-AO132)*100</f>
        <v>6.1689328705036295E-2</v>
      </c>
      <c r="AU133" s="114">
        <f t="shared" si="361"/>
        <v>0.10263470468719338</v>
      </c>
      <c r="AV133" s="113"/>
      <c r="AW133" s="113"/>
      <c r="AX133" s="113"/>
      <c r="AY133" s="113"/>
      <c r="AZ133" s="114">
        <f t="shared" ref="AZ133" si="362">(AZ132-AU132)*100</f>
        <v>1.5850372483752762E-2</v>
      </c>
      <c r="BA133" s="113">
        <f>(BA132-AQ132)*100</f>
        <v>0.8382136396690637</v>
      </c>
      <c r="BB133" s="113">
        <f>(BB132-AR132)*100</f>
        <v>-0.54324155243547922</v>
      </c>
      <c r="BC133" s="113">
        <f>(BC132-AS132)*100</f>
        <v>0.44915657096760153</v>
      </c>
      <c r="BD133" s="113">
        <f>(BD132-AT132)*100</f>
        <v>1.3979562235429634</v>
      </c>
      <c r="BE133" s="114">
        <f>(BE132-AZ132)*100</f>
        <v>0.54363199438786647</v>
      </c>
      <c r="BF133" s="113">
        <f t="shared" ref="BF133:BM133" si="363">(BF132-BA132)*100</f>
        <v>-2.9095985427775419</v>
      </c>
      <c r="BG133" s="113">
        <f t="shared" si="363"/>
        <v>1.6637461149690267</v>
      </c>
      <c r="BH133" s="113">
        <f t="shared" si="363"/>
        <v>7.5818980074299214E-2</v>
      </c>
      <c r="BI133" s="113">
        <f t="shared" si="363"/>
        <v>1.1364058296495227E-2</v>
      </c>
      <c r="BJ133" s="114">
        <f t="shared" si="363"/>
        <v>-0.28545989000781646</v>
      </c>
      <c r="BK133" s="113">
        <f t="shared" si="363"/>
        <v>1.1573287572531357</v>
      </c>
      <c r="BL133" s="113">
        <f t="shared" si="363"/>
        <v>-1.051664900497322</v>
      </c>
      <c r="BM133" s="113">
        <f t="shared" si="363"/>
        <v>1.006998000571266</v>
      </c>
      <c r="BN133" s="113">
        <f t="shared" ref="BN133" si="364">(BN132-BI132)*100</f>
        <v>-1.0189597534603134</v>
      </c>
      <c r="BO133" s="114">
        <f t="shared" ref="BO133" si="365">(BO132-BJ132)*100</f>
        <v>1.6014710141465383E-2</v>
      </c>
      <c r="BP133" s="114"/>
      <c r="BQ133" s="115">
        <f t="shared" ref="BQ133" si="366">(BQ132-BK132)*100</f>
        <v>0.69931662870159483</v>
      </c>
      <c r="BR133" s="113">
        <f t="shared" ref="BR133" si="367">(BR132-BL132)*100</f>
        <v>0.7854813256180968</v>
      </c>
      <c r="BS133" s="113">
        <f t="shared" ref="BS133" si="368">(BS132-BM132)*100</f>
        <v>-1.1958868894601542</v>
      </c>
      <c r="BT133" s="116">
        <f>(BT132-BN132)*100</f>
        <v>0.77688787185354879</v>
      </c>
      <c r="BU133" s="114">
        <f>(BU132-BO132)*100</f>
        <v>0.26989789510880324</v>
      </c>
      <c r="BV133" s="115"/>
      <c r="BW133" s="113"/>
      <c r="BX133" s="113"/>
      <c r="BY133" s="116"/>
      <c r="BZ133" s="114">
        <f>(BZ132-BU132)*100</f>
        <v>0.20000000000000018</v>
      </c>
      <c r="CA133" s="115"/>
      <c r="CB133" s="113"/>
      <c r="CC133" s="113"/>
      <c r="CD133" s="116"/>
      <c r="CE133" s="114">
        <f>(CE132-BZ132)*100</f>
        <v>-4.0233069116765718E-2</v>
      </c>
      <c r="CF133" s="115"/>
      <c r="CG133" s="113"/>
      <c r="CH133" s="113"/>
      <c r="CI133" s="116"/>
      <c r="CJ133" s="114">
        <f>(CJ132-CE132)*100</f>
        <v>0</v>
      </c>
      <c r="CK133" s="307"/>
      <c r="CL133" s="657"/>
      <c r="CM133" s="675"/>
      <c r="CN133" s="682"/>
      <c r="CO133" s="675"/>
      <c r="CP133" s="675"/>
      <c r="CQ133" s="675"/>
      <c r="CR133" s="675"/>
      <c r="CS133" s="675"/>
      <c r="CT133" s="307"/>
      <c r="CX133"/>
      <c r="CY133"/>
      <c r="CZ133"/>
      <c r="DA133"/>
      <c r="DB133"/>
      <c r="DC133"/>
    </row>
    <row r="134" spans="1:107" s="312" customFormat="1">
      <c r="A134" s="108" t="s">
        <v>141</v>
      </c>
      <c r="B134" s="160"/>
      <c r="C134" s="158">
        <f>(C135-B135)/(C24-B24)</f>
        <v>0.84671532846715325</v>
      </c>
      <c r="D134" s="158">
        <f>(D135-C135)/(D24-C24)</f>
        <v>0.10199999999999999</v>
      </c>
      <c r="E134" s="158">
        <f>(E135-D135)/(E24-D24)</f>
        <v>3.9215686274509803E-2</v>
      </c>
      <c r="F134" s="158">
        <f>(F135-E135)/(F24-E24)</f>
        <v>-1.7857142857142856E-2</v>
      </c>
      <c r="G134" s="158">
        <f t="shared" ref="G134:BM134" si="369">IFERROR((G135-B135)/(G24-B24),0)</f>
        <v>0.13857677902621723</v>
      </c>
      <c r="H134" s="161">
        <f t="shared" si="369"/>
        <v>0.1332982086406744</v>
      </c>
      <c r="I134" s="161">
        <f t="shared" si="369"/>
        <v>0.12641673931996514</v>
      </c>
      <c r="J134" s="161">
        <f t="shared" si="369"/>
        <v>0.11436272622256449</v>
      </c>
      <c r="K134" s="161">
        <f t="shared" si="369"/>
        <v>0.10246198406951484</v>
      </c>
      <c r="L134" s="158">
        <f t="shared" si="369"/>
        <v>0.12237093690248566</v>
      </c>
      <c r="M134" s="159">
        <f t="shared" si="369"/>
        <v>0.10614525139664804</v>
      </c>
      <c r="N134" s="159">
        <f t="shared" si="369"/>
        <v>0.20168067226890757</v>
      </c>
      <c r="O134" s="159">
        <f t="shared" si="369"/>
        <v>5.3097345132743362E-2</v>
      </c>
      <c r="P134" s="159">
        <f t="shared" si="369"/>
        <v>-1.5</v>
      </c>
      <c r="Q134" s="158">
        <f t="shared" si="369"/>
        <v>0.10732984293193717</v>
      </c>
      <c r="R134" s="159">
        <f t="shared" si="369"/>
        <v>0.38775510204081631</v>
      </c>
      <c r="S134" s="159">
        <f t="shared" si="369"/>
        <v>-0.52380952380952384</v>
      </c>
      <c r="T134" s="159">
        <f t="shared" si="369"/>
        <v>0</v>
      </c>
      <c r="U134" s="159">
        <f t="shared" si="369"/>
        <v>0.25531914893617019</v>
      </c>
      <c r="V134" s="158">
        <f t="shared" si="369"/>
        <v>0.13071895424836602</v>
      </c>
      <c r="W134" s="159">
        <f t="shared" si="369"/>
        <v>0.14285714285714285</v>
      </c>
      <c r="X134" s="159">
        <f t="shared" si="369"/>
        <v>0.4838709677419355</v>
      </c>
      <c r="Y134" s="159">
        <f t="shared" si="369"/>
        <v>-3.2</v>
      </c>
      <c r="Z134" s="159">
        <f t="shared" si="369"/>
        <v>0.10526315789473684</v>
      </c>
      <c r="AA134" s="158">
        <f t="shared" si="369"/>
        <v>0.26900584795321636</v>
      </c>
      <c r="AB134" s="159">
        <f t="shared" si="369"/>
        <v>6.25E-2</v>
      </c>
      <c r="AC134" s="159">
        <f t="shared" si="369"/>
        <v>0.22448979591836735</v>
      </c>
      <c r="AD134" s="159">
        <f t="shared" si="369"/>
        <v>0.77272727272727271</v>
      </c>
      <c r="AE134" s="159">
        <f t="shared" si="369"/>
        <v>-0.46987951807228917</v>
      </c>
      <c r="AF134" s="158">
        <f t="shared" si="369"/>
        <v>0.27034611786716556</v>
      </c>
      <c r="AG134" s="159">
        <f t="shared" si="369"/>
        <v>0.24264705882352941</v>
      </c>
      <c r="AH134" s="159">
        <f t="shared" si="369"/>
        <v>0.27102803738317754</v>
      </c>
      <c r="AI134" s="159">
        <f t="shared" si="369"/>
        <v>0.20833333333333334</v>
      </c>
      <c r="AJ134" s="159">
        <f t="shared" si="369"/>
        <v>-3.678929765886288E-2</v>
      </c>
      <c r="AK134" s="158">
        <f t="shared" si="369"/>
        <v>0.48148148148148145</v>
      </c>
      <c r="AL134" s="159">
        <f t="shared" si="369"/>
        <v>-0.2</v>
      </c>
      <c r="AM134" s="159">
        <f t="shared" si="369"/>
        <v>3.6363636363636362E-2</v>
      </c>
      <c r="AN134" s="159">
        <f t="shared" si="369"/>
        <v>0.73809523809523814</v>
      </c>
      <c r="AO134" s="159">
        <f t="shared" si="369"/>
        <v>-2.097902097902098E-2</v>
      </c>
      <c r="AP134" s="158">
        <f t="shared" si="369"/>
        <v>0.77500000000000002</v>
      </c>
      <c r="AQ134" s="159">
        <f t="shared" si="369"/>
        <v>9.6774193548387094E-2</v>
      </c>
      <c r="AR134" s="159">
        <f t="shared" si="369"/>
        <v>0.15231788079470199</v>
      </c>
      <c r="AS134" s="159">
        <f t="shared" si="369"/>
        <v>7.5949367088607597E-2</v>
      </c>
      <c r="AT134" s="159">
        <f t="shared" si="369"/>
        <v>0.13580246913580246</v>
      </c>
      <c r="AU134" s="158">
        <f t="shared" si="369"/>
        <v>0.10344827586206896</v>
      </c>
      <c r="AV134" s="159">
        <f t="shared" si="369"/>
        <v>0.13214739517153748</v>
      </c>
      <c r="AW134" s="159">
        <f t="shared" si="369"/>
        <v>0.12345679012345678</v>
      </c>
      <c r="AX134" s="159">
        <f t="shared" si="369"/>
        <v>0.12863913337846988</v>
      </c>
      <c r="AY134" s="159">
        <f t="shared" si="369"/>
        <v>0.12332751599767307</v>
      </c>
      <c r="AZ134" s="158">
        <f t="shared" si="369"/>
        <v>0</v>
      </c>
      <c r="BA134" s="159">
        <f t="shared" si="369"/>
        <v>0.14052953156822812</v>
      </c>
      <c r="BB134" s="159">
        <f t="shared" si="369"/>
        <v>0.11802437459910199</v>
      </c>
      <c r="BC134" s="159">
        <f t="shared" si="369"/>
        <v>0.1331306990881459</v>
      </c>
      <c r="BD134" s="159">
        <f t="shared" si="369"/>
        <v>0.1373070782331027</v>
      </c>
      <c r="BE134" s="158">
        <f t="shared" si="369"/>
        <v>0.27125506072874495</v>
      </c>
      <c r="BF134" s="159">
        <f t="shared" si="369"/>
        <v>-0.06</v>
      </c>
      <c r="BG134" s="159">
        <f t="shared" si="369"/>
        <v>0.40206185567010311</v>
      </c>
      <c r="BH134" s="159">
        <f t="shared" si="369"/>
        <v>0.14193548387096774</v>
      </c>
      <c r="BI134" s="159">
        <f t="shared" si="369"/>
        <v>0.15384615384615385</v>
      </c>
      <c r="BJ134" s="158">
        <f t="shared" si="369"/>
        <v>9.3203883495145634E-2</v>
      </c>
      <c r="BK134" s="159">
        <f t="shared" si="369"/>
        <v>0.72727272727272729</v>
      </c>
      <c r="BL134" s="159">
        <f t="shared" si="369"/>
        <v>5.3061224489795916E-2</v>
      </c>
      <c r="BM134" s="159">
        <f t="shared" si="369"/>
        <v>0.26896551724137929</v>
      </c>
      <c r="BN134" s="159">
        <f t="shared" ref="BN134" si="370">IFERROR((BN135-BI135)/(BN24-BI24),0)</f>
        <v>6.1433447098976107E-2</v>
      </c>
      <c r="BO134" s="158">
        <f t="shared" ref="BO134" si="371">IFERROR((BO135-BJ135)/(BO24-BJ24),0)</f>
        <v>0.13128491620111732</v>
      </c>
      <c r="BP134" s="158"/>
      <c r="BQ134" s="162">
        <f t="shared" ref="BQ134" si="372">IFERROR((BQ135-BK135)/(BQ24-BK24),0)</f>
        <v>0.20770184763351041</v>
      </c>
      <c r="BR134" s="161">
        <f t="shared" ref="BR134" si="373">IFERROR((BR135-BL135)/(BR24-BL24),0)</f>
        <v>0.21054813256180938</v>
      </c>
      <c r="BS134" s="161">
        <f t="shared" ref="BS134" si="374">IFERROR((BS135-BM135)/(BS24-BM24),0)</f>
        <v>1.2411311053984511E-2</v>
      </c>
      <c r="BT134" s="163">
        <f t="shared" ref="BT134" si="375">IFERROR((BT135-BN135)/(BT24-BN24),0)</f>
        <v>0.20562617016850426</v>
      </c>
      <c r="BU134" s="158">
        <f>IFERROR((BU135-BO135)/(BU24-BO24),0)</f>
        <v>0.15924424322149688</v>
      </c>
      <c r="BV134" s="162"/>
      <c r="BW134" s="161"/>
      <c r="BX134" s="161"/>
      <c r="BY134" s="163"/>
      <c r="BZ134" s="158">
        <f>IFERROR((BZ135-BU135)/(BZ24-BU24),0)</f>
        <v>0.16297375926259644</v>
      </c>
      <c r="CA134" s="162"/>
      <c r="CB134" s="161"/>
      <c r="CC134" s="161"/>
      <c r="CD134" s="163"/>
      <c r="CE134" s="158">
        <f>IFERROR((CE135-BZ135)/(CE24-BZ24),0)</f>
        <v>0.1282524186976049</v>
      </c>
      <c r="CF134" s="162"/>
      <c r="CG134" s="161"/>
      <c r="CH134" s="161"/>
      <c r="CI134" s="163"/>
      <c r="CJ134" s="158">
        <f>IFERROR((CJ135-CE135)/(CJ24-CE24),0)</f>
        <v>0.13400000000000006</v>
      </c>
      <c r="CK134" s="309"/>
      <c r="CL134" s="675"/>
      <c r="CM134" s="658"/>
      <c r="CN134" s="567"/>
      <c r="CO134" s="311"/>
      <c r="CP134" s="311"/>
      <c r="CQ134" s="311"/>
      <c r="CR134" s="311"/>
      <c r="CS134" s="311"/>
      <c r="CT134" s="309"/>
      <c r="CX134"/>
      <c r="CY134"/>
      <c r="CZ134"/>
      <c r="DA134"/>
      <c r="DB134"/>
      <c r="DC134"/>
    </row>
    <row r="135" spans="1:107" s="299" customFormat="1">
      <c r="A135" s="27" t="s">
        <v>147</v>
      </c>
      <c r="B135" s="76">
        <v>257</v>
      </c>
      <c r="C135" s="76">
        <v>373</v>
      </c>
      <c r="D135" s="76">
        <v>424</v>
      </c>
      <c r="E135" s="76">
        <v>436</v>
      </c>
      <c r="F135" s="76">
        <v>431</v>
      </c>
      <c r="G135" s="76">
        <v>479</v>
      </c>
      <c r="H135" s="110">
        <v>120</v>
      </c>
      <c r="I135" s="110">
        <v>134</v>
      </c>
      <c r="J135" s="110">
        <v>139</v>
      </c>
      <c r="K135" s="109">
        <v>148</v>
      </c>
      <c r="L135" s="76">
        <v>543</v>
      </c>
      <c r="M135" s="109">
        <v>139</v>
      </c>
      <c r="N135" s="110">
        <v>158</v>
      </c>
      <c r="O135" s="110">
        <v>145</v>
      </c>
      <c r="P135" s="109">
        <v>142</v>
      </c>
      <c r="Q135" s="111">
        <f>SUM(M135:P135)</f>
        <v>584</v>
      </c>
      <c r="R135" s="109">
        <v>158</v>
      </c>
      <c r="S135" s="110">
        <v>147</v>
      </c>
      <c r="T135" s="110">
        <v>145</v>
      </c>
      <c r="U135" s="109">
        <v>154</v>
      </c>
      <c r="V135" s="111">
        <f>SUM(R135:U135)</f>
        <v>604</v>
      </c>
      <c r="W135" s="109">
        <v>157</v>
      </c>
      <c r="X135" s="110">
        <v>162</v>
      </c>
      <c r="Y135" s="29">
        <v>161</v>
      </c>
      <c r="Z135" s="59">
        <v>170</v>
      </c>
      <c r="AA135" s="111">
        <f>SUM(W135:Z135)</f>
        <v>650</v>
      </c>
      <c r="AB135" s="109">
        <v>155</v>
      </c>
      <c r="AC135" s="110">
        <v>151</v>
      </c>
      <c r="AD135" s="29">
        <v>178</v>
      </c>
      <c r="AE135" s="109">
        <v>209</v>
      </c>
      <c r="AF135" s="111">
        <v>939</v>
      </c>
      <c r="AG135" s="110">
        <v>221</v>
      </c>
      <c r="AH135" s="110">
        <v>209</v>
      </c>
      <c r="AI135" s="110">
        <v>233</v>
      </c>
      <c r="AJ135" s="109">
        <v>198</v>
      </c>
      <c r="AK135" s="76">
        <f>+SUM(AG135:AJ135)</f>
        <v>861</v>
      </c>
      <c r="AL135" s="29">
        <v>214</v>
      </c>
      <c r="AM135" s="29">
        <v>213</v>
      </c>
      <c r="AN135" s="29">
        <v>202</v>
      </c>
      <c r="AO135" s="29">
        <v>201</v>
      </c>
      <c r="AP135" s="76">
        <f>SUM(AL135:AO135)</f>
        <v>830</v>
      </c>
      <c r="AQ135" s="29">
        <v>208</v>
      </c>
      <c r="AR135" s="29">
        <v>190</v>
      </c>
      <c r="AS135" s="29">
        <v>190</v>
      </c>
      <c r="AT135" s="29">
        <v>212</v>
      </c>
      <c r="AU135" s="76">
        <f>SUM(AQ135:AT135)</f>
        <v>800</v>
      </c>
      <c r="AV135" s="29"/>
      <c r="AW135" s="29"/>
      <c r="AX135" s="29"/>
      <c r="AY135" s="29"/>
      <c r="AZ135" s="76">
        <v>801</v>
      </c>
      <c r="BA135" s="29">
        <v>207</v>
      </c>
      <c r="BB135" s="29">
        <v>184</v>
      </c>
      <c r="BC135" s="898">
        <v>219</v>
      </c>
      <c r="BD135" s="898">
        <v>258</v>
      </c>
      <c r="BE135" s="76">
        <f>SUM(BA135:BD135)</f>
        <v>868</v>
      </c>
      <c r="BF135" s="900">
        <v>192</v>
      </c>
      <c r="BG135" s="894">
        <v>223</v>
      </c>
      <c r="BH135" s="894">
        <v>241</v>
      </c>
      <c r="BI135" s="930">
        <f>916-SUM(BF135:BH135)</f>
        <v>260</v>
      </c>
      <c r="BJ135" s="76">
        <f>SUM(BF135:BI135)</f>
        <v>916</v>
      </c>
      <c r="BK135" s="900">
        <v>216</v>
      </c>
      <c r="BL135" s="109">
        <v>236</v>
      </c>
      <c r="BM135" s="894">
        <v>280</v>
      </c>
      <c r="BN135" s="930">
        <v>278</v>
      </c>
      <c r="BO135" s="76">
        <f>SUM(BK135:BN135)</f>
        <v>1010</v>
      </c>
      <c r="BP135" s="76">
        <f>BO135</f>
        <v>1010</v>
      </c>
      <c r="BQ135" s="542">
        <f t="shared" ref="BQ135:BT135" si="376">BQ132*BQ24</f>
        <v>248.82520000000002</v>
      </c>
      <c r="BR135" s="109">
        <f t="shared" si="376"/>
        <v>276.02520000000004</v>
      </c>
      <c r="BS135" s="109">
        <f t="shared" si="376"/>
        <v>282.41399999999999</v>
      </c>
      <c r="BT135" s="543">
        <f t="shared" si="376"/>
        <v>327.42225000000008</v>
      </c>
      <c r="BU135" s="76">
        <f>SUM(BQ135:BT135)</f>
        <v>1134.6866500000001</v>
      </c>
      <c r="BV135" s="542"/>
      <c r="BW135" s="109"/>
      <c r="BX135" s="109"/>
      <c r="BY135" s="543"/>
      <c r="BZ135" s="111">
        <f>BZ132*BZ24</f>
        <v>1232.4544941000004</v>
      </c>
      <c r="CA135" s="542"/>
      <c r="CB135" s="109"/>
      <c r="CC135" s="109"/>
      <c r="CD135" s="543"/>
      <c r="CE135" s="111">
        <f>CE132*CE24</f>
        <v>1314.7787278340006</v>
      </c>
      <c r="CF135" s="542"/>
      <c r="CG135" s="109"/>
      <c r="CH135" s="109"/>
      <c r="CI135" s="543"/>
      <c r="CJ135" s="111">
        <f>CJ132*CJ24</f>
        <v>1406.8132387823807</v>
      </c>
      <c r="CK135" s="290"/>
      <c r="CL135" s="658"/>
      <c r="CM135" s="658"/>
      <c r="CN135" s="682"/>
      <c r="CO135" s="658"/>
      <c r="CP135" s="658"/>
      <c r="CQ135" s="658"/>
      <c r="CR135" s="658"/>
      <c r="CS135" s="658"/>
      <c r="CT135" s="290"/>
      <c r="CX135"/>
      <c r="CY135"/>
      <c r="CZ135"/>
      <c r="DA135"/>
      <c r="DB135"/>
      <c r="DC135"/>
    </row>
    <row r="136" spans="1:107">
      <c r="A136" s="62" t="s">
        <v>137</v>
      </c>
      <c r="B136" s="70"/>
      <c r="C136" s="70">
        <f>C135/B135-1</f>
        <v>0.45136186770428011</v>
      </c>
      <c r="D136" s="70">
        <f>D135/C135-1</f>
        <v>0.13672922252010733</v>
      </c>
      <c r="E136" s="70">
        <f>E135/D135-1</f>
        <v>2.8301886792452935E-2</v>
      </c>
      <c r="F136" s="70">
        <f>F135/E135-1</f>
        <v>-1.1467889908256867E-2</v>
      </c>
      <c r="G136" s="70">
        <f>G135/F135-1</f>
        <v>0.11136890951276102</v>
      </c>
      <c r="H136" s="118"/>
      <c r="I136" s="64"/>
      <c r="J136" s="64"/>
      <c r="K136" s="64"/>
      <c r="L136" s="70">
        <f t="shared" ref="L136:AF136" si="377">L135/G135-1</f>
        <v>0.13361169102296455</v>
      </c>
      <c r="M136" s="64">
        <f t="shared" si="377"/>
        <v>0.15833333333333344</v>
      </c>
      <c r="N136" s="64">
        <f t="shared" si="377"/>
        <v>0.17910447761194037</v>
      </c>
      <c r="O136" s="64">
        <f t="shared" si="377"/>
        <v>4.3165467625899234E-2</v>
      </c>
      <c r="P136" s="64">
        <f t="shared" si="377"/>
        <v>-4.0540540540540571E-2</v>
      </c>
      <c r="Q136" s="70">
        <f t="shared" si="377"/>
        <v>7.5506445672191447E-2</v>
      </c>
      <c r="R136" s="64">
        <f t="shared" si="377"/>
        <v>0.13669064748201443</v>
      </c>
      <c r="S136" s="64">
        <f t="shared" si="377"/>
        <v>-6.9620253164557E-2</v>
      </c>
      <c r="T136" s="64">
        <f t="shared" si="377"/>
        <v>0</v>
      </c>
      <c r="U136" s="64">
        <f t="shared" si="377"/>
        <v>8.4507042253521236E-2</v>
      </c>
      <c r="V136" s="70">
        <f t="shared" si="377"/>
        <v>3.4246575342465668E-2</v>
      </c>
      <c r="W136" s="64">
        <f t="shared" si="377"/>
        <v>-6.3291139240506666E-3</v>
      </c>
      <c r="X136" s="64">
        <f t="shared" si="377"/>
        <v>0.1020408163265305</v>
      </c>
      <c r="Y136" s="64">
        <f t="shared" si="377"/>
        <v>0.1103448275862069</v>
      </c>
      <c r="Z136" s="64">
        <f t="shared" si="377"/>
        <v>0.10389610389610393</v>
      </c>
      <c r="AA136" s="70">
        <f t="shared" si="377"/>
        <v>7.6158940397351049E-2</v>
      </c>
      <c r="AB136" s="64">
        <f t="shared" si="377"/>
        <v>-1.2738853503184711E-2</v>
      </c>
      <c r="AC136" s="64">
        <f t="shared" si="377"/>
        <v>-6.7901234567901203E-2</v>
      </c>
      <c r="AD136" s="64">
        <f t="shared" si="377"/>
        <v>0.10559006211180133</v>
      </c>
      <c r="AE136" s="64">
        <f t="shared" si="377"/>
        <v>0.22941176470588243</v>
      </c>
      <c r="AF136" s="70">
        <f t="shared" si="377"/>
        <v>0.44461538461538463</v>
      </c>
      <c r="AG136" s="64">
        <f t="shared" ref="AG136:AS136" si="378">AG135/AB135 -1</f>
        <v>0.4258064516129032</v>
      </c>
      <c r="AH136" s="64">
        <f t="shared" si="378"/>
        <v>0.38410596026490063</v>
      </c>
      <c r="AI136" s="64">
        <f t="shared" si="378"/>
        <v>0.3089887640449438</v>
      </c>
      <c r="AJ136" s="64">
        <f t="shared" si="378"/>
        <v>-5.2631578947368474E-2</v>
      </c>
      <c r="AK136" s="70">
        <f t="shared" si="378"/>
        <v>-8.3067092651757157E-2</v>
      </c>
      <c r="AL136" s="64">
        <f t="shared" si="378"/>
        <v>-3.1674208144796379E-2</v>
      </c>
      <c r="AM136" s="64">
        <f t="shared" si="378"/>
        <v>1.9138755980861344E-2</v>
      </c>
      <c r="AN136" s="64">
        <f t="shared" si="378"/>
        <v>-0.13304721030042921</v>
      </c>
      <c r="AO136" s="64">
        <f t="shared" si="378"/>
        <v>1.5151515151515138E-2</v>
      </c>
      <c r="AP136" s="70">
        <f t="shared" si="378"/>
        <v>-3.6004645760743359E-2</v>
      </c>
      <c r="AQ136" s="64">
        <f t="shared" si="378"/>
        <v>-2.8037383177570097E-2</v>
      </c>
      <c r="AR136" s="64">
        <f t="shared" si="378"/>
        <v>-0.107981220657277</v>
      </c>
      <c r="AS136" s="64">
        <f t="shared" si="378"/>
        <v>-5.9405940594059459E-2</v>
      </c>
      <c r="AT136" s="64">
        <f t="shared" ref="AT136:AU136" si="379">AT135/AO135 -1</f>
        <v>5.4726368159204064E-2</v>
      </c>
      <c r="AU136" s="70">
        <f t="shared" si="379"/>
        <v>-3.6144578313253017E-2</v>
      </c>
      <c r="AV136" s="64"/>
      <c r="AW136" s="64"/>
      <c r="AX136" s="64"/>
      <c r="AY136" s="64"/>
      <c r="AZ136" s="70">
        <f t="shared" ref="AZ136" si="380">AZ135/AU135 -1</f>
        <v>1.2499999999999734E-3</v>
      </c>
      <c r="BA136" s="64">
        <f>BA135/AQ135 -1</f>
        <v>-4.8076923076922906E-3</v>
      </c>
      <c r="BB136" s="64">
        <f>BB135/AR135 -1</f>
        <v>-3.157894736842104E-2</v>
      </c>
      <c r="BC136" s="64">
        <f>BC135/AS135 -1</f>
        <v>0.15263157894736845</v>
      </c>
      <c r="BD136" s="64">
        <f>BD135/AT135 -1</f>
        <v>0.21698113207547176</v>
      </c>
      <c r="BE136" s="70">
        <f>BE135/AZ135 -1</f>
        <v>8.3645443196004976E-2</v>
      </c>
      <c r="BF136" s="64">
        <f t="shared" ref="BF136:BM136" si="381">BF135/BA135 -1</f>
        <v>-7.2463768115942018E-2</v>
      </c>
      <c r="BG136" s="64">
        <f t="shared" si="381"/>
        <v>0.21195652173913038</v>
      </c>
      <c r="BH136" s="64">
        <f t="shared" si="381"/>
        <v>0.10045662100456632</v>
      </c>
      <c r="BI136" s="64">
        <f t="shared" si="381"/>
        <v>7.7519379844961378E-3</v>
      </c>
      <c r="BJ136" s="70">
        <f t="shared" si="381"/>
        <v>5.5299539170506895E-2</v>
      </c>
      <c r="BK136" s="64">
        <f t="shared" si="381"/>
        <v>0.125</v>
      </c>
      <c r="BL136" s="64">
        <f t="shared" si="381"/>
        <v>5.8295964125560484E-2</v>
      </c>
      <c r="BM136" s="64">
        <f t="shared" si="381"/>
        <v>0.16182572614107893</v>
      </c>
      <c r="BN136" s="64">
        <f t="shared" ref="BN136" si="382">BN135/BI135 -1</f>
        <v>6.9230769230769207E-2</v>
      </c>
      <c r="BO136" s="70">
        <f t="shared" ref="BO136" si="383">BO135/BJ135 -1</f>
        <v>0.10262008733624461</v>
      </c>
      <c r="BP136" s="70"/>
      <c r="BQ136" s="121">
        <f t="shared" ref="BQ136" si="384">BQ135/BK135 -1</f>
        <v>0.15196851851851867</v>
      </c>
      <c r="BR136" s="64">
        <f t="shared" ref="BR136" si="385">BR135/BL135 -1</f>
        <v>0.16959830508474583</v>
      </c>
      <c r="BS136" s="64">
        <f t="shared" ref="BS136" si="386">BS135/BM135 -1</f>
        <v>8.6214285714285577E-3</v>
      </c>
      <c r="BT136" s="122">
        <f>BT135/BN135 -1</f>
        <v>0.17777787769784203</v>
      </c>
      <c r="BU136" s="70">
        <f>BU135/BO135 -1</f>
        <v>0.12345212871287137</v>
      </c>
      <c r="BV136" s="121"/>
      <c r="BW136" s="64"/>
      <c r="BX136" s="64"/>
      <c r="BY136" s="122"/>
      <c r="BZ136" s="70">
        <f>BZ135/BU135 -1</f>
        <v>8.6162857472589671E-2</v>
      </c>
      <c r="CA136" s="121"/>
      <c r="CB136" s="64"/>
      <c r="CC136" s="64"/>
      <c r="CD136" s="122"/>
      <c r="CE136" s="70">
        <f>CE135/BZ135 -1</f>
        <v>6.6796976381766848E-2</v>
      </c>
      <c r="CF136" s="121"/>
      <c r="CG136" s="64"/>
      <c r="CH136" s="64"/>
      <c r="CI136" s="122"/>
      <c r="CJ136" s="70">
        <f>CJ135/CE135 -1</f>
        <v>7.0000000000000062E-2</v>
      </c>
      <c r="CK136" s="289"/>
      <c r="CL136" s="658"/>
      <c r="CM136" s="658"/>
      <c r="CN136" s="682"/>
      <c r="CO136" s="658"/>
      <c r="CP136" s="658"/>
      <c r="CQ136" s="658"/>
      <c r="CR136" s="658"/>
      <c r="CS136" s="658"/>
      <c r="CT136" s="289"/>
    </row>
    <row r="137" spans="1:107" s="299" customFormat="1">
      <c r="A137" s="27" t="s">
        <v>148</v>
      </c>
      <c r="B137" s="76">
        <f t="shared" ref="B137:AG137" si="387">B24-B135</f>
        <v>2644</v>
      </c>
      <c r="C137" s="76">
        <f t="shared" si="387"/>
        <v>2665</v>
      </c>
      <c r="D137" s="76">
        <f t="shared" si="387"/>
        <v>3114</v>
      </c>
      <c r="E137" s="76">
        <f t="shared" si="387"/>
        <v>3408</v>
      </c>
      <c r="F137" s="76">
        <f t="shared" si="387"/>
        <v>3693</v>
      </c>
      <c r="G137" s="76">
        <f t="shared" si="387"/>
        <v>4024</v>
      </c>
      <c r="H137" s="110">
        <f t="shared" si="387"/>
        <v>1020</v>
      </c>
      <c r="I137" s="110">
        <f t="shared" si="387"/>
        <v>1110</v>
      </c>
      <c r="J137" s="110">
        <f t="shared" si="387"/>
        <v>1108</v>
      </c>
      <c r="K137" s="109">
        <f t="shared" si="387"/>
        <v>1214</v>
      </c>
      <c r="L137" s="76">
        <f t="shared" si="387"/>
        <v>4483</v>
      </c>
      <c r="M137" s="109">
        <f t="shared" si="387"/>
        <v>1180</v>
      </c>
      <c r="N137" s="110">
        <f t="shared" si="387"/>
        <v>1205</v>
      </c>
      <c r="O137" s="110">
        <f t="shared" si="387"/>
        <v>1215</v>
      </c>
      <c r="P137" s="109">
        <f t="shared" si="387"/>
        <v>1224</v>
      </c>
      <c r="Q137" s="111">
        <f t="shared" si="387"/>
        <v>4824</v>
      </c>
      <c r="R137" s="109">
        <f t="shared" si="387"/>
        <v>1210</v>
      </c>
      <c r="S137" s="110">
        <f t="shared" si="387"/>
        <v>1237</v>
      </c>
      <c r="T137" s="110">
        <f t="shared" si="387"/>
        <v>1251</v>
      </c>
      <c r="U137" s="109">
        <f t="shared" si="387"/>
        <v>1259</v>
      </c>
      <c r="V137" s="76">
        <f t="shared" si="387"/>
        <v>4957</v>
      </c>
      <c r="W137" s="109">
        <f t="shared" si="387"/>
        <v>1204</v>
      </c>
      <c r="X137" s="110">
        <f t="shared" si="387"/>
        <v>1253</v>
      </c>
      <c r="Y137" s="29">
        <f t="shared" si="387"/>
        <v>1230</v>
      </c>
      <c r="Z137" s="59">
        <f t="shared" si="387"/>
        <v>1395</v>
      </c>
      <c r="AA137" s="111">
        <f t="shared" si="387"/>
        <v>5082</v>
      </c>
      <c r="AB137" s="109">
        <f t="shared" si="387"/>
        <v>1174</v>
      </c>
      <c r="AC137" s="110">
        <f t="shared" si="387"/>
        <v>1215</v>
      </c>
      <c r="AD137" s="29">
        <f t="shared" si="387"/>
        <v>1235</v>
      </c>
      <c r="AE137" s="109">
        <f t="shared" si="387"/>
        <v>1273</v>
      </c>
      <c r="AF137" s="76">
        <f t="shared" si="387"/>
        <v>5862</v>
      </c>
      <c r="AG137" s="110">
        <f t="shared" si="387"/>
        <v>1380</v>
      </c>
      <c r="AH137" s="110">
        <f t="shared" ref="AH137:BL137" si="388">AH24-AH135</f>
        <v>1371</v>
      </c>
      <c r="AI137" s="110">
        <f t="shared" si="388"/>
        <v>1444</v>
      </c>
      <c r="AJ137" s="109">
        <f t="shared" si="388"/>
        <v>1583</v>
      </c>
      <c r="AK137" s="76">
        <f t="shared" si="388"/>
        <v>5778</v>
      </c>
      <c r="AL137" s="29">
        <f t="shared" si="388"/>
        <v>1422</v>
      </c>
      <c r="AM137" s="29">
        <f t="shared" si="388"/>
        <v>1477</v>
      </c>
      <c r="AN137" s="29">
        <f t="shared" si="388"/>
        <v>1433</v>
      </c>
      <c r="AO137" s="109">
        <f t="shared" si="388"/>
        <v>1437</v>
      </c>
      <c r="AP137" s="76">
        <f t="shared" si="388"/>
        <v>5769</v>
      </c>
      <c r="AQ137" s="29">
        <f t="shared" si="388"/>
        <v>1366</v>
      </c>
      <c r="AR137" s="29">
        <f t="shared" si="388"/>
        <v>1349</v>
      </c>
      <c r="AS137" s="29">
        <f t="shared" si="388"/>
        <v>1287</v>
      </c>
      <c r="AT137" s="109">
        <f t="shared" si="388"/>
        <v>1507</v>
      </c>
      <c r="AU137" s="76">
        <f t="shared" si="388"/>
        <v>5509</v>
      </c>
      <c r="AV137" s="29"/>
      <c r="AW137" s="29"/>
      <c r="AX137" s="29"/>
      <c r="AY137" s="109"/>
      <c r="AZ137" s="76">
        <f t="shared" ref="AZ137" si="389">AZ24-AZ135</f>
        <v>5508</v>
      </c>
      <c r="BA137" s="29">
        <f t="shared" si="388"/>
        <v>1266</v>
      </c>
      <c r="BB137" s="29">
        <f t="shared" si="388"/>
        <v>1375</v>
      </c>
      <c r="BC137" s="29">
        <f t="shared" si="388"/>
        <v>1426</v>
      </c>
      <c r="BD137" s="109">
        <f t="shared" si="388"/>
        <v>1621</v>
      </c>
      <c r="BE137" s="76">
        <f t="shared" si="388"/>
        <v>5688</v>
      </c>
      <c r="BF137" s="29">
        <f t="shared" si="388"/>
        <v>1531</v>
      </c>
      <c r="BG137" s="29">
        <f t="shared" si="388"/>
        <v>1433</v>
      </c>
      <c r="BH137" s="29">
        <f t="shared" si="388"/>
        <v>1559</v>
      </c>
      <c r="BI137" s="109">
        <f t="shared" si="388"/>
        <v>1632</v>
      </c>
      <c r="BJ137" s="76">
        <f t="shared" si="388"/>
        <v>6155</v>
      </c>
      <c r="BK137" s="29">
        <f t="shared" si="388"/>
        <v>1540</v>
      </c>
      <c r="BL137" s="29">
        <f t="shared" si="388"/>
        <v>1665</v>
      </c>
      <c r="BM137" s="29">
        <f t="shared" ref="BM137:BO137" si="390">BM24-BM135</f>
        <v>1665</v>
      </c>
      <c r="BN137" s="109">
        <f t="shared" si="390"/>
        <v>1907</v>
      </c>
      <c r="BO137" s="76">
        <f t="shared" si="390"/>
        <v>6777</v>
      </c>
      <c r="BP137" s="76"/>
      <c r="BQ137" s="90">
        <f t="shared" ref="BQ137:BU137" si="391">BQ24-BQ135</f>
        <v>1665.2148000000002</v>
      </c>
      <c r="BR137" s="28">
        <f t="shared" si="391"/>
        <v>1815.0748000000003</v>
      </c>
      <c r="BS137" s="28">
        <f t="shared" si="391"/>
        <v>1857.086</v>
      </c>
      <c r="BT137" s="30">
        <f t="shared" si="391"/>
        <v>2097.9277500000003</v>
      </c>
      <c r="BU137" s="76">
        <f t="shared" si="391"/>
        <v>7435.303350000002</v>
      </c>
      <c r="BV137" s="90"/>
      <c r="BW137" s="28"/>
      <c r="BX137" s="28"/>
      <c r="BY137" s="30"/>
      <c r="BZ137" s="76">
        <f>BZ24-BZ135</f>
        <v>7937.4348059000022</v>
      </c>
      <c r="CA137" s="90"/>
      <c r="CB137" s="28"/>
      <c r="CC137" s="28"/>
      <c r="CD137" s="30"/>
      <c r="CE137" s="76">
        <f>CE24-CE135</f>
        <v>8497.0028231660035</v>
      </c>
      <c r="CF137" s="90"/>
      <c r="CG137" s="28"/>
      <c r="CH137" s="28"/>
      <c r="CI137" s="30"/>
      <c r="CJ137" s="76">
        <f>CJ24-CJ135</f>
        <v>9091.7930207876234</v>
      </c>
      <c r="CK137" s="290"/>
      <c r="CL137" s="658"/>
      <c r="CM137" s="658"/>
      <c r="CN137" s="682"/>
      <c r="CO137" s="658"/>
      <c r="CP137" s="658"/>
      <c r="CQ137" s="658"/>
      <c r="CR137" s="658"/>
      <c r="CS137" s="658"/>
      <c r="CT137" s="290"/>
      <c r="CX137"/>
      <c r="CY137"/>
      <c r="CZ137"/>
      <c r="DA137"/>
      <c r="DB137"/>
      <c r="DC137"/>
    </row>
    <row r="138" spans="1:107">
      <c r="A138" s="62" t="s">
        <v>137</v>
      </c>
      <c r="B138" s="70"/>
      <c r="C138" s="70">
        <f>C137/B137-1</f>
        <v>7.9425113464448582E-3</v>
      </c>
      <c r="D138" s="70">
        <f>D137/C137-1</f>
        <v>0.16848030018761717</v>
      </c>
      <c r="E138" s="70">
        <f>E137/D137-1</f>
        <v>9.4412331406551031E-2</v>
      </c>
      <c r="F138" s="70">
        <f>F137/E137-1</f>
        <v>8.3626760563380254E-2</v>
      </c>
      <c r="G138" s="70">
        <f>G137/F137-1</f>
        <v>8.9629027890603785E-2</v>
      </c>
      <c r="H138" s="118"/>
      <c r="I138" s="64"/>
      <c r="J138" s="64"/>
      <c r="K138" s="64"/>
      <c r="L138" s="70">
        <f t="shared" ref="L138:AF138" si="392">L137/G137-1</f>
        <v>0.11406560636182905</v>
      </c>
      <c r="M138" s="64">
        <f t="shared" si="392"/>
        <v>0.15686274509803932</v>
      </c>
      <c r="N138" s="64">
        <f t="shared" si="392"/>
        <v>8.55855855855856E-2</v>
      </c>
      <c r="O138" s="64">
        <f t="shared" si="392"/>
        <v>9.6570397111913397E-2</v>
      </c>
      <c r="P138" s="64">
        <f t="shared" si="392"/>
        <v>8.2372322899506578E-3</v>
      </c>
      <c r="Q138" s="70">
        <f t="shared" si="392"/>
        <v>7.6065134954271585E-2</v>
      </c>
      <c r="R138" s="64">
        <f t="shared" si="392"/>
        <v>2.5423728813559254E-2</v>
      </c>
      <c r="S138" s="64">
        <f t="shared" si="392"/>
        <v>2.6556016597510279E-2</v>
      </c>
      <c r="T138" s="64">
        <f t="shared" si="392"/>
        <v>2.9629629629629672E-2</v>
      </c>
      <c r="U138" s="64">
        <f t="shared" si="392"/>
        <v>2.8594771241829964E-2</v>
      </c>
      <c r="V138" s="70">
        <f t="shared" si="392"/>
        <v>2.7570480928689856E-2</v>
      </c>
      <c r="W138" s="64">
        <f t="shared" si="392"/>
        <v>-4.9586776859503745E-3</v>
      </c>
      <c r="X138" s="64">
        <f t="shared" si="392"/>
        <v>1.2934518997574695E-2</v>
      </c>
      <c r="Y138" s="64">
        <f t="shared" si="392"/>
        <v>-1.6786570743405282E-2</v>
      </c>
      <c r="Z138" s="64">
        <f t="shared" si="392"/>
        <v>0.10802223987291493</v>
      </c>
      <c r="AA138" s="70">
        <f t="shared" si="392"/>
        <v>2.5216865039338288E-2</v>
      </c>
      <c r="AB138" s="64">
        <f t="shared" si="392"/>
        <v>-2.4916943521594681E-2</v>
      </c>
      <c r="AC138" s="64">
        <f t="shared" si="392"/>
        <v>-3.0327214684756632E-2</v>
      </c>
      <c r="AD138" s="64">
        <f t="shared" si="392"/>
        <v>4.0650406504065817E-3</v>
      </c>
      <c r="AE138" s="64">
        <f t="shared" si="392"/>
        <v>-8.7455197132616513E-2</v>
      </c>
      <c r="AF138" s="70">
        <f t="shared" si="392"/>
        <v>0.15348288075560812</v>
      </c>
      <c r="AG138" s="64">
        <f t="shared" ref="AG138:AS138" si="393">AG137/AB137 -1</f>
        <v>0.17546848381601365</v>
      </c>
      <c r="AH138" s="64">
        <f t="shared" si="393"/>
        <v>0.1283950617283951</v>
      </c>
      <c r="AI138" s="64">
        <f t="shared" si="393"/>
        <v>0.1692307692307693</v>
      </c>
      <c r="AJ138" s="64">
        <f t="shared" si="393"/>
        <v>0.24351924587588369</v>
      </c>
      <c r="AK138" s="70">
        <f t="shared" si="393"/>
        <v>-1.4329580348004134E-2</v>
      </c>
      <c r="AL138" s="64">
        <f t="shared" si="393"/>
        <v>3.0434782608695699E-2</v>
      </c>
      <c r="AM138" s="64">
        <f t="shared" si="393"/>
        <v>7.7315827862873832E-2</v>
      </c>
      <c r="AN138" s="64">
        <f t="shared" si="393"/>
        <v>-7.6177285318559385E-3</v>
      </c>
      <c r="AO138" s="64">
        <f t="shared" si="393"/>
        <v>-9.2229943145925475E-2</v>
      </c>
      <c r="AP138" s="70">
        <f t="shared" si="393"/>
        <v>-1.5576323987538387E-3</v>
      </c>
      <c r="AQ138" s="64">
        <f t="shared" si="393"/>
        <v>-3.9381153305203975E-2</v>
      </c>
      <c r="AR138" s="64">
        <f t="shared" si="393"/>
        <v>-8.6662153012863952E-2</v>
      </c>
      <c r="AS138" s="64">
        <f t="shared" si="393"/>
        <v>-0.10188415910676907</v>
      </c>
      <c r="AT138" s="64">
        <f t="shared" ref="AT138:AU138" si="394">AT137/AO137 -1</f>
        <v>4.8712595685455717E-2</v>
      </c>
      <c r="AU138" s="70">
        <f t="shared" si="394"/>
        <v>-4.5068469405442846E-2</v>
      </c>
      <c r="AV138" s="64"/>
      <c r="AW138" s="64"/>
      <c r="AX138" s="64"/>
      <c r="AY138" s="64"/>
      <c r="AZ138" s="70">
        <f t="shared" ref="AZ138" si="395">AZ137/AU137 -1</f>
        <v>-1.8152114721370349E-4</v>
      </c>
      <c r="BA138" s="64">
        <f>BA137/AQ137 -1</f>
        <v>-7.3206442166910635E-2</v>
      </c>
      <c r="BB138" s="64">
        <f>BB137/AR137 -1</f>
        <v>1.9273535952557541E-2</v>
      </c>
      <c r="BC138" s="64">
        <f>BC137/AS137 -1</f>
        <v>0.10800310800310808</v>
      </c>
      <c r="BD138" s="64">
        <f>BD137/AT137 -1</f>
        <v>7.5646980756469917E-2</v>
      </c>
      <c r="BE138" s="70">
        <f>BE137/AZ137 -1</f>
        <v>3.2679738562091609E-2</v>
      </c>
      <c r="BF138" s="64">
        <f t="shared" ref="BF138:BM138" si="396">BF137/BA137 -1</f>
        <v>0.20932069510268558</v>
      </c>
      <c r="BG138" s="64">
        <f t="shared" si="396"/>
        <v>4.2181818181818098E-2</v>
      </c>
      <c r="BH138" s="64">
        <f t="shared" si="396"/>
        <v>9.3267882187938245E-2</v>
      </c>
      <c r="BI138" s="64">
        <f t="shared" si="396"/>
        <v>6.7859346082665972E-3</v>
      </c>
      <c r="BJ138" s="70">
        <f t="shared" si="396"/>
        <v>8.2102672292545753E-2</v>
      </c>
      <c r="BK138" s="64">
        <f t="shared" si="396"/>
        <v>5.878510777269863E-3</v>
      </c>
      <c r="BL138" s="64">
        <f t="shared" si="396"/>
        <v>0.1618981158408932</v>
      </c>
      <c r="BM138" s="64">
        <f t="shared" si="396"/>
        <v>6.7992302758178358E-2</v>
      </c>
      <c r="BN138" s="64">
        <f t="shared" ref="BN138" si="397">BN137/BI137 -1</f>
        <v>0.16850490196078427</v>
      </c>
      <c r="BO138" s="70">
        <f t="shared" ref="BO138" si="398">BO137/BJ137 -1</f>
        <v>0.10105605199025192</v>
      </c>
      <c r="BP138" s="70"/>
      <c r="BQ138" s="121">
        <f t="shared" ref="BQ138" si="399">BQ137/BK137 -1</f>
        <v>8.1308311688311763E-2</v>
      </c>
      <c r="BR138" s="64">
        <f t="shared" ref="BR138" si="400">BR137/BL137 -1</f>
        <v>9.0135015015015307E-2</v>
      </c>
      <c r="BS138" s="64">
        <f t="shared" ref="BS138" si="401">BS137/BM137 -1</f>
        <v>0.11536696696696702</v>
      </c>
      <c r="BT138" s="122">
        <f>BT137/BN137 -1</f>
        <v>0.10011942842160471</v>
      </c>
      <c r="BU138" s="70">
        <f>BU137/BO137 -1</f>
        <v>9.7137870739265386E-2</v>
      </c>
      <c r="BV138" s="121"/>
      <c r="BW138" s="64"/>
      <c r="BX138" s="64"/>
      <c r="BY138" s="122"/>
      <c r="BZ138" s="70">
        <f>BZ137/BU137 -1</f>
        <v>6.7533418915584731E-2</v>
      </c>
      <c r="CA138" s="121"/>
      <c r="CB138" s="64"/>
      <c r="CC138" s="64"/>
      <c r="CD138" s="122"/>
      <c r="CE138" s="70">
        <f>CE137/BZ137 -1</f>
        <v>7.0497337105694058E-2</v>
      </c>
      <c r="CF138" s="121"/>
      <c r="CG138" s="64"/>
      <c r="CH138" s="64"/>
      <c r="CI138" s="122"/>
      <c r="CJ138" s="70">
        <f>CJ137/CE137 -1</f>
        <v>7.0000000000000062E-2</v>
      </c>
      <c r="CK138" s="289"/>
      <c r="CL138" s="658"/>
      <c r="CM138" s="658"/>
      <c r="CN138" s="682"/>
      <c r="CO138" s="658"/>
      <c r="CP138" s="658"/>
      <c r="CQ138" s="658"/>
      <c r="CR138" s="658"/>
      <c r="CS138" s="658"/>
      <c r="CT138" s="289"/>
    </row>
    <row r="139" spans="1:107" s="612" customFormat="1" hidden="1">
      <c r="A139" s="627" t="s">
        <v>240</v>
      </c>
      <c r="B139" s="628"/>
      <c r="C139" s="628"/>
      <c r="D139" s="628"/>
      <c r="E139" s="628"/>
      <c r="F139" s="628"/>
      <c r="G139" s="628"/>
      <c r="H139" s="629"/>
      <c r="I139" s="629"/>
      <c r="J139" s="629"/>
      <c r="K139" s="629"/>
      <c r="L139" s="628"/>
      <c r="M139" s="629"/>
      <c r="N139" s="629"/>
      <c r="O139" s="629"/>
      <c r="P139" s="629"/>
      <c r="Q139" s="628"/>
      <c r="R139" s="629"/>
      <c r="S139" s="629"/>
      <c r="T139" s="629"/>
      <c r="U139" s="629"/>
      <c r="V139" s="628"/>
      <c r="W139" s="630"/>
      <c r="X139" s="629"/>
      <c r="Y139" s="630"/>
      <c r="Z139" s="630"/>
      <c r="AA139" s="631"/>
      <c r="AB139" s="630"/>
      <c r="AC139" s="629"/>
      <c r="AD139" s="629"/>
      <c r="AE139" s="629"/>
      <c r="AF139" s="631"/>
      <c r="AG139" s="630"/>
      <c r="AH139" s="629"/>
      <c r="AI139" s="629"/>
      <c r="AJ139" s="629"/>
      <c r="AK139" s="628">
        <f t="shared" ref="AK139:BE139" si="402">AK141/AK24</f>
        <v>0.1360144600090375</v>
      </c>
      <c r="AL139" s="629">
        <f t="shared" si="402"/>
        <v>0.1234718826405868</v>
      </c>
      <c r="AM139" s="629">
        <f t="shared" si="402"/>
        <v>0.13609467455621302</v>
      </c>
      <c r="AN139" s="629">
        <f t="shared" si="402"/>
        <v>0.13027522935779817</v>
      </c>
      <c r="AO139" s="629">
        <f t="shared" si="402"/>
        <v>0.1043956043956044</v>
      </c>
      <c r="AP139" s="628">
        <f t="shared" si="402"/>
        <v>0.12365509925746325</v>
      </c>
      <c r="AQ139" s="629">
        <f t="shared" si="402"/>
        <v>0.12198221092757307</v>
      </c>
      <c r="AR139" s="629">
        <f t="shared" si="402"/>
        <v>0.10981156595191682</v>
      </c>
      <c r="AS139" s="629">
        <f t="shared" si="402"/>
        <v>0.12660798916723087</v>
      </c>
      <c r="AT139" s="629">
        <f t="shared" si="402"/>
        <v>0.14194299011052938</v>
      </c>
      <c r="AU139" s="628">
        <f t="shared" si="402"/>
        <v>0.12553495007132667</v>
      </c>
      <c r="AV139" s="629"/>
      <c r="AW139" s="629"/>
      <c r="AX139" s="629"/>
      <c r="AY139" s="629"/>
      <c r="AZ139" s="628">
        <f t="shared" ref="AZ139" si="403">AZ141/AZ24</f>
        <v>0.1256934537961642</v>
      </c>
      <c r="BA139" s="629">
        <f t="shared" si="402"/>
        <v>0.13781398506449424</v>
      </c>
      <c r="BB139" s="629">
        <f t="shared" si="402"/>
        <v>0.13598460551635663</v>
      </c>
      <c r="BC139" s="629">
        <f t="shared" si="402"/>
        <v>0.15015197568389058</v>
      </c>
      <c r="BD139" s="629">
        <f t="shared" si="402"/>
        <v>0.10537519957424162</v>
      </c>
      <c r="BE139" s="628">
        <f t="shared" si="402"/>
        <v>0.13117754728492984</v>
      </c>
      <c r="BF139" s="633"/>
      <c r="BG139" s="633"/>
      <c r="BH139" s="633"/>
      <c r="BI139" s="634"/>
      <c r="BJ139" s="628"/>
      <c r="BK139" s="633"/>
      <c r="BL139" s="633"/>
      <c r="BM139" s="633"/>
      <c r="BN139" s="634"/>
      <c r="BO139" s="628"/>
      <c r="BP139" s="628"/>
      <c r="BQ139" s="633"/>
      <c r="BR139" s="633"/>
      <c r="BS139" s="633"/>
      <c r="BT139" s="634"/>
      <c r="BU139" s="628"/>
      <c r="BV139" s="633"/>
      <c r="BW139" s="633"/>
      <c r="BX139" s="633"/>
      <c r="BY139" s="634"/>
      <c r="BZ139" s="628"/>
      <c r="CA139" s="633"/>
      <c r="CB139" s="633"/>
      <c r="CC139" s="633"/>
      <c r="CD139" s="634"/>
      <c r="CE139" s="628"/>
      <c r="CF139" s="633"/>
      <c r="CG139" s="633"/>
      <c r="CH139" s="633"/>
      <c r="CI139" s="634"/>
      <c r="CJ139" s="628"/>
      <c r="CK139" s="611"/>
      <c r="CL139" s="677"/>
      <c r="CM139" s="677"/>
      <c r="CN139" s="677"/>
      <c r="CO139" s="981"/>
      <c r="CP139" s="677"/>
      <c r="CQ139" s="677"/>
      <c r="CR139" s="677"/>
      <c r="CS139" s="677"/>
      <c r="CT139" s="430"/>
      <c r="CX139"/>
      <c r="CY139"/>
      <c r="CZ139"/>
      <c r="DA139"/>
      <c r="DB139"/>
      <c r="DC139"/>
    </row>
    <row r="140" spans="1:107" s="316" customFormat="1" hidden="1">
      <c r="A140" s="613" t="s">
        <v>140</v>
      </c>
      <c r="B140" s="614"/>
      <c r="C140" s="114"/>
      <c r="D140" s="114"/>
      <c r="E140" s="114"/>
      <c r="F140" s="114"/>
      <c r="G140" s="114"/>
      <c r="H140" s="113"/>
      <c r="I140" s="113"/>
      <c r="J140" s="113"/>
      <c r="K140" s="113"/>
      <c r="L140" s="114"/>
      <c r="M140" s="113"/>
      <c r="N140" s="113"/>
      <c r="O140" s="113"/>
      <c r="P140" s="113"/>
      <c r="Q140" s="114"/>
      <c r="R140" s="113"/>
      <c r="S140" s="113"/>
      <c r="T140" s="113"/>
      <c r="U140" s="113"/>
      <c r="V140" s="114"/>
      <c r="W140" s="113"/>
      <c r="X140" s="113"/>
      <c r="Y140" s="113"/>
      <c r="Z140" s="113"/>
      <c r="AA140" s="114"/>
      <c r="AB140" s="113"/>
      <c r="AC140" s="113"/>
      <c r="AD140" s="113"/>
      <c r="AE140" s="113"/>
      <c r="AF140" s="114"/>
      <c r="AG140" s="615"/>
      <c r="AH140" s="616"/>
      <c r="AI140" s="616"/>
      <c r="AJ140" s="615"/>
      <c r="AK140" s="617"/>
      <c r="AL140" s="615"/>
      <c r="AM140" s="615"/>
      <c r="AN140" s="615"/>
      <c r="AO140" s="615"/>
      <c r="AP140" s="617">
        <f t="shared" ref="AP140:AU140" si="404">(AP139-AK132)*100</f>
        <v>-0.60331067976655417</v>
      </c>
      <c r="AQ140" s="615">
        <f t="shared" si="404"/>
        <v>-0.8824635038197095</v>
      </c>
      <c r="AR140" s="615">
        <f t="shared" si="404"/>
        <v>-1.6223937006663052</v>
      </c>
      <c r="AS140" s="615">
        <f t="shared" si="404"/>
        <v>0.30605885556100748</v>
      </c>
      <c r="AT140" s="615">
        <f t="shared" si="404"/>
        <v>1.9232367399906678</v>
      </c>
      <c r="AU140" s="617">
        <f t="shared" si="404"/>
        <v>-2.4168275182834265E-2</v>
      </c>
      <c r="AV140" s="615"/>
      <c r="AW140" s="615"/>
      <c r="AX140" s="615"/>
      <c r="AY140" s="615"/>
      <c r="AZ140" s="617">
        <f t="shared" ref="AZ140" si="405">(AZ139-AU132)*100</f>
        <v>-0.11095260738627488</v>
      </c>
      <c r="BA140" s="615">
        <f>(BA139-AQ132)*100</f>
        <v>0.56665898929567637</v>
      </c>
      <c r="BB140" s="615">
        <f>(BB139-AR132)*100</f>
        <v>1.2527815392899848</v>
      </c>
      <c r="BC140" s="615">
        <f>(BC139-AS132)*100</f>
        <v>2.1512842305420694</v>
      </c>
      <c r="BD140" s="615">
        <f>(BD139-AT132)*100</f>
        <v>-1.7952316423431451</v>
      </c>
      <c r="BE140" s="617">
        <f>(BE139-AZ132)*100</f>
        <v>0.42160636900653581</v>
      </c>
      <c r="BF140" s="619"/>
      <c r="BG140" s="619"/>
      <c r="BH140" s="619"/>
      <c r="BI140" s="620"/>
      <c r="BJ140" s="617"/>
      <c r="BK140" s="619"/>
      <c r="BL140" s="619"/>
      <c r="BM140" s="619"/>
      <c r="BN140" s="620"/>
      <c r="BO140" s="617"/>
      <c r="BP140" s="617"/>
      <c r="BQ140" s="619"/>
      <c r="BR140" s="619"/>
      <c r="BS140" s="619"/>
      <c r="BT140" s="620"/>
      <c r="BU140" s="617"/>
      <c r="BV140" s="619"/>
      <c r="BW140" s="619"/>
      <c r="BX140" s="619"/>
      <c r="BY140" s="620"/>
      <c r="BZ140" s="617"/>
      <c r="CA140" s="619"/>
      <c r="CB140" s="619"/>
      <c r="CC140" s="619"/>
      <c r="CD140" s="620"/>
      <c r="CE140" s="617"/>
      <c r="CF140" s="619"/>
      <c r="CG140" s="619"/>
      <c r="CH140" s="619"/>
      <c r="CI140" s="620"/>
      <c r="CJ140" s="617"/>
      <c r="CK140" s="66"/>
      <c r="CL140" s="658"/>
      <c r="CM140" s="658"/>
      <c r="CN140" s="658"/>
      <c r="CO140" s="658"/>
      <c r="CP140" s="658"/>
      <c r="CQ140" s="658"/>
      <c r="CR140" s="658"/>
      <c r="CS140" s="658"/>
      <c r="CT140" s="289"/>
      <c r="CX140"/>
      <c r="CY140"/>
      <c r="CZ140"/>
      <c r="DA140"/>
      <c r="DB140"/>
      <c r="DC140"/>
    </row>
    <row r="141" spans="1:107" s="623" customFormat="1" hidden="1">
      <c r="A141" s="621" t="s">
        <v>241</v>
      </c>
      <c r="B141" s="433"/>
      <c r="C141" s="433"/>
      <c r="D141" s="433"/>
      <c r="E141" s="433"/>
      <c r="F141" s="433"/>
      <c r="G141" s="433"/>
      <c r="H141" s="437"/>
      <c r="I141" s="437"/>
      <c r="J141" s="437"/>
      <c r="K141" s="437"/>
      <c r="L141" s="433"/>
      <c r="M141" s="437"/>
      <c r="N141" s="437"/>
      <c r="O141" s="437"/>
      <c r="P141" s="437"/>
      <c r="Q141" s="433"/>
      <c r="R141" s="437"/>
      <c r="S141" s="437"/>
      <c r="T141" s="437"/>
      <c r="U141" s="437"/>
      <c r="V141" s="433"/>
      <c r="W141" s="401"/>
      <c r="X141" s="437"/>
      <c r="Y141" s="401"/>
      <c r="Z141" s="401"/>
      <c r="AA141" s="398"/>
      <c r="AB141" s="401"/>
      <c r="AC141" s="437"/>
      <c r="AD141" s="437"/>
      <c r="AE141" s="437"/>
      <c r="AF141" s="398"/>
      <c r="AG141" s="401"/>
      <c r="AH141" s="437"/>
      <c r="AI141" s="437"/>
      <c r="AJ141" s="437"/>
      <c r="AK141" s="433">
        <f t="shared" ref="AK141:AQ141" si="406">AK135-AK143</f>
        <v>903</v>
      </c>
      <c r="AL141" s="437">
        <f t="shared" si="406"/>
        <v>202</v>
      </c>
      <c r="AM141" s="437">
        <f t="shared" si="406"/>
        <v>230</v>
      </c>
      <c r="AN141" s="437">
        <f t="shared" si="406"/>
        <v>213</v>
      </c>
      <c r="AO141" s="437">
        <f t="shared" si="406"/>
        <v>171</v>
      </c>
      <c r="AP141" s="433">
        <f t="shared" si="406"/>
        <v>816</v>
      </c>
      <c r="AQ141" s="437">
        <f t="shared" si="406"/>
        <v>192</v>
      </c>
      <c r="AR141" s="437">
        <f t="shared" ref="AR141:BB141" si="407">AR135-AR143</f>
        <v>169</v>
      </c>
      <c r="AS141" s="437">
        <f t="shared" si="407"/>
        <v>187</v>
      </c>
      <c r="AT141" s="437">
        <f t="shared" si="407"/>
        <v>244</v>
      </c>
      <c r="AU141" s="433">
        <f t="shared" si="407"/>
        <v>792</v>
      </c>
      <c r="AV141" s="437"/>
      <c r="AW141" s="437"/>
      <c r="AX141" s="437"/>
      <c r="AY141" s="437"/>
      <c r="AZ141" s="433">
        <f t="shared" ref="AZ141" si="408">AZ135-AZ143</f>
        <v>793</v>
      </c>
      <c r="BA141" s="437">
        <f t="shared" si="407"/>
        <v>203</v>
      </c>
      <c r="BB141" s="437">
        <f t="shared" si="407"/>
        <v>212</v>
      </c>
      <c r="BC141" s="437">
        <f>BC135-BC143</f>
        <v>247</v>
      </c>
      <c r="BD141" s="437">
        <f>BD135-BD143</f>
        <v>198</v>
      </c>
      <c r="BE141" s="433">
        <f>BE135-BE143</f>
        <v>860</v>
      </c>
      <c r="BF141" s="403"/>
      <c r="BG141" s="403"/>
      <c r="BH141" s="403"/>
      <c r="BI141" s="404"/>
      <c r="BJ141" s="433"/>
      <c r="BK141" s="403"/>
      <c r="BL141" s="403"/>
      <c r="BM141" s="403"/>
      <c r="BN141" s="404"/>
      <c r="BO141" s="433"/>
      <c r="BP141" s="433"/>
      <c r="BQ141" s="403"/>
      <c r="BR141" s="403"/>
      <c r="BS141" s="403"/>
      <c r="BT141" s="404"/>
      <c r="BU141" s="433"/>
      <c r="BV141" s="403"/>
      <c r="BW141" s="403"/>
      <c r="BX141" s="403"/>
      <c r="BY141" s="404"/>
      <c r="BZ141" s="433"/>
      <c r="CA141" s="403"/>
      <c r="CB141" s="403"/>
      <c r="CC141" s="403"/>
      <c r="CD141" s="404"/>
      <c r="CE141" s="433"/>
      <c r="CF141" s="403"/>
      <c r="CG141" s="403"/>
      <c r="CH141" s="403"/>
      <c r="CI141" s="404"/>
      <c r="CJ141" s="433"/>
      <c r="CK141" s="438"/>
      <c r="CL141" s="678"/>
      <c r="CM141" s="678"/>
      <c r="CN141" s="678"/>
      <c r="CO141" s="982"/>
      <c r="CP141" s="678"/>
      <c r="CQ141" s="678"/>
      <c r="CR141" s="678"/>
      <c r="CS141" s="678"/>
      <c r="CT141" s="400"/>
      <c r="CX141"/>
      <c r="CY141"/>
      <c r="CZ141"/>
      <c r="DA141"/>
      <c r="DB141"/>
      <c r="DC141"/>
    </row>
    <row r="142" spans="1:107" s="316" customFormat="1" hidden="1">
      <c r="A142" s="624" t="s">
        <v>137</v>
      </c>
      <c r="B142" s="378"/>
      <c r="C142" s="378"/>
      <c r="D142" s="378"/>
      <c r="E142" s="378"/>
      <c r="F142" s="378"/>
      <c r="G142" s="378"/>
      <c r="H142" s="382"/>
      <c r="I142" s="382"/>
      <c r="J142" s="382"/>
      <c r="K142" s="382"/>
      <c r="L142" s="378"/>
      <c r="M142" s="382"/>
      <c r="N142" s="382"/>
      <c r="O142" s="382"/>
      <c r="P142" s="382"/>
      <c r="Q142" s="378"/>
      <c r="R142" s="382"/>
      <c r="S142" s="382"/>
      <c r="T142" s="382"/>
      <c r="U142" s="382"/>
      <c r="V142" s="378"/>
      <c r="W142" s="64"/>
      <c r="X142" s="382"/>
      <c r="Y142" s="64"/>
      <c r="Z142" s="64"/>
      <c r="AA142" s="70"/>
      <c r="AB142" s="64"/>
      <c r="AC142" s="382"/>
      <c r="AD142" s="382"/>
      <c r="AE142" s="382"/>
      <c r="AF142" s="70"/>
      <c r="AG142" s="64"/>
      <c r="AH142" s="382"/>
      <c r="AI142" s="382"/>
      <c r="AJ142" s="382"/>
      <c r="AK142" s="378"/>
      <c r="AL142" s="382"/>
      <c r="AM142" s="382"/>
      <c r="AN142" s="382"/>
      <c r="AO142" s="382"/>
      <c r="AP142" s="378">
        <f t="shared" ref="AP142:AU142" si="409">AP141/AK141-1</f>
        <v>-9.6345514950166078E-2</v>
      </c>
      <c r="AQ142" s="382">
        <f t="shared" si="409"/>
        <v>-4.9504950495049549E-2</v>
      </c>
      <c r="AR142" s="382">
        <f t="shared" si="409"/>
        <v>-0.26521739130434785</v>
      </c>
      <c r="AS142" s="382">
        <f t="shared" si="409"/>
        <v>-0.1220657276995305</v>
      </c>
      <c r="AT142" s="382">
        <f t="shared" si="409"/>
        <v>0.42690058479532156</v>
      </c>
      <c r="AU142" s="378">
        <f t="shared" si="409"/>
        <v>-2.9411764705882359E-2</v>
      </c>
      <c r="AV142" s="382"/>
      <c r="AW142" s="382"/>
      <c r="AX142" s="382"/>
      <c r="AY142" s="382"/>
      <c r="AZ142" s="378">
        <f t="shared" ref="AZ142" si="410">AZ141/AU141-1</f>
        <v>1.2626262626262985E-3</v>
      </c>
      <c r="BA142" s="382">
        <f>BA141/AQ141-1</f>
        <v>5.7291666666666741E-2</v>
      </c>
      <c r="BB142" s="382">
        <f>BB141/AR141-1</f>
        <v>0.25443786982248517</v>
      </c>
      <c r="BC142" s="382">
        <f>BC141/AS141-1</f>
        <v>0.32085561497326198</v>
      </c>
      <c r="BD142" s="382">
        <f>BD141/AT141-1</f>
        <v>-0.18852459016393441</v>
      </c>
      <c r="BE142" s="378">
        <f>BE141/AZ141-1</f>
        <v>8.4489281210592626E-2</v>
      </c>
      <c r="BF142" s="238"/>
      <c r="BG142" s="238"/>
      <c r="BH142" s="238"/>
      <c r="BI142" s="241"/>
      <c r="BJ142" s="378"/>
      <c r="BK142" s="238"/>
      <c r="BL142" s="238"/>
      <c r="BM142" s="238"/>
      <c r="BN142" s="241"/>
      <c r="BO142" s="378"/>
      <c r="BP142" s="378"/>
      <c r="BQ142" s="238"/>
      <c r="BR142" s="238"/>
      <c r="BS142" s="238"/>
      <c r="BT142" s="241"/>
      <c r="BU142" s="378"/>
      <c r="BV142" s="238"/>
      <c r="BW142" s="238"/>
      <c r="BX142" s="238"/>
      <c r="BY142" s="241"/>
      <c r="BZ142" s="378"/>
      <c r="CA142" s="238"/>
      <c r="CB142" s="238"/>
      <c r="CC142" s="238"/>
      <c r="CD142" s="241"/>
      <c r="CE142" s="378"/>
      <c r="CF142" s="238"/>
      <c r="CG142" s="238"/>
      <c r="CH142" s="238"/>
      <c r="CI142" s="241"/>
      <c r="CJ142" s="378"/>
      <c r="CK142" s="66"/>
      <c r="CL142" s="983"/>
      <c r="CM142" s="658"/>
      <c r="CN142" s="658"/>
      <c r="CO142" s="658"/>
      <c r="CP142" s="658"/>
      <c r="CQ142" s="658"/>
      <c r="CR142" s="658"/>
      <c r="CS142" s="658"/>
      <c r="CT142" s="289"/>
      <c r="CX142"/>
      <c r="CY142"/>
      <c r="CZ142"/>
      <c r="DA142"/>
      <c r="DB142"/>
      <c r="DC142"/>
    </row>
    <row r="143" spans="1:107" s="623" customFormat="1" hidden="1">
      <c r="A143" s="625" t="s">
        <v>234</v>
      </c>
      <c r="B143" s="433"/>
      <c r="C143" s="433"/>
      <c r="D143" s="433"/>
      <c r="E143" s="433"/>
      <c r="F143" s="433"/>
      <c r="G143" s="433"/>
      <c r="H143" s="437"/>
      <c r="I143" s="437"/>
      <c r="J143" s="437"/>
      <c r="K143" s="437"/>
      <c r="L143" s="433"/>
      <c r="M143" s="437"/>
      <c r="N143" s="437"/>
      <c r="O143" s="437"/>
      <c r="P143" s="437"/>
      <c r="Q143" s="433"/>
      <c r="R143" s="437"/>
      <c r="S143" s="437"/>
      <c r="T143" s="437"/>
      <c r="U143" s="437"/>
      <c r="V143" s="433"/>
      <c r="W143" s="401"/>
      <c r="X143" s="437"/>
      <c r="Y143" s="401"/>
      <c r="Z143" s="401"/>
      <c r="AA143" s="398"/>
      <c r="AB143" s="401"/>
      <c r="AC143" s="437"/>
      <c r="AD143" s="437"/>
      <c r="AE143" s="437"/>
      <c r="AF143" s="398"/>
      <c r="AG143" s="401"/>
      <c r="AH143" s="437"/>
      <c r="AI143" s="437"/>
      <c r="AJ143" s="437"/>
      <c r="AK143" s="433">
        <v>-42</v>
      </c>
      <c r="AL143" s="437">
        <v>12</v>
      </c>
      <c r="AM143" s="437">
        <v>-17</v>
      </c>
      <c r="AN143" s="437">
        <v>-11</v>
      </c>
      <c r="AO143" s="437">
        <f>AP143-SUM(AL143:AN143)</f>
        <v>30</v>
      </c>
      <c r="AP143" s="433">
        <v>14</v>
      </c>
      <c r="AQ143" s="437">
        <v>16</v>
      </c>
      <c r="AR143" s="672">
        <v>21</v>
      </c>
      <c r="AS143" s="704">
        <v>3</v>
      </c>
      <c r="AT143" s="437">
        <f>AU143-SUM(AQ143:AS143)</f>
        <v>-32</v>
      </c>
      <c r="AU143" s="717">
        <v>8</v>
      </c>
      <c r="AV143" s="437"/>
      <c r="AW143" s="672"/>
      <c r="AX143" s="704"/>
      <c r="AY143" s="437"/>
      <c r="AZ143" s="717">
        <v>8</v>
      </c>
      <c r="BA143" s="672">
        <v>4</v>
      </c>
      <c r="BB143" s="672">
        <v>-28</v>
      </c>
      <c r="BC143" s="754">
        <v>-28</v>
      </c>
      <c r="BD143" s="437">
        <f>BE143-SUM(BA143:BC143)</f>
        <v>60</v>
      </c>
      <c r="BE143" s="755">
        <v>8</v>
      </c>
      <c r="BF143" s="403"/>
      <c r="BG143" s="403"/>
      <c r="BH143" s="403"/>
      <c r="BI143" s="404"/>
      <c r="BJ143" s="433"/>
      <c r="BK143" s="403"/>
      <c r="BL143" s="403"/>
      <c r="BM143" s="403"/>
      <c r="BN143" s="404"/>
      <c r="BO143" s="433"/>
      <c r="BP143" s="433"/>
      <c r="BQ143" s="403"/>
      <c r="BR143" s="403"/>
      <c r="BS143" s="403"/>
      <c r="BT143" s="404"/>
      <c r="BU143" s="433"/>
      <c r="BV143" s="403"/>
      <c r="BW143" s="403"/>
      <c r="BX143" s="403"/>
      <c r="BY143" s="404"/>
      <c r="BZ143" s="433"/>
      <c r="CA143" s="403"/>
      <c r="CB143" s="403"/>
      <c r="CC143" s="403"/>
      <c r="CD143" s="404"/>
      <c r="CE143" s="433"/>
      <c r="CF143" s="403"/>
      <c r="CG143" s="403"/>
      <c r="CH143" s="403"/>
      <c r="CI143" s="404"/>
      <c r="CJ143" s="433"/>
      <c r="CK143" s="438"/>
      <c r="CL143" s="678"/>
      <c r="CM143" s="678"/>
      <c r="CN143" s="678"/>
      <c r="CO143" s="982"/>
      <c r="CP143" s="678"/>
      <c r="CQ143" s="678"/>
      <c r="CR143" s="678"/>
      <c r="CS143" s="678"/>
      <c r="CT143" s="400"/>
      <c r="CX143"/>
      <c r="CY143"/>
      <c r="CZ143"/>
      <c r="DA143"/>
      <c r="DB143"/>
      <c r="DC143"/>
    </row>
    <row r="144" spans="1:107" s="612" customFormat="1" hidden="1">
      <c r="A144" s="626" t="s">
        <v>235</v>
      </c>
      <c r="B144" s="425"/>
      <c r="C144" s="425"/>
      <c r="D144" s="425"/>
      <c r="E144" s="425"/>
      <c r="F144" s="425"/>
      <c r="G144" s="425"/>
      <c r="H144" s="609"/>
      <c r="I144" s="609"/>
      <c r="J144" s="609"/>
      <c r="K144" s="609"/>
      <c r="L144" s="425"/>
      <c r="M144" s="609"/>
      <c r="N144" s="609"/>
      <c r="O144" s="609"/>
      <c r="P144" s="609"/>
      <c r="Q144" s="425"/>
      <c r="R144" s="609"/>
      <c r="S144" s="609"/>
      <c r="T144" s="609"/>
      <c r="U144" s="609"/>
      <c r="V144" s="425"/>
      <c r="W144" s="431"/>
      <c r="X144" s="609"/>
      <c r="Y144" s="431"/>
      <c r="Z144" s="431"/>
      <c r="AA144" s="474"/>
      <c r="AB144" s="431"/>
      <c r="AC144" s="609"/>
      <c r="AD144" s="609"/>
      <c r="AE144" s="609"/>
      <c r="AF144" s="474"/>
      <c r="AG144" s="431"/>
      <c r="AH144" s="609"/>
      <c r="AI144" s="609"/>
      <c r="AJ144" s="609"/>
      <c r="AK144" s="425">
        <f t="shared" ref="AK144:AR144" si="411">AK143/AK124</f>
        <v>-7.2426280393171234E-3</v>
      </c>
      <c r="AL144" s="609">
        <f t="shared" si="411"/>
        <v>8.5898353614889053E-3</v>
      </c>
      <c r="AM144" s="609">
        <f t="shared" si="411"/>
        <v>-1.1813759555246699E-2</v>
      </c>
      <c r="AN144" s="609">
        <f t="shared" si="411"/>
        <v>-8.0763582966226141E-3</v>
      </c>
      <c r="AO144" s="609">
        <f t="shared" si="411"/>
        <v>2.243829468960359E-2</v>
      </c>
      <c r="AP144" s="425">
        <f t="shared" si="411"/>
        <v>2.5293586269196024E-3</v>
      </c>
      <c r="AQ144" s="609">
        <f t="shared" si="411"/>
        <v>1.2251148545176111E-2</v>
      </c>
      <c r="AR144" s="609">
        <f t="shared" si="411"/>
        <v>1.5328467153284672E-2</v>
      </c>
      <c r="AS144" s="609">
        <f t="shared" ref="AS144:BC144" si="412">AS143/AS124</f>
        <v>2.2522522522522522E-3</v>
      </c>
      <c r="AT144" s="609">
        <f t="shared" si="412"/>
        <v>-2.3088023088023088E-2</v>
      </c>
      <c r="AU144" s="425">
        <f t="shared" si="412"/>
        <v>1.4831294030404152E-3</v>
      </c>
      <c r="AV144" s="609"/>
      <c r="AW144" s="609"/>
      <c r="AX144" s="609"/>
      <c r="AY144" s="609"/>
      <c r="AZ144" s="425">
        <f t="shared" ref="AZ144" si="413">AZ143/AZ124</f>
        <v>1.4059753954305801E-3</v>
      </c>
      <c r="BA144" s="609">
        <f t="shared" si="412"/>
        <v>3.4305317324185248E-3</v>
      </c>
      <c r="BB144" s="609">
        <f t="shared" si="412"/>
        <v>-1.9021739130434784E-2</v>
      </c>
      <c r="BC144" s="609">
        <f t="shared" si="412"/>
        <v>-1.9985724482512492E-2</v>
      </c>
      <c r="BD144" s="609">
        <f>BD143/BD124</f>
        <v>4.2075736325385693E-2</v>
      </c>
      <c r="BE144" s="425">
        <f>BE143/BE124</f>
        <v>1.463860933211345E-3</v>
      </c>
      <c r="BF144" s="479"/>
      <c r="BG144" s="479"/>
      <c r="BH144" s="479"/>
      <c r="BI144" s="481"/>
      <c r="BJ144" s="425"/>
      <c r="BK144" s="479"/>
      <c r="BL144" s="479"/>
      <c r="BM144" s="479"/>
      <c r="BN144" s="481"/>
      <c r="BO144" s="425"/>
      <c r="BP144" s="425"/>
      <c r="BQ144" s="479"/>
      <c r="BR144" s="479"/>
      <c r="BS144" s="479"/>
      <c r="BT144" s="481"/>
      <c r="BU144" s="425"/>
      <c r="BV144" s="479"/>
      <c r="BW144" s="479"/>
      <c r="BX144" s="479"/>
      <c r="BY144" s="481"/>
      <c r="BZ144" s="425"/>
      <c r="CA144" s="479"/>
      <c r="CB144" s="479"/>
      <c r="CC144" s="479"/>
      <c r="CD144" s="481"/>
      <c r="CE144" s="425"/>
      <c r="CF144" s="479"/>
      <c r="CG144" s="479"/>
      <c r="CH144" s="479"/>
      <c r="CI144" s="481"/>
      <c r="CJ144" s="425"/>
      <c r="CK144" s="611"/>
      <c r="CL144" s="677"/>
      <c r="CM144" s="677"/>
      <c r="CN144" s="677"/>
      <c r="CO144" s="981"/>
      <c r="CP144" s="677"/>
      <c r="CQ144" s="677"/>
      <c r="CR144" s="677"/>
      <c r="CS144" s="677"/>
      <c r="CT144" s="430"/>
      <c r="CX144"/>
      <c r="CY144"/>
      <c r="CZ144"/>
      <c r="DA144"/>
      <c r="DB144"/>
      <c r="DC144"/>
    </row>
    <row r="145" spans="1:107" s="299" customFormat="1">
      <c r="A145" s="63" t="s">
        <v>155</v>
      </c>
      <c r="B145" s="101">
        <f t="shared" ref="B145:AG145" si="414">B148/B34</f>
        <v>0.12381300219138057</v>
      </c>
      <c r="C145" s="101">
        <f t="shared" si="414"/>
        <v>0.13197656490903484</v>
      </c>
      <c r="D145" s="101">
        <f t="shared" si="414"/>
        <v>0.13380473211857494</v>
      </c>
      <c r="E145" s="101">
        <f t="shared" si="414"/>
        <v>0.13962635201573254</v>
      </c>
      <c r="F145" s="101">
        <f t="shared" si="414"/>
        <v>0.14514970059880239</v>
      </c>
      <c r="G145" s="101">
        <f t="shared" si="414"/>
        <v>0.13984718684880759</v>
      </c>
      <c r="H145" s="102">
        <f t="shared" si="414"/>
        <v>0.13381742738589211</v>
      </c>
      <c r="I145" s="102">
        <f t="shared" si="414"/>
        <v>0.12488262910798122</v>
      </c>
      <c r="J145" s="102">
        <f t="shared" si="414"/>
        <v>0.11909448818897637</v>
      </c>
      <c r="K145" s="102">
        <f t="shared" si="414"/>
        <v>0.14239742558326629</v>
      </c>
      <c r="L145" s="101">
        <f t="shared" si="414"/>
        <v>0.13231794383626844</v>
      </c>
      <c r="M145" s="102">
        <f t="shared" si="414"/>
        <v>0.11975435005117707</v>
      </c>
      <c r="N145" s="102">
        <f t="shared" si="414"/>
        <v>0.13152985074626866</v>
      </c>
      <c r="O145" s="102">
        <f t="shared" si="414"/>
        <v>0.13521126760563379</v>
      </c>
      <c r="P145" s="102">
        <f t="shared" si="414"/>
        <v>0.14322469982847341</v>
      </c>
      <c r="Q145" s="101">
        <f t="shared" si="414"/>
        <v>0.13294392523364487</v>
      </c>
      <c r="R145" s="102">
        <f t="shared" si="414"/>
        <v>0.13288718929254303</v>
      </c>
      <c r="S145" s="102">
        <f t="shared" si="414"/>
        <v>0.15404929577464788</v>
      </c>
      <c r="T145" s="102">
        <f t="shared" si="414"/>
        <v>0.1402116402116402</v>
      </c>
      <c r="U145" s="102">
        <f t="shared" si="414"/>
        <v>0.13744075829383887</v>
      </c>
      <c r="V145" s="101">
        <f t="shared" si="414"/>
        <v>0.14120471409864688</v>
      </c>
      <c r="W145" s="102">
        <f t="shared" si="414"/>
        <v>0.14246575342465753</v>
      </c>
      <c r="X145" s="102">
        <f t="shared" si="414"/>
        <v>0.14118629908103592</v>
      </c>
      <c r="Y145" s="102">
        <f t="shared" si="414"/>
        <v>0.15185783521809371</v>
      </c>
      <c r="Z145" s="102">
        <f t="shared" si="414"/>
        <v>0.12538461538461537</v>
      </c>
      <c r="AA145" s="101">
        <f t="shared" si="414"/>
        <v>0.13995859213250517</v>
      </c>
      <c r="AB145" s="102">
        <f t="shared" si="414"/>
        <v>0.12332015810276679</v>
      </c>
      <c r="AC145" s="102">
        <f t="shared" si="414"/>
        <v>0.13095238095238096</v>
      </c>
      <c r="AD145" s="102">
        <f t="shared" si="414"/>
        <v>0.1310344827586207</v>
      </c>
      <c r="AE145" s="102">
        <f t="shared" si="414"/>
        <v>0.15958240119313946</v>
      </c>
      <c r="AF145" s="101">
        <f t="shared" si="414"/>
        <v>0.13948371956585509</v>
      </c>
      <c r="AG145" s="102">
        <f t="shared" si="414"/>
        <v>0.13799504950495051</v>
      </c>
      <c r="AH145" s="102">
        <f t="shared" ref="AH145:BJ145" si="415">AH148/AH34</f>
        <v>0.14394382679929785</v>
      </c>
      <c r="AI145" s="102">
        <f t="shared" si="415"/>
        <v>0.14064362336114422</v>
      </c>
      <c r="AJ145" s="102">
        <f t="shared" si="415"/>
        <v>0.1554945054945055</v>
      </c>
      <c r="AK145" s="101">
        <f t="shared" si="415"/>
        <v>0.14480433826762421</v>
      </c>
      <c r="AL145" s="102">
        <f t="shared" si="415"/>
        <v>0.14348925410872312</v>
      </c>
      <c r="AM145" s="102">
        <f t="shared" si="415"/>
        <v>0.13333333333333333</v>
      </c>
      <c r="AN145" s="102">
        <f t="shared" si="415"/>
        <v>0.14395886889460155</v>
      </c>
      <c r="AO145" s="102">
        <f t="shared" si="415"/>
        <v>0.15685058896466211</v>
      </c>
      <c r="AP145" s="101">
        <f t="shared" si="415"/>
        <v>0.1444043321299639</v>
      </c>
      <c r="AQ145" s="102">
        <f t="shared" si="415"/>
        <v>0.13590844062947066</v>
      </c>
      <c r="AR145" s="102">
        <f t="shared" si="415"/>
        <v>0.13421926910299004</v>
      </c>
      <c r="AS145" s="102">
        <f t="shared" si="415"/>
        <v>0.15705765407554673</v>
      </c>
      <c r="AT145" s="102">
        <f t="shared" si="415"/>
        <v>0.13072289156626507</v>
      </c>
      <c r="AU145" s="101">
        <f t="shared" si="415"/>
        <v>0.13932806324110672</v>
      </c>
      <c r="AV145" s="102"/>
      <c r="AW145" s="102"/>
      <c r="AX145" s="102"/>
      <c r="AY145" s="102"/>
      <c r="AZ145" s="101">
        <f t="shared" ref="AZ145" si="416">AZ148/AZ34</f>
        <v>0.14584362139917695</v>
      </c>
      <c r="BA145" s="102">
        <f t="shared" si="415"/>
        <v>0.13402061855670103</v>
      </c>
      <c r="BB145" s="102">
        <f t="shared" si="415"/>
        <v>0.13771186440677965</v>
      </c>
      <c r="BC145" s="102">
        <f t="shared" si="415"/>
        <v>0.14730290456431536</v>
      </c>
      <c r="BD145" s="102">
        <f t="shared" si="415"/>
        <v>0.1516497461928934</v>
      </c>
      <c r="BE145" s="101">
        <f t="shared" si="415"/>
        <v>0.1430296756383713</v>
      </c>
      <c r="BF145" s="102">
        <f t="shared" si="415"/>
        <v>0.11557093425605536</v>
      </c>
      <c r="BG145" s="102">
        <f t="shared" si="415"/>
        <v>0.13122171945701358</v>
      </c>
      <c r="BH145" s="102">
        <f t="shared" si="415"/>
        <v>0.13207547169811321</v>
      </c>
      <c r="BI145" s="102">
        <f t="shared" si="415"/>
        <v>0.14656771799628943</v>
      </c>
      <c r="BJ145" s="101">
        <f t="shared" si="415"/>
        <v>0.13179545087917405</v>
      </c>
      <c r="BK145" s="102">
        <f t="shared" ref="BK145:BO145" si="417">BK148/BK34</f>
        <v>0.12218649517684887</v>
      </c>
      <c r="BL145" s="102">
        <f t="shared" si="417"/>
        <v>0.13557213930348258</v>
      </c>
      <c r="BM145" s="102">
        <f t="shared" si="417"/>
        <v>0.13274890419536631</v>
      </c>
      <c r="BN145" s="102">
        <f t="shared" si="417"/>
        <v>0.14491017964071856</v>
      </c>
      <c r="BO145" s="101">
        <f t="shared" si="417"/>
        <v>0.13405909797822707</v>
      </c>
      <c r="BP145" s="101">
        <f t="shared" ref="BP145" si="418">BP148/BP34</f>
        <v>0.13405909797822707</v>
      </c>
      <c r="BQ145" s="347">
        <v>0.12</v>
      </c>
      <c r="BR145" s="345">
        <v>0.124</v>
      </c>
      <c r="BS145" s="345">
        <v>0.124</v>
      </c>
      <c r="BT145" s="348">
        <v>0.13</v>
      </c>
      <c r="BU145" s="101">
        <f>BU148/BU34</f>
        <v>0.12461515919471917</v>
      </c>
      <c r="BV145" s="347"/>
      <c r="BW145" s="345"/>
      <c r="BX145" s="345"/>
      <c r="BY145" s="348"/>
      <c r="BZ145" s="346">
        <f>+BU145+0.25%</f>
        <v>0.12711515919471916</v>
      </c>
      <c r="CA145" s="347"/>
      <c r="CB145" s="345"/>
      <c r="CC145" s="345"/>
      <c r="CD145" s="348"/>
      <c r="CE145" s="346">
        <f>+BZ145+0.25%</f>
        <v>0.12961515919471917</v>
      </c>
      <c r="CF145" s="347"/>
      <c r="CG145" s="345"/>
      <c r="CH145" s="345"/>
      <c r="CI145" s="348"/>
      <c r="CJ145" s="346">
        <f>+CE145+0.25%</f>
        <v>0.13211515919471917</v>
      </c>
      <c r="CK145" s="290"/>
      <c r="CL145" s="657" t="s">
        <v>350</v>
      </c>
      <c r="CM145" s="658"/>
      <c r="CN145" s="682"/>
      <c r="CO145" s="658"/>
      <c r="CP145" s="658"/>
      <c r="CQ145" s="657"/>
      <c r="CR145" s="658"/>
      <c r="CS145" s="658"/>
      <c r="CT145" s="290"/>
      <c r="CX145"/>
      <c r="CY145"/>
      <c r="CZ145"/>
      <c r="DA145"/>
      <c r="DB145"/>
      <c r="DC145"/>
    </row>
    <row r="146" spans="1:107" s="308" customFormat="1">
      <c r="A146" s="112" t="s">
        <v>140</v>
      </c>
      <c r="B146" s="114"/>
      <c r="C146" s="114">
        <f>(C145-B145)*100</f>
        <v>0.81635627176542691</v>
      </c>
      <c r="D146" s="114">
        <f>(D145-C145)*100</f>
        <v>0.18281672095400991</v>
      </c>
      <c r="E146" s="114">
        <f>(E145-D145)*100</f>
        <v>0.58216198971575983</v>
      </c>
      <c r="F146" s="114">
        <f>(F145-E145)*100</f>
        <v>0.55233485830698537</v>
      </c>
      <c r="G146" s="114">
        <f>(G145-F145)*100</f>
        <v>-0.53025137499947972</v>
      </c>
      <c r="H146" s="113"/>
      <c r="I146" s="113"/>
      <c r="J146" s="113"/>
      <c r="K146" s="113"/>
      <c r="L146" s="114">
        <f t="shared" ref="L146:AS146" si="419">(L145-G145)*100</f>
        <v>-0.75292430125391552</v>
      </c>
      <c r="M146" s="113">
        <f t="shared" si="419"/>
        <v>-1.406307733471504</v>
      </c>
      <c r="N146" s="113">
        <f t="shared" si="419"/>
        <v>0.66472216382874461</v>
      </c>
      <c r="O146" s="113">
        <f t="shared" si="419"/>
        <v>1.6116779416657414</v>
      </c>
      <c r="P146" s="113">
        <f t="shared" si="419"/>
        <v>8.2727424520712134E-2</v>
      </c>
      <c r="Q146" s="114">
        <f t="shared" si="419"/>
        <v>6.2598139737643499E-2</v>
      </c>
      <c r="R146" s="113">
        <f t="shared" si="419"/>
        <v>1.3132839241365963</v>
      </c>
      <c r="S146" s="113">
        <f t="shared" si="419"/>
        <v>2.2519445028379215</v>
      </c>
      <c r="T146" s="113">
        <f t="shared" si="419"/>
        <v>0.50003726060064146</v>
      </c>
      <c r="U146" s="113">
        <f t="shared" si="419"/>
        <v>-0.57839415346345457</v>
      </c>
      <c r="V146" s="114">
        <f t="shared" si="419"/>
        <v>0.82607888650020056</v>
      </c>
      <c r="W146" s="113">
        <f t="shared" si="419"/>
        <v>0.95785641321144976</v>
      </c>
      <c r="X146" s="113">
        <f t="shared" si="419"/>
        <v>-1.2862996693611961</v>
      </c>
      <c r="Y146" s="113">
        <f t="shared" si="419"/>
        <v>1.1646195006453501</v>
      </c>
      <c r="Z146" s="113">
        <f t="shared" si="419"/>
        <v>-1.2056142909223495</v>
      </c>
      <c r="AA146" s="114">
        <f t="shared" si="419"/>
        <v>-0.12461219661417111</v>
      </c>
      <c r="AB146" s="113">
        <f t="shared" si="419"/>
        <v>-1.9145595321890738</v>
      </c>
      <c r="AC146" s="113">
        <f t="shared" si="419"/>
        <v>-1.0233918128654955</v>
      </c>
      <c r="AD146" s="113">
        <f t="shared" si="419"/>
        <v>-2.0823352459473004</v>
      </c>
      <c r="AE146" s="113">
        <f t="shared" si="419"/>
        <v>3.4197785808524088</v>
      </c>
      <c r="AF146" s="114">
        <f t="shared" si="419"/>
        <v>-4.7487256665007527E-2</v>
      </c>
      <c r="AG146" s="113">
        <f t="shared" si="419"/>
        <v>1.4674891402183712</v>
      </c>
      <c r="AH146" s="113">
        <f t="shared" si="419"/>
        <v>1.2991445846916889</v>
      </c>
      <c r="AI146" s="113">
        <f t="shared" si="419"/>
        <v>0.96091406025235193</v>
      </c>
      <c r="AJ146" s="113">
        <f t="shared" si="419"/>
        <v>-0.40878956986339643</v>
      </c>
      <c r="AK146" s="114">
        <f t="shared" si="419"/>
        <v>0.53206187017691142</v>
      </c>
      <c r="AL146" s="113">
        <f t="shared" si="419"/>
        <v>0.54942046037726178</v>
      </c>
      <c r="AM146" s="113">
        <f t="shared" si="419"/>
        <v>-1.0610493465964517</v>
      </c>
      <c r="AN146" s="113">
        <f t="shared" si="419"/>
        <v>0.33152455334573283</v>
      </c>
      <c r="AO146" s="113">
        <f t="shared" si="419"/>
        <v>0.1356083470156616</v>
      </c>
      <c r="AP146" s="114">
        <f t="shared" si="419"/>
        <v>-4.0000613766030813E-2</v>
      </c>
      <c r="AQ146" s="113">
        <f t="shared" si="419"/>
        <v>-0.75808134792524628</v>
      </c>
      <c r="AR146" s="113">
        <f t="shared" si="419"/>
        <v>8.8593576965670384E-2</v>
      </c>
      <c r="AS146" s="113">
        <f t="shared" si="419"/>
        <v>1.3098785180945178</v>
      </c>
      <c r="AT146" s="113">
        <f t="shared" ref="AT146:AU146" si="420">(AT145-AO145)*100</f>
        <v>-2.6127697398397043</v>
      </c>
      <c r="AU146" s="114">
        <f t="shared" si="420"/>
        <v>-0.50762688888571772</v>
      </c>
      <c r="AV146" s="113"/>
      <c r="AW146" s="113"/>
      <c r="AX146" s="113"/>
      <c r="AY146" s="113"/>
      <c r="AZ146" s="114">
        <f t="shared" ref="AZ146" si="421">(AZ145-AU145)*100</f>
        <v>0.65155581580702282</v>
      </c>
      <c r="BA146" s="113">
        <f>(BA145-AQ145)*100</f>
        <v>-0.18878220727696349</v>
      </c>
      <c r="BB146" s="113">
        <f>(BB145-AR145)*100</f>
        <v>0.34925953037896196</v>
      </c>
      <c r="BC146" s="113">
        <f>(BC145-AS145)*100</f>
        <v>-0.97547495112313698</v>
      </c>
      <c r="BD146" s="113">
        <f>(BD145-AT145)*100</f>
        <v>2.0926854626628328</v>
      </c>
      <c r="BE146" s="114">
        <f>(BE145-AZ145)*100</f>
        <v>-0.28139457608056528</v>
      </c>
      <c r="BF146" s="113">
        <f t="shared" ref="BF146:BM146" si="422">(BF145-BA145)*100</f>
        <v>-1.8449684300645668</v>
      </c>
      <c r="BG146" s="113">
        <f t="shared" si="422"/>
        <v>-0.64901449497660746</v>
      </c>
      <c r="BH146" s="113">
        <f t="shared" si="422"/>
        <v>-1.5227432866202151</v>
      </c>
      <c r="BI146" s="113">
        <f t="shared" si="422"/>
        <v>-0.50820281966039715</v>
      </c>
      <c r="BJ146" s="114">
        <f t="shared" si="422"/>
        <v>-1.1234224759197247</v>
      </c>
      <c r="BK146" s="113">
        <f t="shared" si="422"/>
        <v>0.66155609207935173</v>
      </c>
      <c r="BL146" s="113">
        <f t="shared" si="422"/>
        <v>0.43504198464690003</v>
      </c>
      <c r="BM146" s="113">
        <f t="shared" si="422"/>
        <v>6.7343249725310139E-2</v>
      </c>
      <c r="BN146" s="113">
        <f t="shared" ref="BN146" si="423">(BN145-BI145)*100</f>
        <v>-0.16575383555708645</v>
      </c>
      <c r="BO146" s="114">
        <f t="shared" ref="BO146" si="424">(BO145-BJ145)*100</f>
        <v>0.22636470990530233</v>
      </c>
      <c r="BP146" s="114"/>
      <c r="BQ146" s="115">
        <f t="shared" ref="BQ146" si="425">(BQ145-BK145)*100</f>
        <v>-0.21864951768488794</v>
      </c>
      <c r="BR146" s="113">
        <f t="shared" ref="BR146" si="426">(BR145-BL145)*100</f>
        <v>-1.157213930348258</v>
      </c>
      <c r="BS146" s="113">
        <f t="shared" ref="BS146" si="427">(BS145-BM145)*100</f>
        <v>-0.87489041953663083</v>
      </c>
      <c r="BT146" s="116">
        <f>(BT145-BN145)*100</f>
        <v>-1.4910179640718557</v>
      </c>
      <c r="BU146" s="114">
        <f>(BU145-BO145)*100</f>
        <v>-0.9443938783507897</v>
      </c>
      <c r="BV146" s="115"/>
      <c r="BW146" s="113"/>
      <c r="BX146" s="113"/>
      <c r="BY146" s="116"/>
      <c r="BZ146" s="114">
        <f>(BZ145-BU145)*100</f>
        <v>0.24999999999999883</v>
      </c>
      <c r="CA146" s="115"/>
      <c r="CB146" s="113"/>
      <c r="CC146" s="113"/>
      <c r="CD146" s="116"/>
      <c r="CE146" s="114">
        <f>(CE145-BZ145)*100</f>
        <v>0.25000000000000022</v>
      </c>
      <c r="CF146" s="115"/>
      <c r="CG146" s="113"/>
      <c r="CH146" s="113"/>
      <c r="CI146" s="116"/>
      <c r="CJ146" s="114">
        <f>(CJ145-CE145)*100</f>
        <v>0.25000000000000022</v>
      </c>
      <c r="CK146" s="307"/>
      <c r="CL146" s="657"/>
      <c r="CM146" s="675"/>
      <c r="CN146" s="682"/>
      <c r="CO146" s="675"/>
      <c r="CP146" s="675"/>
      <c r="CQ146" s="675"/>
      <c r="CR146" s="675"/>
      <c r="CS146" s="675"/>
      <c r="CT146" s="307"/>
      <c r="CX146"/>
      <c r="CY146"/>
      <c r="CZ146"/>
      <c r="DA146"/>
      <c r="DB146"/>
      <c r="DC146"/>
    </row>
    <row r="147" spans="1:107" s="302" customFormat="1">
      <c r="A147" s="318" t="s">
        <v>141</v>
      </c>
      <c r="B147" s="320"/>
      <c r="C147" s="320">
        <f>(C148-B148)/(C34-B34)</f>
        <v>0.17623762376237623</v>
      </c>
      <c r="D147" s="320">
        <f>(D148-C148)/(D34-C34)</f>
        <v>0.14746543778801843</v>
      </c>
      <c r="E147" s="320">
        <f>(E148-D148)/(E34-D34)</f>
        <v>0.19437340153452684</v>
      </c>
      <c r="F147" s="320">
        <f>(F148-E148)/(F34-E34)</f>
        <v>0.35514018691588783</v>
      </c>
      <c r="G147" s="320">
        <f>(G148-F148)/(G34-F34)</f>
        <v>-1.3888888888888888E-2</v>
      </c>
      <c r="H147" s="565"/>
      <c r="I147" s="565"/>
      <c r="J147" s="565"/>
      <c r="K147" s="565"/>
      <c r="L147" s="320">
        <f t="shared" ref="L147:BJ147" si="428">(L148-G148)/(L34-G34)</f>
        <v>0.41025641025641024</v>
      </c>
      <c r="M147" s="302">
        <f t="shared" si="428"/>
        <v>-0.92307692307692313</v>
      </c>
      <c r="N147" s="302">
        <f t="shared" si="428"/>
        <v>1.1428571428571428</v>
      </c>
      <c r="O147" s="302">
        <f t="shared" si="428"/>
        <v>0.46938775510204084</v>
      </c>
      <c r="P147" s="302">
        <f t="shared" si="428"/>
        <v>0.12987012987012986</v>
      </c>
      <c r="Q147" s="320">
        <f t="shared" si="428"/>
        <v>0.16666666666666666</v>
      </c>
      <c r="R147" s="302">
        <f t="shared" si="428"/>
        <v>0.3188405797101449</v>
      </c>
      <c r="S147" s="302">
        <f t="shared" si="428"/>
        <v>0.53125</v>
      </c>
      <c r="T147" s="302">
        <f t="shared" si="428"/>
        <v>0.21739130434782608</v>
      </c>
      <c r="U147" s="302">
        <f t="shared" si="428"/>
        <v>7.0000000000000007E-2</v>
      </c>
      <c r="V147" s="320">
        <f t="shared" si="428"/>
        <v>0.25827814569536423</v>
      </c>
      <c r="W147" s="302">
        <f t="shared" si="428"/>
        <v>0.34693877551020408</v>
      </c>
      <c r="X147" s="302">
        <f t="shared" si="428"/>
        <v>-9.8360655737704916E-2</v>
      </c>
      <c r="Y147" s="302">
        <f t="shared" si="428"/>
        <v>0.27884615384615385</v>
      </c>
      <c r="Z147" s="302">
        <f t="shared" si="428"/>
        <v>-0.3235294117647059</v>
      </c>
      <c r="AA147" s="320">
        <f t="shared" si="428"/>
        <v>0.11693548387096774</v>
      </c>
      <c r="AB147" s="302">
        <f t="shared" si="428"/>
        <v>0</v>
      </c>
      <c r="AC147" s="302">
        <f t="shared" si="428"/>
        <v>4.7619047619047616E-2</v>
      </c>
      <c r="AD147" s="302">
        <f t="shared" si="428"/>
        <v>-0.2537313432835821</v>
      </c>
      <c r="AE147" s="302">
        <f t="shared" si="428"/>
        <v>1.2439024390243902</v>
      </c>
      <c r="AF147" s="320">
        <f t="shared" si="428"/>
        <v>0.13832997987927564</v>
      </c>
      <c r="AG147" s="302">
        <f t="shared" si="428"/>
        <v>0.19088319088319089</v>
      </c>
      <c r="AH147" s="302">
        <f t="shared" si="428"/>
        <v>0.19178082191780821</v>
      </c>
      <c r="AI147" s="302">
        <f t="shared" si="428"/>
        <v>0.17426273458445041</v>
      </c>
      <c r="AJ147" s="302">
        <f t="shared" si="428"/>
        <v>0.1440501043841336</v>
      </c>
      <c r="AK147" s="320">
        <f t="shared" si="428"/>
        <v>7.4</v>
      </c>
      <c r="AL147" s="302">
        <f t="shared" si="428"/>
        <v>-0.11764705882352941</v>
      </c>
      <c r="AM147" s="302">
        <f t="shared" si="428"/>
        <v>0.33707865168539325</v>
      </c>
      <c r="AN147" s="302">
        <f t="shared" si="428"/>
        <v>9.8360655737704916E-2</v>
      </c>
      <c r="AO147" s="302">
        <f t="shared" si="428"/>
        <v>0.14492753623188406</v>
      </c>
      <c r="AP147" s="320">
        <f t="shared" si="428"/>
        <v>0.15044247787610621</v>
      </c>
      <c r="AQ147" s="302">
        <f t="shared" si="428"/>
        <v>0.20108695652173914</v>
      </c>
      <c r="AR147" s="302">
        <f t="shared" si="428"/>
        <v>0.12173913043478261</v>
      </c>
      <c r="AS147" s="302">
        <f t="shared" si="428"/>
        <v>-0.27659574468085107</v>
      </c>
      <c r="AT147" s="302">
        <f t="shared" si="428"/>
        <v>-0.76595744680851063</v>
      </c>
      <c r="AU147" s="320">
        <f t="shared" si="428"/>
        <v>0.24749163879598662</v>
      </c>
      <c r="AZ147" s="320">
        <f t="shared" ref="AZ147" si="429">(AZ148-AU148)/(AZ34-AU34)</f>
        <v>13.333333333333334</v>
      </c>
      <c r="BA147" s="302">
        <f>(BA148-AQ148)/(BA34-AQ34)</f>
        <v>0.2</v>
      </c>
      <c r="BB147" s="302">
        <f>(BB148-AR148)/(BB34-AR34)</f>
        <v>7.8651685393258425E-2</v>
      </c>
      <c r="BC147" s="302">
        <f>(BC148-AS148)/(BC34-AS34)</f>
        <v>0.38095238095238093</v>
      </c>
      <c r="BD147" s="302">
        <f>(BD148-AT148)/(BD34-AT34)</f>
        <v>-0.26190476190476192</v>
      </c>
      <c r="BE147" s="320">
        <f>(BE148-AZ148)/(BE34-AZ34)</f>
        <v>0.20430107526881722</v>
      </c>
      <c r="BF147" s="302">
        <f t="shared" si="428"/>
        <v>-0.17241379310344829</v>
      </c>
      <c r="BG147" s="302">
        <f t="shared" si="428"/>
        <v>6.1068702290076333E-2</v>
      </c>
      <c r="BH147" s="302">
        <f t="shared" si="428"/>
        <v>-2.0833333333333332E-2</v>
      </c>
      <c r="BI147" s="302">
        <f t="shared" si="428"/>
        <v>-4.878048780487805E-2</v>
      </c>
      <c r="BJ147" s="320">
        <f t="shared" si="428"/>
        <v>-2.9776674937965261E-2</v>
      </c>
      <c r="BK147" s="302">
        <f t="shared" ref="BK147:BL147" si="430">IFERROR((BK148-BF148)/(BK34-BF34),0)</f>
        <v>0.20909090909090908</v>
      </c>
      <c r="BL147" s="302">
        <f t="shared" si="430"/>
        <v>0.24590163934426229</v>
      </c>
      <c r="BM147" s="302">
        <f t="shared" ref="BM147" si="431">(BM148-BH148)/(BM34-BH34)</f>
        <v>0.2857142857142857</v>
      </c>
      <c r="BN147" s="302">
        <f t="shared" ref="BN147" si="432">(BN148-BI148)/(BN34-BI34)</f>
        <v>9.4339622641509441E-2</v>
      </c>
      <c r="BO147" s="320">
        <f t="shared" ref="BO147" si="433">(BO148-BJ148)/(BO34-BJ34)</f>
        <v>0.19480519480519481</v>
      </c>
      <c r="BP147" s="320"/>
      <c r="BQ147" s="321">
        <f t="shared" ref="BQ147" si="434">IFERROR((BQ148-BK148)/(BQ34-BK34),0)</f>
        <v>4.7116827438370916E-2</v>
      </c>
      <c r="BR147" s="302">
        <f t="shared" ref="BR147" si="435">IFERROR((BR148-BL148)/(BR34-BL34),0)</f>
        <v>-0.16530348258706415</v>
      </c>
      <c r="BS147" s="302">
        <f t="shared" ref="BS147" si="436">IFERROR((BS148-BM148)/(BS34-BM34),0)</f>
        <v>-9.4722604884157291E-2</v>
      </c>
      <c r="BT147" s="322">
        <f>IFERROR((BT148-BN148)/(BT34-BN34),0)</f>
        <v>-0.16820359281437111</v>
      </c>
      <c r="BU147" s="158">
        <f>IFERROR((BU148-BO148)/(BU34-BO34),0)</f>
        <v>-0.11043235920263163</v>
      </c>
      <c r="BV147" s="321"/>
      <c r="BY147" s="322"/>
      <c r="BZ147" s="320">
        <f>IFERROR((BZ148-BU148)/(BZ34-BU34),0)</f>
        <v>0.17711515919471871</v>
      </c>
      <c r="CA147" s="321"/>
      <c r="CD147" s="322"/>
      <c r="CE147" s="320">
        <f>IFERROR((CE148-BZ148)/(CE34-BZ34),0)</f>
        <v>0.17961515919471921</v>
      </c>
      <c r="CF147" s="321"/>
      <c r="CI147" s="322"/>
      <c r="CJ147" s="320">
        <f>IFERROR((CJ148-CE148)/(CJ34-CE34),0)</f>
        <v>0.18211515919471932</v>
      </c>
      <c r="CK147" s="323"/>
      <c r="CL147" s="675"/>
      <c r="CM147" s="658"/>
      <c r="CN147" s="568"/>
      <c r="CO147" s="319"/>
      <c r="CP147" s="319"/>
      <c r="CQ147" s="319"/>
      <c r="CR147" s="319"/>
      <c r="CS147" s="319"/>
      <c r="CT147" s="323"/>
      <c r="CX147"/>
      <c r="CY147"/>
      <c r="CZ147"/>
      <c r="DA147"/>
      <c r="DB147"/>
      <c r="DC147"/>
    </row>
    <row r="148" spans="1:107" s="299" customFormat="1">
      <c r="A148" s="27" t="s">
        <v>151</v>
      </c>
      <c r="B148" s="76">
        <v>339</v>
      </c>
      <c r="C148" s="76">
        <v>428</v>
      </c>
      <c r="D148" s="76">
        <v>492</v>
      </c>
      <c r="E148" s="76">
        <v>568</v>
      </c>
      <c r="F148" s="76">
        <v>606</v>
      </c>
      <c r="G148" s="76">
        <v>604</v>
      </c>
      <c r="H148" s="110">
        <v>129</v>
      </c>
      <c r="I148" s="110">
        <v>133</v>
      </c>
      <c r="J148" s="110">
        <v>121</v>
      </c>
      <c r="K148" s="109">
        <v>177</v>
      </c>
      <c r="L148" s="76">
        <v>556</v>
      </c>
      <c r="M148" s="109">
        <v>117</v>
      </c>
      <c r="N148" s="110">
        <v>141</v>
      </c>
      <c r="O148" s="110">
        <v>144</v>
      </c>
      <c r="P148" s="109">
        <v>167</v>
      </c>
      <c r="Q148" s="111">
        <f>SUM(M148:P148)</f>
        <v>569</v>
      </c>
      <c r="R148" s="109">
        <v>139</v>
      </c>
      <c r="S148" s="110">
        <v>175</v>
      </c>
      <c r="T148" s="110">
        <v>159</v>
      </c>
      <c r="U148" s="109">
        <v>174</v>
      </c>
      <c r="V148" s="111">
        <f>SUM(R148:U148)</f>
        <v>647</v>
      </c>
      <c r="W148" s="109">
        <v>156</v>
      </c>
      <c r="X148" s="110">
        <v>169</v>
      </c>
      <c r="Y148" s="29">
        <v>188</v>
      </c>
      <c r="Z148" s="59">
        <v>163</v>
      </c>
      <c r="AA148" s="111">
        <f>SUM(W148:Z148)</f>
        <v>676</v>
      </c>
      <c r="AB148" s="109">
        <v>156</v>
      </c>
      <c r="AC148" s="110">
        <v>176</v>
      </c>
      <c r="AD148" s="29">
        <v>171</v>
      </c>
      <c r="AE148" s="109">
        <v>214</v>
      </c>
      <c r="AF148" s="111">
        <v>951</v>
      </c>
      <c r="AG148" s="110">
        <v>223</v>
      </c>
      <c r="AH148" s="110">
        <v>246</v>
      </c>
      <c r="AI148" s="110">
        <v>236</v>
      </c>
      <c r="AJ148" s="109">
        <v>283</v>
      </c>
      <c r="AK148" s="76">
        <f>+SUM(AG148:AJ148)</f>
        <v>988</v>
      </c>
      <c r="AL148" s="29">
        <v>227</v>
      </c>
      <c r="AM148" s="29">
        <v>216</v>
      </c>
      <c r="AN148" s="29">
        <v>224</v>
      </c>
      <c r="AO148" s="29">
        <v>253</v>
      </c>
      <c r="AP148" s="76">
        <f>SUM(AL148:AO148)</f>
        <v>920</v>
      </c>
      <c r="AQ148" s="29">
        <v>190</v>
      </c>
      <c r="AR148" s="29">
        <v>202</v>
      </c>
      <c r="AS148" s="29">
        <v>237</v>
      </c>
      <c r="AT148" s="29">
        <v>217</v>
      </c>
      <c r="AU148" s="76">
        <f>SUM(AQ148:AT148)</f>
        <v>846</v>
      </c>
      <c r="AV148" s="29"/>
      <c r="AW148" s="29"/>
      <c r="AX148" s="29"/>
      <c r="AY148" s="29"/>
      <c r="AZ148" s="76">
        <v>886</v>
      </c>
      <c r="BA148" s="29">
        <v>182</v>
      </c>
      <c r="BB148" s="29">
        <v>195</v>
      </c>
      <c r="BC148" s="898">
        <v>213</v>
      </c>
      <c r="BD148" s="898">
        <v>239</v>
      </c>
      <c r="BE148" s="76">
        <f>SUM(BA148:BD148)</f>
        <v>829</v>
      </c>
      <c r="BF148" s="900">
        <v>167</v>
      </c>
      <c r="BG148" s="894">
        <v>203</v>
      </c>
      <c r="BH148" s="894">
        <v>210</v>
      </c>
      <c r="BI148" s="930">
        <f>817-SUM(BF148:BH148)</f>
        <v>237</v>
      </c>
      <c r="BJ148" s="76">
        <f>SUM(BF148:BI148)</f>
        <v>817</v>
      </c>
      <c r="BK148" s="900">
        <v>190</v>
      </c>
      <c r="BL148" s="28">
        <v>218</v>
      </c>
      <c r="BM148" s="894">
        <v>212</v>
      </c>
      <c r="BN148" s="930">
        <v>242</v>
      </c>
      <c r="BO148" s="76">
        <f>SUM(BK148:BN148)</f>
        <v>862</v>
      </c>
      <c r="BP148" s="76">
        <f>BO148</f>
        <v>862</v>
      </c>
      <c r="BQ148" s="90">
        <f t="shared" ref="BQ148:BT148" si="437">+BQ145*BQ34</f>
        <v>192.19800000000001</v>
      </c>
      <c r="BR148" s="28">
        <f t="shared" si="437"/>
        <v>207.36768000000001</v>
      </c>
      <c r="BS148" s="28">
        <f t="shared" si="437"/>
        <v>205.94912000000002</v>
      </c>
      <c r="BT148" s="30">
        <f t="shared" si="437"/>
        <v>227.95500000000001</v>
      </c>
      <c r="BU148" s="76">
        <f>SUM(BQ148:BT148)</f>
        <v>833.46980000000008</v>
      </c>
      <c r="BV148" s="90"/>
      <c r="BW148" s="28"/>
      <c r="BX148" s="28"/>
      <c r="BY148" s="30"/>
      <c r="BZ148" s="76">
        <f>BZ34*BZ145</f>
        <v>892.70020875</v>
      </c>
      <c r="CA148" s="90"/>
      <c r="CB148" s="28"/>
      <c r="CC148" s="28"/>
      <c r="CD148" s="30"/>
      <c r="CE148" s="76">
        <f>CE34*CE145</f>
        <v>955.76998387500009</v>
      </c>
      <c r="CF148" s="90"/>
      <c r="CG148" s="28"/>
      <c r="CH148" s="28"/>
      <c r="CI148" s="30"/>
      <c r="CJ148" s="76">
        <f>CJ34*CJ145</f>
        <v>1022.9149859906252</v>
      </c>
      <c r="CK148" s="323"/>
      <c r="CL148" s="680"/>
      <c r="CM148" s="658"/>
      <c r="CN148" s="682"/>
      <c r="CO148" s="658"/>
      <c r="CP148" s="658"/>
      <c r="CQ148" s="658"/>
      <c r="CR148" s="658"/>
      <c r="CS148" s="658"/>
      <c r="CT148" s="290"/>
      <c r="CX148"/>
      <c r="CY148"/>
      <c r="CZ148"/>
      <c r="DA148"/>
      <c r="DB148"/>
      <c r="DC148"/>
    </row>
    <row r="149" spans="1:107">
      <c r="A149" s="62" t="s">
        <v>137</v>
      </c>
      <c r="B149" s="70"/>
      <c r="C149" s="70">
        <f>C148/B148-1</f>
        <v>0.26253687315634222</v>
      </c>
      <c r="D149" s="70">
        <f>D148/C148-1</f>
        <v>0.14953271028037385</v>
      </c>
      <c r="E149" s="70">
        <f>E148/D148-1</f>
        <v>0.15447154471544722</v>
      </c>
      <c r="F149" s="70">
        <f>F148/E148-1</f>
        <v>6.6901408450704247E-2</v>
      </c>
      <c r="G149" s="70">
        <f>G148/F148-1</f>
        <v>-3.3003300330033403E-3</v>
      </c>
      <c r="H149" s="118"/>
      <c r="I149" s="64"/>
      <c r="J149" s="64"/>
      <c r="K149" s="64"/>
      <c r="L149" s="70">
        <f t="shared" ref="L149:AF149" si="438">L148/G148-1</f>
        <v>-7.9470198675496651E-2</v>
      </c>
      <c r="M149" s="64">
        <f t="shared" si="438"/>
        <v>-9.3023255813953543E-2</v>
      </c>
      <c r="N149" s="64">
        <f t="shared" si="438"/>
        <v>6.0150375939849621E-2</v>
      </c>
      <c r="O149" s="64">
        <f t="shared" si="438"/>
        <v>0.19008264462809921</v>
      </c>
      <c r="P149" s="64">
        <f t="shared" si="438"/>
        <v>-5.6497175141242972E-2</v>
      </c>
      <c r="Q149" s="70">
        <f t="shared" si="438"/>
        <v>2.3381294964028854E-2</v>
      </c>
      <c r="R149" s="64">
        <f t="shared" si="438"/>
        <v>0.18803418803418803</v>
      </c>
      <c r="S149" s="64">
        <f t="shared" si="438"/>
        <v>0.24113475177304955</v>
      </c>
      <c r="T149" s="64">
        <f t="shared" si="438"/>
        <v>0.10416666666666674</v>
      </c>
      <c r="U149" s="64">
        <f t="shared" si="438"/>
        <v>4.1916167664670656E-2</v>
      </c>
      <c r="V149" s="70">
        <f t="shared" si="438"/>
        <v>0.13708260105448145</v>
      </c>
      <c r="W149" s="64">
        <f t="shared" si="438"/>
        <v>0.1223021582733812</v>
      </c>
      <c r="X149" s="64">
        <f t="shared" si="438"/>
        <v>-3.4285714285714253E-2</v>
      </c>
      <c r="Y149" s="64">
        <f t="shared" si="438"/>
        <v>0.1823899371069182</v>
      </c>
      <c r="Z149" s="64">
        <f t="shared" si="438"/>
        <v>-6.3218390804597679E-2</v>
      </c>
      <c r="AA149" s="70">
        <f t="shared" si="438"/>
        <v>4.4822256568779029E-2</v>
      </c>
      <c r="AB149" s="64">
        <f t="shared" si="438"/>
        <v>0</v>
      </c>
      <c r="AC149" s="64">
        <f t="shared" si="438"/>
        <v>4.1420118343195256E-2</v>
      </c>
      <c r="AD149" s="64">
        <f t="shared" si="438"/>
        <v>-9.0425531914893664E-2</v>
      </c>
      <c r="AE149" s="64">
        <f t="shared" si="438"/>
        <v>0.31288343558282206</v>
      </c>
      <c r="AF149" s="70">
        <f t="shared" si="438"/>
        <v>0.40680473372781067</v>
      </c>
      <c r="AG149" s="64">
        <f t="shared" ref="AG149:AS149" si="439">AG148/AB148 -1</f>
        <v>0.42948717948717952</v>
      </c>
      <c r="AH149" s="64">
        <f t="shared" si="439"/>
        <v>0.39772727272727271</v>
      </c>
      <c r="AI149" s="64">
        <f t="shared" si="439"/>
        <v>0.38011695906432741</v>
      </c>
      <c r="AJ149" s="64">
        <f t="shared" si="439"/>
        <v>0.32242990654205617</v>
      </c>
      <c r="AK149" s="70">
        <f t="shared" si="439"/>
        <v>3.8906414300736047E-2</v>
      </c>
      <c r="AL149" s="64">
        <f t="shared" si="439"/>
        <v>1.7937219730941756E-2</v>
      </c>
      <c r="AM149" s="64">
        <f t="shared" si="439"/>
        <v>-0.12195121951219512</v>
      </c>
      <c r="AN149" s="64">
        <f t="shared" si="439"/>
        <v>-5.084745762711862E-2</v>
      </c>
      <c r="AO149" s="64">
        <f t="shared" si="439"/>
        <v>-0.10600706713780916</v>
      </c>
      <c r="AP149" s="70">
        <f t="shared" si="439"/>
        <v>-6.8825910931174072E-2</v>
      </c>
      <c r="AQ149" s="64">
        <f t="shared" si="439"/>
        <v>-0.16299559471365643</v>
      </c>
      <c r="AR149" s="64">
        <f t="shared" si="439"/>
        <v>-6.481481481481477E-2</v>
      </c>
      <c r="AS149" s="64">
        <f t="shared" si="439"/>
        <v>5.8035714285714191E-2</v>
      </c>
      <c r="AT149" s="64">
        <f t="shared" ref="AT149:AU149" si="440">AT148/AO148 -1</f>
        <v>-0.14229249011857703</v>
      </c>
      <c r="AU149" s="70">
        <f t="shared" si="440"/>
        <v>-8.0434782608695632E-2</v>
      </c>
      <c r="AV149" s="64"/>
      <c r="AW149" s="64"/>
      <c r="AX149" s="64"/>
      <c r="AY149" s="64"/>
      <c r="AZ149" s="70">
        <f t="shared" ref="AZ149" si="441">AZ148/AU148 -1</f>
        <v>4.7281323877068626E-2</v>
      </c>
      <c r="BA149" s="64">
        <f>BA148/AQ148 -1</f>
        <v>-4.2105263157894757E-2</v>
      </c>
      <c r="BB149" s="64">
        <f>BB148/AR148 -1</f>
        <v>-3.4653465346534684E-2</v>
      </c>
      <c r="BC149" s="64">
        <f>BC148/AS148 -1</f>
        <v>-0.10126582278481011</v>
      </c>
      <c r="BD149" s="64">
        <f>BD148/AT148 -1</f>
        <v>0.10138248847926268</v>
      </c>
      <c r="BE149" s="70">
        <f>BE148/AZ148 -1</f>
        <v>-6.433408577878108E-2</v>
      </c>
      <c r="BF149" s="64">
        <f t="shared" ref="BF149:BM149" si="442">BF148/BA148 -1</f>
        <v>-8.2417582417582458E-2</v>
      </c>
      <c r="BG149" s="64">
        <f t="shared" si="442"/>
        <v>4.1025641025641102E-2</v>
      </c>
      <c r="BH149" s="64">
        <f t="shared" si="442"/>
        <v>-1.4084507042253502E-2</v>
      </c>
      <c r="BI149" s="64">
        <f t="shared" si="442"/>
        <v>-8.3682008368201055E-3</v>
      </c>
      <c r="BJ149" s="70">
        <f t="shared" si="442"/>
        <v>-1.4475271411338975E-2</v>
      </c>
      <c r="BK149" s="64">
        <f t="shared" si="442"/>
        <v>0.13772455089820368</v>
      </c>
      <c r="BL149" s="64">
        <f t="shared" si="442"/>
        <v>7.3891625615763568E-2</v>
      </c>
      <c r="BM149" s="64">
        <f t="shared" si="442"/>
        <v>9.52380952380949E-3</v>
      </c>
      <c r="BN149" s="64">
        <f t="shared" ref="BN149" si="443">BN148/BI148 -1</f>
        <v>2.1097046413502074E-2</v>
      </c>
      <c r="BO149" s="70">
        <f t="shared" ref="BO149" si="444">BO148/BJ148 -1</f>
        <v>5.5079559363525155E-2</v>
      </c>
      <c r="BP149" s="70"/>
      <c r="BQ149" s="121">
        <f t="shared" ref="BQ149" si="445">BQ148/BK148 -1</f>
        <v>1.1568421052631672E-2</v>
      </c>
      <c r="BR149" s="64">
        <f t="shared" ref="BR149" si="446">BR148/BL148 -1</f>
        <v>-4.8772110091743093E-2</v>
      </c>
      <c r="BS149" s="64">
        <f t="shared" ref="BS149" si="447">BS148/BM148 -1</f>
        <v>-2.8541886792452731E-2</v>
      </c>
      <c r="BT149" s="122">
        <f>BT148/BN148 -1</f>
        <v>-5.803719008264463E-2</v>
      </c>
      <c r="BU149" s="70">
        <f>BU148/BO148 -1</f>
        <v>-3.309767981438505E-2</v>
      </c>
      <c r="BV149" s="121"/>
      <c r="BW149" s="64"/>
      <c r="BX149" s="64"/>
      <c r="BY149" s="122"/>
      <c r="BZ149" s="70">
        <f>BZ148/BU148 -1</f>
        <v>7.1064852919685784E-2</v>
      </c>
      <c r="CA149" s="121"/>
      <c r="CB149" s="64"/>
      <c r="CC149" s="64"/>
      <c r="CD149" s="122"/>
      <c r="CE149" s="70">
        <f>CE148/BZ148 -1</f>
        <v>7.0650566121535086E-2</v>
      </c>
      <c r="CF149" s="121"/>
      <c r="CG149" s="64"/>
      <c r="CH149" s="64"/>
      <c r="CI149" s="122"/>
      <c r="CJ149" s="70">
        <f>CJ148/CE148 -1</f>
        <v>7.0252260741018091E-2</v>
      </c>
      <c r="CK149" s="289"/>
      <c r="CL149" s="658"/>
      <c r="CM149" s="658"/>
      <c r="CN149" s="682"/>
      <c r="CO149" s="658"/>
      <c r="CP149" s="658"/>
      <c r="CQ149" s="658"/>
      <c r="CR149" s="658"/>
      <c r="CS149" s="658"/>
      <c r="CT149" s="289"/>
    </row>
    <row r="150" spans="1:107" s="299" customFormat="1">
      <c r="A150" s="27" t="s">
        <v>152</v>
      </c>
      <c r="B150" s="76">
        <f t="shared" ref="B150:AG150" si="448">B34-B148</f>
        <v>2399</v>
      </c>
      <c r="C150" s="76">
        <f t="shared" si="448"/>
        <v>2815</v>
      </c>
      <c r="D150" s="76">
        <f t="shared" si="448"/>
        <v>3185</v>
      </c>
      <c r="E150" s="76">
        <f t="shared" si="448"/>
        <v>3500</v>
      </c>
      <c r="F150" s="76">
        <f t="shared" si="448"/>
        <v>3569</v>
      </c>
      <c r="G150" s="76">
        <f t="shared" si="448"/>
        <v>3715</v>
      </c>
      <c r="H150" s="110">
        <f t="shared" si="448"/>
        <v>835</v>
      </c>
      <c r="I150" s="110">
        <f t="shared" si="448"/>
        <v>932</v>
      </c>
      <c r="J150" s="110">
        <f t="shared" si="448"/>
        <v>895</v>
      </c>
      <c r="K150" s="109">
        <f t="shared" si="448"/>
        <v>1066</v>
      </c>
      <c r="L150" s="76">
        <f t="shared" si="448"/>
        <v>3646</v>
      </c>
      <c r="M150" s="109">
        <f t="shared" si="448"/>
        <v>860</v>
      </c>
      <c r="N150" s="110">
        <f t="shared" si="448"/>
        <v>931</v>
      </c>
      <c r="O150" s="110">
        <f t="shared" si="448"/>
        <v>921</v>
      </c>
      <c r="P150" s="109">
        <f t="shared" si="448"/>
        <v>999</v>
      </c>
      <c r="Q150" s="111">
        <f t="shared" si="448"/>
        <v>3711</v>
      </c>
      <c r="R150" s="109">
        <f t="shared" si="448"/>
        <v>907</v>
      </c>
      <c r="S150" s="110">
        <f t="shared" si="448"/>
        <v>961</v>
      </c>
      <c r="T150" s="110">
        <f t="shared" si="448"/>
        <v>975</v>
      </c>
      <c r="U150" s="109">
        <f t="shared" si="448"/>
        <v>1092</v>
      </c>
      <c r="V150" s="76">
        <f t="shared" si="448"/>
        <v>3935</v>
      </c>
      <c r="W150" s="109">
        <f t="shared" si="448"/>
        <v>939</v>
      </c>
      <c r="X150" s="110">
        <f t="shared" si="448"/>
        <v>1028</v>
      </c>
      <c r="Y150" s="29">
        <f t="shared" si="448"/>
        <v>1050</v>
      </c>
      <c r="Z150" s="59">
        <f t="shared" si="448"/>
        <v>1137</v>
      </c>
      <c r="AA150" s="111">
        <f t="shared" si="448"/>
        <v>4154</v>
      </c>
      <c r="AB150" s="109">
        <f t="shared" si="448"/>
        <v>1109</v>
      </c>
      <c r="AC150" s="110">
        <f t="shared" si="448"/>
        <v>1168</v>
      </c>
      <c r="AD150" s="29">
        <f t="shared" si="448"/>
        <v>1134</v>
      </c>
      <c r="AE150" s="109">
        <f t="shared" si="448"/>
        <v>1127</v>
      </c>
      <c r="AF150" s="76">
        <f t="shared" si="448"/>
        <v>5867</v>
      </c>
      <c r="AG150" s="110">
        <f t="shared" si="448"/>
        <v>1393</v>
      </c>
      <c r="AH150" s="110">
        <f t="shared" ref="AH150:BJ150" si="449">AH34-AH148</f>
        <v>1463</v>
      </c>
      <c r="AI150" s="110">
        <f t="shared" si="449"/>
        <v>1442</v>
      </c>
      <c r="AJ150" s="109">
        <f t="shared" si="449"/>
        <v>1537</v>
      </c>
      <c r="AK150" s="76">
        <f t="shared" si="449"/>
        <v>5835</v>
      </c>
      <c r="AL150" s="29">
        <f t="shared" si="449"/>
        <v>1355</v>
      </c>
      <c r="AM150" s="29">
        <f t="shared" si="449"/>
        <v>1404</v>
      </c>
      <c r="AN150" s="29">
        <f t="shared" si="449"/>
        <v>1332</v>
      </c>
      <c r="AO150" s="109">
        <f t="shared" si="449"/>
        <v>1360</v>
      </c>
      <c r="AP150" s="76">
        <f t="shared" si="449"/>
        <v>5451</v>
      </c>
      <c r="AQ150" s="29">
        <f t="shared" si="449"/>
        <v>1208</v>
      </c>
      <c r="AR150" s="29">
        <f t="shared" si="449"/>
        <v>1303</v>
      </c>
      <c r="AS150" s="29">
        <f t="shared" si="449"/>
        <v>1272</v>
      </c>
      <c r="AT150" s="109">
        <f t="shared" si="449"/>
        <v>1443</v>
      </c>
      <c r="AU150" s="76">
        <f t="shared" si="449"/>
        <v>5226</v>
      </c>
      <c r="AV150" s="29"/>
      <c r="AW150" s="29"/>
      <c r="AX150" s="29"/>
      <c r="AY150" s="109"/>
      <c r="AZ150" s="76">
        <f t="shared" ref="AZ150" si="450">AZ34-AZ148</f>
        <v>5189</v>
      </c>
      <c r="BA150" s="29">
        <f t="shared" si="449"/>
        <v>1176</v>
      </c>
      <c r="BB150" s="29">
        <f t="shared" si="449"/>
        <v>1221</v>
      </c>
      <c r="BC150" s="29">
        <f t="shared" si="449"/>
        <v>1233</v>
      </c>
      <c r="BD150" s="109">
        <f t="shared" si="449"/>
        <v>1337</v>
      </c>
      <c r="BE150" s="76">
        <f t="shared" si="449"/>
        <v>4967</v>
      </c>
      <c r="BF150" s="29">
        <f t="shared" si="449"/>
        <v>1278</v>
      </c>
      <c r="BG150" s="29">
        <f t="shared" si="449"/>
        <v>1344</v>
      </c>
      <c r="BH150" s="29">
        <f t="shared" si="449"/>
        <v>1380</v>
      </c>
      <c r="BI150" s="109">
        <f t="shared" si="449"/>
        <v>1380</v>
      </c>
      <c r="BJ150" s="76">
        <f t="shared" si="449"/>
        <v>5382</v>
      </c>
      <c r="BK150" s="29">
        <f t="shared" ref="BK150:BO150" si="451">BK34-BK148</f>
        <v>1365</v>
      </c>
      <c r="BL150" s="29">
        <f t="shared" si="451"/>
        <v>1390</v>
      </c>
      <c r="BM150" s="29">
        <f t="shared" si="451"/>
        <v>1385</v>
      </c>
      <c r="BN150" s="109">
        <f t="shared" si="451"/>
        <v>1428</v>
      </c>
      <c r="BO150" s="76">
        <f t="shared" si="451"/>
        <v>5568</v>
      </c>
      <c r="BP150" s="76"/>
      <c r="BQ150" s="90">
        <f t="shared" ref="BQ150:BT150" si="452">BQ34-BQ148</f>
        <v>1409.452</v>
      </c>
      <c r="BR150" s="28">
        <f t="shared" si="452"/>
        <v>1464.9523200000001</v>
      </c>
      <c r="BS150" s="28">
        <f t="shared" si="452"/>
        <v>1454.9308800000001</v>
      </c>
      <c r="BT150" s="30">
        <f t="shared" si="452"/>
        <v>1525.5450000000001</v>
      </c>
      <c r="BU150" s="76">
        <f>BU34-BU148</f>
        <v>5854.8802000000005</v>
      </c>
      <c r="BV150" s="90"/>
      <c r="BW150" s="28"/>
      <c r="BX150" s="28"/>
      <c r="BY150" s="30"/>
      <c r="BZ150" s="76">
        <f>BZ34-BZ148</f>
        <v>6130.0672912500013</v>
      </c>
      <c r="CA150" s="90"/>
      <c r="CB150" s="28"/>
      <c r="CC150" s="28"/>
      <c r="CD150" s="30"/>
      <c r="CE150" s="76">
        <f>CE34-CE148</f>
        <v>6418.1358911250009</v>
      </c>
      <c r="CF150" s="90"/>
      <c r="CG150" s="28"/>
      <c r="CH150" s="28"/>
      <c r="CI150" s="30"/>
      <c r="CJ150" s="76">
        <f>CJ34-CJ148</f>
        <v>6719.6861827593766</v>
      </c>
      <c r="CK150" s="290"/>
      <c r="CL150" s="675"/>
      <c r="CM150" s="658"/>
      <c r="CN150" s="682"/>
      <c r="CO150" s="658"/>
      <c r="CP150" s="658"/>
      <c r="CQ150" s="658"/>
      <c r="CR150" s="658"/>
      <c r="CS150" s="658"/>
      <c r="CT150" s="290"/>
      <c r="CX150"/>
      <c r="CY150"/>
      <c r="CZ150"/>
      <c r="DA150"/>
      <c r="DB150"/>
      <c r="DC150"/>
    </row>
    <row r="151" spans="1:107">
      <c r="A151" s="62" t="s">
        <v>137</v>
      </c>
      <c r="B151" s="70"/>
      <c r="C151" s="70">
        <f>C150/B150-1</f>
        <v>0.17340558566069197</v>
      </c>
      <c r="D151" s="70">
        <f>D150/C150-1</f>
        <v>0.13143872113676736</v>
      </c>
      <c r="E151" s="70">
        <f>E150/D150-1</f>
        <v>9.8901098901098994E-2</v>
      </c>
      <c r="F151" s="70">
        <f>F150/E150-1</f>
        <v>1.9714285714285795E-2</v>
      </c>
      <c r="G151" s="70">
        <f>G150/F150-1</f>
        <v>4.0907817315774642E-2</v>
      </c>
      <c r="H151" s="118"/>
      <c r="I151" s="64"/>
      <c r="J151" s="64"/>
      <c r="K151" s="64"/>
      <c r="L151" s="70">
        <f t="shared" ref="L151:AF151" si="453">L150/G150-1</f>
        <v>-1.857335127860027E-2</v>
      </c>
      <c r="M151" s="64">
        <f t="shared" si="453"/>
        <v>2.9940119760478945E-2</v>
      </c>
      <c r="N151" s="64">
        <f t="shared" si="453"/>
        <v>-1.0729613733905241E-3</v>
      </c>
      <c r="O151" s="64">
        <f t="shared" si="453"/>
        <v>2.9050279329609019E-2</v>
      </c>
      <c r="P151" s="64">
        <f t="shared" si="453"/>
        <v>-6.2851782363977482E-2</v>
      </c>
      <c r="Q151" s="70">
        <f t="shared" si="453"/>
        <v>1.7827756445419674E-2</v>
      </c>
      <c r="R151" s="64">
        <f t="shared" si="453"/>
        <v>5.4651162790697594E-2</v>
      </c>
      <c r="S151" s="64">
        <f t="shared" si="453"/>
        <v>3.2223415682062218E-2</v>
      </c>
      <c r="T151" s="64">
        <f t="shared" si="453"/>
        <v>5.8631921824104261E-2</v>
      </c>
      <c r="U151" s="64">
        <f t="shared" si="453"/>
        <v>9.3093093093093104E-2</v>
      </c>
      <c r="V151" s="70">
        <f t="shared" si="453"/>
        <v>6.0361088655348949E-2</v>
      </c>
      <c r="W151" s="64">
        <f t="shared" si="453"/>
        <v>3.5281146637265781E-2</v>
      </c>
      <c r="X151" s="64">
        <f t="shared" si="453"/>
        <v>6.9719042663891839E-2</v>
      </c>
      <c r="Y151" s="64">
        <f t="shared" si="453"/>
        <v>7.6923076923076872E-2</v>
      </c>
      <c r="Z151" s="64">
        <f t="shared" si="453"/>
        <v>4.1208791208791284E-2</v>
      </c>
      <c r="AA151" s="70">
        <f t="shared" si="453"/>
        <v>5.5654383735705304E-2</v>
      </c>
      <c r="AB151" s="64">
        <f t="shared" si="453"/>
        <v>0.18104366347177847</v>
      </c>
      <c r="AC151" s="64">
        <f t="shared" si="453"/>
        <v>0.13618677042801552</v>
      </c>
      <c r="AD151" s="64">
        <f t="shared" si="453"/>
        <v>8.0000000000000071E-2</v>
      </c>
      <c r="AE151" s="64">
        <f t="shared" si="453"/>
        <v>-8.7950747581354571E-3</v>
      </c>
      <c r="AF151" s="70">
        <f t="shared" si="453"/>
        <v>0.41237361579200771</v>
      </c>
      <c r="AG151" s="64">
        <f t="shared" ref="AG151:AS151" si="454">AG150/AB150 -1</f>
        <v>0.25608656447249767</v>
      </c>
      <c r="AH151" s="64">
        <f t="shared" si="454"/>
        <v>0.25256849315068486</v>
      </c>
      <c r="AI151" s="64">
        <f t="shared" si="454"/>
        <v>0.27160493827160503</v>
      </c>
      <c r="AJ151" s="64">
        <f t="shared" si="454"/>
        <v>0.36379769299023956</v>
      </c>
      <c r="AK151" s="70">
        <f t="shared" si="454"/>
        <v>-5.4542355547980703E-3</v>
      </c>
      <c r="AL151" s="64">
        <f t="shared" si="454"/>
        <v>-2.7279253409906667E-2</v>
      </c>
      <c r="AM151" s="64">
        <f t="shared" si="454"/>
        <v>-4.032809295967188E-2</v>
      </c>
      <c r="AN151" s="64">
        <f t="shared" si="454"/>
        <v>-7.628294036061023E-2</v>
      </c>
      <c r="AO151" s="64">
        <f t="shared" si="454"/>
        <v>-0.11515940143135983</v>
      </c>
      <c r="AP151" s="70">
        <f t="shared" si="454"/>
        <v>-6.5809768637532184E-2</v>
      </c>
      <c r="AQ151" s="64">
        <f t="shared" si="454"/>
        <v>-0.10848708487084868</v>
      </c>
      <c r="AR151" s="64">
        <f t="shared" si="454"/>
        <v>-7.1937321937321941E-2</v>
      </c>
      <c r="AS151" s="64">
        <f t="shared" si="454"/>
        <v>-4.5045045045045029E-2</v>
      </c>
      <c r="AT151" s="64">
        <f t="shared" ref="AT151:AU151" si="455">AT150/AO150 -1</f>
        <v>6.1029411764705888E-2</v>
      </c>
      <c r="AU151" s="70">
        <f t="shared" si="455"/>
        <v>-4.1276829939460691E-2</v>
      </c>
      <c r="AV151" s="64"/>
      <c r="AW151" s="64"/>
      <c r="AX151" s="64"/>
      <c r="AY151" s="64"/>
      <c r="AZ151" s="70">
        <f t="shared" ref="AZ151" si="456">AZ150/AU150 -1</f>
        <v>-7.0799846919249454E-3</v>
      </c>
      <c r="BA151" s="64">
        <f>BA150/AQ150 -1</f>
        <v>-2.6490066225165587E-2</v>
      </c>
      <c r="BB151" s="64">
        <f>BB150/AR150 -1</f>
        <v>-6.2931696085955502E-2</v>
      </c>
      <c r="BC151" s="64">
        <f>BC150/AS150 -1</f>
        <v>-3.0660377358490587E-2</v>
      </c>
      <c r="BD151" s="64">
        <f>BD150/AT150 -1</f>
        <v>-7.3458073458073425E-2</v>
      </c>
      <c r="BE151" s="70">
        <f>BE150/AZ150 -1</f>
        <v>-4.2782809789940313E-2</v>
      </c>
      <c r="BF151" s="64">
        <f t="shared" ref="BF151:BM151" si="457">BF150/BA150 -1</f>
        <v>8.6734693877551061E-2</v>
      </c>
      <c r="BG151" s="64">
        <f t="shared" si="457"/>
        <v>0.10073710073710074</v>
      </c>
      <c r="BH151" s="64">
        <f t="shared" si="457"/>
        <v>0.11922141119221408</v>
      </c>
      <c r="BI151" s="64">
        <f t="shared" si="457"/>
        <v>3.2161555721765156E-2</v>
      </c>
      <c r="BJ151" s="70">
        <f t="shared" si="457"/>
        <v>8.355143950070465E-2</v>
      </c>
      <c r="BK151" s="64">
        <f t="shared" si="457"/>
        <v>6.8075117370892002E-2</v>
      </c>
      <c r="BL151" s="64">
        <f t="shared" si="457"/>
        <v>3.4226190476190466E-2</v>
      </c>
      <c r="BM151" s="64">
        <f t="shared" si="457"/>
        <v>3.6231884057971175E-3</v>
      </c>
      <c r="BN151" s="64">
        <f t="shared" ref="BN151" si="458">BN150/BI150 -1</f>
        <v>3.4782608695652195E-2</v>
      </c>
      <c r="BO151" s="70">
        <f t="shared" ref="BO151" si="459">BO150/BJ150 -1</f>
        <v>3.455964325529548E-2</v>
      </c>
      <c r="BP151" s="70"/>
      <c r="BQ151" s="121">
        <f t="shared" ref="BQ151" si="460">BQ150/BK150 -1</f>
        <v>3.2565567765567849E-2</v>
      </c>
      <c r="BR151" s="64">
        <f t="shared" ref="BR151" si="461">BR150/BL150 -1</f>
        <v>5.3922532374100829E-2</v>
      </c>
      <c r="BS151" s="64">
        <f t="shared" ref="BS151" si="462">BS150/BM150 -1</f>
        <v>5.0491610108303275E-2</v>
      </c>
      <c r="BT151" s="122">
        <f>BT150/BN150 -1</f>
        <v>6.8308823529411811E-2</v>
      </c>
      <c r="BU151" s="70">
        <f>BU150/BO150 -1</f>
        <v>5.1523024425287556E-2</v>
      </c>
      <c r="BV151" s="121"/>
      <c r="BW151" s="64"/>
      <c r="BX151" s="64"/>
      <c r="BY151" s="122"/>
      <c r="BZ151" s="70">
        <f>BZ150/BU150 -1</f>
        <v>4.7001318874124953E-2</v>
      </c>
      <c r="CA151" s="121"/>
      <c r="CB151" s="64"/>
      <c r="CC151" s="64"/>
      <c r="CD151" s="122"/>
      <c r="CE151" s="70">
        <f>CE150/BZ150 -1</f>
        <v>4.6992730452761311E-2</v>
      </c>
      <c r="CF151" s="121"/>
      <c r="CG151" s="64"/>
      <c r="CH151" s="64"/>
      <c r="CI151" s="122"/>
      <c r="CJ151" s="70">
        <f>CJ150/CE150 -1</f>
        <v>4.6984092694478452E-2</v>
      </c>
      <c r="CK151" s="289"/>
      <c r="CL151" s="680"/>
      <c r="CM151" s="658"/>
      <c r="CN151" s="682"/>
      <c r="CO151" s="658"/>
      <c r="CP151" s="658"/>
      <c r="CQ151" s="658"/>
      <c r="CR151" s="658"/>
      <c r="CS151" s="658"/>
      <c r="CT151" s="289"/>
    </row>
    <row r="152" spans="1:107" s="612" customFormat="1" hidden="1">
      <c r="A152" s="627" t="s">
        <v>238</v>
      </c>
      <c r="B152" s="636"/>
      <c r="C152" s="628"/>
      <c r="D152" s="632"/>
      <c r="E152" s="628"/>
      <c r="F152" s="628"/>
      <c r="G152" s="628"/>
      <c r="H152" s="629"/>
      <c r="I152" s="629"/>
      <c r="J152" s="629"/>
      <c r="K152" s="629"/>
      <c r="L152" s="628"/>
      <c r="M152" s="629"/>
      <c r="N152" s="629"/>
      <c r="O152" s="629"/>
      <c r="P152" s="629"/>
      <c r="Q152" s="628"/>
      <c r="R152" s="629"/>
      <c r="S152" s="629"/>
      <c r="T152" s="629"/>
      <c r="U152" s="629"/>
      <c r="V152" s="628"/>
      <c r="W152" s="630"/>
      <c r="X152" s="629"/>
      <c r="Y152" s="630"/>
      <c r="Z152" s="630"/>
      <c r="AA152" s="631"/>
      <c r="AB152" s="630"/>
      <c r="AC152" s="629"/>
      <c r="AD152" s="629"/>
      <c r="AE152" s="629"/>
      <c r="AF152" s="631"/>
      <c r="AG152" s="630"/>
      <c r="AH152" s="629"/>
      <c r="AI152" s="629"/>
      <c r="AJ152" s="629"/>
      <c r="AK152" s="628">
        <f t="shared" ref="AK152:BE152" si="463">AK154/AK34</f>
        <v>0.13322585373003079</v>
      </c>
      <c r="AL152" s="629">
        <f t="shared" si="463"/>
        <v>0.14538558786346398</v>
      </c>
      <c r="AM152" s="629">
        <f t="shared" si="463"/>
        <v>0.1419753086419753</v>
      </c>
      <c r="AN152" s="629">
        <f t="shared" si="463"/>
        <v>0.14395886889460155</v>
      </c>
      <c r="AO152" s="629">
        <f t="shared" si="463"/>
        <v>0.17482951022938623</v>
      </c>
      <c r="AP152" s="628">
        <f t="shared" si="463"/>
        <v>0.15162454873646208</v>
      </c>
      <c r="AQ152" s="629">
        <f t="shared" si="463"/>
        <v>0.13876967095851217</v>
      </c>
      <c r="AR152" s="629">
        <f t="shared" si="463"/>
        <v>0.1388704318936877</v>
      </c>
      <c r="AS152" s="629">
        <f t="shared" si="463"/>
        <v>0.13982770046388338</v>
      </c>
      <c r="AT152" s="629">
        <f t="shared" si="463"/>
        <v>0.14036144578313253</v>
      </c>
      <c r="AU152" s="628">
        <f t="shared" si="463"/>
        <v>0.13949275362318841</v>
      </c>
      <c r="AV152" s="629"/>
      <c r="AW152" s="629"/>
      <c r="AX152" s="629"/>
      <c r="AY152" s="629"/>
      <c r="AZ152" s="628">
        <f t="shared" ref="AZ152" si="464">AZ154/AZ34</f>
        <v>0.14600823045267489</v>
      </c>
      <c r="BA152" s="629">
        <f t="shared" si="463"/>
        <v>0.14727540500736377</v>
      </c>
      <c r="BB152" s="629">
        <f t="shared" si="463"/>
        <v>0.14830508474576271</v>
      </c>
      <c r="BC152" s="629">
        <f t="shared" si="463"/>
        <v>0.15767634854771784</v>
      </c>
      <c r="BD152" s="629">
        <f t="shared" si="463"/>
        <v>0.12182741116751269</v>
      </c>
      <c r="BE152" s="628">
        <f t="shared" si="463"/>
        <v>0.14320220841959971</v>
      </c>
      <c r="BF152" s="633"/>
      <c r="BG152" s="633"/>
      <c r="BH152" s="633"/>
      <c r="BI152" s="633"/>
      <c r="BJ152" s="628"/>
      <c r="BK152" s="633"/>
      <c r="BL152" s="633"/>
      <c r="BM152" s="633"/>
      <c r="BN152" s="633"/>
      <c r="BO152" s="628"/>
      <c r="BP152" s="628"/>
      <c r="BQ152" s="633"/>
      <c r="BR152" s="633"/>
      <c r="BS152" s="633"/>
      <c r="BT152" s="633"/>
      <c r="BU152" s="628"/>
      <c r="BV152" s="633"/>
      <c r="BW152" s="633"/>
      <c r="BX152" s="633"/>
      <c r="BY152" s="633"/>
      <c r="BZ152" s="628"/>
      <c r="CA152" s="633"/>
      <c r="CB152" s="633"/>
      <c r="CC152" s="633"/>
      <c r="CD152" s="633"/>
      <c r="CE152" s="628"/>
      <c r="CF152" s="633"/>
      <c r="CG152" s="633"/>
      <c r="CH152" s="633"/>
      <c r="CI152" s="633"/>
      <c r="CJ152" s="628"/>
      <c r="CK152" s="611"/>
      <c r="CL152" s="677"/>
      <c r="CM152" s="677"/>
      <c r="CN152" s="677"/>
      <c r="CO152" s="981"/>
      <c r="CP152" s="677"/>
      <c r="CQ152" s="677"/>
      <c r="CR152" s="677"/>
      <c r="CS152" s="677"/>
      <c r="CT152" s="430"/>
      <c r="CX152"/>
      <c r="CY152"/>
      <c r="CZ152"/>
      <c r="DA152"/>
      <c r="DB152"/>
      <c r="DC152"/>
    </row>
    <row r="153" spans="1:107" s="316" customFormat="1" hidden="1">
      <c r="A153" s="613" t="s">
        <v>140</v>
      </c>
      <c r="B153" s="637"/>
      <c r="C153" s="114"/>
      <c r="D153" s="113"/>
      <c r="E153" s="639"/>
      <c r="F153" s="113"/>
      <c r="G153" s="639"/>
      <c r="H153" s="113"/>
      <c r="I153" s="113"/>
      <c r="J153" s="113"/>
      <c r="K153" s="113"/>
      <c r="L153" s="114"/>
      <c r="M153" s="113"/>
      <c r="N153" s="113"/>
      <c r="O153" s="113"/>
      <c r="P153" s="113"/>
      <c r="Q153" s="114"/>
      <c r="R153" s="113"/>
      <c r="S153" s="113"/>
      <c r="T153" s="113"/>
      <c r="U153" s="113"/>
      <c r="V153" s="114"/>
      <c r="W153" s="113"/>
      <c r="X153" s="113"/>
      <c r="Y153" s="113"/>
      <c r="Z153" s="113"/>
      <c r="AA153" s="114"/>
      <c r="AB153" s="113"/>
      <c r="AC153" s="113"/>
      <c r="AD153" s="113"/>
      <c r="AE153" s="113"/>
      <c r="AF153" s="114"/>
      <c r="AG153" s="615"/>
      <c r="AH153" s="616"/>
      <c r="AI153" s="616"/>
      <c r="AJ153" s="615"/>
      <c r="AK153" s="617"/>
      <c r="AL153" s="615"/>
      <c r="AM153" s="615"/>
      <c r="AN153" s="615"/>
      <c r="AO153" s="615"/>
      <c r="AP153" s="617">
        <f>(AP152-AK145)*100</f>
        <v>0.68202104688378784</v>
      </c>
      <c r="AQ153" s="615">
        <f>(AQ152-AL145)*100</f>
        <v>-0.47195831502109542</v>
      </c>
      <c r="AR153" s="615">
        <f>(AR152-AM145)*100</f>
        <v>0.55370985603543643</v>
      </c>
      <c r="AS153" s="615">
        <f>(AS152-AN145)*100</f>
        <v>-0.4131168430718174</v>
      </c>
      <c r="AT153" s="615"/>
      <c r="AU153" s="617">
        <f t="shared" ref="AU153" si="465">(AU152-AP145)*100</f>
        <v>-0.49115785067754825</v>
      </c>
      <c r="AV153" s="615"/>
      <c r="AW153" s="615"/>
      <c r="AX153" s="615"/>
      <c r="AY153" s="615"/>
      <c r="AZ153" s="617">
        <f t="shared" ref="AZ153" si="466">(AZ152-AU145)*100</f>
        <v>0.66801672115681665</v>
      </c>
      <c r="BA153" s="615">
        <f>(BA152-AQ145)*100</f>
        <v>1.1366964377893112</v>
      </c>
      <c r="BB153" s="615">
        <f>(BB152-AR145)*100</f>
        <v>1.408581564277267</v>
      </c>
      <c r="BC153" s="615">
        <f>(BC152-AS145)*100</f>
        <v>6.1869447217111073E-2</v>
      </c>
      <c r="BD153" s="615">
        <f>(BD152-AT145)*100</f>
        <v>-0.88954803987523756</v>
      </c>
      <c r="BE153" s="617">
        <f>(BE152-AZ145)*100</f>
        <v>-0.26414129795772345</v>
      </c>
      <c r="BF153" s="619"/>
      <c r="BG153" s="619"/>
      <c r="BH153" s="619"/>
      <c r="BI153" s="619"/>
      <c r="BJ153" s="617"/>
      <c r="BK153" s="619"/>
      <c r="BL153" s="619"/>
      <c r="BM153" s="619"/>
      <c r="BN153" s="619"/>
      <c r="BO153" s="617"/>
      <c r="BP153" s="617"/>
      <c r="BQ153" s="619"/>
      <c r="BR153" s="619"/>
      <c r="BS153" s="619"/>
      <c r="BT153" s="619"/>
      <c r="BU153" s="617"/>
      <c r="BV153" s="619"/>
      <c r="BW153" s="619"/>
      <c r="BX153" s="619"/>
      <c r="BY153" s="619"/>
      <c r="BZ153" s="617"/>
      <c r="CA153" s="619"/>
      <c r="CB153" s="619"/>
      <c r="CC153" s="619"/>
      <c r="CD153" s="619"/>
      <c r="CE153" s="617"/>
      <c r="CF153" s="619"/>
      <c r="CG153" s="619"/>
      <c r="CH153" s="619"/>
      <c r="CI153" s="619"/>
      <c r="CJ153" s="617"/>
      <c r="CK153" s="66"/>
      <c r="CL153" s="658"/>
      <c r="CM153" s="658"/>
      <c r="CN153" s="658"/>
      <c r="CO153" s="658"/>
      <c r="CP153" s="658"/>
      <c r="CQ153" s="658"/>
      <c r="CR153" s="658"/>
      <c r="CS153" s="658"/>
      <c r="CT153" s="289"/>
      <c r="CX153"/>
      <c r="CY153"/>
      <c r="CZ153"/>
      <c r="DA153"/>
      <c r="DB153"/>
      <c r="DC153"/>
    </row>
    <row r="154" spans="1:107" s="623" customFormat="1" hidden="1">
      <c r="A154" s="621" t="s">
        <v>239</v>
      </c>
      <c r="B154" s="437"/>
      <c r="C154" s="433"/>
      <c r="D154" s="437"/>
      <c r="E154" s="433"/>
      <c r="F154" s="437"/>
      <c r="G154" s="433"/>
      <c r="H154" s="437"/>
      <c r="I154" s="437"/>
      <c r="J154" s="437"/>
      <c r="K154" s="437"/>
      <c r="L154" s="433"/>
      <c r="M154" s="437"/>
      <c r="N154" s="437"/>
      <c r="O154" s="437"/>
      <c r="P154" s="437"/>
      <c r="Q154" s="433"/>
      <c r="R154" s="437"/>
      <c r="S154" s="437"/>
      <c r="T154" s="437"/>
      <c r="U154" s="437"/>
      <c r="V154" s="433"/>
      <c r="W154" s="421"/>
      <c r="X154" s="437"/>
      <c r="Y154" s="401"/>
      <c r="Z154" s="401"/>
      <c r="AA154" s="398"/>
      <c r="AB154" s="401"/>
      <c r="AC154" s="437"/>
      <c r="AD154" s="437"/>
      <c r="AE154" s="437"/>
      <c r="AF154" s="398"/>
      <c r="AG154" s="401"/>
      <c r="AH154" s="437"/>
      <c r="AI154" s="437"/>
      <c r="AJ154" s="437"/>
      <c r="AK154" s="433">
        <f t="shared" ref="AK154:AQ154" si="467">AK148-AK156</f>
        <v>909</v>
      </c>
      <c r="AL154" s="437">
        <f t="shared" si="467"/>
        <v>230</v>
      </c>
      <c r="AM154" s="437">
        <f t="shared" si="467"/>
        <v>230</v>
      </c>
      <c r="AN154" s="437">
        <f t="shared" si="467"/>
        <v>224</v>
      </c>
      <c r="AO154" s="437">
        <f>AO148-AO156</f>
        <v>282</v>
      </c>
      <c r="AP154" s="433">
        <f t="shared" si="467"/>
        <v>966</v>
      </c>
      <c r="AQ154" s="437">
        <f t="shared" si="467"/>
        <v>194</v>
      </c>
      <c r="AR154" s="437">
        <f t="shared" ref="AR154:BB154" si="468">AR148-AR156</f>
        <v>209</v>
      </c>
      <c r="AS154" s="437">
        <f t="shared" si="468"/>
        <v>211</v>
      </c>
      <c r="AT154" s="437">
        <f t="shared" si="468"/>
        <v>233</v>
      </c>
      <c r="AU154" s="433">
        <f t="shared" si="468"/>
        <v>847</v>
      </c>
      <c r="AV154" s="437"/>
      <c r="AW154" s="437"/>
      <c r="AX154" s="437"/>
      <c r="AY154" s="437"/>
      <c r="AZ154" s="433">
        <f t="shared" ref="AZ154" si="469">AZ148-AZ156</f>
        <v>887</v>
      </c>
      <c r="BA154" s="437">
        <f t="shared" si="468"/>
        <v>200</v>
      </c>
      <c r="BB154" s="437">
        <f t="shared" si="468"/>
        <v>210</v>
      </c>
      <c r="BC154" s="437">
        <f>BC148-BC156</f>
        <v>228</v>
      </c>
      <c r="BD154" s="437">
        <f>BD148-BD156</f>
        <v>192</v>
      </c>
      <c r="BE154" s="433">
        <f>BE148-BE156</f>
        <v>830</v>
      </c>
      <c r="BF154" s="403"/>
      <c r="BG154" s="403"/>
      <c r="BH154" s="403"/>
      <c r="BI154" s="403"/>
      <c r="BJ154" s="433"/>
      <c r="BK154" s="403"/>
      <c r="BL154" s="403"/>
      <c r="BM154" s="403"/>
      <c r="BN154" s="403"/>
      <c r="BO154" s="433"/>
      <c r="BP154" s="433"/>
      <c r="BQ154" s="403"/>
      <c r="BR154" s="403"/>
      <c r="BS154" s="403"/>
      <c r="BT154" s="403"/>
      <c r="BU154" s="433"/>
      <c r="BV154" s="403"/>
      <c r="BW154" s="403"/>
      <c r="BX154" s="403"/>
      <c r="BY154" s="403"/>
      <c r="BZ154" s="433"/>
      <c r="CA154" s="403"/>
      <c r="CB154" s="403"/>
      <c r="CC154" s="403"/>
      <c r="CD154" s="403"/>
      <c r="CE154" s="433"/>
      <c r="CF154" s="403"/>
      <c r="CG154" s="403"/>
      <c r="CH154" s="403"/>
      <c r="CI154" s="403"/>
      <c r="CJ154" s="433"/>
      <c r="CK154" s="438"/>
      <c r="CL154" s="678"/>
      <c r="CM154" s="678"/>
      <c r="CN154" s="678"/>
      <c r="CO154" s="982"/>
      <c r="CP154" s="678"/>
      <c r="CQ154" s="678"/>
      <c r="CR154" s="678"/>
      <c r="CS154" s="678"/>
      <c r="CT154" s="400"/>
      <c r="CX154"/>
      <c r="CY154"/>
      <c r="CZ154"/>
      <c r="DA154"/>
      <c r="DB154"/>
      <c r="DC154"/>
    </row>
    <row r="155" spans="1:107" s="316" customFormat="1" hidden="1">
      <c r="A155" s="624" t="s">
        <v>137</v>
      </c>
      <c r="B155" s="439"/>
      <c r="C155" s="378"/>
      <c r="D155" s="382"/>
      <c r="E155" s="378"/>
      <c r="F155" s="382"/>
      <c r="G155" s="378"/>
      <c r="H155" s="382"/>
      <c r="I155" s="382"/>
      <c r="J155" s="382"/>
      <c r="K155" s="382"/>
      <c r="L155" s="378"/>
      <c r="M155" s="382"/>
      <c r="N155" s="382"/>
      <c r="O155" s="382"/>
      <c r="P155" s="382"/>
      <c r="Q155" s="378"/>
      <c r="R155" s="382"/>
      <c r="S155" s="382"/>
      <c r="T155" s="382"/>
      <c r="U155" s="382"/>
      <c r="V155" s="378"/>
      <c r="W155" s="64"/>
      <c r="X155" s="382"/>
      <c r="Y155" s="64"/>
      <c r="Z155" s="64"/>
      <c r="AA155" s="70"/>
      <c r="AB155" s="64"/>
      <c r="AC155" s="382"/>
      <c r="AD155" s="382"/>
      <c r="AE155" s="382"/>
      <c r="AF155" s="70"/>
      <c r="AG155" s="64"/>
      <c r="AH155" s="382"/>
      <c r="AI155" s="382"/>
      <c r="AJ155" s="382"/>
      <c r="AK155" s="378"/>
      <c r="AL155" s="382"/>
      <c r="AM155" s="382"/>
      <c r="AN155" s="382"/>
      <c r="AO155" s="382"/>
      <c r="AP155" s="378">
        <f>AP154/AK154-1</f>
        <v>6.2706270627062688E-2</v>
      </c>
      <c r="AQ155" s="382">
        <f>AQ154/AL154-1</f>
        <v>-0.15652173913043477</v>
      </c>
      <c r="AR155" s="382">
        <f>AR154/AM154-1</f>
        <v>-9.1304347826086985E-2</v>
      </c>
      <c r="AS155" s="382">
        <f>AS154/AN154-1</f>
        <v>-5.8035714285714302E-2</v>
      </c>
      <c r="AT155" s="382"/>
      <c r="AU155" s="378">
        <f t="shared" ref="AU155" si="470">AU154/AP154-1</f>
        <v>-0.12318840579710144</v>
      </c>
      <c r="AV155" s="382"/>
      <c r="AW155" s="382"/>
      <c r="AX155" s="382"/>
      <c r="AY155" s="382"/>
      <c r="AZ155" s="378">
        <f t="shared" ref="AZ155" si="471">AZ154/AU154-1</f>
        <v>4.7225501770956413E-2</v>
      </c>
      <c r="BA155" s="382">
        <f>BA154/AQ154-1</f>
        <v>3.0927835051546282E-2</v>
      </c>
      <c r="BB155" s="382">
        <f>BB154/AR154-1</f>
        <v>4.7846889952152249E-3</v>
      </c>
      <c r="BC155" s="382">
        <f>BC154/AS154-1</f>
        <v>8.0568720379146974E-2</v>
      </c>
      <c r="BD155" s="382">
        <f>BD154/AT154-1</f>
        <v>-0.17596566523605151</v>
      </c>
      <c r="BE155" s="378">
        <f>BE154/AZ154-1</f>
        <v>-6.4261555806087944E-2</v>
      </c>
      <c r="BF155" s="238"/>
      <c r="BG155" s="238"/>
      <c r="BH155" s="238"/>
      <c r="BI155" s="238"/>
      <c r="BJ155" s="378"/>
      <c r="BK155" s="238"/>
      <c r="BL155" s="238"/>
      <c r="BM155" s="238"/>
      <c r="BN155" s="238"/>
      <c r="BO155" s="378"/>
      <c r="BP155" s="378"/>
      <c r="BQ155" s="238"/>
      <c r="BR155" s="238"/>
      <c r="BS155" s="238"/>
      <c r="BT155" s="238"/>
      <c r="BU155" s="378"/>
      <c r="BV155" s="238"/>
      <c r="BW155" s="238"/>
      <c r="BX155" s="238"/>
      <c r="BY155" s="238"/>
      <c r="BZ155" s="378"/>
      <c r="CA155" s="238"/>
      <c r="CB155" s="238"/>
      <c r="CC155" s="238"/>
      <c r="CD155" s="238"/>
      <c r="CE155" s="378"/>
      <c r="CF155" s="238"/>
      <c r="CG155" s="238"/>
      <c r="CH155" s="238"/>
      <c r="CI155" s="238"/>
      <c r="CJ155" s="378"/>
      <c r="CK155" s="66"/>
      <c r="CL155" s="983"/>
      <c r="CM155" s="658"/>
      <c r="CN155" s="658"/>
      <c r="CO155" s="658"/>
      <c r="CP155" s="658"/>
      <c r="CQ155" s="658"/>
      <c r="CR155" s="658"/>
      <c r="CS155" s="658"/>
      <c r="CT155" s="289"/>
      <c r="CX155"/>
      <c r="CY155"/>
      <c r="CZ155"/>
      <c r="DA155"/>
      <c r="DB155"/>
      <c r="DC155"/>
    </row>
    <row r="156" spans="1:107" s="623" customFormat="1" hidden="1">
      <c r="A156" s="625" t="s">
        <v>234</v>
      </c>
      <c r="B156" s="635"/>
      <c r="C156" s="433"/>
      <c r="D156" s="437"/>
      <c r="E156" s="433"/>
      <c r="F156" s="622"/>
      <c r="G156" s="433"/>
      <c r="H156" s="437"/>
      <c r="I156" s="437"/>
      <c r="J156" s="437"/>
      <c r="K156" s="437"/>
      <c r="L156" s="433"/>
      <c r="M156" s="437"/>
      <c r="N156" s="437"/>
      <c r="O156" s="437"/>
      <c r="P156" s="437"/>
      <c r="Q156" s="433"/>
      <c r="R156" s="437"/>
      <c r="S156" s="437"/>
      <c r="T156" s="437"/>
      <c r="U156" s="437"/>
      <c r="V156" s="433"/>
      <c r="W156" s="401"/>
      <c r="X156" s="437"/>
      <c r="Y156" s="401"/>
      <c r="Z156" s="401"/>
      <c r="AA156" s="398"/>
      <c r="AB156" s="401"/>
      <c r="AC156" s="437"/>
      <c r="AD156" s="437"/>
      <c r="AE156" s="437"/>
      <c r="AF156" s="398"/>
      <c r="AG156" s="401"/>
      <c r="AH156" s="437"/>
      <c r="AI156" s="437"/>
      <c r="AJ156" s="437"/>
      <c r="AK156" s="433">
        <v>79</v>
      </c>
      <c r="AL156" s="437">
        <v>-3</v>
      </c>
      <c r="AM156" s="437">
        <v>-14</v>
      </c>
      <c r="AN156" s="437">
        <v>0</v>
      </c>
      <c r="AO156" s="437">
        <f>AP156-SUM(AL156:AN156)</f>
        <v>-29</v>
      </c>
      <c r="AP156" s="433">
        <v>-46</v>
      </c>
      <c r="AQ156" s="437">
        <v>-4</v>
      </c>
      <c r="AR156" s="672">
        <v>-7</v>
      </c>
      <c r="AS156" s="704">
        <v>26</v>
      </c>
      <c r="AT156" s="437">
        <f>AU156-SUM(AQ156:AS156)</f>
        <v>-16</v>
      </c>
      <c r="AU156" s="717">
        <v>-1</v>
      </c>
      <c r="AV156" s="437"/>
      <c r="AW156" s="672"/>
      <c r="AX156" s="704"/>
      <c r="AY156" s="437"/>
      <c r="AZ156" s="717">
        <v>-1</v>
      </c>
      <c r="BA156" s="672">
        <v>-18</v>
      </c>
      <c r="BB156" s="672">
        <v>-15</v>
      </c>
      <c r="BC156" s="754">
        <v>-15</v>
      </c>
      <c r="BD156" s="437">
        <f>BE156-SUM(BA156:BC156)</f>
        <v>47</v>
      </c>
      <c r="BE156" s="755">
        <v>-1</v>
      </c>
      <c r="BF156" s="403"/>
      <c r="BG156" s="403"/>
      <c r="BH156" s="403"/>
      <c r="BI156" s="403"/>
      <c r="BJ156" s="433"/>
      <c r="BK156" s="403"/>
      <c r="BL156" s="403"/>
      <c r="BM156" s="403"/>
      <c r="BN156" s="403"/>
      <c r="BO156" s="433"/>
      <c r="BP156" s="433"/>
      <c r="BQ156" s="403"/>
      <c r="BR156" s="403"/>
      <c r="BS156" s="403"/>
      <c r="BT156" s="404"/>
      <c r="BU156" s="433"/>
      <c r="BV156" s="403"/>
      <c r="BW156" s="403"/>
      <c r="BX156" s="403"/>
      <c r="BY156" s="404"/>
      <c r="BZ156" s="433"/>
      <c r="CA156" s="403"/>
      <c r="CB156" s="403"/>
      <c r="CC156" s="403"/>
      <c r="CD156" s="404"/>
      <c r="CE156" s="433"/>
      <c r="CF156" s="403"/>
      <c r="CG156" s="403"/>
      <c r="CH156" s="403"/>
      <c r="CI156" s="404"/>
      <c r="CJ156" s="433"/>
      <c r="CK156" s="438"/>
      <c r="CL156" s="678"/>
      <c r="CM156" s="678"/>
      <c r="CN156" s="678"/>
      <c r="CO156" s="982"/>
      <c r="CP156" s="678"/>
      <c r="CQ156" s="678"/>
      <c r="CR156" s="678"/>
      <c r="CS156" s="678"/>
      <c r="CT156" s="400"/>
      <c r="CX156"/>
      <c r="CY156"/>
      <c r="CZ156"/>
      <c r="DA156"/>
      <c r="DB156"/>
      <c r="DC156"/>
    </row>
    <row r="157" spans="1:107" s="612" customFormat="1" hidden="1">
      <c r="A157" s="626" t="s">
        <v>235</v>
      </c>
      <c r="B157" s="638"/>
      <c r="C157" s="425"/>
      <c r="D157" s="610"/>
      <c r="E157" s="425"/>
      <c r="F157" s="425"/>
      <c r="G157" s="425"/>
      <c r="H157" s="609"/>
      <c r="I157" s="609"/>
      <c r="J157" s="609"/>
      <c r="K157" s="609"/>
      <c r="L157" s="425"/>
      <c r="M157" s="609"/>
      <c r="N157" s="609"/>
      <c r="O157" s="609"/>
      <c r="P157" s="609"/>
      <c r="Q157" s="425"/>
      <c r="R157" s="609"/>
      <c r="S157" s="609"/>
      <c r="T157" s="609"/>
      <c r="U157" s="609"/>
      <c r="V157" s="425"/>
      <c r="W157" s="431"/>
      <c r="X157" s="609"/>
      <c r="Y157" s="431"/>
      <c r="Z157" s="431"/>
      <c r="AA157" s="474"/>
      <c r="AB157" s="431"/>
      <c r="AC157" s="609"/>
      <c r="AD157" s="609"/>
      <c r="AE157" s="609"/>
      <c r="AF157" s="474"/>
      <c r="AG157" s="431"/>
      <c r="AH157" s="609"/>
      <c r="AI157" s="609"/>
      <c r="AJ157" s="609"/>
      <c r="AK157" s="425">
        <f t="shared" ref="AK157:AR157" si="472">AK156/AK137</f>
        <v>1.3672551055728626E-2</v>
      </c>
      <c r="AL157" s="609">
        <f t="shared" si="472"/>
        <v>-2.1097046413502108E-3</v>
      </c>
      <c r="AM157" s="609">
        <f t="shared" si="472"/>
        <v>-9.4786729857819912E-3</v>
      </c>
      <c r="AN157" s="609">
        <f t="shared" si="472"/>
        <v>0</v>
      </c>
      <c r="AO157" s="609">
        <f t="shared" si="472"/>
        <v>-2.0180932498260265E-2</v>
      </c>
      <c r="AP157" s="425">
        <f t="shared" si="472"/>
        <v>-7.9736522794245108E-3</v>
      </c>
      <c r="AQ157" s="609">
        <f t="shared" si="472"/>
        <v>-2.9282576866764276E-3</v>
      </c>
      <c r="AR157" s="609">
        <f t="shared" si="472"/>
        <v>-5.1890289103039286E-3</v>
      </c>
      <c r="AS157" s="609">
        <f t="shared" ref="AS157:BC157" si="473">AS156/AS137</f>
        <v>2.0202020202020204E-2</v>
      </c>
      <c r="AT157" s="609">
        <f t="shared" si="473"/>
        <v>-1.0617120106171201E-2</v>
      </c>
      <c r="AU157" s="425">
        <f t="shared" si="473"/>
        <v>-1.8152114721365039E-4</v>
      </c>
      <c r="AV157" s="609"/>
      <c r="AW157" s="609"/>
      <c r="AX157" s="609"/>
      <c r="AY157" s="609"/>
      <c r="AZ157" s="425">
        <f t="shared" ref="AZ157" si="474">AZ156/AZ137</f>
        <v>-1.8155410312273057E-4</v>
      </c>
      <c r="BA157" s="609">
        <f t="shared" si="473"/>
        <v>-1.4218009478672985E-2</v>
      </c>
      <c r="BB157" s="609">
        <f t="shared" si="473"/>
        <v>-1.090909090909091E-2</v>
      </c>
      <c r="BC157" s="609">
        <f t="shared" si="473"/>
        <v>-1.0518934081346423E-2</v>
      </c>
      <c r="BD157" s="609">
        <f>BD156/BD137</f>
        <v>2.8994447871684145E-2</v>
      </c>
      <c r="BE157" s="425">
        <f>BE156/BE137</f>
        <v>-1.7580872011251758E-4</v>
      </c>
      <c r="BF157" s="479"/>
      <c r="BG157" s="479"/>
      <c r="BH157" s="479"/>
      <c r="BI157" s="481"/>
      <c r="BJ157" s="425"/>
      <c r="BK157" s="479"/>
      <c r="BL157" s="479"/>
      <c r="BM157" s="479"/>
      <c r="BN157" s="481"/>
      <c r="BO157" s="425"/>
      <c r="BP157" s="425"/>
      <c r="BQ157" s="479"/>
      <c r="BR157" s="479"/>
      <c r="BS157" s="479"/>
      <c r="BT157" s="481"/>
      <c r="BU157" s="425"/>
      <c r="BV157" s="479"/>
      <c r="BW157" s="479"/>
      <c r="BX157" s="479"/>
      <c r="BY157" s="481"/>
      <c r="BZ157" s="425"/>
      <c r="CA157" s="479"/>
      <c r="CB157" s="479"/>
      <c r="CC157" s="479"/>
      <c r="CD157" s="481"/>
      <c r="CE157" s="425"/>
      <c r="CF157" s="479"/>
      <c r="CG157" s="479"/>
      <c r="CH157" s="479"/>
      <c r="CI157" s="481"/>
      <c r="CJ157" s="425"/>
      <c r="CK157" s="611"/>
      <c r="CL157" s="677"/>
      <c r="CM157" s="677"/>
      <c r="CN157" s="677"/>
      <c r="CO157" s="981"/>
      <c r="CP157" s="677"/>
      <c r="CQ157" s="677"/>
      <c r="CR157" s="677"/>
      <c r="CS157" s="677"/>
      <c r="CT157" s="430"/>
      <c r="CX157"/>
      <c r="CY157"/>
      <c r="CZ157"/>
      <c r="DA157"/>
      <c r="DB157"/>
      <c r="DC157"/>
    </row>
    <row r="158" spans="1:107" s="299" customFormat="1" ht="11.25" hidden="1" customHeight="1" outlineLevel="1">
      <c r="A158" s="63" t="s">
        <v>154</v>
      </c>
      <c r="B158" s="101">
        <f t="shared" ref="B158:AL158" si="475">B161/B44</f>
        <v>8.5863874345549734E-2</v>
      </c>
      <c r="C158" s="101">
        <f t="shared" si="475"/>
        <v>8.9938531219670007E-2</v>
      </c>
      <c r="D158" s="101">
        <f t="shared" si="475"/>
        <v>6.7639729441082239E-3</v>
      </c>
      <c r="E158" s="101">
        <f t="shared" si="475"/>
        <v>8.8196721311475407E-2</v>
      </c>
      <c r="F158" s="101">
        <f t="shared" si="475"/>
        <v>0.10390015600624025</v>
      </c>
      <c r="G158" s="101">
        <f t="shared" si="475"/>
        <v>0.10643077787138444</v>
      </c>
      <c r="H158" s="102">
        <f t="shared" si="475"/>
        <v>0.12594187298170076</v>
      </c>
      <c r="I158" s="102">
        <f t="shared" si="475"/>
        <v>0.13212927756653992</v>
      </c>
      <c r="J158" s="102">
        <f t="shared" si="475"/>
        <v>0.11872586872586872</v>
      </c>
      <c r="K158" s="102">
        <f t="shared" si="475"/>
        <v>0.11072362685265912</v>
      </c>
      <c r="L158" s="101">
        <f t="shared" si="475"/>
        <v>0.12776176753121998</v>
      </c>
      <c r="M158" s="102">
        <f t="shared" si="475"/>
        <v>0.1162136832239925</v>
      </c>
      <c r="N158" s="102">
        <f t="shared" si="475"/>
        <v>0.1287297527706735</v>
      </c>
      <c r="O158" s="102">
        <f t="shared" si="475"/>
        <v>0.13275109170305677</v>
      </c>
      <c r="P158" s="102">
        <f t="shared" si="475"/>
        <v>0.13155555555555556</v>
      </c>
      <c r="Q158" s="101">
        <f t="shared" si="475"/>
        <v>0.12749445676274945</v>
      </c>
      <c r="R158" s="102">
        <f t="shared" si="475"/>
        <v>0.14124783362218371</v>
      </c>
      <c r="S158" s="102">
        <f t="shared" si="475"/>
        <v>0.14202172096908938</v>
      </c>
      <c r="T158" s="102">
        <f t="shared" si="475"/>
        <v>0.14191419141914191</v>
      </c>
      <c r="U158" s="102">
        <f t="shared" si="475"/>
        <v>0.13423351866560762</v>
      </c>
      <c r="V158" s="101">
        <f t="shared" si="475"/>
        <v>0.13977602654500207</v>
      </c>
      <c r="W158" s="102">
        <f t="shared" si="475"/>
        <v>0.13860544217687074</v>
      </c>
      <c r="X158" s="102">
        <f t="shared" si="475"/>
        <v>0.13609958506224065</v>
      </c>
      <c r="Y158" s="102">
        <f t="shared" si="475"/>
        <v>0.13773431132844335</v>
      </c>
      <c r="Z158" s="102">
        <f t="shared" si="475"/>
        <v>0.14961832061068703</v>
      </c>
      <c r="AA158" s="101">
        <f t="shared" si="475"/>
        <v>0.14070760471736479</v>
      </c>
      <c r="AB158" s="102">
        <f t="shared" si="475"/>
        <v>0.14272970561998216</v>
      </c>
      <c r="AC158" s="102">
        <f t="shared" si="475"/>
        <v>0.14977973568281938</v>
      </c>
      <c r="AD158" s="102">
        <f t="shared" si="475"/>
        <v>0.14673913043478262</v>
      </c>
      <c r="AE158" s="102">
        <f t="shared" si="475"/>
        <v>0.15391380826737028</v>
      </c>
      <c r="AF158" s="101">
        <f t="shared" si="475"/>
        <v>0.14832110295752723</v>
      </c>
      <c r="AG158" s="102">
        <f t="shared" si="475"/>
        <v>0.11600000000000001</v>
      </c>
      <c r="AH158" s="102">
        <f t="shared" si="475"/>
        <v>0.12785862785862787</v>
      </c>
      <c r="AI158" s="102">
        <f t="shared" si="475"/>
        <v>0.13603322949117341</v>
      </c>
      <c r="AJ158" s="102">
        <f t="shared" si="475"/>
        <v>0.11032656663724624</v>
      </c>
      <c r="AK158" s="101">
        <f t="shared" si="475"/>
        <v>0.12198127156234598</v>
      </c>
      <c r="AL158" s="102">
        <f t="shared" si="475"/>
        <v>9.5596133190118157E-2</v>
      </c>
      <c r="AM158" s="102"/>
      <c r="AN158" s="102"/>
      <c r="AO158" s="102"/>
      <c r="AP158" s="101"/>
      <c r="AQ158" s="102"/>
      <c r="AR158" s="102"/>
      <c r="AS158" s="102"/>
      <c r="AT158" s="102"/>
      <c r="AU158" s="101"/>
      <c r="AV158" s="102"/>
      <c r="AW158" s="102"/>
      <c r="AX158" s="102"/>
      <c r="AY158" s="102"/>
      <c r="AZ158" s="101"/>
      <c r="BA158" s="102"/>
      <c r="BB158" s="102"/>
      <c r="BC158" s="102"/>
      <c r="BD158" s="102"/>
      <c r="BE158" s="101"/>
      <c r="BF158" s="103"/>
      <c r="BG158" s="102"/>
      <c r="BH158" s="102"/>
      <c r="BI158" s="104"/>
      <c r="BJ158" s="101"/>
      <c r="BK158" s="103"/>
      <c r="BL158" s="102"/>
      <c r="BM158" s="102"/>
      <c r="BN158" s="104"/>
      <c r="BO158" s="101"/>
      <c r="BP158" s="101"/>
      <c r="BQ158" s="103"/>
      <c r="BR158" s="102"/>
      <c r="BS158" s="102"/>
      <c r="BT158" s="104"/>
      <c r="BU158" s="101"/>
      <c r="BV158" s="103"/>
      <c r="BW158" s="102"/>
      <c r="BX158" s="102"/>
      <c r="BY158" s="104"/>
      <c r="BZ158" s="101"/>
      <c r="CA158" s="103"/>
      <c r="CB158" s="102"/>
      <c r="CC158" s="102"/>
      <c r="CD158" s="104"/>
      <c r="CE158" s="101"/>
      <c r="CF158" s="103"/>
      <c r="CG158" s="102"/>
      <c r="CH158" s="102"/>
      <c r="CI158" s="104"/>
      <c r="CJ158" s="101"/>
      <c r="CK158" s="290"/>
      <c r="CL158" s="658"/>
      <c r="CM158" s="658"/>
      <c r="CN158" s="682"/>
      <c r="CO158" s="658"/>
      <c r="CP158" s="658"/>
      <c r="CQ158" s="658"/>
      <c r="CR158" s="658"/>
      <c r="CS158" s="658"/>
      <c r="CT158" s="290"/>
      <c r="CX158"/>
      <c r="CY158"/>
      <c r="CZ158"/>
      <c r="DA158"/>
      <c r="DB158"/>
      <c r="DC158"/>
    </row>
    <row r="159" spans="1:107" s="308" customFormat="1" ht="11.25" hidden="1" customHeight="1" outlineLevel="1">
      <c r="A159" s="112" t="s">
        <v>140</v>
      </c>
      <c r="B159" s="114"/>
      <c r="C159" s="114">
        <f>(C158-B158)*100</f>
        <v>0.40746568741202721</v>
      </c>
      <c r="D159" s="114">
        <f>(D158-C158)*100</f>
        <v>-8.3174558275561772</v>
      </c>
      <c r="E159" s="114">
        <f>(E158-D158)*100</f>
        <v>8.1432748367367171</v>
      </c>
      <c r="F159" s="114">
        <f>(F158-E158)*100</f>
        <v>1.5703434694764846</v>
      </c>
      <c r="G159" s="114">
        <f>(G158-F158)*100</f>
        <v>0.25306218651441892</v>
      </c>
      <c r="H159" s="113"/>
      <c r="I159" s="113"/>
      <c r="J159" s="113"/>
      <c r="K159" s="113"/>
      <c r="L159" s="114">
        <f t="shared" ref="L159:AL159" si="476">(L158-G158)*100</f>
        <v>2.133098965983554</v>
      </c>
      <c r="M159" s="113">
        <f t="shared" si="476"/>
        <v>-0.97281897577082554</v>
      </c>
      <c r="N159" s="113">
        <f t="shared" si="476"/>
        <v>-0.33995247958664154</v>
      </c>
      <c r="O159" s="113">
        <f t="shared" si="476"/>
        <v>1.4025222977188043</v>
      </c>
      <c r="P159" s="113">
        <f t="shared" si="476"/>
        <v>2.0831928702896447</v>
      </c>
      <c r="Q159" s="114">
        <f t="shared" si="476"/>
        <v>-2.6731076847053004E-2</v>
      </c>
      <c r="R159" s="113">
        <f t="shared" si="476"/>
        <v>2.5034150398191208</v>
      </c>
      <c r="S159" s="113">
        <f t="shared" si="476"/>
        <v>1.3291968198415882</v>
      </c>
      <c r="T159" s="113">
        <f t="shared" si="476"/>
        <v>0.91630997160851435</v>
      </c>
      <c r="U159" s="113">
        <f t="shared" si="476"/>
        <v>0.26779631100520562</v>
      </c>
      <c r="V159" s="114">
        <f t="shared" si="476"/>
        <v>1.2281569782252615</v>
      </c>
      <c r="W159" s="113">
        <f t="shared" si="476"/>
        <v>-0.26423914453129749</v>
      </c>
      <c r="X159" s="113">
        <f t="shared" si="476"/>
        <v>-0.592213590684873</v>
      </c>
      <c r="Y159" s="113">
        <f t="shared" si="476"/>
        <v>-0.41798800906985567</v>
      </c>
      <c r="Z159" s="113">
        <f t="shared" si="476"/>
        <v>1.5384801945079407</v>
      </c>
      <c r="AA159" s="114">
        <f t="shared" si="476"/>
        <v>9.3157817236272367E-2</v>
      </c>
      <c r="AB159" s="113">
        <f t="shared" si="476"/>
        <v>0.41242634431114256</v>
      </c>
      <c r="AC159" s="113">
        <f t="shared" si="476"/>
        <v>1.3680150620578728</v>
      </c>
      <c r="AD159" s="113">
        <f t="shared" si="476"/>
        <v>0.9004819106339268</v>
      </c>
      <c r="AE159" s="113">
        <f t="shared" si="476"/>
        <v>0.42954876566832501</v>
      </c>
      <c r="AF159" s="114">
        <f t="shared" si="476"/>
        <v>0.76134982401624418</v>
      </c>
      <c r="AG159" s="113">
        <f t="shared" si="476"/>
        <v>-2.6729705619982154</v>
      </c>
      <c r="AH159" s="113">
        <f t="shared" si="476"/>
        <v>-2.1921107824191517</v>
      </c>
      <c r="AI159" s="113">
        <f t="shared" si="476"/>
        <v>-1.070590094360921</v>
      </c>
      <c r="AJ159" s="113">
        <f t="shared" si="476"/>
        <v>-4.3587241630124032</v>
      </c>
      <c r="AK159" s="114">
        <f t="shared" si="476"/>
        <v>-2.6339831395181257</v>
      </c>
      <c r="AL159" s="113">
        <f t="shared" si="476"/>
        <v>-2.0403866809881848</v>
      </c>
      <c r="AM159" s="113"/>
      <c r="AN159" s="113"/>
      <c r="AO159" s="113"/>
      <c r="AP159" s="114"/>
      <c r="AQ159" s="113"/>
      <c r="AR159" s="113"/>
      <c r="AS159" s="113"/>
      <c r="AT159" s="113"/>
      <c r="AU159" s="114"/>
      <c r="AV159" s="113"/>
      <c r="AW159" s="113"/>
      <c r="AX159" s="113"/>
      <c r="AY159" s="113"/>
      <c r="AZ159" s="114"/>
      <c r="BA159" s="113"/>
      <c r="BB159" s="113"/>
      <c r="BC159" s="113"/>
      <c r="BD159" s="113"/>
      <c r="BE159" s="114"/>
      <c r="BF159" s="115"/>
      <c r="BG159" s="113"/>
      <c r="BH159" s="113"/>
      <c r="BI159" s="116"/>
      <c r="BJ159" s="114"/>
      <c r="BK159" s="115"/>
      <c r="BL159" s="113"/>
      <c r="BM159" s="113"/>
      <c r="BN159" s="116"/>
      <c r="BO159" s="114"/>
      <c r="BP159" s="114"/>
      <c r="BQ159" s="115"/>
      <c r="BR159" s="113"/>
      <c r="BS159" s="113"/>
      <c r="BT159" s="116"/>
      <c r="BU159" s="114"/>
      <c r="BV159" s="115"/>
      <c r="BW159" s="113"/>
      <c r="BX159" s="113"/>
      <c r="BY159" s="116"/>
      <c r="BZ159" s="114"/>
      <c r="CA159" s="115"/>
      <c r="CB159" s="113"/>
      <c r="CC159" s="113"/>
      <c r="CD159" s="116"/>
      <c r="CE159" s="114"/>
      <c r="CF159" s="115"/>
      <c r="CG159" s="113"/>
      <c r="CH159" s="113"/>
      <c r="CI159" s="116"/>
      <c r="CJ159" s="114"/>
      <c r="CK159" s="307"/>
      <c r="CL159" s="984"/>
      <c r="CM159" s="675"/>
      <c r="CN159" s="682"/>
      <c r="CO159" s="675"/>
      <c r="CP159" s="675"/>
      <c r="CQ159" s="675"/>
      <c r="CR159" s="675"/>
      <c r="CS159" s="675"/>
      <c r="CT159" s="307"/>
      <c r="CX159"/>
      <c r="CY159"/>
      <c r="CZ159"/>
      <c r="DA159"/>
      <c r="DB159"/>
      <c r="DC159"/>
    </row>
    <row r="160" spans="1:107" s="312" customFormat="1" ht="11.25" hidden="1" customHeight="1" outlineLevel="1">
      <c r="A160" s="108" t="s">
        <v>141</v>
      </c>
      <c r="B160" s="160"/>
      <c r="C160" s="158">
        <f>(C161-B161)/(C44-B44)</f>
        <v>0.1415929203539823</v>
      </c>
      <c r="D160" s="158">
        <f>(D161-C161)/(D44-C44)</f>
        <v>0.91843971631205679</v>
      </c>
      <c r="E160" s="158">
        <f>(E161-D161)/(E44-D44)</f>
        <v>1.0373443983402491</v>
      </c>
      <c r="F160" s="158">
        <f>(F161-E161)/(F44-E44)</f>
        <v>0.41290322580645161</v>
      </c>
      <c r="G160" s="158">
        <f>(G161-F161)/(G44-F44)</f>
        <v>0.12921348314606743</v>
      </c>
      <c r="H160" s="161"/>
      <c r="I160" s="161"/>
      <c r="J160" s="161"/>
      <c r="K160" s="161"/>
      <c r="L160" s="158">
        <f t="shared" ref="L160:AL160" si="477">(L161-G161)/(L44-G44)</f>
        <v>0.2537313432835821</v>
      </c>
      <c r="M160" s="161">
        <f t="shared" si="477"/>
        <v>5.0724637681159424E-2</v>
      </c>
      <c r="N160" s="161">
        <f t="shared" si="477"/>
        <v>9.9173553719008267E-2</v>
      </c>
      <c r="O160" s="161">
        <f t="shared" si="477"/>
        <v>0.26605504587155965</v>
      </c>
      <c r="P160" s="161">
        <f t="shared" si="477"/>
        <v>-0.95454545454545459</v>
      </c>
      <c r="Q160" s="160">
        <f t="shared" si="477"/>
        <v>0.12427745664739884</v>
      </c>
      <c r="R160" s="161">
        <f t="shared" si="477"/>
        <v>0.44827586206896552</v>
      </c>
      <c r="S160" s="161">
        <f t="shared" si="477"/>
        <v>0.79166666666666663</v>
      </c>
      <c r="T160" s="161">
        <f t="shared" si="477"/>
        <v>0.29850746268656714</v>
      </c>
      <c r="U160" s="161">
        <f t="shared" si="477"/>
        <v>0.15671641791044777</v>
      </c>
      <c r="V160" s="160">
        <f t="shared" si="477"/>
        <v>0.31730769230769229</v>
      </c>
      <c r="W160" s="161">
        <f t="shared" si="477"/>
        <v>0</v>
      </c>
      <c r="X160" s="161">
        <f t="shared" si="477"/>
        <v>-0.75</v>
      </c>
      <c r="Y160" s="161">
        <f t="shared" si="477"/>
        <v>-0.2</v>
      </c>
      <c r="Z160" s="161">
        <f t="shared" si="477"/>
        <v>0.52941176470588236</v>
      </c>
      <c r="AA160" s="160">
        <f t="shared" si="477"/>
        <v>0.1875</v>
      </c>
      <c r="AB160" s="161">
        <f t="shared" si="477"/>
        <v>5.4545454545454543E-2</v>
      </c>
      <c r="AC160" s="161">
        <f t="shared" si="477"/>
        <v>-8.5714285714285715E-2</v>
      </c>
      <c r="AD160" s="161">
        <f t="shared" si="477"/>
        <v>5.6910569105691054E-2</v>
      </c>
      <c r="AE160" s="161">
        <f t="shared" si="477"/>
        <v>0.12138728323699421</v>
      </c>
      <c r="AF160" s="160">
        <f t="shared" si="477"/>
        <v>5.9382422802850353E-2</v>
      </c>
      <c r="AG160" s="161">
        <f t="shared" si="477"/>
        <v>0.36363636363636365</v>
      </c>
      <c r="AH160" s="161">
        <f t="shared" si="477"/>
        <v>0.27167630057803466</v>
      </c>
      <c r="AI160" s="161">
        <f t="shared" si="477"/>
        <v>0.21985815602836881</v>
      </c>
      <c r="AJ160" s="161">
        <f t="shared" si="477"/>
        <v>12.5</v>
      </c>
      <c r="AK160" s="160">
        <f t="shared" si="477"/>
        <v>0.39179954441913439</v>
      </c>
      <c r="AL160" s="161">
        <f t="shared" si="477"/>
        <v>0.39130434782608697</v>
      </c>
      <c r="AM160" s="161"/>
      <c r="AN160" s="161"/>
      <c r="AO160" s="161"/>
      <c r="AP160" s="160"/>
      <c r="AQ160" s="477"/>
      <c r="AR160" s="161"/>
      <c r="AS160" s="161"/>
      <c r="AT160" s="161"/>
      <c r="AU160" s="160"/>
      <c r="AV160" s="477"/>
      <c r="AW160" s="161"/>
      <c r="AX160" s="161"/>
      <c r="AY160" s="161"/>
      <c r="AZ160" s="160"/>
      <c r="BA160" s="477"/>
      <c r="BB160" s="161"/>
      <c r="BC160" s="161"/>
      <c r="BD160" s="161"/>
      <c r="BE160" s="160"/>
      <c r="BF160" s="162"/>
      <c r="BG160" s="161"/>
      <c r="BH160" s="161"/>
      <c r="BI160" s="163"/>
      <c r="BJ160" s="160"/>
      <c r="BK160" s="162"/>
      <c r="BL160" s="161"/>
      <c r="BM160" s="161"/>
      <c r="BN160" s="163"/>
      <c r="BO160" s="160"/>
      <c r="BP160" s="160"/>
      <c r="BQ160" s="162"/>
      <c r="BR160" s="161"/>
      <c r="BS160" s="161"/>
      <c r="BT160" s="163"/>
      <c r="BU160" s="160"/>
      <c r="BV160" s="162"/>
      <c r="BW160" s="161"/>
      <c r="BX160" s="161"/>
      <c r="BY160" s="163"/>
      <c r="BZ160" s="160"/>
      <c r="CA160" s="162"/>
      <c r="CB160" s="161"/>
      <c r="CC160" s="161"/>
      <c r="CD160" s="163"/>
      <c r="CE160" s="160"/>
      <c r="CF160" s="162"/>
      <c r="CG160" s="161"/>
      <c r="CH160" s="161"/>
      <c r="CI160" s="163"/>
      <c r="CJ160" s="160"/>
      <c r="CK160" s="309"/>
      <c r="CL160" s="310"/>
      <c r="CM160" s="311"/>
      <c r="CN160" s="567"/>
      <c r="CO160" s="311"/>
      <c r="CP160" s="311"/>
      <c r="CQ160" s="311"/>
      <c r="CR160" s="311"/>
      <c r="CS160" s="311"/>
      <c r="CT160" s="309"/>
      <c r="CX160"/>
      <c r="CY160"/>
      <c r="CZ160"/>
      <c r="DA160"/>
      <c r="DB160"/>
      <c r="DC160"/>
    </row>
    <row r="161" spans="1:107" s="299" customFormat="1" ht="11.25" hidden="1" customHeight="1" outlineLevel="1">
      <c r="A161" s="27" t="s">
        <v>149</v>
      </c>
      <c r="B161" s="76">
        <v>246</v>
      </c>
      <c r="C161" s="76">
        <v>278</v>
      </c>
      <c r="D161" s="76">
        <v>19</v>
      </c>
      <c r="E161" s="76">
        <v>269</v>
      </c>
      <c r="F161" s="76">
        <v>333</v>
      </c>
      <c r="G161" s="76">
        <v>379</v>
      </c>
      <c r="H161" s="110">
        <v>117</v>
      </c>
      <c r="I161" s="110">
        <v>139</v>
      </c>
      <c r="J161" s="110">
        <v>123</v>
      </c>
      <c r="K161" s="109">
        <v>127</v>
      </c>
      <c r="L161" s="76">
        <v>532</v>
      </c>
      <c r="M161" s="109">
        <v>124</v>
      </c>
      <c r="N161" s="110">
        <v>151</v>
      </c>
      <c r="O161" s="110">
        <v>152</v>
      </c>
      <c r="P161" s="109">
        <v>148</v>
      </c>
      <c r="Q161" s="111">
        <v>575</v>
      </c>
      <c r="R161" s="109">
        <v>163</v>
      </c>
      <c r="S161" s="110">
        <v>170</v>
      </c>
      <c r="T161" s="110">
        <v>172</v>
      </c>
      <c r="U161" s="109">
        <v>169</v>
      </c>
      <c r="V161" s="76">
        <v>674</v>
      </c>
      <c r="W161" s="109">
        <v>163</v>
      </c>
      <c r="X161" s="110">
        <v>164</v>
      </c>
      <c r="Y161" s="29">
        <v>169</v>
      </c>
      <c r="Z161" s="59">
        <v>196</v>
      </c>
      <c r="AA161" s="111">
        <f>SUM(W161:Z161)</f>
        <v>692</v>
      </c>
      <c r="AB161" s="109">
        <v>160</v>
      </c>
      <c r="AC161" s="110">
        <v>170</v>
      </c>
      <c r="AD161" s="29">
        <v>162</v>
      </c>
      <c r="AE161" s="109">
        <v>175</v>
      </c>
      <c r="AF161" s="76">
        <f>SUM(AB161:AE161)</f>
        <v>667</v>
      </c>
      <c r="AG161" s="110">
        <v>116</v>
      </c>
      <c r="AH161" s="110">
        <v>123</v>
      </c>
      <c r="AI161" s="110">
        <v>131</v>
      </c>
      <c r="AJ161" s="109">
        <f>AK161-SUM(AG161:AI161)</f>
        <v>125</v>
      </c>
      <c r="AK161" s="76">
        <v>495</v>
      </c>
      <c r="AL161" s="29">
        <v>89</v>
      </c>
      <c r="AM161" s="29"/>
      <c r="AN161" s="29"/>
      <c r="AO161" s="109"/>
      <c r="AP161" s="76"/>
      <c r="AQ161" s="29"/>
      <c r="AR161" s="29"/>
      <c r="AS161" s="29"/>
      <c r="AT161" s="109"/>
      <c r="AU161" s="76"/>
      <c r="AV161" s="29"/>
      <c r="AW161" s="29"/>
      <c r="AX161" s="29"/>
      <c r="AY161" s="109"/>
      <c r="AZ161" s="76"/>
      <c r="BA161" s="29"/>
      <c r="BB161" s="29"/>
      <c r="BC161" s="29"/>
      <c r="BD161" s="109"/>
      <c r="BE161" s="76"/>
      <c r="BF161" s="90"/>
      <c r="BG161" s="28"/>
      <c r="BH161" s="28"/>
      <c r="BI161" s="30"/>
      <c r="BJ161" s="76"/>
      <c r="BK161" s="90"/>
      <c r="BL161" s="28"/>
      <c r="BM161" s="28"/>
      <c r="BN161" s="30"/>
      <c r="BO161" s="76"/>
      <c r="BP161" s="76"/>
      <c r="BQ161" s="90"/>
      <c r="BR161" s="28"/>
      <c r="BS161" s="28"/>
      <c r="BT161" s="30"/>
      <c r="BU161" s="76"/>
      <c r="BV161" s="90"/>
      <c r="BW161" s="28"/>
      <c r="BX161" s="28"/>
      <c r="BY161" s="30"/>
      <c r="BZ161" s="76"/>
      <c r="CA161" s="90"/>
      <c r="CB161" s="28"/>
      <c r="CC161" s="28"/>
      <c r="CD161" s="30"/>
      <c r="CE161" s="76"/>
      <c r="CF161" s="90"/>
      <c r="CG161" s="28"/>
      <c r="CH161" s="28"/>
      <c r="CI161" s="30"/>
      <c r="CJ161" s="76"/>
      <c r="CK161" s="290"/>
      <c r="CL161" s="658"/>
      <c r="CM161" s="658"/>
      <c r="CN161" s="682"/>
      <c r="CO161" s="658"/>
      <c r="CP161" s="658"/>
      <c r="CQ161" s="658"/>
      <c r="CR161" s="658"/>
      <c r="CS161" s="658"/>
      <c r="CT161" s="290"/>
      <c r="CX161"/>
      <c r="CY161"/>
      <c r="CZ161"/>
      <c r="DA161"/>
      <c r="DB161"/>
      <c r="DC161"/>
    </row>
    <row r="162" spans="1:107" ht="11.25" hidden="1" customHeight="1" outlineLevel="1">
      <c r="A162" s="62" t="s">
        <v>137</v>
      </c>
      <c r="B162" s="70"/>
      <c r="C162" s="70">
        <f>C161/B161-1</f>
        <v>0.13008130081300817</v>
      </c>
      <c r="D162" s="70">
        <f>D161/C161-1</f>
        <v>-0.93165467625899279</v>
      </c>
      <c r="E162" s="70">
        <f>E161/D161-1</f>
        <v>13.157894736842104</v>
      </c>
      <c r="F162" s="70">
        <f>F161/E161-1</f>
        <v>0.237918215613383</v>
      </c>
      <c r="G162" s="70">
        <f>G161/F161-1</f>
        <v>0.13813813813813813</v>
      </c>
      <c r="H162" s="118"/>
      <c r="I162" s="64"/>
      <c r="J162" s="64"/>
      <c r="K162" s="64"/>
      <c r="L162" s="70">
        <f t="shared" ref="L162:AL162" si="478">L161/G161-1</f>
        <v>0.40369393139841692</v>
      </c>
      <c r="M162" s="64">
        <f t="shared" si="478"/>
        <v>5.9829059829059839E-2</v>
      </c>
      <c r="N162" s="64">
        <f t="shared" si="478"/>
        <v>8.6330935251798468E-2</v>
      </c>
      <c r="O162" s="64">
        <f t="shared" si="478"/>
        <v>0.2357723577235773</v>
      </c>
      <c r="P162" s="64">
        <f t="shared" si="478"/>
        <v>0.16535433070866135</v>
      </c>
      <c r="Q162" s="70">
        <f t="shared" si="478"/>
        <v>8.0827067669172914E-2</v>
      </c>
      <c r="R162" s="64">
        <f t="shared" si="478"/>
        <v>0.31451612903225801</v>
      </c>
      <c r="S162" s="64">
        <f t="shared" si="478"/>
        <v>0.1258278145695364</v>
      </c>
      <c r="T162" s="64">
        <f t="shared" si="478"/>
        <v>0.13157894736842102</v>
      </c>
      <c r="U162" s="64">
        <f t="shared" si="478"/>
        <v>0.14189189189189189</v>
      </c>
      <c r="V162" s="70">
        <f t="shared" si="478"/>
        <v>0.17217391304347829</v>
      </c>
      <c r="W162" s="64">
        <f t="shared" si="478"/>
        <v>0</v>
      </c>
      <c r="X162" s="64">
        <f t="shared" si="478"/>
        <v>-3.5294117647058809E-2</v>
      </c>
      <c r="Y162" s="64">
        <f t="shared" si="478"/>
        <v>-1.744186046511631E-2</v>
      </c>
      <c r="Z162" s="64">
        <f t="shared" si="478"/>
        <v>0.15976331360946738</v>
      </c>
      <c r="AA162" s="70">
        <f t="shared" si="478"/>
        <v>2.6706231454005858E-2</v>
      </c>
      <c r="AB162" s="64">
        <f t="shared" si="478"/>
        <v>-1.8404907975460127E-2</v>
      </c>
      <c r="AC162" s="64">
        <f t="shared" si="478"/>
        <v>3.6585365853658569E-2</v>
      </c>
      <c r="AD162" s="64">
        <f t="shared" si="478"/>
        <v>-4.1420118343195256E-2</v>
      </c>
      <c r="AE162" s="64">
        <f t="shared" si="478"/>
        <v>-0.1071428571428571</v>
      </c>
      <c r="AF162" s="70">
        <f t="shared" si="478"/>
        <v>-3.6127167630057855E-2</v>
      </c>
      <c r="AG162" s="64">
        <f t="shared" si="478"/>
        <v>-0.27500000000000002</v>
      </c>
      <c r="AH162" s="64">
        <f t="shared" si="478"/>
        <v>-0.27647058823529413</v>
      </c>
      <c r="AI162" s="64">
        <f t="shared" si="478"/>
        <v>-0.19135802469135799</v>
      </c>
      <c r="AJ162" s="64">
        <f t="shared" si="478"/>
        <v>-0.2857142857142857</v>
      </c>
      <c r="AK162" s="70">
        <f t="shared" si="478"/>
        <v>-0.25787106446776609</v>
      </c>
      <c r="AL162" s="64">
        <f t="shared" si="478"/>
        <v>-0.23275862068965514</v>
      </c>
      <c r="AM162" s="64"/>
      <c r="AN162" s="64"/>
      <c r="AO162" s="64"/>
      <c r="AP162" s="70"/>
      <c r="AQ162" s="64"/>
      <c r="AR162" s="64"/>
      <c r="AS162" s="64"/>
      <c r="AT162" s="64"/>
      <c r="AU162" s="70"/>
      <c r="AV162" s="64"/>
      <c r="AW162" s="64"/>
      <c r="AX162" s="64"/>
      <c r="AY162" s="64"/>
      <c r="AZ162" s="70"/>
      <c r="BA162" s="64"/>
      <c r="BB162" s="64"/>
      <c r="BC162" s="64"/>
      <c r="BD162" s="64"/>
      <c r="BE162" s="70"/>
      <c r="BF162" s="121"/>
      <c r="BG162" s="64"/>
      <c r="BH162" s="64"/>
      <c r="BI162" s="122"/>
      <c r="BJ162" s="70"/>
      <c r="BK162" s="121"/>
      <c r="BL162" s="64"/>
      <c r="BM162" s="64"/>
      <c r="BN162" s="122"/>
      <c r="BO162" s="70"/>
      <c r="BP162" s="70"/>
      <c r="BQ162" s="121"/>
      <c r="BR162" s="64"/>
      <c r="BS162" s="64"/>
      <c r="BT162" s="122"/>
      <c r="BU162" s="70"/>
      <c r="BV162" s="121"/>
      <c r="BW162" s="64"/>
      <c r="BX162" s="64"/>
      <c r="BY162" s="122"/>
      <c r="BZ162" s="70"/>
      <c r="CA162" s="121"/>
      <c r="CB162" s="64"/>
      <c r="CC162" s="64"/>
      <c r="CD162" s="122"/>
      <c r="CE162" s="70"/>
      <c r="CF162" s="121"/>
      <c r="CG162" s="64"/>
      <c r="CH162" s="64"/>
      <c r="CI162" s="122"/>
      <c r="CJ162" s="70"/>
      <c r="CK162" s="289"/>
      <c r="CL162" s="658"/>
      <c r="CM162" s="658"/>
      <c r="CN162" s="682"/>
      <c r="CO162" s="658"/>
      <c r="CP162" s="658"/>
      <c r="CQ162" s="658"/>
      <c r="CR162" s="658"/>
      <c r="CS162" s="658"/>
      <c r="CT162" s="289"/>
    </row>
    <row r="163" spans="1:107" s="299" customFormat="1" ht="11.25" hidden="1" customHeight="1" outlineLevel="1">
      <c r="A163" s="27" t="s">
        <v>150</v>
      </c>
      <c r="B163" s="76">
        <f t="shared" ref="B163:AL163" si="479">B44-B161</f>
        <v>2619</v>
      </c>
      <c r="C163" s="76">
        <f t="shared" si="479"/>
        <v>2813</v>
      </c>
      <c r="D163" s="76">
        <f t="shared" si="479"/>
        <v>2790</v>
      </c>
      <c r="E163" s="76">
        <f t="shared" si="479"/>
        <v>2781</v>
      </c>
      <c r="F163" s="76">
        <f t="shared" si="479"/>
        <v>2872</v>
      </c>
      <c r="G163" s="76">
        <f t="shared" si="479"/>
        <v>3182</v>
      </c>
      <c r="H163" s="110">
        <f t="shared" si="479"/>
        <v>812</v>
      </c>
      <c r="I163" s="110">
        <f t="shared" si="479"/>
        <v>913</v>
      </c>
      <c r="J163" s="110">
        <f t="shared" si="479"/>
        <v>913</v>
      </c>
      <c r="K163" s="109">
        <f t="shared" si="479"/>
        <v>1020</v>
      </c>
      <c r="L163" s="76">
        <f t="shared" si="479"/>
        <v>3632</v>
      </c>
      <c r="M163" s="109">
        <f t="shared" si="479"/>
        <v>943</v>
      </c>
      <c r="N163" s="110">
        <f t="shared" si="479"/>
        <v>1022</v>
      </c>
      <c r="O163" s="110">
        <f t="shared" si="479"/>
        <v>993</v>
      </c>
      <c r="P163" s="109">
        <f t="shared" si="479"/>
        <v>977</v>
      </c>
      <c r="Q163" s="111">
        <f t="shared" si="479"/>
        <v>3935</v>
      </c>
      <c r="R163" s="109">
        <f t="shared" si="479"/>
        <v>991</v>
      </c>
      <c r="S163" s="110">
        <f t="shared" si="479"/>
        <v>1027</v>
      </c>
      <c r="T163" s="110">
        <f t="shared" si="479"/>
        <v>1040</v>
      </c>
      <c r="U163" s="109">
        <f t="shared" si="479"/>
        <v>1090</v>
      </c>
      <c r="V163" s="76">
        <f t="shared" si="479"/>
        <v>4148</v>
      </c>
      <c r="W163" s="109">
        <f t="shared" si="479"/>
        <v>1013</v>
      </c>
      <c r="X163" s="110">
        <f t="shared" si="479"/>
        <v>1041</v>
      </c>
      <c r="Y163" s="29">
        <f t="shared" si="479"/>
        <v>1058</v>
      </c>
      <c r="Z163" s="59">
        <f t="shared" si="479"/>
        <v>1114</v>
      </c>
      <c r="AA163" s="111">
        <f t="shared" si="479"/>
        <v>4226</v>
      </c>
      <c r="AB163" s="109">
        <f t="shared" si="479"/>
        <v>961</v>
      </c>
      <c r="AC163" s="110">
        <f t="shared" si="479"/>
        <v>965</v>
      </c>
      <c r="AD163" s="29">
        <f t="shared" si="479"/>
        <v>942</v>
      </c>
      <c r="AE163" s="109">
        <f t="shared" si="479"/>
        <v>962</v>
      </c>
      <c r="AF163" s="76">
        <f t="shared" si="479"/>
        <v>3830</v>
      </c>
      <c r="AG163" s="109">
        <f t="shared" si="479"/>
        <v>884</v>
      </c>
      <c r="AH163" s="110">
        <f t="shared" si="479"/>
        <v>839</v>
      </c>
      <c r="AI163" s="29">
        <f t="shared" si="479"/>
        <v>832</v>
      </c>
      <c r="AJ163" s="109">
        <f t="shared" si="479"/>
        <v>1008</v>
      </c>
      <c r="AK163" s="76">
        <f t="shared" si="479"/>
        <v>3563</v>
      </c>
      <c r="AL163" s="109">
        <f t="shared" si="479"/>
        <v>842</v>
      </c>
      <c r="AM163" s="29"/>
      <c r="AN163" s="29"/>
      <c r="AO163" s="109"/>
      <c r="AP163" s="76"/>
      <c r="AQ163" s="109"/>
      <c r="AR163" s="29"/>
      <c r="AS163" s="29"/>
      <c r="AT163" s="109"/>
      <c r="AU163" s="76"/>
      <c r="AV163" s="109"/>
      <c r="AW163" s="29"/>
      <c r="AX163" s="29"/>
      <c r="AY163" s="109"/>
      <c r="AZ163" s="76"/>
      <c r="BA163" s="109"/>
      <c r="BB163" s="29"/>
      <c r="BC163" s="29"/>
      <c r="BD163" s="109"/>
      <c r="BE163" s="76"/>
      <c r="BF163" s="90"/>
      <c r="BG163" s="28"/>
      <c r="BH163" s="28"/>
      <c r="BI163" s="30"/>
      <c r="BJ163" s="76"/>
      <c r="BK163" s="90"/>
      <c r="BL163" s="28"/>
      <c r="BM163" s="28"/>
      <c r="BN163" s="30"/>
      <c r="BO163" s="76"/>
      <c r="BP163" s="76"/>
      <c r="BQ163" s="90"/>
      <c r="BR163" s="28"/>
      <c r="BS163" s="28"/>
      <c r="BT163" s="30"/>
      <c r="BU163" s="76"/>
      <c r="BV163" s="90"/>
      <c r="BW163" s="28"/>
      <c r="BX163" s="28"/>
      <c r="BY163" s="30"/>
      <c r="BZ163" s="76"/>
      <c r="CA163" s="90"/>
      <c r="CB163" s="28"/>
      <c r="CC163" s="28"/>
      <c r="CD163" s="30"/>
      <c r="CE163" s="76"/>
      <c r="CF163" s="90"/>
      <c r="CG163" s="28"/>
      <c r="CH163" s="28"/>
      <c r="CI163" s="30"/>
      <c r="CJ163" s="76"/>
      <c r="CK163" s="290"/>
      <c r="CL163" s="658"/>
      <c r="CM163" s="658"/>
      <c r="CN163" s="682"/>
      <c r="CO163" s="658"/>
      <c r="CP163" s="658"/>
      <c r="CQ163" s="658"/>
      <c r="CR163" s="658"/>
      <c r="CS163" s="658"/>
      <c r="CT163" s="290"/>
      <c r="CX163"/>
      <c r="CY163"/>
      <c r="CZ163"/>
      <c r="DA163"/>
      <c r="DB163"/>
      <c r="DC163"/>
    </row>
    <row r="164" spans="1:107" ht="11.25" hidden="1" customHeight="1" outlineLevel="1">
      <c r="A164" s="62" t="s">
        <v>137</v>
      </c>
      <c r="B164" s="70"/>
      <c r="C164" s="70">
        <f>C163/B163-1</f>
        <v>7.4074074074074181E-2</v>
      </c>
      <c r="D164" s="70">
        <f>D163/C163-1</f>
        <v>-8.176324209029473E-3</v>
      </c>
      <c r="E164" s="70">
        <f>E163/D163-1</f>
        <v>-3.225806451612856E-3</v>
      </c>
      <c r="F164" s="70">
        <f>F163/E163-1</f>
        <v>3.2722042430780363E-2</v>
      </c>
      <c r="G164" s="70">
        <f>G163/F163-1</f>
        <v>0.10793871866295257</v>
      </c>
      <c r="H164" s="118"/>
      <c r="I164" s="64"/>
      <c r="J164" s="64"/>
      <c r="K164" s="64"/>
      <c r="L164" s="70">
        <f t="shared" ref="L164:AL164" si="480">L163/G163-1</f>
        <v>0.14142049025769965</v>
      </c>
      <c r="M164" s="64">
        <f t="shared" si="480"/>
        <v>0.16133004926108385</v>
      </c>
      <c r="N164" s="64">
        <f t="shared" si="480"/>
        <v>0.11938663745892653</v>
      </c>
      <c r="O164" s="64">
        <f t="shared" si="480"/>
        <v>8.7623220153340675E-2</v>
      </c>
      <c r="P164" s="64">
        <f t="shared" si="480"/>
        <v>-4.2156862745098E-2</v>
      </c>
      <c r="Q164" s="70">
        <f t="shared" si="480"/>
        <v>8.3425110132158586E-2</v>
      </c>
      <c r="R164" s="64">
        <f t="shared" si="480"/>
        <v>5.090137857900312E-2</v>
      </c>
      <c r="S164" s="64">
        <f t="shared" si="480"/>
        <v>4.8923679060666192E-3</v>
      </c>
      <c r="T164" s="64">
        <f t="shared" si="480"/>
        <v>4.733131923464251E-2</v>
      </c>
      <c r="U164" s="64">
        <f t="shared" si="480"/>
        <v>0.11566018423746161</v>
      </c>
      <c r="V164" s="70">
        <f t="shared" si="480"/>
        <v>5.412960609911055E-2</v>
      </c>
      <c r="W164" s="64">
        <f t="shared" si="480"/>
        <v>2.2199798183652808E-2</v>
      </c>
      <c r="X164" s="64">
        <f t="shared" si="480"/>
        <v>1.363193768257065E-2</v>
      </c>
      <c r="Y164" s="64">
        <f t="shared" si="480"/>
        <v>1.7307692307692246E-2</v>
      </c>
      <c r="Z164" s="64">
        <f t="shared" si="480"/>
        <v>2.2018348623853212E-2</v>
      </c>
      <c r="AA164" s="70">
        <f t="shared" si="480"/>
        <v>1.8804243008678778E-2</v>
      </c>
      <c r="AB164" s="64">
        <f t="shared" si="480"/>
        <v>-5.1332675222112489E-2</v>
      </c>
      <c r="AC164" s="64">
        <f t="shared" si="480"/>
        <v>-7.300672430355426E-2</v>
      </c>
      <c r="AD164" s="64">
        <f t="shared" si="480"/>
        <v>-0.10964083175803407</v>
      </c>
      <c r="AE164" s="64">
        <f t="shared" si="480"/>
        <v>-0.13644524236983846</v>
      </c>
      <c r="AF164" s="70">
        <f t="shared" si="480"/>
        <v>-9.3705631803123524E-2</v>
      </c>
      <c r="AG164" s="64">
        <f t="shared" si="480"/>
        <v>-8.012486992715917E-2</v>
      </c>
      <c r="AH164" s="64">
        <f t="shared" si="480"/>
        <v>-0.13056994818652845</v>
      </c>
      <c r="AI164" s="64">
        <f t="shared" si="480"/>
        <v>-0.11677282377919318</v>
      </c>
      <c r="AJ164" s="64">
        <f t="shared" si="480"/>
        <v>4.7817047817047875E-2</v>
      </c>
      <c r="AK164" s="70">
        <f t="shared" si="480"/>
        <v>-6.9712793733681444E-2</v>
      </c>
      <c r="AL164" s="64">
        <f t="shared" si="480"/>
        <v>-4.7511312217194623E-2</v>
      </c>
      <c r="AM164" s="64"/>
      <c r="AN164" s="64"/>
      <c r="AO164" s="64"/>
      <c r="AP164" s="70"/>
      <c r="AQ164" s="64"/>
      <c r="AR164" s="64"/>
      <c r="AS164" s="64"/>
      <c r="AT164" s="64"/>
      <c r="AU164" s="70"/>
      <c r="AV164" s="64"/>
      <c r="AW164" s="64"/>
      <c r="AX164" s="64"/>
      <c r="AY164" s="64"/>
      <c r="AZ164" s="70"/>
      <c r="BA164" s="64"/>
      <c r="BB164" s="64"/>
      <c r="BC164" s="64"/>
      <c r="BD164" s="64"/>
      <c r="BE164" s="70"/>
      <c r="BF164" s="121"/>
      <c r="BG164" s="64"/>
      <c r="BH164" s="64"/>
      <c r="BI164" s="122"/>
      <c r="BJ164" s="70"/>
      <c r="BK164" s="121"/>
      <c r="BL164" s="64"/>
      <c r="BM164" s="64"/>
      <c r="BN164" s="122"/>
      <c r="BO164" s="70"/>
      <c r="BP164" s="70"/>
      <c r="BQ164" s="121"/>
      <c r="BR164" s="64"/>
      <c r="BS164" s="64"/>
      <c r="BT164" s="122"/>
      <c r="BU164" s="70"/>
      <c r="BV164" s="121"/>
      <c r="BW164" s="64"/>
      <c r="BX164" s="64"/>
      <c r="BY164" s="122"/>
      <c r="BZ164" s="70"/>
      <c r="CA164" s="121"/>
      <c r="CB164" s="64"/>
      <c r="CC164" s="64"/>
      <c r="CD164" s="122"/>
      <c r="CE164" s="70"/>
      <c r="CF164" s="121"/>
      <c r="CG164" s="64"/>
      <c r="CH164" s="64"/>
      <c r="CI164" s="122"/>
      <c r="CJ164" s="70"/>
      <c r="CK164" s="289"/>
      <c r="CL164" s="658"/>
      <c r="CM164" s="658"/>
      <c r="CN164" s="682"/>
      <c r="CO164" s="658"/>
      <c r="CP164" s="658"/>
      <c r="CQ164" s="658"/>
      <c r="CR164" s="658"/>
      <c r="CS164" s="658"/>
      <c r="CT164" s="289"/>
    </row>
    <row r="165" spans="1:107" s="299" customFormat="1" ht="11.25" hidden="1" customHeight="1" outlineLevel="1">
      <c r="A165" s="63" t="s">
        <v>158</v>
      </c>
      <c r="B165" s="101">
        <f t="shared" ref="B165:AL165" si="481">B168/B54</f>
        <v>0.06</v>
      </c>
      <c r="C165" s="101">
        <f t="shared" si="481"/>
        <v>5.4383497421472103E-2</v>
      </c>
      <c r="D165" s="101">
        <f t="shared" si="481"/>
        <v>5.4508405501782986E-2</v>
      </c>
      <c r="E165" s="101">
        <f t="shared" si="481"/>
        <v>7.4484146955208858E-2</v>
      </c>
      <c r="F165" s="101">
        <f t="shared" si="481"/>
        <v>7.3572120038722169E-2</v>
      </c>
      <c r="G165" s="101">
        <f t="shared" si="481"/>
        <v>7.1063632141198332E-2</v>
      </c>
      <c r="H165" s="102">
        <f t="shared" si="481"/>
        <v>4.9676025917926567E-2</v>
      </c>
      <c r="I165" s="102">
        <f t="shared" si="481"/>
        <v>6.2256809338521402E-2</v>
      </c>
      <c r="J165" s="102">
        <f t="shared" si="481"/>
        <v>6.6787003610108309E-2</v>
      </c>
      <c r="K165" s="102">
        <f t="shared" si="481"/>
        <v>7.3094867807153963E-2</v>
      </c>
      <c r="L165" s="101">
        <f t="shared" si="481"/>
        <v>6.3937442502299907E-2</v>
      </c>
      <c r="M165" s="102">
        <f t="shared" si="481"/>
        <v>6.71785028790787E-2</v>
      </c>
      <c r="N165" s="102">
        <f t="shared" si="481"/>
        <v>6.9551777434312206E-2</v>
      </c>
      <c r="O165" s="102">
        <f t="shared" si="481"/>
        <v>6.5312046444121918E-2</v>
      </c>
      <c r="P165" s="102">
        <f t="shared" si="481"/>
        <v>6.5860215053763438E-2</v>
      </c>
      <c r="Q165" s="101">
        <f t="shared" si="481"/>
        <v>6.6897347174163777E-2</v>
      </c>
      <c r="R165" s="102">
        <f t="shared" si="481"/>
        <v>6.3218390804597707E-2</v>
      </c>
      <c r="S165" s="102">
        <f t="shared" si="481"/>
        <v>6.7948717948717943E-2</v>
      </c>
      <c r="T165" s="102">
        <f t="shared" si="481"/>
        <v>7.5282308657465491E-2</v>
      </c>
      <c r="U165" s="102">
        <f t="shared" si="481"/>
        <v>6.5315315315315314E-2</v>
      </c>
      <c r="V165" s="101">
        <f t="shared" si="481"/>
        <v>6.8016450490351155E-2</v>
      </c>
      <c r="W165" s="102">
        <f t="shared" si="481"/>
        <v>8.364544319600499E-2</v>
      </c>
      <c r="X165" s="102">
        <f t="shared" si="481"/>
        <v>8.5131894484412468E-2</v>
      </c>
      <c r="Y165" s="102">
        <f t="shared" si="481"/>
        <v>8.8201603665521197E-2</v>
      </c>
      <c r="Z165" s="102">
        <f t="shared" si="481"/>
        <v>8.5062240663900418E-2</v>
      </c>
      <c r="AA165" s="101">
        <f t="shared" si="481"/>
        <v>8.5541474654377878E-2</v>
      </c>
      <c r="AB165" s="102">
        <f t="shared" si="481"/>
        <v>0.10137672090112641</v>
      </c>
      <c r="AC165" s="102">
        <f t="shared" si="481"/>
        <v>8.4606345475910699E-2</v>
      </c>
      <c r="AD165" s="102">
        <f t="shared" si="481"/>
        <v>9.1799265605875147E-2</v>
      </c>
      <c r="AE165" s="102">
        <f t="shared" si="481"/>
        <v>9.480812641083522E-2</v>
      </c>
      <c r="AF165" s="101">
        <f t="shared" si="481"/>
        <v>9.305099910527885E-2</v>
      </c>
      <c r="AG165" s="102">
        <f t="shared" si="481"/>
        <v>8.8528678304239397E-2</v>
      </c>
      <c r="AH165" s="102">
        <f t="shared" si="481"/>
        <v>9.1352009744214369E-2</v>
      </c>
      <c r="AI165" s="102">
        <f t="shared" si="481"/>
        <v>8.1528662420382161E-2</v>
      </c>
      <c r="AJ165" s="102">
        <f t="shared" si="481"/>
        <v>8.6642599277978335E-2</v>
      </c>
      <c r="AK165" s="101">
        <f t="shared" si="481"/>
        <v>8.7063908613769683E-2</v>
      </c>
      <c r="AL165" s="102">
        <f t="shared" si="481"/>
        <v>8.3443708609271527E-2</v>
      </c>
      <c r="AM165" s="102"/>
      <c r="AN165" s="102"/>
      <c r="AO165" s="102"/>
      <c r="AP165" s="101"/>
      <c r="AQ165" s="102"/>
      <c r="AR165" s="102"/>
      <c r="AS165" s="102"/>
      <c r="AT165" s="102"/>
      <c r="AU165" s="101"/>
      <c r="AV165" s="102"/>
      <c r="AW165" s="102"/>
      <c r="AX165" s="102"/>
      <c r="AY165" s="102"/>
      <c r="AZ165" s="101"/>
      <c r="BA165" s="102"/>
      <c r="BB165" s="102"/>
      <c r="BC165" s="102"/>
      <c r="BD165" s="102"/>
      <c r="BE165" s="101"/>
      <c r="BF165" s="103"/>
      <c r="BG165" s="102"/>
      <c r="BH165" s="102"/>
      <c r="BI165" s="104"/>
      <c r="BJ165" s="101"/>
      <c r="BK165" s="103"/>
      <c r="BL165" s="102"/>
      <c r="BM165" s="102"/>
      <c r="BN165" s="104"/>
      <c r="BO165" s="101"/>
      <c r="BP165" s="101"/>
      <c r="BQ165" s="103"/>
      <c r="BR165" s="102"/>
      <c r="BS165" s="102"/>
      <c r="BT165" s="104"/>
      <c r="BU165" s="101"/>
      <c r="BV165" s="103"/>
      <c r="BW165" s="102"/>
      <c r="BX165" s="102"/>
      <c r="BY165" s="104"/>
      <c r="BZ165" s="101"/>
      <c r="CA165" s="103"/>
      <c r="CB165" s="102"/>
      <c r="CC165" s="102"/>
      <c r="CD165" s="104"/>
      <c r="CE165" s="101"/>
      <c r="CF165" s="103"/>
      <c r="CG165" s="102"/>
      <c r="CH165" s="102"/>
      <c r="CI165" s="104"/>
      <c r="CJ165" s="101"/>
      <c r="CK165" s="290"/>
      <c r="CL165" s="983"/>
      <c r="CM165" s="658"/>
      <c r="CN165" s="682"/>
      <c r="CO165" s="658"/>
      <c r="CP165" s="658"/>
      <c r="CQ165" s="658"/>
      <c r="CR165" s="658"/>
      <c r="CS165" s="658"/>
      <c r="CT165" s="290"/>
      <c r="CX165"/>
      <c r="CY165"/>
      <c r="CZ165"/>
      <c r="DA165"/>
      <c r="DB165"/>
      <c r="DC165"/>
    </row>
    <row r="166" spans="1:107" s="308" customFormat="1" ht="11.25" hidden="1" customHeight="1" outlineLevel="1">
      <c r="A166" s="112" t="s">
        <v>140</v>
      </c>
      <c r="B166" s="114"/>
      <c r="C166" s="114">
        <f>(C165-B165)*100</f>
        <v>-0.56165025785278944</v>
      </c>
      <c r="D166" s="114">
        <f>(D165-C165)*100</f>
        <v>1.2490808031088291E-2</v>
      </c>
      <c r="E166" s="114">
        <f>(E165-D165)*100</f>
        <v>1.997574145342587</v>
      </c>
      <c r="F166" s="114">
        <f>(F165-E165)*100</f>
        <v>-9.1202691648668843E-2</v>
      </c>
      <c r="G166" s="114">
        <f>(G165-F165)*100</f>
        <v>-0.25084878975238367</v>
      </c>
      <c r="H166" s="113"/>
      <c r="I166" s="113"/>
      <c r="J166" s="113"/>
      <c r="K166" s="113"/>
      <c r="L166" s="114">
        <f t="shared" ref="L166:AL166" si="482">(L165-G165)*100</f>
        <v>-0.71261896388984258</v>
      </c>
      <c r="M166" s="113">
        <f t="shared" si="482"/>
        <v>1.7502476961152134</v>
      </c>
      <c r="N166" s="113">
        <f t="shared" si="482"/>
        <v>0.72949680957908047</v>
      </c>
      <c r="O166" s="113">
        <f t="shared" si="482"/>
        <v>-0.14749571659863903</v>
      </c>
      <c r="P166" s="113">
        <f t="shared" si="482"/>
        <v>-0.72346527533905247</v>
      </c>
      <c r="Q166" s="114">
        <f t="shared" si="482"/>
        <v>0.29599046718638694</v>
      </c>
      <c r="R166" s="113">
        <f t="shared" si="482"/>
        <v>-0.39601120744809926</v>
      </c>
      <c r="S166" s="113">
        <f t="shared" si="482"/>
        <v>-0.16030594855942631</v>
      </c>
      <c r="T166" s="113">
        <f t="shared" si="482"/>
        <v>0.99702622133435725</v>
      </c>
      <c r="U166" s="113">
        <f t="shared" si="482"/>
        <v>-5.4489973844812356E-2</v>
      </c>
      <c r="V166" s="114">
        <f t="shared" si="482"/>
        <v>0.11191033161873781</v>
      </c>
      <c r="W166" s="113">
        <f t="shared" si="482"/>
        <v>2.0427052391407283</v>
      </c>
      <c r="X166" s="113">
        <f t="shared" si="482"/>
        <v>1.7183176535694524</v>
      </c>
      <c r="Y166" s="113">
        <f t="shared" si="482"/>
        <v>1.2919295008055707</v>
      </c>
      <c r="Z166" s="113">
        <f t="shared" si="482"/>
        <v>1.9746925348585105</v>
      </c>
      <c r="AA166" s="114">
        <f t="shared" si="482"/>
        <v>1.7525024164026723</v>
      </c>
      <c r="AB166" s="113">
        <f t="shared" si="482"/>
        <v>1.7731277705121422</v>
      </c>
      <c r="AC166" s="113">
        <f t="shared" si="482"/>
        <v>-5.2554900850176889E-2</v>
      </c>
      <c r="AD166" s="113">
        <f t="shared" si="482"/>
        <v>0.35976619403539495</v>
      </c>
      <c r="AE166" s="113">
        <f t="shared" si="482"/>
        <v>0.97458857469348015</v>
      </c>
      <c r="AF166" s="114">
        <f t="shared" si="482"/>
        <v>0.75095244509009729</v>
      </c>
      <c r="AG166" s="113">
        <f t="shared" si="482"/>
        <v>-1.2848042596887015</v>
      </c>
      <c r="AH166" s="113">
        <f t="shared" si="482"/>
        <v>0.67456642683036694</v>
      </c>
      <c r="AI166" s="113">
        <f t="shared" si="482"/>
        <v>-1.0270603185492986</v>
      </c>
      <c r="AJ166" s="113">
        <f t="shared" si="482"/>
        <v>-0.81655271328568846</v>
      </c>
      <c r="AK166" s="114">
        <f t="shared" si="482"/>
        <v>-0.59870904915091672</v>
      </c>
      <c r="AL166" s="113">
        <f t="shared" si="482"/>
        <v>-0.50849696949678691</v>
      </c>
      <c r="AM166" s="113"/>
      <c r="AN166" s="113"/>
      <c r="AO166" s="113"/>
      <c r="AP166" s="114"/>
      <c r="AQ166" s="113"/>
      <c r="AR166" s="113"/>
      <c r="AS166" s="113"/>
      <c r="AT166" s="113"/>
      <c r="AU166" s="114"/>
      <c r="AV166" s="113"/>
      <c r="AW166" s="113"/>
      <c r="AX166" s="113"/>
      <c r="AY166" s="113"/>
      <c r="AZ166" s="114"/>
      <c r="BA166" s="113"/>
      <c r="BB166" s="113"/>
      <c r="BC166" s="113"/>
      <c r="BD166" s="113"/>
      <c r="BE166" s="114"/>
      <c r="BF166" s="115"/>
      <c r="BG166" s="113"/>
      <c r="BH166" s="113"/>
      <c r="BI166" s="116"/>
      <c r="BJ166" s="114"/>
      <c r="BK166" s="115"/>
      <c r="BL166" s="113"/>
      <c r="BM166" s="113"/>
      <c r="BN166" s="116"/>
      <c r="BO166" s="114"/>
      <c r="BP166" s="114"/>
      <c r="BQ166" s="115"/>
      <c r="BR166" s="113"/>
      <c r="BS166" s="113"/>
      <c r="BT166" s="116"/>
      <c r="BU166" s="114"/>
      <c r="BV166" s="115"/>
      <c r="BW166" s="113"/>
      <c r="BX166" s="113"/>
      <c r="BY166" s="116"/>
      <c r="BZ166" s="114"/>
      <c r="CA166" s="115"/>
      <c r="CB166" s="113"/>
      <c r="CC166" s="113"/>
      <c r="CD166" s="116"/>
      <c r="CE166" s="114"/>
      <c r="CF166" s="115"/>
      <c r="CG166" s="113"/>
      <c r="CH166" s="113"/>
      <c r="CI166" s="116"/>
      <c r="CJ166" s="114"/>
      <c r="CK166" s="307"/>
      <c r="CL166" s="984"/>
      <c r="CM166" s="675"/>
      <c r="CN166" s="682"/>
      <c r="CO166" s="675"/>
      <c r="CP166" s="675"/>
      <c r="CQ166" s="675"/>
      <c r="CR166" s="675"/>
      <c r="CS166" s="675"/>
      <c r="CT166" s="307"/>
      <c r="CX166"/>
      <c r="CY166"/>
      <c r="CZ166"/>
      <c r="DA166"/>
      <c r="DB166"/>
      <c r="DC166"/>
    </row>
    <row r="167" spans="1:107" s="299" customFormat="1" ht="11.25" hidden="1" customHeight="1" outlineLevel="1">
      <c r="A167" s="108" t="s">
        <v>141</v>
      </c>
      <c r="B167" s="71"/>
      <c r="C167" s="158">
        <f>(C168-B168)/(C51-B51)</f>
        <v>-0.14583333333333334</v>
      </c>
      <c r="D167" s="158">
        <f>(D168-C168)/(D51-C51)</f>
        <v>-1.9522776572668113E-2</v>
      </c>
      <c r="E167" s="158">
        <f>(E168-D168)/(E51-D51)</f>
        <v>0.23295454545454544</v>
      </c>
      <c r="F167" s="158">
        <f>(F168-E168)/(F51-E51)</f>
        <v>8.350730688935281E-3</v>
      </c>
      <c r="G167" s="158">
        <f>(G168-F168)/(G51-F51)</f>
        <v>2.9498525073746312E-3</v>
      </c>
      <c r="H167" s="161"/>
      <c r="I167" s="161"/>
      <c r="J167" s="161"/>
      <c r="K167" s="161"/>
      <c r="L167" s="158">
        <f t="shared" ref="L167:AG167" si="483">(L168-G168)/(L51-G51)</f>
        <v>0.10526315789473684</v>
      </c>
      <c r="M167" s="161">
        <f t="shared" si="483"/>
        <v>1.9108280254777069E-2</v>
      </c>
      <c r="N167" s="161">
        <f t="shared" si="483"/>
        <v>-4.8148148148148148E-2</v>
      </c>
      <c r="O167" s="161">
        <f t="shared" si="483"/>
        <v>0.14285714285714285</v>
      </c>
      <c r="P167" s="161">
        <f t="shared" si="483"/>
        <v>3.2258064516129032E-3</v>
      </c>
      <c r="Q167" s="160">
        <f t="shared" si="483"/>
        <v>3.3849129593810444E-2</v>
      </c>
      <c r="R167" s="161">
        <f t="shared" si="483"/>
        <v>-2.5139664804469275E-2</v>
      </c>
      <c r="S167" s="161">
        <f t="shared" si="483"/>
        <v>-7.1428571428571425E-2</v>
      </c>
      <c r="T167" s="161">
        <f t="shared" si="483"/>
        <v>-3.826530612244898E-2</v>
      </c>
      <c r="U167" s="161">
        <f t="shared" si="483"/>
        <v>-6.2937062937062943E-2</v>
      </c>
      <c r="V167" s="160">
        <f t="shared" si="483"/>
        <v>-4.0796019900497513E-2</v>
      </c>
      <c r="W167" s="161">
        <f t="shared" si="483"/>
        <v>-8.5185185185185183E-2</v>
      </c>
      <c r="X167" s="161">
        <f t="shared" si="483"/>
        <v>9.9447513812154692E-2</v>
      </c>
      <c r="Y167" s="161">
        <f t="shared" si="483"/>
        <v>0.18085106382978725</v>
      </c>
      <c r="Z167" s="161">
        <f t="shared" si="483"/>
        <v>0.25</v>
      </c>
      <c r="AA167" s="160">
        <f t="shared" si="483"/>
        <v>0.81188118811881194</v>
      </c>
      <c r="AB167" s="161">
        <f t="shared" si="483"/>
        <v>-0.13461538461538461</v>
      </c>
      <c r="AC167" s="161">
        <f t="shared" si="483"/>
        <v>-1.4705882352941176E-2</v>
      </c>
      <c r="AD167" s="161">
        <f t="shared" si="483"/>
        <v>-5.4200542005420054E-3</v>
      </c>
      <c r="AE167" s="161">
        <f t="shared" si="483"/>
        <v>-3.3388981636060101E-3</v>
      </c>
      <c r="AF167" s="160">
        <f t="shared" si="483"/>
        <v>-3.7313432835820892E-2</v>
      </c>
      <c r="AG167" s="161">
        <f t="shared" si="483"/>
        <v>4.1841004184100417E-2</v>
      </c>
      <c r="AH167" s="161" t="e">
        <f>(AH168-AC168)/(#REF!-AC51)</f>
        <v>#REF!</v>
      </c>
      <c r="AI167" s="161">
        <f>(AI168-AD168)/(AI51-AD51)</f>
        <v>7.3333333333333334E-2</v>
      </c>
      <c r="AJ167" s="161">
        <f>(AJ168-AE168)/(AJ51-AE51)</f>
        <v>-1.5831134564643801E-2</v>
      </c>
      <c r="AK167" s="160">
        <f>(AK168-AF168)/(AK51-AF51)</f>
        <v>-6.5645514223194742E-2</v>
      </c>
      <c r="AL167" s="161">
        <f>(AL168-AG168)/(AL51-AG51)</f>
        <v>0.1702127659574468</v>
      </c>
      <c r="AM167" s="65"/>
      <c r="AN167" s="65"/>
      <c r="AO167" s="65"/>
      <c r="AP167" s="71"/>
      <c r="AQ167" s="161"/>
      <c r="AR167" s="65"/>
      <c r="AS167" s="65"/>
      <c r="AT167" s="65"/>
      <c r="AU167" s="71"/>
      <c r="AV167" s="161"/>
      <c r="AW167" s="65"/>
      <c r="AX167" s="65"/>
      <c r="AY167" s="65"/>
      <c r="AZ167" s="71"/>
      <c r="BA167" s="161"/>
      <c r="BB167" s="65"/>
      <c r="BC167" s="65"/>
      <c r="BD167" s="65"/>
      <c r="BE167" s="71"/>
      <c r="BF167" s="106"/>
      <c r="BG167" s="65"/>
      <c r="BH167" s="65"/>
      <c r="BI167" s="107"/>
      <c r="BJ167" s="71"/>
      <c r="BK167" s="106"/>
      <c r="BL167" s="65"/>
      <c r="BM167" s="65"/>
      <c r="BN167" s="107"/>
      <c r="BO167" s="71"/>
      <c r="BP167" s="71"/>
      <c r="BQ167" s="106"/>
      <c r="BR167" s="65"/>
      <c r="BS167" s="65"/>
      <c r="BT167" s="107"/>
      <c r="BU167" s="71"/>
      <c r="BV167" s="106"/>
      <c r="BW167" s="65"/>
      <c r="BX167" s="65"/>
      <c r="BY167" s="107"/>
      <c r="BZ167" s="71"/>
      <c r="CA167" s="106"/>
      <c r="CB167" s="65"/>
      <c r="CC167" s="65"/>
      <c r="CD167" s="107"/>
      <c r="CE167" s="71"/>
      <c r="CF167" s="106"/>
      <c r="CG167" s="65"/>
      <c r="CH167" s="65"/>
      <c r="CI167" s="107"/>
      <c r="CJ167" s="71"/>
      <c r="CK167" s="290"/>
      <c r="CL167" s="983"/>
      <c r="CM167" s="658"/>
      <c r="CN167" s="682"/>
      <c r="CO167" s="658"/>
      <c r="CP167" s="658"/>
      <c r="CQ167" s="658"/>
      <c r="CR167" s="658"/>
      <c r="CS167" s="658"/>
      <c r="CT167" s="290"/>
      <c r="CX167"/>
      <c r="CY167"/>
      <c r="CZ167"/>
      <c r="DA167"/>
      <c r="DB167"/>
      <c r="DC167"/>
    </row>
    <row r="168" spans="1:107" s="299" customFormat="1" ht="11.25" hidden="1" customHeight="1" outlineLevel="1">
      <c r="A168" s="27" t="s">
        <v>156</v>
      </c>
      <c r="B168" s="76">
        <v>123</v>
      </c>
      <c r="C168" s="76">
        <v>116</v>
      </c>
      <c r="D168" s="76">
        <v>107</v>
      </c>
      <c r="E168" s="76">
        <v>148</v>
      </c>
      <c r="F168" s="76">
        <v>152</v>
      </c>
      <c r="G168" s="76">
        <v>153</v>
      </c>
      <c r="H168" s="110">
        <v>23</v>
      </c>
      <c r="I168" s="110">
        <v>32</v>
      </c>
      <c r="J168" s="110">
        <v>37</v>
      </c>
      <c r="K168" s="109">
        <v>47</v>
      </c>
      <c r="L168" s="76">
        <v>139</v>
      </c>
      <c r="M168" s="109">
        <v>35</v>
      </c>
      <c r="N168" s="110">
        <v>45</v>
      </c>
      <c r="O168" s="110">
        <v>45</v>
      </c>
      <c r="P168" s="109">
        <v>49</v>
      </c>
      <c r="Q168" s="111">
        <v>174</v>
      </c>
      <c r="R168" s="109">
        <v>44</v>
      </c>
      <c r="S168" s="110">
        <v>53</v>
      </c>
      <c r="T168" s="110">
        <v>60</v>
      </c>
      <c r="U168" s="109">
        <v>58</v>
      </c>
      <c r="V168" s="76">
        <v>215</v>
      </c>
      <c r="W168" s="109">
        <v>67</v>
      </c>
      <c r="X168" s="110">
        <v>71</v>
      </c>
      <c r="Y168" s="29">
        <v>77</v>
      </c>
      <c r="Z168" s="59">
        <v>82</v>
      </c>
      <c r="AA168" s="111">
        <f>SUM(W168:Z168)</f>
        <v>297</v>
      </c>
      <c r="AB168" s="109">
        <v>81</v>
      </c>
      <c r="AC168" s="110">
        <v>72</v>
      </c>
      <c r="AD168" s="29">
        <v>75</v>
      </c>
      <c r="AE168" s="109">
        <v>84</v>
      </c>
      <c r="AF168" s="76">
        <f>SUM(AB168:AE168)</f>
        <v>312</v>
      </c>
      <c r="AG168" s="110">
        <v>71</v>
      </c>
      <c r="AH168" s="110">
        <v>75</v>
      </c>
      <c r="AI168" s="110">
        <v>64</v>
      </c>
      <c r="AJ168" s="109">
        <f>AK168-SUM(AG168:AI168)</f>
        <v>72</v>
      </c>
      <c r="AK168" s="76">
        <v>282</v>
      </c>
      <c r="AL168" s="29">
        <v>63</v>
      </c>
      <c r="AM168" s="29"/>
      <c r="AN168" s="29"/>
      <c r="AO168" s="109"/>
      <c r="AP168" s="76"/>
      <c r="AQ168" s="29"/>
      <c r="AR168" s="29"/>
      <c r="AS168" s="29"/>
      <c r="AT168" s="109"/>
      <c r="AU168" s="76"/>
      <c r="AV168" s="29"/>
      <c r="AW168" s="29"/>
      <c r="AX168" s="29"/>
      <c r="AY168" s="109"/>
      <c r="AZ168" s="76"/>
      <c r="BA168" s="29"/>
      <c r="BB168" s="29"/>
      <c r="BC168" s="29"/>
      <c r="BD168" s="109"/>
      <c r="BE168" s="76"/>
      <c r="BF168" s="90"/>
      <c r="BG168" s="28"/>
      <c r="BH168" s="28"/>
      <c r="BI168" s="30"/>
      <c r="BJ168" s="76"/>
      <c r="BK168" s="90"/>
      <c r="BL168" s="28"/>
      <c r="BM168" s="28"/>
      <c r="BN168" s="30"/>
      <c r="BO168" s="76"/>
      <c r="BP168" s="76"/>
      <c r="BQ168" s="90"/>
      <c r="BR168" s="28"/>
      <c r="BS168" s="28"/>
      <c r="BT168" s="30"/>
      <c r="BU168" s="76"/>
      <c r="BV168" s="90"/>
      <c r="BW168" s="28"/>
      <c r="BX168" s="28"/>
      <c r="BY168" s="30"/>
      <c r="BZ168" s="76"/>
      <c r="CA168" s="90"/>
      <c r="CB168" s="28"/>
      <c r="CC168" s="28"/>
      <c r="CD168" s="30"/>
      <c r="CE168" s="76"/>
      <c r="CF168" s="90"/>
      <c r="CG168" s="28"/>
      <c r="CH168" s="28"/>
      <c r="CI168" s="30"/>
      <c r="CJ168" s="76"/>
      <c r="CK168" s="290"/>
      <c r="CL168" s="658"/>
      <c r="CM168" s="658"/>
      <c r="CN168" s="682"/>
      <c r="CO168" s="658"/>
      <c r="CP168" s="658"/>
      <c r="CQ168" s="658"/>
      <c r="CR168" s="658"/>
      <c r="CS168" s="658"/>
      <c r="CT168" s="290"/>
      <c r="CX168"/>
      <c r="CY168"/>
      <c r="CZ168"/>
      <c r="DA168"/>
      <c r="DB168"/>
      <c r="DC168"/>
    </row>
    <row r="169" spans="1:107" ht="11.25" hidden="1" customHeight="1" outlineLevel="1">
      <c r="A169" s="62" t="s">
        <v>137</v>
      </c>
      <c r="B169" s="70"/>
      <c r="C169" s="70">
        <f>C168/B168-1</f>
        <v>-5.6910569105691033E-2</v>
      </c>
      <c r="D169" s="70">
        <f>D168/C168-1</f>
        <v>-7.7586206896551713E-2</v>
      </c>
      <c r="E169" s="70">
        <f>E168/D168-1</f>
        <v>0.38317757009345788</v>
      </c>
      <c r="F169" s="70">
        <f>F168/E168-1</f>
        <v>2.7027027027026973E-2</v>
      </c>
      <c r="G169" s="70">
        <f>G168/F168-1</f>
        <v>6.5789473684210176E-3</v>
      </c>
      <c r="H169" s="118"/>
      <c r="I169" s="64"/>
      <c r="J169" s="64"/>
      <c r="K169" s="64"/>
      <c r="L169" s="70">
        <f t="shared" ref="L169:AL169" si="484">L168/G168-1</f>
        <v>-9.1503267973856217E-2</v>
      </c>
      <c r="M169" s="64">
        <f t="shared" si="484"/>
        <v>0.52173913043478271</v>
      </c>
      <c r="N169" s="64">
        <f t="shared" si="484"/>
        <v>0.40625</v>
      </c>
      <c r="O169" s="64">
        <f t="shared" si="484"/>
        <v>0.21621621621621623</v>
      </c>
      <c r="P169" s="64">
        <f t="shared" si="484"/>
        <v>4.2553191489361764E-2</v>
      </c>
      <c r="Q169" s="70">
        <f t="shared" si="484"/>
        <v>0.25179856115107913</v>
      </c>
      <c r="R169" s="64">
        <f t="shared" si="484"/>
        <v>0.25714285714285712</v>
      </c>
      <c r="S169" s="64">
        <f t="shared" si="484"/>
        <v>0.17777777777777781</v>
      </c>
      <c r="T169" s="64">
        <f t="shared" si="484"/>
        <v>0.33333333333333326</v>
      </c>
      <c r="U169" s="64">
        <f t="shared" si="484"/>
        <v>0.18367346938775508</v>
      </c>
      <c r="V169" s="70">
        <f t="shared" si="484"/>
        <v>0.23563218390804597</v>
      </c>
      <c r="W169" s="64">
        <f t="shared" si="484"/>
        <v>0.52272727272727271</v>
      </c>
      <c r="X169" s="64">
        <f t="shared" si="484"/>
        <v>0.33962264150943389</v>
      </c>
      <c r="Y169" s="64">
        <f t="shared" si="484"/>
        <v>0.28333333333333344</v>
      </c>
      <c r="Z169" s="64">
        <f t="shared" si="484"/>
        <v>0.4137931034482758</v>
      </c>
      <c r="AA169" s="70">
        <f t="shared" si="484"/>
        <v>0.38139534883720927</v>
      </c>
      <c r="AB169" s="64">
        <f t="shared" si="484"/>
        <v>0.20895522388059695</v>
      </c>
      <c r="AC169" s="64">
        <f t="shared" si="484"/>
        <v>1.4084507042253502E-2</v>
      </c>
      <c r="AD169" s="64">
        <f t="shared" si="484"/>
        <v>-2.5974025974025983E-2</v>
      </c>
      <c r="AE169" s="64">
        <f t="shared" si="484"/>
        <v>2.4390243902439046E-2</v>
      </c>
      <c r="AF169" s="70">
        <f t="shared" si="484"/>
        <v>5.0505050505050608E-2</v>
      </c>
      <c r="AG169" s="64">
        <f t="shared" si="484"/>
        <v>-0.12345679012345678</v>
      </c>
      <c r="AH169" s="64">
        <f t="shared" si="484"/>
        <v>4.1666666666666741E-2</v>
      </c>
      <c r="AI169" s="64">
        <f t="shared" si="484"/>
        <v>-0.14666666666666661</v>
      </c>
      <c r="AJ169" s="64">
        <f t="shared" si="484"/>
        <v>-0.1428571428571429</v>
      </c>
      <c r="AK169" s="70">
        <f t="shared" si="484"/>
        <v>-9.6153846153846145E-2</v>
      </c>
      <c r="AL169" s="64">
        <f t="shared" si="484"/>
        <v>-0.11267605633802813</v>
      </c>
      <c r="AM169" s="64"/>
      <c r="AN169" s="64"/>
      <c r="AO169" s="64"/>
      <c r="AP169" s="70"/>
      <c r="AQ169" s="64"/>
      <c r="AR169" s="64"/>
      <c r="AS169" s="64"/>
      <c r="AT169" s="64"/>
      <c r="AU169" s="70"/>
      <c r="AV169" s="64"/>
      <c r="AW169" s="64"/>
      <c r="AX169" s="64"/>
      <c r="AY169" s="64"/>
      <c r="AZ169" s="70"/>
      <c r="BA169" s="64"/>
      <c r="BB169" s="64"/>
      <c r="BC169" s="64"/>
      <c r="BD169" s="64"/>
      <c r="BE169" s="70"/>
      <c r="BF169" s="121"/>
      <c r="BG169" s="64"/>
      <c r="BH169" s="64"/>
      <c r="BI169" s="122"/>
      <c r="BJ169" s="70"/>
      <c r="BK169" s="121"/>
      <c r="BL169" s="64"/>
      <c r="BM169" s="64"/>
      <c r="BN169" s="122"/>
      <c r="BO169" s="70"/>
      <c r="BP169" s="70"/>
      <c r="BQ169" s="121"/>
      <c r="BR169" s="64"/>
      <c r="BS169" s="64"/>
      <c r="BT169" s="122"/>
      <c r="BU169" s="70"/>
      <c r="BV169" s="121"/>
      <c r="BW169" s="64"/>
      <c r="BX169" s="64"/>
      <c r="BY169" s="122"/>
      <c r="BZ169" s="70"/>
      <c r="CA169" s="121"/>
      <c r="CB169" s="64"/>
      <c r="CC169" s="64"/>
      <c r="CD169" s="122"/>
      <c r="CE169" s="70"/>
      <c r="CF169" s="121"/>
      <c r="CG169" s="64"/>
      <c r="CH169" s="64"/>
      <c r="CI169" s="122"/>
      <c r="CJ169" s="70"/>
      <c r="CK169" s="289"/>
      <c r="CL169" s="658"/>
      <c r="CM169" s="658"/>
      <c r="CN169" s="682"/>
      <c r="CO169" s="658"/>
      <c r="CP169" s="658"/>
      <c r="CQ169" s="658"/>
      <c r="CR169" s="658"/>
      <c r="CS169" s="658"/>
      <c r="CT169" s="289"/>
    </row>
    <row r="170" spans="1:107" s="299" customFormat="1" ht="11.25" hidden="1" customHeight="1" outlineLevel="1">
      <c r="A170" s="27" t="s">
        <v>157</v>
      </c>
      <c r="B170" s="76">
        <f t="shared" ref="B170:AL170" si="485">B54-B168</f>
        <v>1927</v>
      </c>
      <c r="C170" s="76">
        <f t="shared" si="485"/>
        <v>2017</v>
      </c>
      <c r="D170" s="76">
        <f t="shared" si="485"/>
        <v>1856</v>
      </c>
      <c r="E170" s="76">
        <f t="shared" si="485"/>
        <v>1839</v>
      </c>
      <c r="F170" s="76">
        <f t="shared" si="485"/>
        <v>1914</v>
      </c>
      <c r="G170" s="76">
        <f t="shared" si="485"/>
        <v>2000</v>
      </c>
      <c r="H170" s="110">
        <f t="shared" si="485"/>
        <v>440</v>
      </c>
      <c r="I170" s="110">
        <f t="shared" si="485"/>
        <v>482</v>
      </c>
      <c r="J170" s="110">
        <f t="shared" si="485"/>
        <v>517</v>
      </c>
      <c r="K170" s="109">
        <f t="shared" si="485"/>
        <v>596</v>
      </c>
      <c r="L170" s="76">
        <f t="shared" si="485"/>
        <v>2035</v>
      </c>
      <c r="M170" s="109">
        <f t="shared" si="485"/>
        <v>486</v>
      </c>
      <c r="N170" s="110">
        <f t="shared" si="485"/>
        <v>602</v>
      </c>
      <c r="O170" s="110">
        <f t="shared" si="485"/>
        <v>644</v>
      </c>
      <c r="P170" s="109">
        <f t="shared" si="485"/>
        <v>695</v>
      </c>
      <c r="Q170" s="111">
        <f t="shared" si="485"/>
        <v>2427</v>
      </c>
      <c r="R170" s="109">
        <f t="shared" si="485"/>
        <v>652</v>
      </c>
      <c r="S170" s="110">
        <f t="shared" si="485"/>
        <v>727</v>
      </c>
      <c r="T170" s="110">
        <f t="shared" si="485"/>
        <v>737</v>
      </c>
      <c r="U170" s="109">
        <f t="shared" si="485"/>
        <v>830</v>
      </c>
      <c r="V170" s="76">
        <f t="shared" si="485"/>
        <v>2946</v>
      </c>
      <c r="W170" s="109">
        <f t="shared" si="485"/>
        <v>734</v>
      </c>
      <c r="X170" s="110">
        <f t="shared" si="485"/>
        <v>763</v>
      </c>
      <c r="Y170" s="29">
        <f t="shared" si="485"/>
        <v>796</v>
      </c>
      <c r="Z170" s="59">
        <f t="shared" si="485"/>
        <v>882</v>
      </c>
      <c r="AA170" s="111">
        <f t="shared" si="485"/>
        <v>3175</v>
      </c>
      <c r="AB170" s="109">
        <f t="shared" si="485"/>
        <v>718</v>
      </c>
      <c r="AC170" s="110">
        <f t="shared" si="485"/>
        <v>779</v>
      </c>
      <c r="AD170" s="29">
        <f t="shared" si="485"/>
        <v>742</v>
      </c>
      <c r="AE170" s="109">
        <f t="shared" si="485"/>
        <v>802</v>
      </c>
      <c r="AF170" s="76">
        <f t="shared" si="485"/>
        <v>3041</v>
      </c>
      <c r="AG170" s="109">
        <f t="shared" si="485"/>
        <v>731</v>
      </c>
      <c r="AH170" s="110">
        <f t="shared" si="485"/>
        <v>746</v>
      </c>
      <c r="AI170" s="29">
        <f t="shared" si="485"/>
        <v>721</v>
      </c>
      <c r="AJ170" s="109">
        <f t="shared" si="485"/>
        <v>759</v>
      </c>
      <c r="AK170" s="76">
        <f t="shared" si="485"/>
        <v>2957</v>
      </c>
      <c r="AL170" s="109">
        <f t="shared" si="485"/>
        <v>692</v>
      </c>
      <c r="AM170" s="29"/>
      <c r="AN170" s="29"/>
      <c r="AO170" s="109"/>
      <c r="AP170" s="76"/>
      <c r="AQ170" s="109"/>
      <c r="AR170" s="29"/>
      <c r="AS170" s="29"/>
      <c r="AT170" s="109"/>
      <c r="AU170" s="76"/>
      <c r="AV170" s="109"/>
      <c r="AW170" s="29"/>
      <c r="AX170" s="29"/>
      <c r="AY170" s="109"/>
      <c r="AZ170" s="76"/>
      <c r="BA170" s="109"/>
      <c r="BB170" s="29"/>
      <c r="BC170" s="29"/>
      <c r="BD170" s="109"/>
      <c r="BE170" s="76"/>
      <c r="BF170" s="90"/>
      <c r="BG170" s="28"/>
      <c r="BH170" s="28"/>
      <c r="BI170" s="30"/>
      <c r="BJ170" s="76"/>
      <c r="BK170" s="90"/>
      <c r="BL170" s="28"/>
      <c r="BM170" s="28"/>
      <c r="BN170" s="30"/>
      <c r="BO170" s="76"/>
      <c r="BP170" s="76"/>
      <c r="BQ170" s="90"/>
      <c r="BR170" s="28"/>
      <c r="BS170" s="28"/>
      <c r="BT170" s="30"/>
      <c r="BU170" s="76"/>
      <c r="BV170" s="90"/>
      <c r="BW170" s="28"/>
      <c r="BX170" s="28"/>
      <c r="BY170" s="30"/>
      <c r="BZ170" s="76"/>
      <c r="CA170" s="90"/>
      <c r="CB170" s="28"/>
      <c r="CC170" s="28"/>
      <c r="CD170" s="30"/>
      <c r="CE170" s="76"/>
      <c r="CF170" s="90"/>
      <c r="CG170" s="28"/>
      <c r="CH170" s="28"/>
      <c r="CI170" s="30"/>
      <c r="CJ170" s="76"/>
      <c r="CK170" s="290"/>
      <c r="CL170" s="658"/>
      <c r="CM170" s="658"/>
      <c r="CN170" s="682"/>
      <c r="CO170" s="658"/>
      <c r="CP170" s="658"/>
      <c r="CQ170" s="658"/>
      <c r="CR170" s="658"/>
      <c r="CS170" s="658"/>
      <c r="CT170" s="290"/>
      <c r="CX170"/>
      <c r="CY170"/>
      <c r="CZ170"/>
      <c r="DA170"/>
      <c r="DB170"/>
      <c r="DC170"/>
    </row>
    <row r="171" spans="1:107" ht="11.25" hidden="1" customHeight="1" outlineLevel="1">
      <c r="A171" s="62" t="s">
        <v>137</v>
      </c>
      <c r="B171" s="70"/>
      <c r="C171" s="70">
        <f>C170/B170-1</f>
        <v>4.6704722366372575E-2</v>
      </c>
      <c r="D171" s="70">
        <f>D170/C170-1</f>
        <v>-7.9821517104610828E-2</v>
      </c>
      <c r="E171" s="70">
        <f>E170/D170-1</f>
        <v>-9.1594827586206629E-3</v>
      </c>
      <c r="F171" s="70">
        <f>F170/E170-1</f>
        <v>4.0783034257748874E-2</v>
      </c>
      <c r="G171" s="70">
        <f>G170/F170-1</f>
        <v>4.4932079414838011E-2</v>
      </c>
      <c r="H171" s="118"/>
      <c r="I171" s="64"/>
      <c r="J171" s="64"/>
      <c r="K171" s="64"/>
      <c r="L171" s="70">
        <f t="shared" ref="L171:AL171" si="486">L170/G170-1</f>
        <v>1.7500000000000071E-2</v>
      </c>
      <c r="M171" s="64">
        <f t="shared" si="486"/>
        <v>0.1045454545454545</v>
      </c>
      <c r="N171" s="64">
        <f t="shared" si="486"/>
        <v>0.24896265560165975</v>
      </c>
      <c r="O171" s="64">
        <f t="shared" si="486"/>
        <v>0.24564796905222441</v>
      </c>
      <c r="P171" s="64">
        <f t="shared" si="486"/>
        <v>0.16610738255033564</v>
      </c>
      <c r="Q171" s="70">
        <f t="shared" si="486"/>
        <v>0.19262899262899258</v>
      </c>
      <c r="R171" s="64">
        <f t="shared" si="486"/>
        <v>0.34156378600823056</v>
      </c>
      <c r="S171" s="64">
        <f t="shared" si="486"/>
        <v>0.20764119601328912</v>
      </c>
      <c r="T171" s="64">
        <f t="shared" si="486"/>
        <v>0.14440993788819867</v>
      </c>
      <c r="U171" s="64">
        <f t="shared" si="486"/>
        <v>0.19424460431654667</v>
      </c>
      <c r="V171" s="70">
        <f t="shared" si="486"/>
        <v>0.21384425216316449</v>
      </c>
      <c r="W171" s="64">
        <f t="shared" si="486"/>
        <v>0.12576687116564411</v>
      </c>
      <c r="X171" s="64">
        <f t="shared" si="486"/>
        <v>4.9518569463548934E-2</v>
      </c>
      <c r="Y171" s="64">
        <f t="shared" si="486"/>
        <v>8.0054274084124799E-2</v>
      </c>
      <c r="Z171" s="64">
        <f t="shared" si="486"/>
        <v>6.2650602409638489E-2</v>
      </c>
      <c r="AA171" s="70">
        <f t="shared" si="486"/>
        <v>7.7732518669382245E-2</v>
      </c>
      <c r="AB171" s="64">
        <f t="shared" si="486"/>
        <v>-2.1798365122615793E-2</v>
      </c>
      <c r="AC171" s="64">
        <f t="shared" si="486"/>
        <v>2.0969855832241091E-2</v>
      </c>
      <c r="AD171" s="64">
        <f t="shared" si="486"/>
        <v>-6.7839195979899514E-2</v>
      </c>
      <c r="AE171" s="64">
        <f t="shared" si="486"/>
        <v>-9.0702947845805015E-2</v>
      </c>
      <c r="AF171" s="70">
        <f t="shared" si="486"/>
        <v>-4.2204724409448779E-2</v>
      </c>
      <c r="AG171" s="64">
        <f t="shared" si="486"/>
        <v>1.8105849582172651E-2</v>
      </c>
      <c r="AH171" s="64">
        <f t="shared" si="486"/>
        <v>-4.2362002567394086E-2</v>
      </c>
      <c r="AI171" s="64">
        <f t="shared" si="486"/>
        <v>-2.8301886792452824E-2</v>
      </c>
      <c r="AJ171" s="64">
        <f t="shared" si="486"/>
        <v>-5.361596009975067E-2</v>
      </c>
      <c r="AK171" s="70">
        <f t="shared" si="486"/>
        <v>-2.7622492601118043E-2</v>
      </c>
      <c r="AL171" s="64">
        <f t="shared" si="486"/>
        <v>-5.3351573187414458E-2</v>
      </c>
      <c r="AM171" s="64"/>
      <c r="AN171" s="64"/>
      <c r="AO171" s="64"/>
      <c r="AP171" s="70"/>
      <c r="AQ171" s="64"/>
      <c r="AR171" s="64"/>
      <c r="AS171" s="64"/>
      <c r="AT171" s="64"/>
      <c r="AU171" s="70"/>
      <c r="AV171" s="64"/>
      <c r="AW171" s="64"/>
      <c r="AX171" s="64"/>
      <c r="AY171" s="64"/>
      <c r="AZ171" s="70"/>
      <c r="BA171" s="64"/>
      <c r="BB171" s="64"/>
      <c r="BC171" s="64"/>
      <c r="BD171" s="64"/>
      <c r="BE171" s="70"/>
      <c r="BF171" s="121"/>
      <c r="BG171" s="64"/>
      <c r="BH171" s="64"/>
      <c r="BI171" s="122"/>
      <c r="BJ171" s="70"/>
      <c r="BK171" s="121"/>
      <c r="BL171" s="64"/>
      <c r="BM171" s="64"/>
      <c r="BN171" s="122"/>
      <c r="BO171" s="70"/>
      <c r="BP171" s="70"/>
      <c r="BQ171" s="121"/>
      <c r="BR171" s="64"/>
      <c r="BS171" s="64"/>
      <c r="BT171" s="122"/>
      <c r="BU171" s="70"/>
      <c r="BV171" s="121"/>
      <c r="BW171" s="64"/>
      <c r="BX171" s="64"/>
      <c r="BY171" s="122"/>
      <c r="BZ171" s="70"/>
      <c r="CA171" s="121"/>
      <c r="CB171" s="64"/>
      <c r="CC171" s="64"/>
      <c r="CD171" s="122"/>
      <c r="CE171" s="70"/>
      <c r="CF171" s="121"/>
      <c r="CG171" s="64"/>
      <c r="CH171" s="64"/>
      <c r="CI171" s="122"/>
      <c r="CJ171" s="70"/>
      <c r="CK171" s="289"/>
      <c r="CL171" s="658"/>
      <c r="CM171" s="658"/>
      <c r="CN171" s="682"/>
      <c r="CO171" s="658"/>
      <c r="CP171" s="658"/>
      <c r="CQ171" s="658"/>
      <c r="CR171" s="658"/>
      <c r="CS171" s="658"/>
      <c r="CT171" s="289"/>
    </row>
    <row r="172" spans="1:107" s="299" customFormat="1" ht="11.25" customHeight="1" collapsed="1">
      <c r="A172" s="63" t="s">
        <v>256</v>
      </c>
      <c r="B172" s="101"/>
      <c r="C172" s="101"/>
      <c r="D172" s="101"/>
      <c r="E172" s="101"/>
      <c r="F172" s="101"/>
      <c r="G172" s="101"/>
      <c r="H172" s="102"/>
      <c r="I172" s="102"/>
      <c r="J172" s="102"/>
      <c r="K172" s="102"/>
      <c r="L172" s="101"/>
      <c r="M172" s="102"/>
      <c r="N172" s="102"/>
      <c r="O172" s="102"/>
      <c r="P172" s="102"/>
      <c r="Q172" s="101"/>
      <c r="R172" s="102"/>
      <c r="S172" s="102"/>
      <c r="T172" s="102"/>
      <c r="U172" s="102"/>
      <c r="V172" s="101"/>
      <c r="W172" s="102"/>
      <c r="X172" s="102"/>
      <c r="Y172" s="102"/>
      <c r="Z172" s="102"/>
      <c r="AA172" s="101"/>
      <c r="AB172" s="102"/>
      <c r="AC172" s="102"/>
      <c r="AD172" s="102"/>
      <c r="AE172" s="102"/>
      <c r="AF172" s="101"/>
      <c r="AG172" s="102"/>
      <c r="AH172" s="102"/>
      <c r="AI172" s="102"/>
      <c r="AJ172" s="102"/>
      <c r="AK172" s="101"/>
      <c r="AL172" s="102"/>
      <c r="AM172" s="102"/>
      <c r="AN172" s="102"/>
      <c r="AO172" s="102"/>
      <c r="AP172" s="101">
        <f t="shared" ref="AP172:BJ172" si="487">AP175/AP64</f>
        <v>0.14942528735632185</v>
      </c>
      <c r="AQ172" s="102">
        <f t="shared" si="487"/>
        <v>0.17391304347826086</v>
      </c>
      <c r="AR172" s="102">
        <f t="shared" si="487"/>
        <v>0.10714285714285714</v>
      </c>
      <c r="AS172" s="102">
        <f t="shared" si="487"/>
        <v>0.16666666666666666</v>
      </c>
      <c r="AT172" s="102">
        <f t="shared" si="487"/>
        <v>-4.3478260869565216E-2</v>
      </c>
      <c r="AU172" s="101">
        <f t="shared" si="487"/>
        <v>0.10576923076923077</v>
      </c>
      <c r="AV172" s="102"/>
      <c r="AW172" s="102"/>
      <c r="AX172" s="102"/>
      <c r="AY172" s="102"/>
      <c r="AZ172" s="101">
        <f t="shared" ref="AZ172" si="488">AZ175/AZ64</f>
        <v>0.10576923076923077</v>
      </c>
      <c r="BA172" s="102">
        <f t="shared" si="487"/>
        <v>0</v>
      </c>
      <c r="BB172" s="102">
        <f t="shared" si="487"/>
        <v>-1.7543859649122806E-2</v>
      </c>
      <c r="BC172" s="102">
        <f t="shared" si="487"/>
        <v>0.17543859649122806</v>
      </c>
      <c r="BD172" s="102">
        <f t="shared" si="487"/>
        <v>8.2706766917293228E-2</v>
      </c>
      <c r="BE172" s="101">
        <f t="shared" si="487"/>
        <v>9.1463414634146339E-2</v>
      </c>
      <c r="BF172" s="102">
        <f t="shared" si="487"/>
        <v>0.12949640287769784</v>
      </c>
      <c r="BG172" s="102">
        <f t="shared" si="487"/>
        <v>5.0724637681159424E-2</v>
      </c>
      <c r="BH172" s="102">
        <f t="shared" si="487"/>
        <v>0.12751677852348994</v>
      </c>
      <c r="BI172" s="102">
        <f t="shared" si="487"/>
        <v>4.8951048951048952E-2</v>
      </c>
      <c r="BJ172" s="101">
        <f t="shared" si="487"/>
        <v>8.9630931458699478E-2</v>
      </c>
      <c r="BK172" s="102">
        <f t="shared" ref="BK172:BO172" si="489">BK175/BK64</f>
        <v>0.1111111111111111</v>
      </c>
      <c r="BL172" s="102">
        <f t="shared" si="489"/>
        <v>1.4492753623188406E-2</v>
      </c>
      <c r="BM172" s="102">
        <f t="shared" si="489"/>
        <v>0.13529411764705881</v>
      </c>
      <c r="BN172" s="102">
        <f t="shared" si="489"/>
        <v>-5.128205128205128E-2</v>
      </c>
      <c r="BO172" s="101">
        <f t="shared" si="489"/>
        <v>5.4276315789473686E-2</v>
      </c>
      <c r="BP172" s="101">
        <f t="shared" ref="BP172" si="490">BP175/BP64</f>
        <v>5.4276315789473686E-2</v>
      </c>
      <c r="BQ172" s="730">
        <v>7.0000000000000007E-2</v>
      </c>
      <c r="BR172" s="731">
        <v>7.0000000000000007E-2</v>
      </c>
      <c r="BS172" s="731">
        <v>7.0000000000000007E-2</v>
      </c>
      <c r="BT172" s="732">
        <v>7.0000000000000007E-2</v>
      </c>
      <c r="BU172" s="101">
        <f t="shared" ref="BU172" si="491">BU175/BU64</f>
        <v>7.0000000000000021E-2</v>
      </c>
      <c r="BV172" s="730"/>
      <c r="BW172" s="731"/>
      <c r="BX172" s="731"/>
      <c r="BY172" s="732"/>
      <c r="BZ172" s="729">
        <f>BU172+0.02</f>
        <v>9.0000000000000024E-2</v>
      </c>
      <c r="CA172" s="730"/>
      <c r="CB172" s="731"/>
      <c r="CC172" s="731"/>
      <c r="CD172" s="732"/>
      <c r="CE172" s="729">
        <f>BZ172+0.02</f>
        <v>0.11000000000000003</v>
      </c>
      <c r="CF172" s="730"/>
      <c r="CG172" s="731"/>
      <c r="CH172" s="731"/>
      <c r="CI172" s="732"/>
      <c r="CJ172" s="729">
        <v>0.12</v>
      </c>
      <c r="CK172" s="290"/>
      <c r="CL172" s="657" t="s">
        <v>351</v>
      </c>
      <c r="CM172" s="658"/>
      <c r="CN172" s="682"/>
      <c r="CO172" s="658"/>
      <c r="CP172" s="658"/>
      <c r="CQ172" s="657"/>
      <c r="CR172" s="658"/>
      <c r="CS172" s="658"/>
      <c r="CT172" s="290"/>
      <c r="CX172"/>
      <c r="CY172"/>
      <c r="CZ172"/>
      <c r="DA172"/>
      <c r="DB172"/>
      <c r="DC172"/>
    </row>
    <row r="173" spans="1:107" s="308" customFormat="1" ht="11.25" customHeight="1">
      <c r="A173" s="112" t="s">
        <v>140</v>
      </c>
      <c r="B173" s="114"/>
      <c r="C173" s="114"/>
      <c r="D173" s="114"/>
      <c r="E173" s="114"/>
      <c r="F173" s="114"/>
      <c r="G173" s="114"/>
      <c r="H173" s="113"/>
      <c r="I173" s="113"/>
      <c r="J173" s="113"/>
      <c r="K173" s="113"/>
      <c r="L173" s="114"/>
      <c r="M173" s="113"/>
      <c r="N173" s="113"/>
      <c r="O173" s="113"/>
      <c r="P173" s="113"/>
      <c r="Q173" s="114"/>
      <c r="R173" s="113"/>
      <c r="S173" s="113"/>
      <c r="T173" s="113"/>
      <c r="U173" s="113"/>
      <c r="V173" s="114"/>
      <c r="W173" s="113"/>
      <c r="X173" s="113"/>
      <c r="Y173" s="113"/>
      <c r="Z173" s="113"/>
      <c r="AA173" s="114"/>
      <c r="AB173" s="113"/>
      <c r="AC173" s="113"/>
      <c r="AD173" s="113"/>
      <c r="AE173" s="113"/>
      <c r="AF173" s="114"/>
      <c r="AG173" s="113"/>
      <c r="AH173" s="113"/>
      <c r="AI173" s="113"/>
      <c r="AJ173" s="113"/>
      <c r="AK173" s="114"/>
      <c r="AL173" s="113"/>
      <c r="AM173" s="113"/>
      <c r="AN173" s="113"/>
      <c r="AO173" s="113"/>
      <c r="AP173" s="114"/>
      <c r="AQ173" s="113"/>
      <c r="AR173" s="113"/>
      <c r="AS173" s="113"/>
      <c r="AT173" s="113"/>
      <c r="AU173" s="114"/>
      <c r="AV173" s="113"/>
      <c r="AW173" s="113"/>
      <c r="AX173" s="113"/>
      <c r="AY173" s="113"/>
      <c r="AZ173" s="114"/>
      <c r="BA173" s="113">
        <f>(BA172-AQ172)*100</f>
        <v>-17.391304347826086</v>
      </c>
      <c r="BB173" s="113">
        <f>(BB172-AR172)*100</f>
        <v>-12.468671679197994</v>
      </c>
      <c r="BC173" s="113">
        <f>(BC172-AS172)*100</f>
        <v>0.8771929824561403</v>
      </c>
      <c r="BD173" s="113">
        <f>(BD172-AT172)*100</f>
        <v>12.618502778685844</v>
      </c>
      <c r="BE173" s="114">
        <f>(BE172-AZ172)*100</f>
        <v>-1.4305816135084428</v>
      </c>
      <c r="BF173" s="113">
        <f t="shared" ref="BF173:BM173" si="492">(BF172-BA172)*100</f>
        <v>12.949640287769784</v>
      </c>
      <c r="BG173" s="113">
        <f t="shared" si="492"/>
        <v>6.8268497330282232</v>
      </c>
      <c r="BH173" s="113">
        <f t="shared" si="492"/>
        <v>-4.7921817967738116</v>
      </c>
      <c r="BI173" s="113">
        <f t="shared" si="492"/>
        <v>-3.3755717966244276</v>
      </c>
      <c r="BJ173" s="114">
        <f t="shared" si="492"/>
        <v>-0.18324831754468612</v>
      </c>
      <c r="BK173" s="113">
        <f t="shared" si="492"/>
        <v>-1.8385291766586738</v>
      </c>
      <c r="BL173" s="113">
        <f t="shared" ref="BL173" si="493">(BL172-BG172)*100</f>
        <v>-3.6231884057971016</v>
      </c>
      <c r="BM173" s="113">
        <f t="shared" si="492"/>
        <v>0.77773391235688716</v>
      </c>
      <c r="BN173" s="113">
        <f t="shared" ref="BN173" si="494">(BN172-BI172)*100</f>
        <v>-10.023310023310023</v>
      </c>
      <c r="BO173" s="114">
        <f t="shared" ref="BO173" si="495">(BO172-BJ172)*100</f>
        <v>-3.5354615669225793</v>
      </c>
      <c r="BP173" s="114"/>
      <c r="BQ173" s="115">
        <f t="shared" ref="BQ173" si="496">(BQ172-BK172)*100</f>
        <v>-4.1111111111111098</v>
      </c>
      <c r="BR173" s="113">
        <f t="shared" ref="BR173" si="497">(BR172-BL172)*100</f>
        <v>5.5507246376811601</v>
      </c>
      <c r="BS173" s="113">
        <f t="shared" ref="BS173" si="498">(BS172-BM172)*100</f>
        <v>-6.5294117647058805</v>
      </c>
      <c r="BT173" s="116">
        <f>(BT172-BN172)*100</f>
        <v>12.12820512820513</v>
      </c>
      <c r="BU173" s="114">
        <f>(BU172-BO172)*100</f>
        <v>1.5723684210526334</v>
      </c>
      <c r="BV173" s="115"/>
      <c r="BW173" s="113"/>
      <c r="BX173" s="113"/>
      <c r="BY173" s="116"/>
      <c r="BZ173" s="114">
        <f>(BZ172-BU172)*100</f>
        <v>2.0000000000000004</v>
      </c>
      <c r="CA173" s="115"/>
      <c r="CB173" s="113"/>
      <c r="CC173" s="113"/>
      <c r="CD173" s="116"/>
      <c r="CE173" s="114">
        <f>(CE172-BZ172)*100</f>
        <v>2.0000000000000004</v>
      </c>
      <c r="CF173" s="115"/>
      <c r="CG173" s="113"/>
      <c r="CH173" s="113"/>
      <c r="CI173" s="116"/>
      <c r="CJ173" s="114">
        <f>(CJ172-CE172)*100</f>
        <v>0.99999999999999667</v>
      </c>
      <c r="CK173" s="307"/>
      <c r="CL173" s="657"/>
      <c r="CM173" s="957"/>
      <c r="CN173" s="682"/>
      <c r="CO173" s="675"/>
      <c r="CP173" s="675"/>
      <c r="CQ173" s="675"/>
      <c r="CR173" s="657"/>
      <c r="CS173" s="675"/>
      <c r="CT173" s="307"/>
      <c r="CX173"/>
      <c r="CY173"/>
      <c r="CZ173"/>
      <c r="DA173"/>
      <c r="DB173"/>
      <c r="DC173"/>
    </row>
    <row r="174" spans="1:107" s="299" customFormat="1" ht="11.25" customHeight="1">
      <c r="A174" s="108" t="s">
        <v>141</v>
      </c>
      <c r="B174" s="71"/>
      <c r="C174" s="158"/>
      <c r="D174" s="158"/>
      <c r="E174" s="158"/>
      <c r="F174" s="158"/>
      <c r="G174" s="158"/>
      <c r="H174" s="161"/>
      <c r="I174" s="161"/>
      <c r="J174" s="161"/>
      <c r="K174" s="161"/>
      <c r="L174" s="158"/>
      <c r="M174" s="161"/>
      <c r="N174" s="161"/>
      <c r="O174" s="161"/>
      <c r="P174" s="161"/>
      <c r="Q174" s="160"/>
      <c r="R174" s="161"/>
      <c r="S174" s="161"/>
      <c r="T174" s="161"/>
      <c r="U174" s="161"/>
      <c r="V174" s="160"/>
      <c r="W174" s="161"/>
      <c r="X174" s="161"/>
      <c r="Y174" s="161"/>
      <c r="Z174" s="161"/>
      <c r="AA174" s="160"/>
      <c r="AB174" s="161"/>
      <c r="AC174" s="161"/>
      <c r="AD174" s="161"/>
      <c r="AE174" s="161"/>
      <c r="AF174" s="160"/>
      <c r="AG174" s="161"/>
      <c r="AH174" s="161"/>
      <c r="AI174" s="161"/>
      <c r="AJ174" s="161"/>
      <c r="AK174" s="160"/>
      <c r="AL174" s="161"/>
      <c r="AM174" s="65"/>
      <c r="AN174" s="65"/>
      <c r="AO174" s="65"/>
      <c r="AP174" s="71"/>
      <c r="AQ174" s="161"/>
      <c r="AR174" s="65"/>
      <c r="AS174" s="65"/>
      <c r="AT174" s="65"/>
      <c r="AU174" s="320">
        <f t="shared" ref="AU174:BM174" si="499">IFERROR((AU175-AP175)/(AU64-AP64),0)</f>
        <v>-0.11764705882352941</v>
      </c>
      <c r="AV174" s="161">
        <f t="shared" si="499"/>
        <v>0.17391304347826086</v>
      </c>
      <c r="AW174" s="65">
        <f t="shared" si="499"/>
        <v>0.10714285714285714</v>
      </c>
      <c r="AX174" s="65">
        <f t="shared" si="499"/>
        <v>0.16666666666666666</v>
      </c>
      <c r="AY174" s="65">
        <f t="shared" si="499"/>
        <v>-4.3478260869565216E-2</v>
      </c>
      <c r="AZ174" s="320">
        <f t="shared" si="499"/>
        <v>0</v>
      </c>
      <c r="BA174" s="302">
        <f t="shared" si="499"/>
        <v>0</v>
      </c>
      <c r="BB174" s="302">
        <f t="shared" si="499"/>
        <v>-1.7543859649122806E-2</v>
      </c>
      <c r="BC174" s="302">
        <f t="shared" si="499"/>
        <v>0.17543859649122806</v>
      </c>
      <c r="BD174" s="302">
        <f t="shared" si="499"/>
        <v>8.2706766917293228E-2</v>
      </c>
      <c r="BE174" s="320">
        <f t="shared" si="499"/>
        <v>8.4821428571428575E-2</v>
      </c>
      <c r="BF174" s="302">
        <f t="shared" si="499"/>
        <v>0.15652173913043479</v>
      </c>
      <c r="BG174" s="302">
        <f t="shared" si="499"/>
        <v>9.8765432098765427E-2</v>
      </c>
      <c r="BH174" s="302">
        <f t="shared" si="499"/>
        <v>-2.8571428571428571E-2</v>
      </c>
      <c r="BI174" s="302">
        <f t="shared" si="499"/>
        <v>-0.4</v>
      </c>
      <c r="BJ174" s="320">
        <f t="shared" si="499"/>
        <v>8.7136929460580909E-2</v>
      </c>
      <c r="BK174" s="302">
        <f t="shared" si="499"/>
        <v>-0.4</v>
      </c>
      <c r="BL174" s="302">
        <f t="shared" si="499"/>
        <v>0</v>
      </c>
      <c r="BM174" s="302">
        <f t="shared" si="499"/>
        <v>0.19047619047619047</v>
      </c>
      <c r="BN174" s="302">
        <f t="shared" ref="BN174" si="500">IFERROR((BN175-BI175)/(BN64-BI64),0)</f>
        <v>-1.1538461538461537</v>
      </c>
      <c r="BO174" s="320">
        <f t="shared" ref="BO174" si="501">IFERROR((BO175-BJ175)/(BO64-BJ64),0)</f>
        <v>-0.46153846153846156</v>
      </c>
      <c r="BP174" s="320"/>
      <c r="BQ174" s="106">
        <f t="shared" ref="BQ174" si="502">IFERROR((BQ175-BK175)/(BQ64-BK64),0)</f>
        <v>-0.51730158730158649</v>
      </c>
      <c r="BR174" s="65">
        <f t="shared" ref="BR174" si="503">IFERROR((BR175-BL175)/(BR64-BL64),0)</f>
        <v>0.86296066252588044</v>
      </c>
      <c r="BS174" s="65">
        <f t="shared" ref="BS174" si="504">IFERROR((BS175-BM175)/(BS64-BM64),0)</f>
        <v>-0.86277310924369688</v>
      </c>
      <c r="BT174" s="107">
        <f>IFERROR((BT175-BN175)/(BT64-BN64),0)</f>
        <v>1.8026007326007303</v>
      </c>
      <c r="BU174" s="320">
        <f>IFERROR((BU175-BO175)/(BU64-BO64),0)</f>
        <v>0.29462406015037651</v>
      </c>
      <c r="BV174" s="106"/>
      <c r="BW174" s="65"/>
      <c r="BX174" s="65"/>
      <c r="BY174" s="107"/>
      <c r="BZ174" s="320">
        <f>IFERROR((BZ175-BU175)/(BZ64-BU64),0)</f>
        <v>0.37571428571428556</v>
      </c>
      <c r="CA174" s="106"/>
      <c r="CB174" s="65"/>
      <c r="CC174" s="65"/>
      <c r="CD174" s="107"/>
      <c r="CE174" s="320">
        <f>IFERROR((CE175-BZ175)/(CE64-BZ64),0)</f>
        <v>0.35999999999999988</v>
      </c>
      <c r="CF174" s="106"/>
      <c r="CG174" s="65"/>
      <c r="CH174" s="65"/>
      <c r="CI174" s="107"/>
      <c r="CJ174" s="320">
        <f>IFERROR((CJ175-CE175)/(CJ64-CE64),0)</f>
        <v>0.23111111111111063</v>
      </c>
      <c r="CK174" s="290"/>
      <c r="CL174" s="657"/>
      <c r="CM174" s="658"/>
      <c r="CN174" s="682"/>
      <c r="CO174" s="658"/>
      <c r="CP174" s="658"/>
      <c r="CQ174" s="658"/>
      <c r="CR174" s="658"/>
      <c r="CS174" s="658"/>
      <c r="CT174" s="290"/>
      <c r="CX174"/>
      <c r="CY174"/>
      <c r="CZ174"/>
      <c r="DA174"/>
      <c r="DB174"/>
      <c r="DC174"/>
    </row>
    <row r="175" spans="1:107" s="299" customFormat="1" ht="11.25" customHeight="1">
      <c r="A175" s="27" t="s">
        <v>257</v>
      </c>
      <c r="B175" s="76"/>
      <c r="C175" s="76"/>
      <c r="D175" s="76"/>
      <c r="E175" s="76"/>
      <c r="F175" s="76"/>
      <c r="G175" s="76"/>
      <c r="H175" s="110"/>
      <c r="I175" s="110"/>
      <c r="J175" s="110"/>
      <c r="K175" s="109"/>
      <c r="L175" s="76"/>
      <c r="M175" s="109"/>
      <c r="N175" s="110"/>
      <c r="O175" s="110"/>
      <c r="P175" s="109"/>
      <c r="Q175" s="111"/>
      <c r="R175" s="109"/>
      <c r="S175" s="110"/>
      <c r="T175" s="110"/>
      <c r="U175" s="109"/>
      <c r="V175" s="76"/>
      <c r="W175" s="109"/>
      <c r="X175" s="110"/>
      <c r="Y175" s="29"/>
      <c r="Z175" s="59"/>
      <c r="AA175" s="111"/>
      <c r="AB175" s="109"/>
      <c r="AC175" s="110"/>
      <c r="AD175" s="29"/>
      <c r="AE175" s="109"/>
      <c r="AF175" s="76"/>
      <c r="AG175" s="110"/>
      <c r="AH175" s="110"/>
      <c r="AI175" s="110"/>
      <c r="AJ175" s="109"/>
      <c r="AK175" s="76"/>
      <c r="AL175" s="29"/>
      <c r="AM175" s="29"/>
      <c r="AN175" s="29"/>
      <c r="AO175" s="109"/>
      <c r="AP175" s="76">
        <v>13</v>
      </c>
      <c r="AQ175" s="29">
        <v>4</v>
      </c>
      <c r="AR175" s="29">
        <v>3</v>
      </c>
      <c r="AS175" s="29">
        <v>5</v>
      </c>
      <c r="AT175" s="109">
        <v>-1</v>
      </c>
      <c r="AU175" s="76">
        <f>SUM(AQ175:AT175)</f>
        <v>11</v>
      </c>
      <c r="AV175" s="29"/>
      <c r="AW175" s="29"/>
      <c r="AX175" s="29"/>
      <c r="AY175" s="109"/>
      <c r="AZ175" s="76">
        <v>11</v>
      </c>
      <c r="BA175" s="29">
        <v>0</v>
      </c>
      <c r="BB175" s="29">
        <v>-1</v>
      </c>
      <c r="BC175" s="898">
        <v>20</v>
      </c>
      <c r="BD175" s="894">
        <v>11</v>
      </c>
      <c r="BE175" s="76">
        <f>SUM(BA175:BD175)</f>
        <v>30</v>
      </c>
      <c r="BF175" s="900">
        <v>18</v>
      </c>
      <c r="BG175" s="894">
        <v>7</v>
      </c>
      <c r="BH175" s="894">
        <v>19</v>
      </c>
      <c r="BI175" s="930">
        <f>51-SUM(BF175:BH175)</f>
        <v>7</v>
      </c>
      <c r="BJ175" s="76">
        <f>SUM(BF175:BI175)</f>
        <v>51</v>
      </c>
      <c r="BK175" s="900">
        <v>16</v>
      </c>
      <c r="BL175" s="28">
        <v>2</v>
      </c>
      <c r="BM175" s="894">
        <v>23</v>
      </c>
      <c r="BN175" s="930">
        <v>-8</v>
      </c>
      <c r="BO175" s="76">
        <f>SUM(BK175:BN175)</f>
        <v>33</v>
      </c>
      <c r="BP175" s="76">
        <f>BO175</f>
        <v>33</v>
      </c>
      <c r="BQ175" s="90">
        <f t="shared" ref="BQ175:BT175" si="505">BQ172*BQ64</f>
        <v>10.785600000000002</v>
      </c>
      <c r="BR175" s="28">
        <f t="shared" si="505"/>
        <v>10.336200000000002</v>
      </c>
      <c r="BS175" s="28">
        <f t="shared" si="505"/>
        <v>12.733000000000002</v>
      </c>
      <c r="BT175" s="30">
        <f t="shared" si="505"/>
        <v>11.684400000000002</v>
      </c>
      <c r="BU175" s="76">
        <f>SUM(BQ175:BT175)</f>
        <v>45.539200000000008</v>
      </c>
      <c r="BV175" s="90"/>
      <c r="BW175" s="28"/>
      <c r="BX175" s="28"/>
      <c r="BY175" s="30"/>
      <c r="BZ175" s="76">
        <f>BZ172*BZ64</f>
        <v>62.648928000000019</v>
      </c>
      <c r="CA175" s="90"/>
      <c r="CB175" s="28"/>
      <c r="CC175" s="28"/>
      <c r="CD175" s="30"/>
      <c r="CE175" s="76">
        <f>CE172*CE64</f>
        <v>82.696584960000024</v>
      </c>
      <c r="CF175" s="90"/>
      <c r="CG175" s="28"/>
      <c r="CH175" s="28"/>
      <c r="CI175" s="30"/>
      <c r="CJ175" s="76">
        <f>CJ172*CJ64</f>
        <v>98.333757388800009</v>
      </c>
      <c r="CK175" s="290"/>
      <c r="CL175" s="658"/>
      <c r="CM175" s="658"/>
      <c r="CN175" s="682"/>
      <c r="CO175" s="658"/>
      <c r="CP175" s="658"/>
      <c r="CQ175" s="658"/>
      <c r="CR175" s="658"/>
      <c r="CS175" s="658"/>
      <c r="CT175" s="290"/>
      <c r="CX175"/>
      <c r="CY175"/>
      <c r="CZ175"/>
      <c r="DA175"/>
      <c r="DB175"/>
      <c r="DC175"/>
    </row>
    <row r="176" spans="1:107" ht="11.25" customHeight="1">
      <c r="A176" s="62" t="s">
        <v>137</v>
      </c>
      <c r="B176" s="70"/>
      <c r="C176" s="70"/>
      <c r="D176" s="70"/>
      <c r="E176" s="70"/>
      <c r="F176" s="70"/>
      <c r="G176" s="70"/>
      <c r="H176" s="118"/>
      <c r="I176" s="64"/>
      <c r="J176" s="64"/>
      <c r="K176" s="64"/>
      <c r="L176" s="70"/>
      <c r="M176" s="64"/>
      <c r="N176" s="64"/>
      <c r="O176" s="64"/>
      <c r="P176" s="64"/>
      <c r="Q176" s="70"/>
      <c r="R176" s="64"/>
      <c r="S176" s="64"/>
      <c r="T176" s="64"/>
      <c r="U176" s="64"/>
      <c r="V176" s="70"/>
      <c r="W176" s="64"/>
      <c r="X176" s="64"/>
      <c r="Y176" s="64"/>
      <c r="Z176" s="64"/>
      <c r="AA176" s="70"/>
      <c r="AB176" s="64"/>
      <c r="AC176" s="64"/>
      <c r="AD176" s="64"/>
      <c r="AE176" s="64"/>
      <c r="AF176" s="70"/>
      <c r="AG176" s="64"/>
      <c r="AH176" s="64"/>
      <c r="AI176" s="64"/>
      <c r="AJ176" s="64"/>
      <c r="AK176" s="70"/>
      <c r="AL176" s="64"/>
      <c r="AM176" s="64"/>
      <c r="AN176" s="64"/>
      <c r="AO176" s="64"/>
      <c r="AP176" s="70"/>
      <c r="AQ176" s="64"/>
      <c r="AR176" s="64"/>
      <c r="AS176" s="64"/>
      <c r="AT176" s="64"/>
      <c r="AU176" s="70">
        <f t="shared" ref="AU176" si="506">AU175/AP175 -1</f>
        <v>-0.15384615384615385</v>
      </c>
      <c r="AV176" s="64"/>
      <c r="AW176" s="64"/>
      <c r="AX176" s="64"/>
      <c r="AY176" s="64"/>
      <c r="AZ176" s="70">
        <f t="shared" ref="AZ176" si="507">AZ175/AU175 -1</f>
        <v>0</v>
      </c>
      <c r="BA176" s="64">
        <f>BA175/AQ175 -1</f>
        <v>-1</v>
      </c>
      <c r="BB176" s="64">
        <f>BB175/AR175 -1</f>
        <v>-1.3333333333333333</v>
      </c>
      <c r="BC176" s="64">
        <f>BC175/AS175 -1</f>
        <v>3</v>
      </c>
      <c r="BD176" s="64">
        <f>BD175/AT175 -1</f>
        <v>-12</v>
      </c>
      <c r="BE176" s="70">
        <f>BE175/AZ175 -1</f>
        <v>1.7272727272727271</v>
      </c>
      <c r="BF176" s="1027" t="s">
        <v>28</v>
      </c>
      <c r="BG176" s="64">
        <f t="shared" ref="BG176:BM176" si="508">BG175/BB175 -1</f>
        <v>-8</v>
      </c>
      <c r="BH176" s="64">
        <f t="shared" si="508"/>
        <v>-5.0000000000000044E-2</v>
      </c>
      <c r="BI176" s="64">
        <f t="shared" si="508"/>
        <v>-0.36363636363636365</v>
      </c>
      <c r="BJ176" s="70">
        <f t="shared" si="508"/>
        <v>0.7</v>
      </c>
      <c r="BK176" s="64">
        <f t="shared" si="508"/>
        <v>-0.11111111111111116</v>
      </c>
      <c r="BL176" s="64">
        <f t="shared" si="508"/>
        <v>-0.7142857142857143</v>
      </c>
      <c r="BM176" s="64">
        <f t="shared" si="508"/>
        <v>0.21052631578947367</v>
      </c>
      <c r="BN176" s="64">
        <f t="shared" ref="BN176" si="509">BN175/BI175 -1</f>
        <v>-2.1428571428571428</v>
      </c>
      <c r="BO176" s="70">
        <f t="shared" ref="BO176" si="510">BO175/BJ175 -1</f>
        <v>-0.3529411764705882</v>
      </c>
      <c r="BP176" s="70"/>
      <c r="BQ176" s="121">
        <f t="shared" ref="BQ176" si="511">BQ175/BK175 -1</f>
        <v>-0.32589999999999986</v>
      </c>
      <c r="BR176" s="64">
        <f t="shared" ref="BR176" si="512">BR175/BL175 -1</f>
        <v>4.1681000000000008</v>
      </c>
      <c r="BS176" s="64">
        <f t="shared" ref="BS176" si="513">BS175/BM175 -1</f>
        <v>-0.44639130434782603</v>
      </c>
      <c r="BT176" s="122">
        <f>BT175/BN175 -1</f>
        <v>-2.4605500000000005</v>
      </c>
      <c r="BU176" s="70">
        <f>BU175/BO175 -1</f>
        <v>0.37997575757575786</v>
      </c>
      <c r="BV176" s="121"/>
      <c r="BW176" s="64"/>
      <c r="BX176" s="64"/>
      <c r="BY176" s="122"/>
      <c r="BZ176" s="70">
        <f>BZ175/BU175 -1</f>
        <v>0.37571428571428589</v>
      </c>
      <c r="CA176" s="121"/>
      <c r="CB176" s="64"/>
      <c r="CC176" s="64"/>
      <c r="CD176" s="122"/>
      <c r="CE176" s="70">
        <f>CE175/BZ175 -1</f>
        <v>0.32000000000000006</v>
      </c>
      <c r="CF176" s="121"/>
      <c r="CG176" s="64"/>
      <c r="CH176" s="64"/>
      <c r="CI176" s="122"/>
      <c r="CJ176" s="70">
        <f>CJ175/CE175 -1</f>
        <v>0.18909090909090875</v>
      </c>
      <c r="CK176" s="289"/>
      <c r="CL176" s="658"/>
      <c r="CM176" s="658"/>
      <c r="CN176" s="658"/>
      <c r="CO176" s="658"/>
      <c r="CP176" s="658"/>
      <c r="CQ176" s="658"/>
      <c r="CR176" s="658"/>
      <c r="CS176" s="658"/>
      <c r="CT176" s="289"/>
    </row>
    <row r="177" spans="1:107" s="299" customFormat="1" ht="11.25" customHeight="1">
      <c r="A177" s="27" t="s">
        <v>258</v>
      </c>
      <c r="B177" s="76"/>
      <c r="C177" s="76"/>
      <c r="D177" s="76"/>
      <c r="E177" s="76"/>
      <c r="F177" s="76"/>
      <c r="G177" s="76"/>
      <c r="H177" s="110"/>
      <c r="I177" s="110"/>
      <c r="J177" s="110"/>
      <c r="K177" s="109"/>
      <c r="L177" s="76"/>
      <c r="M177" s="109"/>
      <c r="N177" s="110"/>
      <c r="O177" s="110"/>
      <c r="P177" s="109"/>
      <c r="Q177" s="111"/>
      <c r="R177" s="109"/>
      <c r="S177" s="110"/>
      <c r="T177" s="110"/>
      <c r="U177" s="109"/>
      <c r="V177" s="76"/>
      <c r="W177" s="109"/>
      <c r="X177" s="110"/>
      <c r="Y177" s="29"/>
      <c r="Z177" s="59"/>
      <c r="AA177" s="111"/>
      <c r="AB177" s="109"/>
      <c r="AC177" s="110"/>
      <c r="AD177" s="29"/>
      <c r="AE177" s="109"/>
      <c r="AF177" s="76"/>
      <c r="AG177" s="109"/>
      <c r="AH177" s="110"/>
      <c r="AI177" s="29"/>
      <c r="AJ177" s="109"/>
      <c r="AK177" s="76"/>
      <c r="AL177" s="109"/>
      <c r="AM177" s="29"/>
      <c r="AN177" s="29"/>
      <c r="AO177" s="109"/>
      <c r="AP177" s="76">
        <f>AP64-AP175</f>
        <v>74</v>
      </c>
      <c r="AQ177" s="109">
        <f>AQ64-AQ175</f>
        <v>19</v>
      </c>
      <c r="AR177" s="109">
        <f>AR64-AR175</f>
        <v>25</v>
      </c>
      <c r="AS177" s="109">
        <f>AS64-AS175</f>
        <v>25</v>
      </c>
      <c r="AT177" s="109">
        <f>AT64-AT175</f>
        <v>24</v>
      </c>
      <c r="AU177" s="76">
        <f>SUM(AQ177:AT177)</f>
        <v>93</v>
      </c>
      <c r="AV177" s="109"/>
      <c r="AW177" s="109"/>
      <c r="AX177" s="109"/>
      <c r="AY177" s="109"/>
      <c r="AZ177" s="76">
        <f>AZ64-AZ175</f>
        <v>93</v>
      </c>
      <c r="BA177" s="109">
        <f>BA64-BA175</f>
        <v>24</v>
      </c>
      <c r="BB177" s="109">
        <f>BB64-BB175</f>
        <v>58</v>
      </c>
      <c r="BC177" s="109">
        <f>BC64-BC175</f>
        <v>94</v>
      </c>
      <c r="BD177" s="109">
        <f>BD64-BD175</f>
        <v>122</v>
      </c>
      <c r="BE177" s="76">
        <f>SUM(BA177:BD177)</f>
        <v>298</v>
      </c>
      <c r="BF177" s="109">
        <f t="shared" ref="BF177:BL177" si="514">BF64-BF175</f>
        <v>121</v>
      </c>
      <c r="BG177" s="109">
        <f t="shared" si="514"/>
        <v>131</v>
      </c>
      <c r="BH177" s="109">
        <f t="shared" si="514"/>
        <v>130</v>
      </c>
      <c r="BI177" s="109">
        <f t="shared" si="514"/>
        <v>136</v>
      </c>
      <c r="BJ177" s="76">
        <f t="shared" si="514"/>
        <v>518</v>
      </c>
      <c r="BK177" s="109">
        <f t="shared" si="514"/>
        <v>128</v>
      </c>
      <c r="BL177" s="109">
        <f t="shared" si="514"/>
        <v>136</v>
      </c>
      <c r="BM177" s="109">
        <f t="shared" ref="BM177:BO177" si="515">BM64-BM175</f>
        <v>147</v>
      </c>
      <c r="BN177" s="109">
        <f t="shared" si="515"/>
        <v>164</v>
      </c>
      <c r="BO177" s="76">
        <f t="shared" si="515"/>
        <v>575</v>
      </c>
      <c r="BP177" s="76"/>
      <c r="BQ177" s="90">
        <f t="shared" ref="BQ177:BU177" si="516">BQ64-BQ175</f>
        <v>143.2944</v>
      </c>
      <c r="BR177" s="28">
        <f t="shared" si="516"/>
        <v>137.32380000000001</v>
      </c>
      <c r="BS177" s="28">
        <f t="shared" si="516"/>
        <v>169.167</v>
      </c>
      <c r="BT177" s="30">
        <f t="shared" si="516"/>
        <v>155.23560000000001</v>
      </c>
      <c r="BU177" s="76">
        <f t="shared" si="516"/>
        <v>605.02079999999989</v>
      </c>
      <c r="BV177" s="90"/>
      <c r="BW177" s="28"/>
      <c r="BX177" s="28"/>
      <c r="BY177" s="30"/>
      <c r="BZ177" s="76">
        <f>BZ64-BZ175</f>
        <v>633.45027199999993</v>
      </c>
      <c r="CA177" s="90"/>
      <c r="CB177" s="28"/>
      <c r="CC177" s="28"/>
      <c r="CD177" s="30"/>
      <c r="CE177" s="76">
        <f>CE64-CE175</f>
        <v>669.09055104000004</v>
      </c>
      <c r="CF177" s="90"/>
      <c r="CG177" s="28"/>
      <c r="CH177" s="28"/>
      <c r="CI177" s="30"/>
      <c r="CJ177" s="76">
        <f>CJ64-CJ175</f>
        <v>721.11422085120012</v>
      </c>
      <c r="CK177" s="290"/>
      <c r="CL177" s="658"/>
      <c r="CM177" s="658"/>
      <c r="CN177" s="682"/>
      <c r="CO177" s="658"/>
      <c r="CP177" s="658"/>
      <c r="CQ177" s="658"/>
      <c r="CR177" s="658"/>
      <c r="CS177" s="658"/>
      <c r="CT177" s="290"/>
      <c r="CX177"/>
      <c r="CY177"/>
      <c r="CZ177"/>
      <c r="DA177"/>
      <c r="DB177"/>
      <c r="DC177"/>
    </row>
    <row r="178" spans="1:107" ht="11.25" customHeight="1">
      <c r="A178" s="62" t="s">
        <v>137</v>
      </c>
      <c r="B178" s="70"/>
      <c r="C178" s="70"/>
      <c r="D178" s="70"/>
      <c r="E178" s="70"/>
      <c r="F178" s="70"/>
      <c r="G178" s="70"/>
      <c r="H178" s="118"/>
      <c r="I178" s="64"/>
      <c r="J178" s="64"/>
      <c r="K178" s="64"/>
      <c r="L178" s="70"/>
      <c r="M178" s="64"/>
      <c r="N178" s="64"/>
      <c r="O178" s="64"/>
      <c r="P178" s="64"/>
      <c r="Q178" s="70"/>
      <c r="R178" s="64"/>
      <c r="S178" s="64"/>
      <c r="T178" s="64"/>
      <c r="U178" s="64"/>
      <c r="V178" s="70"/>
      <c r="W178" s="64"/>
      <c r="X178" s="64"/>
      <c r="Y178" s="64"/>
      <c r="Z178" s="64"/>
      <c r="AA178" s="70"/>
      <c r="AB178" s="64"/>
      <c r="AC178" s="64"/>
      <c r="AD178" s="64"/>
      <c r="AE178" s="64"/>
      <c r="AF178" s="70"/>
      <c r="AG178" s="64"/>
      <c r="AH178" s="64"/>
      <c r="AI178" s="64"/>
      <c r="AJ178" s="64"/>
      <c r="AK178" s="70"/>
      <c r="AL178" s="64"/>
      <c r="AM178" s="64"/>
      <c r="AN178" s="64"/>
      <c r="AO178" s="64"/>
      <c r="AP178" s="70"/>
      <c r="AQ178" s="64"/>
      <c r="AR178" s="64"/>
      <c r="AS178" s="64"/>
      <c r="AT178" s="64"/>
      <c r="AU178" s="70">
        <f t="shared" ref="AU178" si="517">AU177/AP177 -1</f>
        <v>0.2567567567567568</v>
      </c>
      <c r="AV178" s="64"/>
      <c r="AW178" s="64"/>
      <c r="AX178" s="64"/>
      <c r="AY178" s="64"/>
      <c r="AZ178" s="70">
        <f t="shared" ref="AZ178" si="518">AZ177/AU177 -1</f>
        <v>0</v>
      </c>
      <c r="BA178" s="64">
        <f>BA177/AQ177 -1</f>
        <v>0.26315789473684204</v>
      </c>
      <c r="BB178" s="64">
        <f>BB177/AR177 -1</f>
        <v>1.3199999999999998</v>
      </c>
      <c r="BC178" s="64">
        <f>BC177/AS177 -1</f>
        <v>2.76</v>
      </c>
      <c r="BD178" s="64">
        <f>BD177/AT177 -1</f>
        <v>4.083333333333333</v>
      </c>
      <c r="BE178" s="70">
        <f>BE177/AZ177 -1</f>
        <v>2.204301075268817</v>
      </c>
      <c r="BF178" s="64">
        <f t="shared" ref="BF178:BM178" si="519">BF177/BA177 -1</f>
        <v>4.041666666666667</v>
      </c>
      <c r="BG178" s="64">
        <f t="shared" si="519"/>
        <v>1.2586206896551726</v>
      </c>
      <c r="BH178" s="64">
        <f t="shared" si="519"/>
        <v>0.38297872340425543</v>
      </c>
      <c r="BI178" s="64">
        <f t="shared" si="519"/>
        <v>0.11475409836065564</v>
      </c>
      <c r="BJ178" s="70">
        <f t="shared" si="519"/>
        <v>0.73825503355704702</v>
      </c>
      <c r="BK178" s="64">
        <f t="shared" si="519"/>
        <v>5.7851239669421517E-2</v>
      </c>
      <c r="BL178" s="64">
        <f t="shared" si="519"/>
        <v>3.8167938931297662E-2</v>
      </c>
      <c r="BM178" s="64">
        <f t="shared" si="519"/>
        <v>0.13076923076923075</v>
      </c>
      <c r="BN178" s="64">
        <f t="shared" ref="BN178" si="520">BN177/BI177 -1</f>
        <v>0.20588235294117641</v>
      </c>
      <c r="BO178" s="70">
        <f t="shared" ref="BO178" si="521">BO177/BJ177 -1</f>
        <v>0.11003861003860993</v>
      </c>
      <c r="BP178" s="70"/>
      <c r="BQ178" s="121">
        <f t="shared" ref="BQ178" si="522">BQ177/BK177 -1</f>
        <v>0.11948749999999997</v>
      </c>
      <c r="BR178" s="64">
        <f t="shared" ref="BR178" si="523">BR177/BL177 -1</f>
        <v>9.733823529411767E-3</v>
      </c>
      <c r="BS178" s="64">
        <f t="shared" ref="BS178" si="524">BS177/BM177 -1</f>
        <v>0.15079591836734685</v>
      </c>
      <c r="BT178" s="122">
        <f>BT177/BN177 -1</f>
        <v>-5.3441463414634072E-2</v>
      </c>
      <c r="BU178" s="70">
        <f>BU177/BO177 -1</f>
        <v>5.2210086956521629E-2</v>
      </c>
      <c r="BV178" s="121"/>
      <c r="BW178" s="64"/>
      <c r="BX178" s="64"/>
      <c r="BY178" s="122"/>
      <c r="BZ178" s="70">
        <f>BZ177/BU177 -1</f>
        <v>4.6989247311828075E-2</v>
      </c>
      <c r="CA178" s="121"/>
      <c r="CB178" s="64"/>
      <c r="CC178" s="64"/>
      <c r="CD178" s="122"/>
      <c r="CE178" s="70">
        <f>CE177/BZ177 -1</f>
        <v>5.6263736263736375E-2</v>
      </c>
      <c r="CF178" s="121"/>
      <c r="CG178" s="64"/>
      <c r="CH178" s="64"/>
      <c r="CI178" s="122"/>
      <c r="CJ178" s="70">
        <f>CJ177/CE177 -1</f>
        <v>7.7752808988764244E-2</v>
      </c>
      <c r="CK178" s="289"/>
      <c r="CL178" s="658"/>
      <c r="CM178" s="658"/>
      <c r="CN178" s="682"/>
      <c r="CO178" s="658"/>
      <c r="CP178" s="658"/>
      <c r="CQ178" s="658"/>
      <c r="CR178" s="658"/>
      <c r="CS178" s="658"/>
      <c r="CT178" s="289"/>
    </row>
    <row r="179" spans="1:107" s="180" customFormat="1">
      <c r="A179" s="726" t="s">
        <v>255</v>
      </c>
      <c r="B179" s="134"/>
      <c r="C179" s="134"/>
      <c r="D179" s="134"/>
      <c r="E179" s="134"/>
      <c r="F179" s="134"/>
      <c r="G179" s="134"/>
      <c r="H179" s="135"/>
      <c r="I179" s="135"/>
      <c r="J179" s="135"/>
      <c r="K179" s="136"/>
      <c r="L179" s="134"/>
      <c r="M179" s="136"/>
      <c r="N179" s="135"/>
      <c r="O179" s="135"/>
      <c r="P179" s="136"/>
      <c r="Q179" s="137"/>
      <c r="R179" s="136"/>
      <c r="S179" s="135"/>
      <c r="T179" s="135"/>
      <c r="U179" s="136"/>
      <c r="V179" s="137"/>
      <c r="W179" s="136"/>
      <c r="X179" s="135"/>
      <c r="Y179" s="135"/>
      <c r="Z179" s="177"/>
      <c r="AA179" s="137"/>
      <c r="AB179" s="136"/>
      <c r="AC179" s="135"/>
      <c r="AD179" s="135"/>
      <c r="AE179" s="136"/>
      <c r="AF179" s="137"/>
      <c r="AG179" s="135"/>
      <c r="AH179" s="135"/>
      <c r="AI179" s="135"/>
      <c r="AJ179" s="136"/>
      <c r="AK179" s="137"/>
      <c r="AL179" s="135"/>
      <c r="AM179" s="135"/>
      <c r="AN179" s="135"/>
      <c r="AO179" s="136"/>
      <c r="AP179" s="137">
        <v>-9</v>
      </c>
      <c r="AQ179" s="135">
        <v>-2</v>
      </c>
      <c r="AR179" s="135">
        <v>-1</v>
      </c>
      <c r="AS179" s="135">
        <v>-1</v>
      </c>
      <c r="AT179" s="136">
        <v>-2</v>
      </c>
      <c r="AU179" s="137">
        <f>SUM(AQ179:AT179)</f>
        <v>-6</v>
      </c>
      <c r="AV179" s="135"/>
      <c r="AW179" s="135"/>
      <c r="AX179" s="135"/>
      <c r="AY179" s="136"/>
      <c r="AZ179" s="748">
        <v>-55</v>
      </c>
      <c r="BA179" s="674">
        <v>-14</v>
      </c>
      <c r="BB179" s="674">
        <v>-32</v>
      </c>
      <c r="BC179" s="674">
        <v>-63</v>
      </c>
      <c r="BD179" s="660">
        <v>-59</v>
      </c>
      <c r="BE179" s="137">
        <f>SUM(BA179:BD179)</f>
        <v>-168</v>
      </c>
      <c r="BF179" s="718">
        <v>-58</v>
      </c>
      <c r="BG179" s="660">
        <v>-51</v>
      </c>
      <c r="BH179" s="660">
        <v>-46</v>
      </c>
      <c r="BI179" s="752">
        <v>-43</v>
      </c>
      <c r="BJ179" s="137">
        <f>SUM(BF179:BI179)</f>
        <v>-198</v>
      </c>
      <c r="BK179" s="750">
        <v>-42</v>
      </c>
      <c r="BL179" s="668">
        <v>-42</v>
      </c>
      <c r="BM179" s="136">
        <v>-39</v>
      </c>
      <c r="BN179" s="138">
        <v>-37</v>
      </c>
      <c r="BO179" s="137">
        <f>SUM(BK179:BN179)</f>
        <v>-160</v>
      </c>
      <c r="BP179" s="137">
        <f>BO179</f>
        <v>-160</v>
      </c>
      <c r="BQ179" s="697">
        <f>-128/4</f>
        <v>-32</v>
      </c>
      <c r="BR179" s="698">
        <f t="shared" ref="BR179:BT179" si="525">-128/4</f>
        <v>-32</v>
      </c>
      <c r="BS179" s="698">
        <f t="shared" si="525"/>
        <v>-32</v>
      </c>
      <c r="BT179" s="699">
        <f t="shared" si="525"/>
        <v>-32</v>
      </c>
      <c r="BU179" s="137">
        <f>SUM(BQ179:BT179)</f>
        <v>-128</v>
      </c>
      <c r="BV179" s="697"/>
      <c r="BW179" s="698"/>
      <c r="BX179" s="698"/>
      <c r="BY179" s="699"/>
      <c r="BZ179" s="728">
        <v>-107</v>
      </c>
      <c r="CA179" s="697"/>
      <c r="CB179" s="698"/>
      <c r="CC179" s="698"/>
      <c r="CD179" s="699"/>
      <c r="CE179" s="728">
        <v>-79</v>
      </c>
      <c r="CF179" s="697"/>
      <c r="CG179" s="698"/>
      <c r="CH179" s="698"/>
      <c r="CI179" s="699"/>
      <c r="CJ179" s="728">
        <f>+CE179</f>
        <v>-79</v>
      </c>
      <c r="CK179" s="291"/>
      <c r="CL179" s="657" t="s">
        <v>352</v>
      </c>
      <c r="CM179" s="657"/>
      <c r="CN179" s="682"/>
      <c r="CO179" s="657"/>
      <c r="CP179" s="657"/>
      <c r="CQ179" s="657"/>
      <c r="CR179" s="657"/>
      <c r="CS179" s="657"/>
      <c r="CT179" s="291"/>
      <c r="CX179"/>
      <c r="CY179"/>
      <c r="CZ179"/>
      <c r="DA179"/>
      <c r="DB179"/>
      <c r="DC179"/>
    </row>
    <row r="180" spans="1:107" s="180" customFormat="1">
      <c r="A180" s="726" t="s">
        <v>308</v>
      </c>
      <c r="B180" s="134"/>
      <c r="C180" s="134"/>
      <c r="D180" s="134"/>
      <c r="E180" s="134"/>
      <c r="F180" s="134"/>
      <c r="G180" s="134"/>
      <c r="H180" s="135"/>
      <c r="I180" s="135"/>
      <c r="J180" s="135"/>
      <c r="K180" s="136"/>
      <c r="L180" s="134"/>
      <c r="M180" s="136"/>
      <c r="N180" s="135"/>
      <c r="O180" s="135"/>
      <c r="P180" s="136"/>
      <c r="Q180" s="137"/>
      <c r="R180" s="136"/>
      <c r="S180" s="135"/>
      <c r="T180" s="135"/>
      <c r="U180" s="136"/>
      <c r="V180" s="137"/>
      <c r="W180" s="136"/>
      <c r="X180" s="135"/>
      <c r="Y180" s="135"/>
      <c r="Z180" s="177"/>
      <c r="AA180" s="137"/>
      <c r="AB180" s="136"/>
      <c r="AC180" s="135"/>
      <c r="AD180" s="135"/>
      <c r="AE180" s="136"/>
      <c r="AF180" s="137"/>
      <c r="AG180" s="135"/>
      <c r="AH180" s="135"/>
      <c r="AI180" s="135"/>
      <c r="AJ180" s="136"/>
      <c r="AK180" s="137"/>
      <c r="AL180" s="135"/>
      <c r="AM180" s="135"/>
      <c r="AN180" s="135"/>
      <c r="AO180" s="136"/>
      <c r="AP180" s="137"/>
      <c r="AQ180" s="135">
        <v>-40</v>
      </c>
      <c r="AR180" s="135">
        <v>-42</v>
      </c>
      <c r="AS180" s="135">
        <v>-43</v>
      </c>
      <c r="AT180" s="136">
        <v>-41</v>
      </c>
      <c r="AU180" s="137">
        <f>SUM(AQ180:AT180)</f>
        <v>-166</v>
      </c>
      <c r="AV180" s="135"/>
      <c r="AW180" s="135"/>
      <c r="AX180" s="135"/>
      <c r="AY180" s="136"/>
      <c r="AZ180" s="137">
        <v>-149</v>
      </c>
      <c r="BA180" s="674">
        <v>-33</v>
      </c>
      <c r="BB180" s="674">
        <v>-36</v>
      </c>
      <c r="BC180" s="674">
        <v>-42</v>
      </c>
      <c r="BD180" s="660">
        <v>-29</v>
      </c>
      <c r="BE180" s="137">
        <f>SUM(BA180:BD180)</f>
        <v>-140</v>
      </c>
      <c r="BF180" s="718">
        <v>-33</v>
      </c>
      <c r="BG180" s="660">
        <v>-34</v>
      </c>
      <c r="BH180" s="660">
        <v>-42</v>
      </c>
      <c r="BI180" s="752">
        <f>-141-SUM(BF180:BH180)</f>
        <v>-32</v>
      </c>
      <c r="BJ180" s="137">
        <f>SUM(BF180:BI180)</f>
        <v>-141</v>
      </c>
      <c r="BK180" s="750">
        <v>-37</v>
      </c>
      <c r="BL180" s="668">
        <v>-37</v>
      </c>
      <c r="BM180" s="660">
        <v>-39</v>
      </c>
      <c r="BN180" s="752">
        <v>-35</v>
      </c>
      <c r="BO180" s="137">
        <f>SUM(BK180:BN180)</f>
        <v>-148</v>
      </c>
      <c r="BP180" s="137">
        <f>BO180</f>
        <v>-148</v>
      </c>
      <c r="BQ180" s="697">
        <f>-150/4</f>
        <v>-37.5</v>
      </c>
      <c r="BR180" s="698">
        <f t="shared" ref="BR180:BT180" si="526">-150/4</f>
        <v>-37.5</v>
      </c>
      <c r="BS180" s="698">
        <f t="shared" si="526"/>
        <v>-37.5</v>
      </c>
      <c r="BT180" s="699">
        <f t="shared" si="526"/>
        <v>-37.5</v>
      </c>
      <c r="BU180" s="137">
        <f>SUM(BQ180:BT180)</f>
        <v>-150</v>
      </c>
      <c r="BV180" s="697"/>
      <c r="BW180" s="698"/>
      <c r="BX180" s="698"/>
      <c r="BY180" s="699"/>
      <c r="BZ180" s="137">
        <f>+BZ181*SUM(BZ148,BZ175,BZ135,BZ122,BZ109)</f>
        <v>-161.59524971642276</v>
      </c>
      <c r="CA180" s="697"/>
      <c r="CB180" s="698"/>
      <c r="CC180" s="698"/>
      <c r="CD180" s="699"/>
      <c r="CE180" s="137">
        <f>+CE181*SUM(CE148,CE175,CE135,CE122,CE109)</f>
        <v>-172.61671244830046</v>
      </c>
      <c r="CF180" s="697"/>
      <c r="CG180" s="698"/>
      <c r="CH180" s="698"/>
      <c r="CI180" s="699"/>
      <c r="CJ180" s="137">
        <f>+CJ181*SUM(CJ148,CJ175,CJ135,CJ122,CJ109)</f>
        <v>-184.26447291518662</v>
      </c>
      <c r="CK180" s="291"/>
      <c r="CL180" s="657" t="s">
        <v>353</v>
      </c>
      <c r="CM180" s="657"/>
      <c r="CN180" s="682"/>
      <c r="CO180" s="657"/>
      <c r="CP180" s="657"/>
      <c r="CQ180" s="657"/>
      <c r="CR180" s="657"/>
      <c r="CS180" s="657"/>
      <c r="CT180" s="291"/>
      <c r="CX180"/>
      <c r="CY180"/>
      <c r="CZ180"/>
      <c r="DA180"/>
      <c r="DB180"/>
      <c r="DC180"/>
    </row>
    <row r="181" spans="1:107" s="432" customFormat="1">
      <c r="A181" s="501" t="s">
        <v>90</v>
      </c>
      <c r="B181" s="426"/>
      <c r="C181" s="426"/>
      <c r="D181" s="426"/>
      <c r="E181" s="426"/>
      <c r="F181" s="426"/>
      <c r="G181" s="426"/>
      <c r="H181" s="454"/>
      <c r="I181" s="454"/>
      <c r="J181" s="454"/>
      <c r="K181" s="502"/>
      <c r="L181" s="426"/>
      <c r="M181" s="502"/>
      <c r="N181" s="454"/>
      <c r="O181" s="454"/>
      <c r="P181" s="502"/>
      <c r="Q181" s="503"/>
      <c r="R181" s="502"/>
      <c r="S181" s="454"/>
      <c r="T181" s="454"/>
      <c r="U181" s="502"/>
      <c r="V181" s="503"/>
      <c r="W181" s="502"/>
      <c r="X181" s="454"/>
      <c r="Y181" s="454"/>
      <c r="Z181" s="504"/>
      <c r="AA181" s="503"/>
      <c r="AB181" s="502"/>
      <c r="AC181" s="454"/>
      <c r="AD181" s="454"/>
      <c r="AE181" s="502"/>
      <c r="AF181" s="503"/>
      <c r="AG181" s="454"/>
      <c r="AH181" s="454"/>
      <c r="AI181" s="454"/>
      <c r="AJ181" s="502"/>
      <c r="AK181" s="503"/>
      <c r="AL181" s="454"/>
      <c r="AM181" s="454"/>
      <c r="AN181" s="454"/>
      <c r="AO181" s="454"/>
      <c r="AP181" s="503"/>
      <c r="AQ181" s="454">
        <f t="shared" ref="AQ181" si="527">AQ180/SUM(AQ109,AQ122,AQ135,AQ148,AQ175)</f>
        <v>-5.3233963268565346E-2</v>
      </c>
      <c r="AR181" s="454">
        <f t="shared" ref="AR181" si="528">AR180/SUM(AR109,AR122,AR135,AR148,AR175)</f>
        <v>-5.698778833107191E-2</v>
      </c>
      <c r="AS181" s="454">
        <f t="shared" ref="AS181" si="529">AS180/SUM(AS109,AS122,AS135,AS148,AS175)</f>
        <v>-5.5128205128205127E-2</v>
      </c>
      <c r="AT181" s="454">
        <f t="shared" ref="AT181" si="530">AT180/SUM(AT109,AT122,AT135,AT148,AT175)</f>
        <v>-4.7785547785547784E-2</v>
      </c>
      <c r="AU181" s="503">
        <f t="shared" ref="AU181" si="531">AU180/SUM(AU109,AU122,AU135,AU148,AU175)</f>
        <v>-5.3096212896622315E-2</v>
      </c>
      <c r="AV181" s="454" t="e">
        <f t="shared" ref="AV181" si="532">AV180/SUM(AV109,AV122,AV135,AV148,AV175)</f>
        <v>#DIV/0!</v>
      </c>
      <c r="AW181" s="454" t="e">
        <f t="shared" ref="AW181" si="533">AW180/SUM(AW109,AW122,AW135,AW148,AW175)</f>
        <v>#DIV/0!</v>
      </c>
      <c r="AX181" s="454" t="e">
        <f t="shared" ref="AX181" si="534">AX180/SUM(AX109,AX122,AX135,AX148,AX175)</f>
        <v>#DIV/0!</v>
      </c>
      <c r="AY181" s="454" t="e">
        <f t="shared" ref="AY181" si="535">AY180/SUM(AY109,AY122,AY135,AY148,AY175)</f>
        <v>#DIV/0!</v>
      </c>
      <c r="AZ181" s="503">
        <f t="shared" ref="AZ181" si="536">AZ180/SUM(AZ109,AZ122,AZ135,AZ148,AZ175)</f>
        <v>-4.7181760607979732E-2</v>
      </c>
      <c r="BA181" s="454">
        <f t="shared" ref="BA181" si="537">BA180/SUM(BA109,BA122,BA135,BA148,BA175)</f>
        <v>-3.8062283737024222E-2</v>
      </c>
      <c r="BB181" s="454">
        <f t="shared" ref="BB181" si="538">BB180/SUM(BB109,BB122,BB135,BB148,BB175)</f>
        <v>-5.128205128205128E-2</v>
      </c>
      <c r="BC181" s="454">
        <f t="shared" ref="BC181" si="539">BC180/SUM(BC109,BC122,BC135,BC148,BC175)</f>
        <v>-5.46875E-2</v>
      </c>
      <c r="BD181" s="454">
        <f t="shared" ref="BD181" si="540">BD180/SUM(BD109,BD122,BD135,BD148,BD175)</f>
        <v>-3.2222222222222222E-2</v>
      </c>
      <c r="BE181" s="503">
        <f t="shared" ref="BE181" si="541">BE180/SUM(BE109,BE122,BE135,BE148,BE175)</f>
        <v>-4.324992276799506E-2</v>
      </c>
      <c r="BF181" s="454">
        <f t="shared" ref="BF181:BK181" si="542">BF180/SUM(BF109,BF122,BF135,BF148,BF175)</f>
        <v>-5.2631578947368418E-2</v>
      </c>
      <c r="BG181" s="454">
        <f t="shared" si="542"/>
        <v>-3.6480686695278972E-2</v>
      </c>
      <c r="BH181" s="454">
        <f t="shared" si="542"/>
        <v>-5.2434456928838954E-2</v>
      </c>
      <c r="BI181" s="454">
        <f t="shared" si="542"/>
        <v>-3.8049940546967892E-2</v>
      </c>
      <c r="BJ181" s="503">
        <f t="shared" si="542"/>
        <v>-4.4048734770384255E-2</v>
      </c>
      <c r="BK181" s="454">
        <f t="shared" si="542"/>
        <v>-4.9664429530201344E-2</v>
      </c>
      <c r="BL181" s="454">
        <f>BL180/SUM(BL109,BL122,BL135,BL148,BL175)</f>
        <v>-4.5343137254901959E-2</v>
      </c>
      <c r="BM181" s="454">
        <f t="shared" ref="BM181:BO181" si="543">BM180/SUM(BM109,BM122,BM135,BM148,BM175)</f>
        <v>-4.5454545454545456E-2</v>
      </c>
      <c r="BN181" s="454">
        <f t="shared" si="543"/>
        <v>-3.9954337899543377E-2</v>
      </c>
      <c r="BO181" s="503">
        <f t="shared" si="543"/>
        <v>-4.4916540212443096E-2</v>
      </c>
      <c r="BP181" s="503"/>
      <c r="BQ181" s="1016">
        <f t="shared" ref="BQ181:BU181" si="544">BQ180/SUM(BQ109,BQ122,BQ135,BQ148,BQ175)</f>
        <v>-4.6868361096650657E-2</v>
      </c>
      <c r="BR181" s="964">
        <f t="shared" si="544"/>
        <v>-4.3224467842828636E-2</v>
      </c>
      <c r="BS181" s="964">
        <f t="shared" si="544"/>
        <v>-4.351861435617814E-2</v>
      </c>
      <c r="BT181" s="1017">
        <f t="shared" si="544"/>
        <v>-3.8661052889340998E-2</v>
      </c>
      <c r="BU181" s="1018">
        <f t="shared" si="544"/>
        <v>-4.2865150802143849E-2</v>
      </c>
      <c r="BV181" s="506"/>
      <c r="BW181" s="505"/>
      <c r="BX181" s="505"/>
      <c r="BY181" s="507"/>
      <c r="BZ181" s="508">
        <f>BU181</f>
        <v>-4.2865150802143849E-2</v>
      </c>
      <c r="CA181" s="506"/>
      <c r="CB181" s="505"/>
      <c r="CC181" s="505"/>
      <c r="CD181" s="507"/>
      <c r="CE181" s="508">
        <f>BZ181</f>
        <v>-4.2865150802143849E-2</v>
      </c>
      <c r="CF181" s="506"/>
      <c r="CG181" s="505"/>
      <c r="CH181" s="505"/>
      <c r="CI181" s="507"/>
      <c r="CJ181" s="508">
        <f>CE181</f>
        <v>-4.2865150802143849E-2</v>
      </c>
      <c r="CK181" s="430"/>
      <c r="CL181" s="677"/>
      <c r="CM181" s="677"/>
      <c r="CN181" s="682"/>
      <c r="CO181" s="677"/>
      <c r="CP181" s="985"/>
      <c r="CQ181" s="985"/>
      <c r="CR181" s="677"/>
      <c r="CS181" s="677"/>
      <c r="CT181" s="430"/>
      <c r="CX181"/>
      <c r="CY181"/>
      <c r="CZ181"/>
      <c r="DA181"/>
      <c r="DB181"/>
      <c r="DC181"/>
    </row>
    <row r="182" spans="1:107" s="180" customFormat="1">
      <c r="A182" s="726" t="s">
        <v>324</v>
      </c>
      <c r="B182" s="134"/>
      <c r="C182" s="134"/>
      <c r="D182" s="134"/>
      <c r="E182" s="134"/>
      <c r="F182" s="134"/>
      <c r="G182" s="134"/>
      <c r="H182" s="135"/>
      <c r="I182" s="135"/>
      <c r="J182" s="135"/>
      <c r="K182" s="136"/>
      <c r="L182" s="134"/>
      <c r="M182" s="136"/>
      <c r="N182" s="135"/>
      <c r="O182" s="135"/>
      <c r="P182" s="136"/>
      <c r="Q182" s="137"/>
      <c r="R182" s="136"/>
      <c r="S182" s="135"/>
      <c r="T182" s="135"/>
      <c r="U182" s="136"/>
      <c r="V182" s="137"/>
      <c r="W182" s="136"/>
      <c r="X182" s="135"/>
      <c r="Y182" s="135"/>
      <c r="Z182" s="177"/>
      <c r="AA182" s="137"/>
      <c r="AB182" s="136"/>
      <c r="AC182" s="135"/>
      <c r="AD182" s="135"/>
      <c r="AE182" s="136"/>
      <c r="AF182" s="137"/>
      <c r="AG182" s="135"/>
      <c r="AH182" s="135"/>
      <c r="AI182" s="135"/>
      <c r="AJ182" s="136"/>
      <c r="AK182" s="137"/>
      <c r="AL182" s="135"/>
      <c r="AM182" s="135"/>
      <c r="AN182" s="135"/>
      <c r="AO182" s="136"/>
      <c r="AP182" s="137"/>
      <c r="AQ182" s="135">
        <v>-8</v>
      </c>
      <c r="AR182" s="135">
        <v>-22</v>
      </c>
      <c r="AS182" s="135">
        <v>-15</v>
      </c>
      <c r="AT182" s="136">
        <v>-16</v>
      </c>
      <c r="AU182" s="137">
        <f>SUM(AQ182:AT182)</f>
        <v>-61</v>
      </c>
      <c r="AV182" s="135"/>
      <c r="AW182" s="135"/>
      <c r="AX182" s="135"/>
      <c r="AY182" s="136"/>
      <c r="AZ182" s="137">
        <v>-61</v>
      </c>
      <c r="BA182" s="674">
        <v>-29</v>
      </c>
      <c r="BB182" s="674">
        <v>-35</v>
      </c>
      <c r="BC182" s="674">
        <v>-9</v>
      </c>
      <c r="BD182" s="660">
        <v>-28</v>
      </c>
      <c r="BE182" s="137">
        <f>SUM(BA182:BD182)</f>
        <v>-101</v>
      </c>
      <c r="BF182" s="718">
        <v>-28</v>
      </c>
      <c r="BG182" s="660">
        <v>4</v>
      </c>
      <c r="BH182" s="660">
        <v>-11</v>
      </c>
      <c r="BI182" s="752">
        <f>-57-SUM(BF182:BH182)</f>
        <v>-22</v>
      </c>
      <c r="BJ182" s="137">
        <f>SUM(BF182:BI182)</f>
        <v>-57</v>
      </c>
      <c r="BK182" s="750">
        <v>-33</v>
      </c>
      <c r="BL182" s="668">
        <v>3</v>
      </c>
      <c r="BM182" s="660">
        <v>0</v>
      </c>
      <c r="BN182" s="138">
        <v>-29</v>
      </c>
      <c r="BO182" s="137">
        <f>SUM(BK182:BN182)</f>
        <v>-59</v>
      </c>
      <c r="BP182" s="137">
        <f>BO182</f>
        <v>-59</v>
      </c>
      <c r="BQ182" s="697">
        <v>-20</v>
      </c>
      <c r="BR182" s="698">
        <v>-20</v>
      </c>
      <c r="BS182" s="698">
        <v>-20</v>
      </c>
      <c r="BT182" s="699">
        <v>-20</v>
      </c>
      <c r="BU182" s="137">
        <f>SUM(BQ182:BT182)</f>
        <v>-80</v>
      </c>
      <c r="BV182" s="697"/>
      <c r="BW182" s="698"/>
      <c r="BX182" s="698"/>
      <c r="BY182" s="699"/>
      <c r="BZ182" s="137">
        <f>+BZ183*SUM(BZ148,BZ175,BZ135,BZ122,BZ109)</f>
        <v>-86.184133182092125</v>
      </c>
      <c r="CA182" s="697"/>
      <c r="CB182" s="698"/>
      <c r="CC182" s="698"/>
      <c r="CD182" s="699"/>
      <c r="CE182" s="137">
        <f>+CE183*SUM(CE148,CE175,CE135,CE122,CE109)</f>
        <v>-92.062246639093573</v>
      </c>
      <c r="CF182" s="697"/>
      <c r="CG182" s="698"/>
      <c r="CH182" s="698"/>
      <c r="CI182" s="699"/>
      <c r="CJ182" s="137">
        <f>+CJ183*SUM(CJ148,CJ175,CJ135,CJ122,CJ109)</f>
        <v>-98.274385554766184</v>
      </c>
      <c r="CK182" s="291"/>
      <c r="CL182" s="657" t="s">
        <v>354</v>
      </c>
      <c r="CM182" s="657"/>
      <c r="CN182" s="682"/>
      <c r="CO182" s="657"/>
      <c r="CP182" s="657"/>
      <c r="CQ182" s="657"/>
      <c r="CR182" s="657"/>
      <c r="CS182" s="657"/>
      <c r="CT182" s="291"/>
      <c r="CX182"/>
      <c r="CY182"/>
      <c r="CZ182"/>
      <c r="DA182"/>
      <c r="DB182"/>
      <c r="DC182"/>
    </row>
    <row r="183" spans="1:107" s="432" customFormat="1">
      <c r="A183" s="501" t="s">
        <v>90</v>
      </c>
      <c r="B183" s="426"/>
      <c r="C183" s="426"/>
      <c r="D183" s="426"/>
      <c r="E183" s="426"/>
      <c r="F183" s="426"/>
      <c r="G183" s="426"/>
      <c r="H183" s="454"/>
      <c r="I183" s="454"/>
      <c r="J183" s="454"/>
      <c r="K183" s="502"/>
      <c r="L183" s="426"/>
      <c r="M183" s="502"/>
      <c r="N183" s="454"/>
      <c r="O183" s="454"/>
      <c r="P183" s="502"/>
      <c r="Q183" s="503"/>
      <c r="R183" s="502"/>
      <c r="S183" s="454"/>
      <c r="T183" s="454"/>
      <c r="U183" s="502"/>
      <c r="V183" s="503"/>
      <c r="W183" s="502"/>
      <c r="X183" s="454"/>
      <c r="Y183" s="454"/>
      <c r="Z183" s="504"/>
      <c r="AA183" s="503"/>
      <c r="AB183" s="502"/>
      <c r="AC183" s="454"/>
      <c r="AD183" s="454"/>
      <c r="AE183" s="502"/>
      <c r="AF183" s="503"/>
      <c r="AG183" s="454"/>
      <c r="AH183" s="454"/>
      <c r="AI183" s="454"/>
      <c r="AJ183" s="502"/>
      <c r="AK183" s="503"/>
      <c r="AL183" s="454"/>
      <c r="AM183" s="454"/>
      <c r="AN183" s="454"/>
      <c r="AO183" s="454"/>
      <c r="AP183" s="503"/>
      <c r="AQ183" s="454">
        <f t="shared" ref="AQ183:AY183" si="545">AQ182/SUM(AQ109,AQ122,AQ135,AQ148,AQ175)</f>
        <v>-1.0646792653713068E-2</v>
      </c>
      <c r="AR183" s="454">
        <f t="shared" si="545"/>
        <v>-2.9850746268656716E-2</v>
      </c>
      <c r="AS183" s="454">
        <f t="shared" si="545"/>
        <v>-1.9230769230769232E-2</v>
      </c>
      <c r="AT183" s="454">
        <f t="shared" si="545"/>
        <v>-1.8648018648018648E-2</v>
      </c>
      <c r="AU183" s="503">
        <f t="shared" si="545"/>
        <v>-1.9511258955987716E-2</v>
      </c>
      <c r="AV183" s="454" t="e">
        <f t="shared" si="545"/>
        <v>#DIV/0!</v>
      </c>
      <c r="AW183" s="454" t="e">
        <f t="shared" si="545"/>
        <v>#DIV/0!</v>
      </c>
      <c r="AX183" s="454" t="e">
        <f t="shared" si="545"/>
        <v>#DIV/0!</v>
      </c>
      <c r="AY183" s="454" t="e">
        <f t="shared" si="545"/>
        <v>#DIV/0!</v>
      </c>
      <c r="AZ183" s="503">
        <f>AZ182/SUM(AZ109,AZ122,AZ135,AZ148,AZ175)</f>
        <v>-1.9316022799240027E-2</v>
      </c>
      <c r="BA183" s="454">
        <f t="shared" ref="BA183:BL183" si="546">BA182/SUM(BA109,BA122,BA135,BA148,BA175)</f>
        <v>-3.3448673587081888E-2</v>
      </c>
      <c r="BB183" s="454">
        <f t="shared" si="546"/>
        <v>-4.9857549857549859E-2</v>
      </c>
      <c r="BC183" s="454">
        <f t="shared" si="546"/>
        <v>-1.171875E-2</v>
      </c>
      <c r="BD183" s="454">
        <f t="shared" si="546"/>
        <v>-3.111111111111111E-2</v>
      </c>
      <c r="BE183" s="503">
        <f t="shared" si="546"/>
        <v>-3.1201729996910718E-2</v>
      </c>
      <c r="BF183" s="454">
        <f t="shared" si="546"/>
        <v>-4.4657097288676235E-2</v>
      </c>
      <c r="BG183" s="454">
        <f t="shared" si="546"/>
        <v>4.2918454935622317E-3</v>
      </c>
      <c r="BH183" s="454">
        <f t="shared" si="546"/>
        <v>-1.3732833957553059E-2</v>
      </c>
      <c r="BI183" s="454">
        <f t="shared" si="546"/>
        <v>-2.6159334126040427E-2</v>
      </c>
      <c r="BJ183" s="503">
        <f t="shared" si="546"/>
        <v>-1.780693533270853E-2</v>
      </c>
      <c r="BK183" s="454">
        <f t="shared" si="546"/>
        <v>-4.429530201342282E-2</v>
      </c>
      <c r="BL183" s="454">
        <f t="shared" si="546"/>
        <v>3.6764705882352941E-3</v>
      </c>
      <c r="BM183" s="454">
        <f t="shared" ref="BM183:BO183" si="547">BM182/SUM(BM109,BM122,BM135,BM148,BM175)</f>
        <v>0</v>
      </c>
      <c r="BN183" s="454">
        <f t="shared" si="547"/>
        <v>-3.3105022831050226E-2</v>
      </c>
      <c r="BO183" s="503">
        <f t="shared" si="547"/>
        <v>-1.7905918057663128E-2</v>
      </c>
      <c r="BP183" s="503"/>
      <c r="BQ183" s="1016">
        <f t="shared" ref="BQ183:BU183" si="548">BQ182/SUM(BQ109,BQ122,BQ135,BQ148,BQ175)</f>
        <v>-2.4996459251547018E-2</v>
      </c>
      <c r="BR183" s="964">
        <f t="shared" si="548"/>
        <v>-2.3053049516175275E-2</v>
      </c>
      <c r="BS183" s="964">
        <f t="shared" si="548"/>
        <v>-2.320992765662834E-2</v>
      </c>
      <c r="BT183" s="1017">
        <f t="shared" si="548"/>
        <v>-2.0619228207648534E-2</v>
      </c>
      <c r="BU183" s="1018">
        <f t="shared" si="548"/>
        <v>-2.2861413761143385E-2</v>
      </c>
      <c r="BV183" s="506"/>
      <c r="BW183" s="505"/>
      <c r="BX183" s="505"/>
      <c r="BY183" s="507"/>
      <c r="BZ183" s="508">
        <f>BU183</f>
        <v>-2.2861413761143385E-2</v>
      </c>
      <c r="CA183" s="506"/>
      <c r="CB183" s="505"/>
      <c r="CC183" s="505"/>
      <c r="CD183" s="507"/>
      <c r="CE183" s="508">
        <f>BZ183</f>
        <v>-2.2861413761143385E-2</v>
      </c>
      <c r="CF183" s="506"/>
      <c r="CG183" s="505"/>
      <c r="CH183" s="505"/>
      <c r="CI183" s="507"/>
      <c r="CJ183" s="508">
        <f>CE183</f>
        <v>-2.2861413761143385E-2</v>
      </c>
      <c r="CK183" s="430"/>
      <c r="CL183" s="657"/>
      <c r="CM183" s="677"/>
      <c r="CN183" s="682"/>
      <c r="CO183" s="677"/>
      <c r="CP183" s="985"/>
      <c r="CQ183" s="985"/>
      <c r="CR183" s="677"/>
      <c r="CS183" s="677"/>
      <c r="CT183" s="430"/>
      <c r="CX183"/>
      <c r="CY183"/>
      <c r="CZ183"/>
      <c r="DA183"/>
      <c r="DB183"/>
      <c r="DC183"/>
    </row>
    <row r="184" spans="1:107" s="180" customFormat="1" hidden="1">
      <c r="A184" s="181" t="s">
        <v>58</v>
      </c>
      <c r="B184" s="134">
        <f>-77-758-127</f>
        <v>-962</v>
      </c>
      <c r="C184" s="134">
        <f>-39-12-40</f>
        <v>-91</v>
      </c>
      <c r="D184" s="134">
        <f>2-34-110</f>
        <v>-142</v>
      </c>
      <c r="E184" s="134">
        <f>-31-252</f>
        <v>-283</v>
      </c>
      <c r="F184" s="134">
        <v>-232</v>
      </c>
      <c r="G184" s="134">
        <f>-234</f>
        <v>-234</v>
      </c>
      <c r="H184" s="135">
        <f>-60</f>
        <v>-60</v>
      </c>
      <c r="I184" s="135">
        <f>-61</f>
        <v>-61</v>
      </c>
      <c r="J184" s="135">
        <f>-67</f>
        <v>-67</v>
      </c>
      <c r="K184" s="136">
        <v>-63</v>
      </c>
      <c r="L184" s="134">
        <v>-233</v>
      </c>
      <c r="M184" s="136">
        <f>-36</f>
        <v>-36</v>
      </c>
      <c r="N184" s="135">
        <f>-69</f>
        <v>-69</v>
      </c>
      <c r="O184" s="135">
        <v>-43</v>
      </c>
      <c r="P184" s="136">
        <v>-134</v>
      </c>
      <c r="Q184" s="137">
        <v>-282</v>
      </c>
      <c r="R184" s="136">
        <v>-52</v>
      </c>
      <c r="S184" s="135">
        <f>-62</f>
        <v>-62</v>
      </c>
      <c r="T184" s="135">
        <f>-55</f>
        <v>-55</v>
      </c>
      <c r="U184" s="136">
        <v>-74</v>
      </c>
      <c r="V184" s="137">
        <v>-243</v>
      </c>
      <c r="W184" s="136">
        <v>-48</v>
      </c>
      <c r="X184" s="135">
        <v>-65</v>
      </c>
      <c r="Y184" s="135">
        <v>-58</v>
      </c>
      <c r="Z184" s="177">
        <v>-63</v>
      </c>
      <c r="AA184" s="137">
        <v>-234</v>
      </c>
      <c r="AB184" s="136">
        <v>-39</v>
      </c>
      <c r="AC184" s="135">
        <v>-67</v>
      </c>
      <c r="AD184" s="135">
        <v>-51</v>
      </c>
      <c r="AE184" s="136">
        <v>-60</v>
      </c>
      <c r="AF184" s="137">
        <v>-201</v>
      </c>
      <c r="AG184" s="135">
        <v>-42</v>
      </c>
      <c r="AH184" s="135">
        <v>-49</v>
      </c>
      <c r="AI184" s="135">
        <v>-40</v>
      </c>
      <c r="AJ184" s="136">
        <v>-57</v>
      </c>
      <c r="AK184" s="137">
        <f>+SUM(AG184:AJ184)</f>
        <v>-188</v>
      </c>
      <c r="AL184" s="135">
        <v>-50</v>
      </c>
      <c r="AM184" s="135">
        <v>-48</v>
      </c>
      <c r="AN184" s="135">
        <v>-43</v>
      </c>
      <c r="AO184" s="136">
        <v>-47</v>
      </c>
      <c r="AP184" s="137">
        <f>SUM(AL184:AO184)</f>
        <v>-188</v>
      </c>
      <c r="AQ184" s="135"/>
      <c r="AR184" s="135"/>
      <c r="AS184" s="135"/>
      <c r="AT184" s="136"/>
      <c r="AU184" s="137"/>
      <c r="AV184" s="135"/>
      <c r="AW184" s="135"/>
      <c r="AX184" s="135"/>
      <c r="AY184" s="136"/>
      <c r="AZ184" s="137"/>
      <c r="BA184" s="135"/>
      <c r="BB184" s="135"/>
      <c r="BC184" s="674"/>
      <c r="BD184" s="660"/>
      <c r="BE184" s="137"/>
      <c r="BF184" s="718"/>
      <c r="BG184" s="660"/>
      <c r="BH184" s="660"/>
      <c r="BI184" s="752"/>
      <c r="BJ184" s="137"/>
      <c r="BK184" s="750"/>
      <c r="BL184" s="698"/>
      <c r="BM184" s="660"/>
      <c r="BN184" s="752"/>
      <c r="BO184" s="137"/>
      <c r="BP184" s="137"/>
      <c r="BQ184" s="455"/>
      <c r="BR184" s="136"/>
      <c r="BS184" s="136"/>
      <c r="BT184" s="138"/>
      <c r="BU184" s="137"/>
      <c r="BV184" s="455"/>
      <c r="BW184" s="136"/>
      <c r="BX184" s="136"/>
      <c r="BY184" s="138"/>
      <c r="BZ184" s="137"/>
      <c r="CA184" s="455"/>
      <c r="CB184" s="136"/>
      <c r="CC184" s="136"/>
      <c r="CD184" s="138"/>
      <c r="CE184" s="137"/>
      <c r="CF184" s="455"/>
      <c r="CG184" s="136"/>
      <c r="CH184" s="136"/>
      <c r="CI184" s="138"/>
      <c r="CJ184" s="137"/>
      <c r="CK184" s="291"/>
      <c r="CL184" s="657"/>
      <c r="CM184" s="657"/>
      <c r="CN184" s="682"/>
      <c r="CO184" s="657"/>
      <c r="CP184" s="657"/>
      <c r="CQ184" s="657"/>
      <c r="CR184" s="657"/>
      <c r="CS184" s="657"/>
      <c r="CT184" s="291"/>
      <c r="CX184"/>
      <c r="CY184"/>
      <c r="CZ184"/>
      <c r="DA184"/>
      <c r="DB184"/>
      <c r="DC184"/>
    </row>
    <row r="185" spans="1:107" s="432" customFormat="1" hidden="1">
      <c r="A185" s="501" t="s">
        <v>90</v>
      </c>
      <c r="B185" s="426">
        <f t="shared" ref="B185:AE185" si="549">B184/SUM(B109,B122,B135,B148,B161,B168)</f>
        <v>-0.71684053651266766</v>
      </c>
      <c r="C185" s="426">
        <f t="shared" si="549"/>
        <v>-5.46875E-2</v>
      </c>
      <c r="D185" s="426">
        <f t="shared" si="549"/>
        <v>-9.061901723037652E-2</v>
      </c>
      <c r="E185" s="426">
        <f t="shared" si="549"/>
        <v>-0.13865752082312591</v>
      </c>
      <c r="F185" s="426">
        <f t="shared" si="549"/>
        <v>-0.10091344062635929</v>
      </c>
      <c r="G185" s="426">
        <f t="shared" si="549"/>
        <v>-9.212598425196851E-2</v>
      </c>
      <c r="H185" s="454">
        <f t="shared" si="549"/>
        <v>-9.3312597200622086E-2</v>
      </c>
      <c r="I185" s="454">
        <f t="shared" si="549"/>
        <v>-8.5553997194950909E-2</v>
      </c>
      <c r="J185" s="454">
        <f t="shared" si="549"/>
        <v>-9.7101449275362323E-2</v>
      </c>
      <c r="K185" s="502">
        <f t="shared" si="549"/>
        <v>-8.1185567010309281E-2</v>
      </c>
      <c r="L185" s="426">
        <f t="shared" si="549"/>
        <v>-8.1869290231904424E-2</v>
      </c>
      <c r="M185" s="502">
        <f t="shared" si="549"/>
        <v>-5.3097345132743362E-2</v>
      </c>
      <c r="N185" s="454">
        <f t="shared" si="549"/>
        <v>-8.9494163424124515E-2</v>
      </c>
      <c r="O185" s="454">
        <f t="shared" si="549"/>
        <v>-5.6653491436100128E-2</v>
      </c>
      <c r="P185" s="502">
        <f t="shared" si="549"/>
        <v>-0.16401468788249693</v>
      </c>
      <c r="Q185" s="503">
        <f t="shared" si="549"/>
        <v>-9.3223140495867773E-2</v>
      </c>
      <c r="R185" s="502">
        <f t="shared" si="549"/>
        <v>-6.9057104913678613E-2</v>
      </c>
      <c r="S185" s="454">
        <f t="shared" si="549"/>
        <v>-7.5980392156862739E-2</v>
      </c>
      <c r="T185" s="454">
        <f t="shared" si="549"/>
        <v>-6.6991473812423874E-2</v>
      </c>
      <c r="U185" s="502">
        <f t="shared" si="549"/>
        <v>-8.5253456221198162E-2</v>
      </c>
      <c r="V185" s="503">
        <f t="shared" si="549"/>
        <v>-7.4585635359116026E-2</v>
      </c>
      <c r="W185" s="502">
        <f t="shared" si="549"/>
        <v>-6.0075093867334166E-2</v>
      </c>
      <c r="X185" s="454">
        <f t="shared" si="549"/>
        <v>-0.14317180616740088</v>
      </c>
      <c r="Y185" s="454">
        <f t="shared" si="549"/>
        <v>-6.7520372526193251E-2</v>
      </c>
      <c r="Z185" s="504">
        <f t="shared" si="549"/>
        <v>-6.8777292576419208E-2</v>
      </c>
      <c r="AA185" s="503">
        <f t="shared" si="549"/>
        <v>-7.7278731836195505E-2</v>
      </c>
      <c r="AB185" s="502">
        <f t="shared" si="549"/>
        <v>-5.4393305439330547E-2</v>
      </c>
      <c r="AC185" s="454">
        <f t="shared" si="549"/>
        <v>-8.1015719467956465E-2</v>
      </c>
      <c r="AD185" s="454">
        <f t="shared" si="549"/>
        <v>-6.0141509433962265E-2</v>
      </c>
      <c r="AE185" s="502">
        <f t="shared" si="549"/>
        <v>-6.0483870967741937E-2</v>
      </c>
      <c r="AF185" s="503">
        <f t="shared" ref="AF185:AP185" si="550">AF184/SUM(AF109,AF122,AF135,AF148)</f>
        <v>-5.9679334916864606E-2</v>
      </c>
      <c r="AG185" s="454">
        <f t="shared" si="550"/>
        <v>-5.1344743276283619E-2</v>
      </c>
      <c r="AH185" s="454">
        <f t="shared" si="550"/>
        <v>-5.6844547563805102E-2</v>
      </c>
      <c r="AI185" s="454">
        <f t="shared" si="550"/>
        <v>-4.5819014891179836E-2</v>
      </c>
      <c r="AJ185" s="502">
        <f t="shared" si="550"/>
        <v>-6.4846416382252553E-2</v>
      </c>
      <c r="AK185" s="503">
        <f t="shared" si="550"/>
        <v>-5.4778554778554776E-2</v>
      </c>
      <c r="AL185" s="454">
        <f t="shared" si="550"/>
        <v>-6.0459492140266025E-2</v>
      </c>
      <c r="AM185" s="454">
        <f t="shared" si="550"/>
        <v>-5.4176072234762979E-2</v>
      </c>
      <c r="AN185" s="454">
        <f t="shared" si="550"/>
        <v>-5.0827423167848697E-2</v>
      </c>
      <c r="AO185" s="454">
        <f t="shared" si="550"/>
        <v>-5.7598039215686271E-2</v>
      </c>
      <c r="AP185" s="503">
        <f t="shared" si="550"/>
        <v>-5.5703703703703707E-2</v>
      </c>
      <c r="AQ185" s="454"/>
      <c r="AR185" s="454"/>
      <c r="AS185" s="454"/>
      <c r="AT185" s="454"/>
      <c r="AU185" s="503"/>
      <c r="AV185" s="454"/>
      <c r="AW185" s="454"/>
      <c r="AX185" s="454"/>
      <c r="AY185" s="454"/>
      <c r="AZ185" s="503"/>
      <c r="BA185" s="454"/>
      <c r="BB185" s="454"/>
      <c r="BC185" s="454"/>
      <c r="BD185" s="454"/>
      <c r="BE185" s="503"/>
      <c r="BF185" s="454"/>
      <c r="BG185" s="454"/>
      <c r="BH185" s="454"/>
      <c r="BI185" s="454"/>
      <c r="BJ185" s="503"/>
      <c r="BK185" s="454"/>
      <c r="BL185" s="454"/>
      <c r="BM185" s="454"/>
      <c r="BN185" s="454"/>
      <c r="BO185" s="503"/>
      <c r="BP185" s="503"/>
      <c r="BQ185" s="506"/>
      <c r="BR185" s="505"/>
      <c r="BS185" s="505"/>
      <c r="BT185" s="507"/>
      <c r="BU185" s="508"/>
      <c r="BV185" s="506"/>
      <c r="BW185" s="505"/>
      <c r="BX185" s="505"/>
      <c r="BY185" s="507"/>
      <c r="BZ185" s="508"/>
      <c r="CA185" s="506"/>
      <c r="CB185" s="505"/>
      <c r="CC185" s="505"/>
      <c r="CD185" s="507"/>
      <c r="CE185" s="508"/>
      <c r="CF185" s="506"/>
      <c r="CG185" s="505"/>
      <c r="CH185" s="505"/>
      <c r="CI185" s="507"/>
      <c r="CJ185" s="508"/>
      <c r="CK185" s="430"/>
      <c r="CL185" s="677"/>
      <c r="CM185" s="677"/>
      <c r="CN185" s="682"/>
      <c r="CO185" s="677"/>
      <c r="CP185" s="985"/>
      <c r="CQ185" s="985"/>
      <c r="CR185" s="677"/>
      <c r="CS185" s="677"/>
      <c r="CT185" s="430"/>
      <c r="CX185"/>
      <c r="CY185"/>
      <c r="CZ185"/>
      <c r="DA185"/>
      <c r="DB185"/>
      <c r="DC185"/>
    </row>
    <row r="186" spans="1:107">
      <c r="A186" s="175" t="s">
        <v>169</v>
      </c>
      <c r="B186" s="101">
        <f t="shared" ref="B186:Z186" si="551">B188/B77</f>
        <v>2.3724792408066429E-2</v>
      </c>
      <c r="C186" s="101">
        <f t="shared" si="551"/>
        <v>9.3854415274463004E-2</v>
      </c>
      <c r="D186" s="101">
        <f t="shared" si="551"/>
        <v>7.8690154067038484E-2</v>
      </c>
      <c r="E186" s="101">
        <f t="shared" si="551"/>
        <v>9.8625525946704068E-2</v>
      </c>
      <c r="F186" s="101">
        <f t="shared" si="551"/>
        <v>0.11178411118922719</v>
      </c>
      <c r="G186" s="101">
        <f t="shared" si="551"/>
        <v>0.11701425889277922</v>
      </c>
      <c r="H186" s="102">
        <f t="shared" si="551"/>
        <v>0.12135720233139051</v>
      </c>
      <c r="I186" s="102">
        <f t="shared" si="551"/>
        <v>0.12353164077302008</v>
      </c>
      <c r="J186" s="102">
        <f t="shared" si="551"/>
        <v>0.11937152711247366</v>
      </c>
      <c r="K186" s="102">
        <f t="shared" si="551"/>
        <v>0.11883333333333333</v>
      </c>
      <c r="L186" s="101">
        <f t="shared" si="551"/>
        <v>0.12267029716914699</v>
      </c>
      <c r="M186" s="102">
        <f t="shared" si="551"/>
        <v>0.11991034740381024</v>
      </c>
      <c r="N186" s="102">
        <f t="shared" si="551"/>
        <v>0.11959114139693357</v>
      </c>
      <c r="O186" s="102">
        <f t="shared" si="551"/>
        <v>0.12210095497953616</v>
      </c>
      <c r="P186" s="102">
        <f t="shared" si="551"/>
        <v>0.11222477817942819</v>
      </c>
      <c r="Q186" s="101">
        <f t="shared" si="551"/>
        <v>0.11836540951065849</v>
      </c>
      <c r="R186" s="102">
        <f t="shared" si="551"/>
        <v>0.11913664174031272</v>
      </c>
      <c r="S186" s="102">
        <f t="shared" si="551"/>
        <v>0.12310204081632653</v>
      </c>
      <c r="T186" s="102">
        <f t="shared" si="551"/>
        <v>0.12344883158742949</v>
      </c>
      <c r="U186" s="102">
        <f t="shared" si="551"/>
        <v>0.11909404529773511</v>
      </c>
      <c r="V186" s="101">
        <f t="shared" si="551"/>
        <v>0.12117680157549937</v>
      </c>
      <c r="W186" s="102">
        <f t="shared" si="551"/>
        <v>0.12407070873946803</v>
      </c>
      <c r="X186" s="102">
        <f t="shared" si="551"/>
        <v>6.5126402142976728E-2</v>
      </c>
      <c r="Y186" s="102">
        <f t="shared" si="551"/>
        <v>0.12771045918367346</v>
      </c>
      <c r="Z186" s="102">
        <f t="shared" si="551"/>
        <v>0.12389251997095134</v>
      </c>
      <c r="AA186" s="101">
        <v>0.11265536274470873</v>
      </c>
      <c r="AB186" s="102">
        <f t="shared" ref="AB186:AU186" si="552">AB188/AB77</f>
        <v>0.11202908129543952</v>
      </c>
      <c r="AC186" s="102">
        <f t="shared" si="552"/>
        <v>0.12256087727785842</v>
      </c>
      <c r="AD186" s="102">
        <f t="shared" si="552"/>
        <v>0.13031393067364291</v>
      </c>
      <c r="AE186" s="102">
        <f t="shared" si="552"/>
        <v>0.14512612893179694</v>
      </c>
      <c r="AF186" s="101">
        <f t="shared" si="552"/>
        <v>0.12774797305473762</v>
      </c>
      <c r="AG186" s="102">
        <f t="shared" si="552"/>
        <v>0.13068373189626137</v>
      </c>
      <c r="AH186" s="102">
        <f t="shared" si="552"/>
        <v>0.13568090787716955</v>
      </c>
      <c r="AI186" s="102">
        <f t="shared" si="552"/>
        <v>0.13779983457402811</v>
      </c>
      <c r="AJ186" s="102">
        <f t="shared" si="552"/>
        <v>0.1276595744680851</v>
      </c>
      <c r="AK186" s="101">
        <f t="shared" si="552"/>
        <v>0.1328745801589252</v>
      </c>
      <c r="AL186" s="102">
        <f t="shared" si="552"/>
        <v>0.1321653342405171</v>
      </c>
      <c r="AM186" s="102">
        <f t="shared" si="552"/>
        <v>0.13704006541291905</v>
      </c>
      <c r="AN186" s="102">
        <f t="shared" si="552"/>
        <v>0.1374529270797672</v>
      </c>
      <c r="AO186" s="102">
        <f t="shared" si="552"/>
        <v>0.13100511073253834</v>
      </c>
      <c r="AP186" s="101">
        <f t="shared" si="552"/>
        <v>0.14239482200647249</v>
      </c>
      <c r="AQ186" s="102">
        <f t="shared" si="552"/>
        <v>0.12915758896151053</v>
      </c>
      <c r="AR186" s="102">
        <f t="shared" si="552"/>
        <v>0.12190843711629538</v>
      </c>
      <c r="AS186" s="102">
        <f t="shared" si="552"/>
        <v>0.13463646328096457</v>
      </c>
      <c r="AT186" s="102">
        <f t="shared" si="552"/>
        <v>0.13299690704867329</v>
      </c>
      <c r="AU186" s="101">
        <f t="shared" si="552"/>
        <v>0.12969420835888898</v>
      </c>
      <c r="AV186" s="102"/>
      <c r="AW186" s="102"/>
      <c r="AX186" s="102"/>
      <c r="AY186" s="102"/>
      <c r="AZ186" s="101">
        <f t="shared" ref="AZ186:BL186" si="553">AZ188/AZ77</f>
        <v>0.13182335932708314</v>
      </c>
      <c r="BA186" s="102">
        <f t="shared" si="553"/>
        <v>0.15771558245083206</v>
      </c>
      <c r="BB186" s="102">
        <f t="shared" si="553"/>
        <v>0.11388508891928864</v>
      </c>
      <c r="BC186" s="102">
        <f t="shared" si="553"/>
        <v>0.12554037696697215</v>
      </c>
      <c r="BD186" s="102">
        <f t="shared" si="553"/>
        <v>0.13764222503160556</v>
      </c>
      <c r="BE186" s="101">
        <f t="shared" si="553"/>
        <v>0.13322149094506819</v>
      </c>
      <c r="BF186" s="102">
        <f t="shared" si="553"/>
        <v>0.10237849017580145</v>
      </c>
      <c r="BG186" s="102">
        <f t="shared" si="553"/>
        <v>0.14879867439933719</v>
      </c>
      <c r="BH186" s="102">
        <f t="shared" si="553"/>
        <v>0.12580805569368472</v>
      </c>
      <c r="BI186" s="102">
        <f t="shared" si="553"/>
        <v>0.13044179297000968</v>
      </c>
      <c r="BJ186" s="101">
        <f t="shared" si="553"/>
        <v>0.1271186440677966</v>
      </c>
      <c r="BK186" s="102">
        <f t="shared" si="553"/>
        <v>0.11799999999999999</v>
      </c>
      <c r="BL186" s="102">
        <f t="shared" si="553"/>
        <v>0.12402483680942525</v>
      </c>
      <c r="BM186" s="102">
        <f t="shared" ref="BM186:BO186" si="554">BM188/BM77</f>
        <v>0.13033099936346276</v>
      </c>
      <c r="BN186" s="102">
        <f t="shared" si="554"/>
        <v>0.12398643667993513</v>
      </c>
      <c r="BO186" s="101">
        <f t="shared" si="554"/>
        <v>0.12415180684866656</v>
      </c>
      <c r="BP186" s="101">
        <f t="shared" ref="BP186" si="555">BP188/BP77</f>
        <v>0.12415180684866656</v>
      </c>
      <c r="BQ186" s="103">
        <f t="shared" ref="BQ186:BU186" si="556">BQ188/BQ77</f>
        <v>0.12115824496530037</v>
      </c>
      <c r="BR186" s="102">
        <f t="shared" si="556"/>
        <v>0.12462330900559145</v>
      </c>
      <c r="BS186" s="102">
        <f t="shared" si="556"/>
        <v>0.12401795444531546</v>
      </c>
      <c r="BT186" s="104">
        <f t="shared" si="556"/>
        <v>0.12934733710534277</v>
      </c>
      <c r="BU186" s="101">
        <f t="shared" si="556"/>
        <v>0.12492999626397579</v>
      </c>
      <c r="BV186" s="103"/>
      <c r="BW186" s="102"/>
      <c r="BX186" s="102"/>
      <c r="BY186" s="104"/>
      <c r="BZ186" s="101">
        <f>BZ188/BZ77</f>
        <v>0.12762716125691914</v>
      </c>
      <c r="CA186" s="103"/>
      <c r="CB186" s="102"/>
      <c r="CC186" s="102"/>
      <c r="CD186" s="104"/>
      <c r="CE186" s="101">
        <f>CE188/CE77</f>
        <v>0.12899087411809612</v>
      </c>
      <c r="CF186" s="103"/>
      <c r="CG186" s="102"/>
      <c r="CH186" s="102"/>
      <c r="CI186" s="104"/>
      <c r="CJ186" s="101">
        <f>CJ188/CJ77</f>
        <v>0.13024393267634138</v>
      </c>
      <c r="CK186" s="289"/>
      <c r="CL186" s="657" t="s">
        <v>355</v>
      </c>
      <c r="CM186" s="658"/>
      <c r="CN186" s="682"/>
      <c r="CO186" s="658"/>
      <c r="CP186" s="985"/>
      <c r="CQ186" s="657"/>
      <c r="CR186" s="658"/>
      <c r="CS186" s="658"/>
      <c r="CT186" s="289"/>
    </row>
    <row r="187" spans="1:107" s="308" customFormat="1">
      <c r="A187" s="112" t="s">
        <v>140</v>
      </c>
      <c r="B187" s="114"/>
      <c r="C187" s="114">
        <f>(C186-B186)*100</f>
        <v>7.0129622866396568</v>
      </c>
      <c r="D187" s="114">
        <f>(D186-C186)*100</f>
        <v>-1.5164261207424521</v>
      </c>
      <c r="E187" s="114">
        <f>(E186-D186)*100</f>
        <v>1.9935371879665584</v>
      </c>
      <c r="F187" s="114">
        <f>(F186-E186)*100</f>
        <v>1.3158585242523126</v>
      </c>
      <c r="G187" s="114">
        <f>(G186-F186)*100</f>
        <v>0.52301477035520261</v>
      </c>
      <c r="H187" s="113"/>
      <c r="I187" s="113"/>
      <c r="J187" s="113"/>
      <c r="K187" s="113"/>
      <c r="L187" s="114">
        <f t="shared" ref="L187:AO187" si="557">(L186-G186)*100</f>
        <v>0.56560382763677641</v>
      </c>
      <c r="M187" s="113">
        <f t="shared" si="557"/>
        <v>-0.14468549275802739</v>
      </c>
      <c r="N187" s="113">
        <f t="shared" si="557"/>
        <v>-0.39404993760865092</v>
      </c>
      <c r="O187" s="113">
        <f t="shared" si="557"/>
        <v>0.27294278670624977</v>
      </c>
      <c r="P187" s="113">
        <f t="shared" si="557"/>
        <v>-0.66085551539051401</v>
      </c>
      <c r="Q187" s="114">
        <f t="shared" si="557"/>
        <v>-0.43048876584884932</v>
      </c>
      <c r="R187" s="113">
        <f t="shared" si="557"/>
        <v>-7.7370566349752035E-2</v>
      </c>
      <c r="S187" s="113">
        <f t="shared" si="557"/>
        <v>0.35108994193929627</v>
      </c>
      <c r="T187" s="113">
        <f t="shared" si="557"/>
        <v>0.13478766078933307</v>
      </c>
      <c r="U187" s="113">
        <f t="shared" si="557"/>
        <v>0.68692671183069187</v>
      </c>
      <c r="V187" s="114">
        <f t="shared" si="557"/>
        <v>0.28113920648408786</v>
      </c>
      <c r="W187" s="113">
        <f t="shared" si="557"/>
        <v>0.49340669991553149</v>
      </c>
      <c r="X187" s="113">
        <f t="shared" si="557"/>
        <v>-5.7975638673349801</v>
      </c>
      <c r="Y187" s="113">
        <f t="shared" si="557"/>
        <v>0.42616275962439748</v>
      </c>
      <c r="Z187" s="113">
        <f t="shared" si="557"/>
        <v>0.47984746732162298</v>
      </c>
      <c r="AA187" s="114">
        <f t="shared" si="557"/>
        <v>-0.85214388307906375</v>
      </c>
      <c r="AB187" s="113">
        <f t="shared" si="557"/>
        <v>-1.2041627444028506</v>
      </c>
      <c r="AC187" s="113">
        <f t="shared" si="557"/>
        <v>5.7434475134881691</v>
      </c>
      <c r="AD187" s="113">
        <f t="shared" si="557"/>
        <v>0.260347148996945</v>
      </c>
      <c r="AE187" s="113">
        <f t="shared" si="557"/>
        <v>2.1233608960845598</v>
      </c>
      <c r="AF187" s="114">
        <f t="shared" si="557"/>
        <v>1.5092610310028884</v>
      </c>
      <c r="AG187" s="113">
        <f t="shared" si="557"/>
        <v>1.8654650600821845</v>
      </c>
      <c r="AH187" s="113">
        <f t="shared" si="557"/>
        <v>1.3120030599311132</v>
      </c>
      <c r="AI187" s="113">
        <f t="shared" si="557"/>
        <v>0.7485903900385199</v>
      </c>
      <c r="AJ187" s="113">
        <f t="shared" si="557"/>
        <v>-1.7466554463711841</v>
      </c>
      <c r="AK187" s="114">
        <f t="shared" si="557"/>
        <v>0.51266071041875805</v>
      </c>
      <c r="AL187" s="113">
        <f t="shared" si="557"/>
        <v>0.14816023442557336</v>
      </c>
      <c r="AM187" s="113">
        <f t="shared" si="557"/>
        <v>0.13591575357495</v>
      </c>
      <c r="AN187" s="113">
        <f t="shared" si="557"/>
        <v>-3.4690749426091738E-2</v>
      </c>
      <c r="AO187" s="113">
        <f t="shared" si="557"/>
        <v>0.33455362644532471</v>
      </c>
      <c r="AP187" s="114">
        <f t="shared" ref="AP187:AU187" si="558">(AP186-AK186)*100</f>
        <v>0.9520241847547295</v>
      </c>
      <c r="AQ187" s="113">
        <f t="shared" si="558"/>
        <v>-0.3007745279006574</v>
      </c>
      <c r="AR187" s="113">
        <f t="shared" si="558"/>
        <v>-1.5131628296623665</v>
      </c>
      <c r="AS187" s="113">
        <f t="shared" si="558"/>
        <v>-0.28164637988026264</v>
      </c>
      <c r="AT187" s="113">
        <f t="shared" si="558"/>
        <v>0.19917963161349417</v>
      </c>
      <c r="AU187" s="114">
        <f t="shared" si="558"/>
        <v>-1.2700613647583514</v>
      </c>
      <c r="AV187" s="113"/>
      <c r="AW187" s="113"/>
      <c r="AX187" s="113"/>
      <c r="AY187" s="113"/>
      <c r="AZ187" s="114">
        <f t="shared" ref="AZ187" si="559">(AZ186-AU186)*100</f>
        <v>0.21291509681941601</v>
      </c>
      <c r="BA187" s="113">
        <f>(BA186-AQ186)*100</f>
        <v>2.8557993489321531</v>
      </c>
      <c r="BB187" s="113">
        <f>(BB186-AR186)*100</f>
        <v>-0.80233481970067433</v>
      </c>
      <c r="BC187" s="113">
        <f>(BC186-AS186)*100</f>
        <v>-0.90960863139924186</v>
      </c>
      <c r="BD187" s="113">
        <f>(BD186-AT186)*100</f>
        <v>0.46453179829322733</v>
      </c>
      <c r="BE187" s="114">
        <f>(BE186-AZ186)*100</f>
        <v>0.13981316179850489</v>
      </c>
      <c r="BF187" s="113">
        <f t="shared" ref="BF187:BM187" si="560">(BF186-BA186)*100</f>
        <v>-5.5337092275030617</v>
      </c>
      <c r="BG187" s="113">
        <f t="shared" si="560"/>
        <v>3.4913585480048552</v>
      </c>
      <c r="BH187" s="113">
        <f t="shared" si="560"/>
        <v>2.6767872671257242E-2</v>
      </c>
      <c r="BI187" s="113">
        <f t="shared" si="560"/>
        <v>-0.72004320615958739</v>
      </c>
      <c r="BJ187" s="114">
        <f t="shared" si="560"/>
        <v>-0.61028468772715838</v>
      </c>
      <c r="BK187" s="113">
        <f t="shared" si="560"/>
        <v>1.5621509824198547</v>
      </c>
      <c r="BL187" s="113">
        <f t="shared" si="560"/>
        <v>-2.4773837589911945</v>
      </c>
      <c r="BM187" s="113">
        <f t="shared" si="560"/>
        <v>0.45229436697780401</v>
      </c>
      <c r="BN187" s="113">
        <f t="shared" ref="BN187" si="561">(BN186-BI186)*100</f>
        <v>-0.64553562900745565</v>
      </c>
      <c r="BO187" s="114">
        <f t="shared" ref="BO187" si="562">(BO186-BJ186)*100</f>
        <v>-0.29668372191300474</v>
      </c>
      <c r="BP187" s="114"/>
      <c r="BQ187" s="115">
        <f t="shared" ref="BQ187" si="563">(BQ186-BK186)*100</f>
        <v>0.31582449653003719</v>
      </c>
      <c r="BR187" s="113">
        <f t="shared" ref="BR187" si="564">(BR186-BL186)*100</f>
        <v>5.9847219616619707E-2</v>
      </c>
      <c r="BS187" s="113">
        <f t="shared" ref="BS187" si="565">(BS186-BM186)*100</f>
        <v>-0.63130449181472981</v>
      </c>
      <c r="BT187" s="116">
        <f>(BT186-BN186)*100</f>
        <v>0.5360900425407642</v>
      </c>
      <c r="BU187" s="114">
        <f>(BU186-BO186)*100</f>
        <v>7.7818941530923003E-2</v>
      </c>
      <c r="BV187" s="115"/>
      <c r="BW187" s="113"/>
      <c r="BX187" s="113"/>
      <c r="BY187" s="116"/>
      <c r="BZ187" s="114">
        <f>(BZ186-BU186)*100</f>
        <v>0.26971649929433544</v>
      </c>
      <c r="CA187" s="115"/>
      <c r="CB187" s="113"/>
      <c r="CC187" s="113"/>
      <c r="CD187" s="116"/>
      <c r="CE187" s="114">
        <f>(CE186-BZ186)*100</f>
        <v>0.136371286117698</v>
      </c>
      <c r="CF187" s="115"/>
      <c r="CG187" s="113"/>
      <c r="CH187" s="113"/>
      <c r="CI187" s="116"/>
      <c r="CJ187" s="114">
        <f>(CJ186-CE186)*100</f>
        <v>0.12530585582452569</v>
      </c>
      <c r="CK187" s="307"/>
      <c r="CL187" s="657"/>
      <c r="CM187" s="675"/>
      <c r="CN187" s="682"/>
      <c r="CO187" s="675"/>
      <c r="CP187" s="985"/>
      <c r="CQ187" s="985"/>
      <c r="CR187" s="675"/>
      <c r="CS187" s="675"/>
      <c r="CT187" s="307"/>
      <c r="CX187"/>
      <c r="CY187"/>
      <c r="CZ187"/>
      <c r="DA187"/>
      <c r="DB187"/>
      <c r="DC187"/>
    </row>
    <row r="188" spans="1:107">
      <c r="A188" s="105" t="s">
        <v>170</v>
      </c>
      <c r="B188" s="139">
        <f t="shared" ref="B188:AE188" si="566">SUM(B109,B122,B135,B161,B148,B168,B184)</f>
        <v>380</v>
      </c>
      <c r="C188" s="139">
        <f t="shared" si="566"/>
        <v>1573</v>
      </c>
      <c r="D188" s="139">
        <f t="shared" si="566"/>
        <v>1425</v>
      </c>
      <c r="E188" s="139">
        <f t="shared" si="566"/>
        <v>1758</v>
      </c>
      <c r="F188" s="139">
        <f t="shared" si="566"/>
        <v>2067</v>
      </c>
      <c r="G188" s="139">
        <f t="shared" si="566"/>
        <v>2306</v>
      </c>
      <c r="H188" s="59">
        <f t="shared" si="566"/>
        <v>583</v>
      </c>
      <c r="I188" s="59">
        <f t="shared" si="566"/>
        <v>652</v>
      </c>
      <c r="J188" s="59">
        <f t="shared" si="566"/>
        <v>623</v>
      </c>
      <c r="K188" s="59">
        <f t="shared" si="566"/>
        <v>713</v>
      </c>
      <c r="L188" s="139">
        <f t="shared" si="566"/>
        <v>2613</v>
      </c>
      <c r="M188" s="59">
        <f t="shared" si="566"/>
        <v>642</v>
      </c>
      <c r="N188" s="59">
        <f t="shared" si="566"/>
        <v>702</v>
      </c>
      <c r="O188" s="59">
        <f t="shared" si="566"/>
        <v>716</v>
      </c>
      <c r="P188" s="59">
        <f t="shared" si="566"/>
        <v>683</v>
      </c>
      <c r="Q188" s="139">
        <f t="shared" si="566"/>
        <v>2743</v>
      </c>
      <c r="R188" s="59">
        <f t="shared" si="566"/>
        <v>701</v>
      </c>
      <c r="S188" s="59">
        <f t="shared" si="566"/>
        <v>754</v>
      </c>
      <c r="T188" s="59">
        <f t="shared" si="566"/>
        <v>766</v>
      </c>
      <c r="U188" s="59">
        <f t="shared" si="566"/>
        <v>794</v>
      </c>
      <c r="V188" s="139">
        <f t="shared" si="566"/>
        <v>3015</v>
      </c>
      <c r="W188" s="59">
        <f t="shared" si="566"/>
        <v>751</v>
      </c>
      <c r="X188" s="59">
        <f t="shared" si="566"/>
        <v>389</v>
      </c>
      <c r="Y188" s="59">
        <f t="shared" si="566"/>
        <v>801</v>
      </c>
      <c r="Z188" s="59">
        <f t="shared" si="566"/>
        <v>853</v>
      </c>
      <c r="AA188" s="139">
        <f t="shared" si="566"/>
        <v>2794</v>
      </c>
      <c r="AB188" s="59">
        <f t="shared" si="566"/>
        <v>678</v>
      </c>
      <c r="AC188" s="59">
        <f t="shared" si="566"/>
        <v>760</v>
      </c>
      <c r="AD188" s="59">
        <f t="shared" si="566"/>
        <v>797</v>
      </c>
      <c r="AE188" s="59">
        <f t="shared" si="566"/>
        <v>932</v>
      </c>
      <c r="AF188" s="139">
        <f t="shared" ref="AF188:AL188" si="567">SUM(AF109,AF122,AF135,AF148,AF184)</f>
        <v>3167</v>
      </c>
      <c r="AG188" s="59">
        <f t="shared" si="567"/>
        <v>776</v>
      </c>
      <c r="AH188" s="59">
        <f t="shared" si="567"/>
        <v>813</v>
      </c>
      <c r="AI188" s="59">
        <f t="shared" si="567"/>
        <v>833</v>
      </c>
      <c r="AJ188" s="59">
        <f t="shared" si="567"/>
        <v>822</v>
      </c>
      <c r="AK188" s="139">
        <f t="shared" si="567"/>
        <v>3244</v>
      </c>
      <c r="AL188" s="59">
        <f t="shared" si="567"/>
        <v>777</v>
      </c>
      <c r="AM188" s="59">
        <f>SUM(AM109,AM122,AM135,AM161,AM148,AM168,AM184)</f>
        <v>838</v>
      </c>
      <c r="AN188" s="59">
        <f>SUM(AN109,AN122,AN135,AN161,AN148,AN168,AN184)</f>
        <v>803</v>
      </c>
      <c r="AO188" s="59">
        <f>SUM(AO109,AO122,AO135,AO161,AO148,AO168,AO184)</f>
        <v>769</v>
      </c>
      <c r="AP188" s="139">
        <f t="shared" ref="AP188:BL188" si="568">SUM(AP109,AP122,AP135,AP148,AP180,AP175)</f>
        <v>3388</v>
      </c>
      <c r="AQ188" s="59">
        <f t="shared" si="568"/>
        <v>711.4</v>
      </c>
      <c r="AR188" s="59">
        <f t="shared" si="568"/>
        <v>695</v>
      </c>
      <c r="AS188" s="59">
        <f t="shared" si="568"/>
        <v>737</v>
      </c>
      <c r="AT188" s="59">
        <f t="shared" si="568"/>
        <v>817</v>
      </c>
      <c r="AU188" s="139">
        <f t="shared" si="568"/>
        <v>2960.4</v>
      </c>
      <c r="AV188" s="59">
        <f t="shared" si="568"/>
        <v>0</v>
      </c>
      <c r="AW188" s="59">
        <f t="shared" si="568"/>
        <v>0</v>
      </c>
      <c r="AX188" s="59">
        <f t="shared" si="568"/>
        <v>0</v>
      </c>
      <c r="AY188" s="59">
        <f t="shared" si="568"/>
        <v>0</v>
      </c>
      <c r="AZ188" s="139">
        <f t="shared" si="568"/>
        <v>3009</v>
      </c>
      <c r="BA188" s="59">
        <f t="shared" si="568"/>
        <v>834</v>
      </c>
      <c r="BB188" s="59">
        <f t="shared" si="568"/>
        <v>666</v>
      </c>
      <c r="BC188" s="59">
        <f t="shared" si="568"/>
        <v>726</v>
      </c>
      <c r="BD188" s="59">
        <f t="shared" si="568"/>
        <v>871</v>
      </c>
      <c r="BE188" s="139">
        <f t="shared" si="568"/>
        <v>3097</v>
      </c>
      <c r="BF188" s="59">
        <f t="shared" si="568"/>
        <v>594</v>
      </c>
      <c r="BG188" s="59">
        <f t="shared" si="568"/>
        <v>898</v>
      </c>
      <c r="BH188" s="59">
        <f t="shared" si="568"/>
        <v>759</v>
      </c>
      <c r="BI188" s="59">
        <f t="shared" si="568"/>
        <v>809</v>
      </c>
      <c r="BJ188" s="139">
        <f t="shared" si="568"/>
        <v>3060</v>
      </c>
      <c r="BK188" s="59">
        <f t="shared" si="568"/>
        <v>708</v>
      </c>
      <c r="BL188" s="59">
        <f t="shared" si="568"/>
        <v>779</v>
      </c>
      <c r="BM188" s="59">
        <f t="shared" ref="BM188:BO188" si="569">SUM(BM109,BM122,BM135,BM148,BM180,BM175)</f>
        <v>819</v>
      </c>
      <c r="BN188" s="109">
        <f t="shared" si="569"/>
        <v>841</v>
      </c>
      <c r="BO188" s="139">
        <f t="shared" si="569"/>
        <v>3147</v>
      </c>
      <c r="BP188" s="139">
        <f t="shared" ref="BP188" si="570">SUM(BP109,BP122,BP135,BP148,BP180,BP175)</f>
        <v>3147</v>
      </c>
      <c r="BQ188" s="140">
        <f t="shared" ref="BQ188:BU188" si="571">SUM(BQ109,BQ122,BQ135,BQ148,BQ180,BQ175)</f>
        <v>762.61332000000004</v>
      </c>
      <c r="BR188" s="59">
        <f t="shared" si="571"/>
        <v>830.06418000000008</v>
      </c>
      <c r="BS188" s="59">
        <f t="shared" si="571"/>
        <v>824.20022999999992</v>
      </c>
      <c r="BT188" s="60">
        <f t="shared" si="571"/>
        <v>932.46841000000018</v>
      </c>
      <c r="BU188" s="139">
        <f t="shared" si="571"/>
        <v>3349.3461400000006</v>
      </c>
      <c r="BV188" s="140">
        <f t="shared" ref="BV188:CJ188" si="572">SUM(BV109,BV122,BV135,BV148,BV180,BV175)</f>
        <v>0</v>
      </c>
      <c r="BW188" s="59">
        <f t="shared" si="572"/>
        <v>0</v>
      </c>
      <c r="BX188" s="59">
        <f t="shared" si="572"/>
        <v>0</v>
      </c>
      <c r="BY188" s="60">
        <f t="shared" si="572"/>
        <v>0</v>
      </c>
      <c r="BZ188" s="139">
        <f t="shared" si="572"/>
        <v>3608.2561725335781</v>
      </c>
      <c r="CA188" s="140">
        <f t="shared" si="572"/>
        <v>0</v>
      </c>
      <c r="CB188" s="59">
        <f t="shared" si="572"/>
        <v>0</v>
      </c>
      <c r="CC188" s="59">
        <f t="shared" si="572"/>
        <v>0</v>
      </c>
      <c r="CD188" s="60">
        <f t="shared" si="572"/>
        <v>0</v>
      </c>
      <c r="CE188" s="139">
        <f t="shared" si="572"/>
        <v>3854.354130254701</v>
      </c>
      <c r="CF188" s="140">
        <f t="shared" si="572"/>
        <v>0</v>
      </c>
      <c r="CG188" s="59">
        <f t="shared" si="572"/>
        <v>0</v>
      </c>
      <c r="CH188" s="59">
        <f t="shared" si="572"/>
        <v>0</v>
      </c>
      <c r="CI188" s="60">
        <f t="shared" si="572"/>
        <v>0</v>
      </c>
      <c r="CJ188" s="139">
        <f t="shared" si="572"/>
        <v>4114.4366739840989</v>
      </c>
      <c r="CK188" s="289"/>
      <c r="CL188" s="658"/>
      <c r="CM188" s="658"/>
      <c r="CN188" s="682"/>
      <c r="CO188" s="678"/>
      <c r="CP188" s="658"/>
      <c r="CQ188" s="658"/>
      <c r="CR188" s="658"/>
      <c r="CS188" s="658"/>
      <c r="CT188" s="289"/>
    </row>
    <row r="189" spans="1:107">
      <c r="A189" s="62" t="s">
        <v>137</v>
      </c>
      <c r="B189" s="70"/>
      <c r="C189" s="70">
        <f>C188/B188-1</f>
        <v>3.1394736842105262</v>
      </c>
      <c r="D189" s="70">
        <f>D188/C188-1</f>
        <v>-9.4087730451366869E-2</v>
      </c>
      <c r="E189" s="70">
        <f>E188/D188-1</f>
        <v>0.23368421052631572</v>
      </c>
      <c r="F189" s="70">
        <f>F188/E188-1</f>
        <v>0.17576791808873726</v>
      </c>
      <c r="G189" s="70">
        <f>G188/F188-1</f>
        <v>0.11562651185292694</v>
      </c>
      <c r="H189" s="118"/>
      <c r="I189" s="64"/>
      <c r="J189" s="64"/>
      <c r="K189" s="64"/>
      <c r="L189" s="70">
        <f t="shared" ref="L189:AS189" si="573">L188/G188-1</f>
        <v>0.13313096270598446</v>
      </c>
      <c r="M189" s="64">
        <f t="shared" si="573"/>
        <v>0.10120068610634658</v>
      </c>
      <c r="N189" s="64">
        <f t="shared" si="573"/>
        <v>7.6687116564417179E-2</v>
      </c>
      <c r="O189" s="64">
        <f t="shared" si="573"/>
        <v>0.14927768860353141</v>
      </c>
      <c r="P189" s="64">
        <f t="shared" si="573"/>
        <v>-4.2075736325385749E-2</v>
      </c>
      <c r="Q189" s="70">
        <f t="shared" si="573"/>
        <v>4.9751243781094523E-2</v>
      </c>
      <c r="R189" s="64">
        <f t="shared" si="573"/>
        <v>9.1900311526479816E-2</v>
      </c>
      <c r="S189" s="64">
        <f t="shared" si="573"/>
        <v>7.4074074074074181E-2</v>
      </c>
      <c r="T189" s="64">
        <f t="shared" si="573"/>
        <v>6.9832402234636826E-2</v>
      </c>
      <c r="U189" s="64">
        <f t="shared" si="573"/>
        <v>0.16251830161054182</v>
      </c>
      <c r="V189" s="70">
        <f t="shared" si="573"/>
        <v>9.9161502005103985E-2</v>
      </c>
      <c r="W189" s="64">
        <f t="shared" si="573"/>
        <v>7.1326676176890258E-2</v>
      </c>
      <c r="X189" s="64">
        <f>X188/S188-1</f>
        <v>-0.48408488063660482</v>
      </c>
      <c r="Y189" s="64">
        <f t="shared" si="573"/>
        <v>4.5691906005221883E-2</v>
      </c>
      <c r="Z189" s="64">
        <f t="shared" si="573"/>
        <v>7.4307304785894202E-2</v>
      </c>
      <c r="AA189" s="70">
        <f t="shared" si="573"/>
        <v>-7.3300165837479225E-2</v>
      </c>
      <c r="AB189" s="64">
        <f t="shared" si="573"/>
        <v>-9.7203728362183717E-2</v>
      </c>
      <c r="AC189" s="64">
        <f t="shared" si="573"/>
        <v>0.95372750642673521</v>
      </c>
      <c r="AD189" s="64">
        <f t="shared" si="573"/>
        <v>-4.993757802746579E-3</v>
      </c>
      <c r="AE189" s="64">
        <f t="shared" si="573"/>
        <v>9.2614302461899278E-2</v>
      </c>
      <c r="AF189" s="70">
        <f t="shared" si="573"/>
        <v>0.13350035790980663</v>
      </c>
      <c r="AG189" s="64">
        <f t="shared" si="573"/>
        <v>0.14454277286135686</v>
      </c>
      <c r="AH189" s="64">
        <f t="shared" si="573"/>
        <v>6.9736842105263097E-2</v>
      </c>
      <c r="AI189" s="64">
        <f t="shared" si="573"/>
        <v>4.5169385194479217E-2</v>
      </c>
      <c r="AJ189" s="64">
        <f t="shared" si="573"/>
        <v>-0.11802575107296143</v>
      </c>
      <c r="AK189" s="70">
        <f t="shared" si="573"/>
        <v>2.4313230186296275E-2</v>
      </c>
      <c r="AL189" s="64">
        <f t="shared" si="573"/>
        <v>1.2886597938144284E-3</v>
      </c>
      <c r="AM189" s="64">
        <f t="shared" si="573"/>
        <v>3.0750307503075058E-2</v>
      </c>
      <c r="AN189" s="64">
        <f t="shared" si="573"/>
        <v>-3.6014405762304968E-2</v>
      </c>
      <c r="AO189" s="64">
        <f t="shared" si="573"/>
        <v>-6.4476885644768833E-2</v>
      </c>
      <c r="AP189" s="70">
        <f t="shared" si="573"/>
        <v>4.4389642416769348E-2</v>
      </c>
      <c r="AQ189" s="64">
        <f>AQ188/AL188-1</f>
        <v>-8.4427284427284421E-2</v>
      </c>
      <c r="AR189" s="64">
        <f t="shared" si="573"/>
        <v>-0.1706443914081146</v>
      </c>
      <c r="AS189" s="64">
        <f t="shared" si="573"/>
        <v>-8.2191780821917804E-2</v>
      </c>
      <c r="AT189" s="64">
        <f t="shared" ref="AT189:AU189" si="574">AT188/AO188-1</f>
        <v>6.2418725617685356E-2</v>
      </c>
      <c r="AU189" s="70">
        <f t="shared" si="574"/>
        <v>-0.12621015348288078</v>
      </c>
      <c r="AV189" s="64"/>
      <c r="AW189" s="64"/>
      <c r="AX189" s="64"/>
      <c r="AY189" s="64"/>
      <c r="AZ189" s="70">
        <f t="shared" ref="AZ189" si="575">AZ188/AU188-1</f>
        <v>1.6416700445885724E-2</v>
      </c>
      <c r="BA189" s="64">
        <f>BA188/AQ188-1</f>
        <v>0.17233623840314882</v>
      </c>
      <c r="BB189" s="64">
        <f>BB188/AR188-1</f>
        <v>-4.1726618705036023E-2</v>
      </c>
      <c r="BC189" s="64">
        <f>BC188/AS188-1</f>
        <v>-1.4925373134328401E-2</v>
      </c>
      <c r="BD189" s="64">
        <f>BD188/AT188-1</f>
        <v>6.6095471236230052E-2</v>
      </c>
      <c r="BE189" s="70">
        <f>BE188/AZ188-1</f>
        <v>2.9245596543702179E-2</v>
      </c>
      <c r="BF189" s="64">
        <f t="shared" ref="BF189:BM189" si="576">BF188/BA188-1</f>
        <v>-0.28776978417266186</v>
      </c>
      <c r="BG189" s="64">
        <f t="shared" si="576"/>
        <v>0.34834834834834827</v>
      </c>
      <c r="BH189" s="64">
        <f t="shared" si="576"/>
        <v>4.5454545454545414E-2</v>
      </c>
      <c r="BI189" s="64">
        <f t="shared" si="576"/>
        <v>-7.1182548794489042E-2</v>
      </c>
      <c r="BJ189" s="70">
        <f t="shared" si="576"/>
        <v>-1.1947045527930245E-2</v>
      </c>
      <c r="BK189" s="64">
        <f>BK188/BF188-1</f>
        <v>0.19191919191919182</v>
      </c>
      <c r="BL189" s="64">
        <f t="shared" si="576"/>
        <v>-0.13251670378619151</v>
      </c>
      <c r="BM189" s="64">
        <f t="shared" si="576"/>
        <v>7.9051383399209474E-2</v>
      </c>
      <c r="BN189" s="64">
        <f t="shared" ref="BN189" si="577">BN188/BI188-1</f>
        <v>3.9555006180469698E-2</v>
      </c>
      <c r="BO189" s="70">
        <f t="shared" ref="BO189" si="578">BO188/BJ188-1</f>
        <v>2.8431372549019507E-2</v>
      </c>
      <c r="BP189" s="70"/>
      <c r="BQ189" s="121">
        <f t="shared" ref="BQ189" si="579">BQ188/BK188-1</f>
        <v>7.7137457627118655E-2</v>
      </c>
      <c r="BR189" s="64">
        <f t="shared" ref="BR189" si="580">BR188/BL188-1</f>
        <v>6.5550937098844742E-2</v>
      </c>
      <c r="BS189" s="64">
        <f t="shared" ref="BS189" si="581">BS188/BM188-1</f>
        <v>6.3494871794871344E-3</v>
      </c>
      <c r="BT189" s="122">
        <f>BT188/BN188-1</f>
        <v>0.10876148632580285</v>
      </c>
      <c r="BU189" s="70">
        <f>BU188/BO188-1</f>
        <v>6.4298106132825161E-2</v>
      </c>
      <c r="BV189" s="121"/>
      <c r="BW189" s="64"/>
      <c r="BX189" s="64"/>
      <c r="BY189" s="122"/>
      <c r="BZ189" s="70">
        <f>BZ188/BU188-1</f>
        <v>7.7301664776151746E-2</v>
      </c>
      <c r="CA189" s="121"/>
      <c r="CB189" s="64"/>
      <c r="CC189" s="64"/>
      <c r="CD189" s="122"/>
      <c r="CE189" s="70">
        <f>CE188/BZ188-1</f>
        <v>6.8204125747624689E-2</v>
      </c>
      <c r="CF189" s="121"/>
      <c r="CG189" s="64"/>
      <c r="CH189" s="64"/>
      <c r="CI189" s="122"/>
      <c r="CJ189" s="70">
        <f>CJ188/CE188-1</f>
        <v>6.747759415459087E-2</v>
      </c>
      <c r="CK189" s="289"/>
      <c r="CL189" s="678"/>
      <c r="CM189" s="658"/>
      <c r="CN189" s="682"/>
      <c r="CO189" s="680"/>
      <c r="CP189" s="658"/>
      <c r="CQ189" s="658"/>
      <c r="CR189" s="658"/>
      <c r="CS189" s="658"/>
      <c r="CT189" s="289"/>
    </row>
    <row r="190" spans="1:107">
      <c r="A190" s="449" t="s">
        <v>92</v>
      </c>
      <c r="B190" s="70"/>
      <c r="C190" s="70"/>
      <c r="D190" s="70"/>
      <c r="E190" s="70"/>
      <c r="F190" s="70"/>
      <c r="G190" s="70"/>
      <c r="H190" s="118"/>
      <c r="I190" s="64"/>
      <c r="J190" s="64"/>
      <c r="K190" s="64"/>
      <c r="L190" s="70"/>
      <c r="M190" s="64"/>
      <c r="N190" s="64"/>
      <c r="O190" s="64"/>
      <c r="P190" s="64"/>
      <c r="Q190" s="70"/>
      <c r="R190" s="64"/>
      <c r="S190" s="64"/>
      <c r="T190" s="64"/>
      <c r="U190" s="64"/>
      <c r="V190" s="139">
        <v>442</v>
      </c>
      <c r="W190" s="59"/>
      <c r="X190" s="59"/>
      <c r="Y190" s="59"/>
      <c r="Z190" s="59"/>
      <c r="AA190" s="139">
        <v>158</v>
      </c>
      <c r="AB190" s="59">
        <v>45</v>
      </c>
      <c r="AC190" s="59">
        <v>117</v>
      </c>
      <c r="AD190" s="59">
        <v>140</v>
      </c>
      <c r="AE190" s="59">
        <v>246</v>
      </c>
      <c r="AF190" s="139">
        <v>548</v>
      </c>
      <c r="AG190" s="59">
        <v>143</v>
      </c>
      <c r="AH190" s="59">
        <v>175</v>
      </c>
      <c r="AI190" s="59">
        <v>157</v>
      </c>
      <c r="AJ190" s="59">
        <v>138</v>
      </c>
      <c r="AK190" s="139">
        <v>613</v>
      </c>
      <c r="AL190" s="59">
        <v>139</v>
      </c>
      <c r="AM190" s="59">
        <v>156</v>
      </c>
      <c r="AN190" s="109">
        <v>143</v>
      </c>
      <c r="AO190" s="109">
        <f>AP190-SUM(AL190:AN190)</f>
        <v>119</v>
      </c>
      <c r="AP190" s="111">
        <v>557</v>
      </c>
      <c r="AQ190" s="59">
        <f t="shared" ref="AQ190:BA190" si="582">SUM(AQ193:AQ194)</f>
        <v>122</v>
      </c>
      <c r="AR190" s="59">
        <f t="shared" si="582"/>
        <v>88</v>
      </c>
      <c r="AS190" s="59">
        <f t="shared" si="582"/>
        <v>155</v>
      </c>
      <c r="AT190" s="109">
        <f t="shared" si="582"/>
        <v>148</v>
      </c>
      <c r="AU190" s="715">
        <f t="shared" si="582"/>
        <v>513</v>
      </c>
      <c r="AV190" s="59"/>
      <c r="AW190" s="59"/>
      <c r="AX190" s="59"/>
      <c r="AY190" s="109"/>
      <c r="AZ190" s="715">
        <f t="shared" ref="AZ190" si="583">SUM(AZ193:AZ194)</f>
        <v>513</v>
      </c>
      <c r="BA190" s="59">
        <f t="shared" si="582"/>
        <v>121</v>
      </c>
      <c r="BB190" s="59">
        <f>SUM(BB193:BB194)</f>
        <v>40</v>
      </c>
      <c r="BC190" s="59">
        <f>SUM(BC193:BC194)</f>
        <v>84</v>
      </c>
      <c r="BD190" s="109">
        <f>SUM(BD193:BD194)</f>
        <v>126</v>
      </c>
      <c r="BE190" s="715">
        <f>SUM(BE193:BE194)</f>
        <v>371</v>
      </c>
      <c r="BF190" s="59">
        <f t="shared" ref="BF190" si="584">SUM(BF193:BF194)</f>
        <v>21</v>
      </c>
      <c r="BG190" s="59">
        <f>SUM(BG193:BG194)</f>
        <v>134</v>
      </c>
      <c r="BH190" s="59">
        <f>SUM(BH193:BH194)</f>
        <v>114</v>
      </c>
      <c r="BI190" s="109">
        <f>SUM(BI193:BI194)</f>
        <v>132</v>
      </c>
      <c r="BJ190" s="715">
        <f>SUM(BJ193:BJ194)</f>
        <v>401</v>
      </c>
      <c r="BK190" s="59">
        <f t="shared" ref="BK190" si="585">SUM(BK193:BK194)</f>
        <v>54</v>
      </c>
      <c r="BL190" s="59">
        <f>SUM(BL193:BL194)</f>
        <v>112</v>
      </c>
      <c r="BM190" s="59">
        <f>SUM(BM193:BM194)</f>
        <v>149</v>
      </c>
      <c r="BN190" s="109">
        <f>SUM(BN193:BN194)</f>
        <v>127</v>
      </c>
      <c r="BO190" s="715">
        <f>SUM(BO193:BO194)</f>
        <v>442</v>
      </c>
      <c r="BP190" s="715">
        <f>SUM(BP193:BP194)</f>
        <v>442</v>
      </c>
      <c r="BQ190" s="140">
        <f t="shared" ref="BQ190:BT190" si="586">SUM(BQ193:BQ194)</f>
        <v>56.649218399999995</v>
      </c>
      <c r="BR190" s="59">
        <f t="shared" si="586"/>
        <v>118.76859633816272</v>
      </c>
      <c r="BS190" s="59">
        <f t="shared" si="586"/>
        <v>157.57897079487586</v>
      </c>
      <c r="BT190" s="60">
        <f t="shared" si="586"/>
        <v>137.64661714212002</v>
      </c>
      <c r="BU190" s="715">
        <f>SUM(BU193:BU194)</f>
        <v>470.64340267515843</v>
      </c>
      <c r="BV190" s="140"/>
      <c r="BW190" s="59"/>
      <c r="BX190" s="59"/>
      <c r="BY190" s="60"/>
      <c r="BZ190" s="139">
        <f>BZ191*BZ77</f>
        <v>424.07777509875007</v>
      </c>
      <c r="CA190" s="140"/>
      <c r="CB190" s="59"/>
      <c r="CC190" s="59"/>
      <c r="CD190" s="60"/>
      <c r="CE190" s="139">
        <f>CE191*CE77</f>
        <v>448.21242083287507</v>
      </c>
      <c r="CF190" s="140"/>
      <c r="CG190" s="59"/>
      <c r="CH190" s="59"/>
      <c r="CI190" s="60"/>
      <c r="CJ190" s="139">
        <f>CJ191*CJ77</f>
        <v>473.85355188197718</v>
      </c>
      <c r="CK190" s="289"/>
      <c r="CL190" s="658"/>
      <c r="CM190" s="658"/>
      <c r="CN190" s="682"/>
      <c r="CO190" s="658"/>
      <c r="CP190" s="658"/>
      <c r="CQ190" s="658"/>
      <c r="CR190" s="658"/>
      <c r="CS190" s="658"/>
      <c r="CT190" s="289"/>
    </row>
    <row r="191" spans="1:107" s="432" customFormat="1">
      <c r="A191" s="478" t="s">
        <v>93</v>
      </c>
      <c r="B191" s="474"/>
      <c r="C191" s="474"/>
      <c r="D191" s="474"/>
      <c r="E191" s="474"/>
      <c r="F191" s="474"/>
      <c r="G191" s="474"/>
      <c r="H191" s="431"/>
      <c r="I191" s="431"/>
      <c r="J191" s="431"/>
      <c r="K191" s="431"/>
      <c r="L191" s="474"/>
      <c r="M191" s="431"/>
      <c r="N191" s="431"/>
      <c r="O191" s="431"/>
      <c r="P191" s="431"/>
      <c r="Q191" s="474"/>
      <c r="R191" s="431"/>
      <c r="S191" s="431"/>
      <c r="T191" s="431"/>
      <c r="U191" s="431"/>
      <c r="V191" s="474">
        <f>V190/V77</f>
        <v>1.7764559302278847E-2</v>
      </c>
      <c r="W191" s="431"/>
      <c r="X191" s="431"/>
      <c r="Y191" s="431"/>
      <c r="Z191" s="431"/>
      <c r="AA191" s="474">
        <f t="shared" ref="AA191:AU191" si="587">AA190/AA77</f>
        <v>6.2740737799309061E-3</v>
      </c>
      <c r="AB191" s="431">
        <f t="shared" si="587"/>
        <v>7.4355584930601458E-3</v>
      </c>
      <c r="AC191" s="431">
        <f t="shared" si="587"/>
        <v>1.8867924528301886E-2</v>
      </c>
      <c r="AD191" s="431">
        <f t="shared" si="587"/>
        <v>2.289077828646174E-2</v>
      </c>
      <c r="AE191" s="431">
        <f t="shared" si="587"/>
        <v>3.8305823730924948E-2</v>
      </c>
      <c r="AF191" s="474">
        <f t="shared" si="587"/>
        <v>2.2104796095357187E-2</v>
      </c>
      <c r="AG191" s="431">
        <f t="shared" si="587"/>
        <v>2.4082182553048163E-2</v>
      </c>
      <c r="AH191" s="431">
        <f t="shared" si="587"/>
        <v>2.9205607476635514E-2</v>
      </c>
      <c r="AI191" s="431">
        <f t="shared" si="587"/>
        <v>2.5971877584780811E-2</v>
      </c>
      <c r="AJ191" s="431">
        <f t="shared" si="587"/>
        <v>2.1431899363255163E-2</v>
      </c>
      <c r="AK191" s="474">
        <f t="shared" si="587"/>
        <v>2.5108544277873353E-2</v>
      </c>
      <c r="AL191" s="431">
        <f t="shared" si="587"/>
        <v>2.3643476781765607E-2</v>
      </c>
      <c r="AM191" s="431">
        <f t="shared" si="587"/>
        <v>2.5511038430089943E-2</v>
      </c>
      <c r="AN191" s="431">
        <f t="shared" si="587"/>
        <v>2.4477918521054434E-2</v>
      </c>
      <c r="AO191" s="431">
        <f t="shared" si="587"/>
        <v>2.0272572402044293E-2</v>
      </c>
      <c r="AP191" s="474">
        <f t="shared" si="587"/>
        <v>2.3410246711217584E-2</v>
      </c>
      <c r="AQ191" s="431">
        <f t="shared" si="587"/>
        <v>2.2149600580973129E-2</v>
      </c>
      <c r="AR191" s="431">
        <f t="shared" si="587"/>
        <v>1.5435888440624452E-2</v>
      </c>
      <c r="AS191" s="431">
        <f t="shared" si="587"/>
        <v>2.8315674095725246E-2</v>
      </c>
      <c r="AT191" s="431">
        <f t="shared" si="587"/>
        <v>2.4092462965977536E-2</v>
      </c>
      <c r="AU191" s="474">
        <f t="shared" si="587"/>
        <v>2.2474371330938405E-2</v>
      </c>
      <c r="AV191" s="431"/>
      <c r="AW191" s="431"/>
      <c r="AX191" s="431"/>
      <c r="AY191" s="431"/>
      <c r="AZ191" s="474">
        <f t="shared" ref="AZ191:BT191" si="588">AZ190/AZ77</f>
        <v>2.2474371330938405E-2</v>
      </c>
      <c r="BA191" s="431">
        <f t="shared" si="588"/>
        <v>2.2881996974281393E-2</v>
      </c>
      <c r="BB191" s="431">
        <f t="shared" si="588"/>
        <v>6.8399452804377564E-3</v>
      </c>
      <c r="BC191" s="431">
        <f t="shared" si="588"/>
        <v>1.4525332872211656E-2</v>
      </c>
      <c r="BD191" s="431">
        <f t="shared" si="588"/>
        <v>1.9911504424778761E-2</v>
      </c>
      <c r="BE191" s="474">
        <f t="shared" si="588"/>
        <v>1.5959048479373683E-2</v>
      </c>
      <c r="BF191" s="431">
        <f t="shared" si="588"/>
        <v>3.6194415718717684E-3</v>
      </c>
      <c r="BG191" s="431">
        <f t="shared" si="588"/>
        <v>2.220381110190555E-2</v>
      </c>
      <c r="BH191" s="431">
        <f t="shared" si="588"/>
        <v>1.8896071606166086E-2</v>
      </c>
      <c r="BI191" s="431">
        <f t="shared" si="588"/>
        <v>2.1283456949371171E-2</v>
      </c>
      <c r="BJ191" s="474">
        <f t="shared" si="588"/>
        <v>1.665835825855766E-2</v>
      </c>
      <c r="BK191" s="431">
        <f t="shared" si="588"/>
        <v>8.9999999999999993E-3</v>
      </c>
      <c r="BL191" s="431">
        <f t="shared" si="588"/>
        <v>1.7831555484795415E-2</v>
      </c>
      <c r="BM191" s="431">
        <f t="shared" ref="BM191:BO191" si="589">BM190/BM77</f>
        <v>2.371101209420751E-2</v>
      </c>
      <c r="BN191" s="431">
        <f t="shared" si="589"/>
        <v>1.8723278785198291E-2</v>
      </c>
      <c r="BO191" s="474">
        <f t="shared" si="589"/>
        <v>1.7437273157645573E-2</v>
      </c>
      <c r="BP191" s="474"/>
      <c r="BQ191" s="529">
        <f t="shared" si="588"/>
        <v>8.9999999999999993E-3</v>
      </c>
      <c r="BR191" s="499">
        <f t="shared" si="588"/>
        <v>1.7831555484795415E-2</v>
      </c>
      <c r="BS191" s="499">
        <f t="shared" si="588"/>
        <v>2.371101209420751E-2</v>
      </c>
      <c r="BT191" s="530">
        <f t="shared" si="588"/>
        <v>1.9093647782547237E-2</v>
      </c>
      <c r="BU191" s="1015">
        <f t="shared" ref="BU191" si="590">BU190/BU77</f>
        <v>1.7554912535218705E-2</v>
      </c>
      <c r="BV191" s="495"/>
      <c r="BW191" s="496"/>
      <c r="BX191" s="496"/>
      <c r="BY191" s="497"/>
      <c r="BZ191" s="482">
        <v>1.4999999999999999E-2</v>
      </c>
      <c r="CA191" s="495"/>
      <c r="CB191" s="496"/>
      <c r="CC191" s="496"/>
      <c r="CD191" s="497"/>
      <c r="CE191" s="482">
        <v>1.4999999999999999E-2</v>
      </c>
      <c r="CF191" s="495"/>
      <c r="CG191" s="496"/>
      <c r="CH191" s="496"/>
      <c r="CI191" s="497"/>
      <c r="CJ191" s="482">
        <v>1.4999999999999999E-2</v>
      </c>
      <c r="CK191" s="430"/>
      <c r="CL191" s="677"/>
      <c r="CM191" s="677"/>
      <c r="CN191" s="682"/>
      <c r="CO191" s="677"/>
      <c r="CP191" s="677"/>
      <c r="CQ191" s="677"/>
      <c r="CR191" s="677"/>
      <c r="CS191" s="677"/>
      <c r="CT191" s="430"/>
      <c r="CX191"/>
      <c r="CY191"/>
      <c r="CZ191"/>
      <c r="DA191"/>
      <c r="DB191"/>
      <c r="DC191"/>
    </row>
    <row r="192" spans="1:107" s="432" customFormat="1">
      <c r="A192" s="478" t="s">
        <v>94</v>
      </c>
      <c r="B192" s="474"/>
      <c r="C192" s="474"/>
      <c r="D192" s="474"/>
      <c r="E192" s="474"/>
      <c r="F192" s="474"/>
      <c r="G192" s="474"/>
      <c r="H192" s="431"/>
      <c r="I192" s="431"/>
      <c r="J192" s="431"/>
      <c r="K192" s="431"/>
      <c r="L192" s="474"/>
      <c r="M192" s="431"/>
      <c r="N192" s="431"/>
      <c r="O192" s="431"/>
      <c r="P192" s="431"/>
      <c r="Q192" s="474"/>
      <c r="R192" s="431"/>
      <c r="S192" s="431"/>
      <c r="T192" s="431"/>
      <c r="U192" s="431"/>
      <c r="V192" s="474">
        <f>V190/V188</f>
        <v>0.14660033167495853</v>
      </c>
      <c r="W192" s="475"/>
      <c r="X192" s="431"/>
      <c r="Y192" s="431"/>
      <c r="Z192" s="476"/>
      <c r="AA192" s="474">
        <f t="shared" ref="AA192:AN192" si="591">AA190/AA188</f>
        <v>5.654974946313529E-2</v>
      </c>
      <c r="AB192" s="475">
        <f t="shared" si="591"/>
        <v>6.637168141592921E-2</v>
      </c>
      <c r="AC192" s="431">
        <f t="shared" si="591"/>
        <v>0.15394736842105264</v>
      </c>
      <c r="AD192" s="431">
        <f t="shared" si="591"/>
        <v>0.17565872020075282</v>
      </c>
      <c r="AE192" s="476">
        <f t="shared" si="591"/>
        <v>0.26394849785407726</v>
      </c>
      <c r="AF192" s="474">
        <f>AF190/AF188</f>
        <v>0.17303441742974424</v>
      </c>
      <c r="AG192" s="475">
        <f t="shared" si="591"/>
        <v>0.18427835051546393</v>
      </c>
      <c r="AH192" s="431">
        <f t="shared" si="591"/>
        <v>0.21525215252152521</v>
      </c>
      <c r="AI192" s="431">
        <f t="shared" si="591"/>
        <v>0.18847539015606243</v>
      </c>
      <c r="AJ192" s="476">
        <f t="shared" si="591"/>
        <v>0.16788321167883211</v>
      </c>
      <c r="AK192" s="474">
        <f t="shared" si="591"/>
        <v>0.18896424167694204</v>
      </c>
      <c r="AL192" s="475">
        <f t="shared" si="591"/>
        <v>0.17889317889317891</v>
      </c>
      <c r="AM192" s="431">
        <f t="shared" si="591"/>
        <v>0.18615751789976134</v>
      </c>
      <c r="AN192" s="431">
        <f t="shared" si="591"/>
        <v>0.17808219178082191</v>
      </c>
      <c r="AO192" s="431">
        <f>AO190/AO188</f>
        <v>0.15474642392717816</v>
      </c>
      <c r="AP192" s="527">
        <f>AP190/AP188</f>
        <v>0.16440377804014167</v>
      </c>
      <c r="AQ192" s="431">
        <f>AQ190/AQ188</f>
        <v>0.17149283103739107</v>
      </c>
      <c r="AR192" s="431">
        <f>AR190/AR188</f>
        <v>0.12661870503597122</v>
      </c>
      <c r="AS192" s="431">
        <f>AS190/AS188</f>
        <v>0.21031207598371776</v>
      </c>
      <c r="AT192" s="431">
        <f t="shared" ref="AT192:BE192" si="592">AT190/AT188</f>
        <v>0.18115055079559364</v>
      </c>
      <c r="AU192" s="527">
        <f t="shared" si="592"/>
        <v>0.17328739359546005</v>
      </c>
      <c r="AV192" s="431"/>
      <c r="AW192" s="431"/>
      <c r="AX192" s="431"/>
      <c r="AY192" s="431"/>
      <c r="AZ192" s="527">
        <f t="shared" ref="AZ192" si="593">AZ190/AZ188</f>
        <v>0.17048853439680958</v>
      </c>
      <c r="BA192" s="431">
        <f t="shared" si="592"/>
        <v>0.14508393285371701</v>
      </c>
      <c r="BB192" s="431">
        <f t="shared" si="592"/>
        <v>6.006006006006006E-2</v>
      </c>
      <c r="BC192" s="431">
        <f t="shared" si="592"/>
        <v>0.11570247933884298</v>
      </c>
      <c r="BD192" s="431">
        <f t="shared" si="592"/>
        <v>0.14466130884041331</v>
      </c>
      <c r="BE192" s="527">
        <f t="shared" si="592"/>
        <v>0.11979334840167905</v>
      </c>
      <c r="BF192" s="431">
        <f t="shared" ref="BF192:BJ192" si="594">BF190/BF188</f>
        <v>3.5353535353535352E-2</v>
      </c>
      <c r="BG192" s="431">
        <f t="shared" si="594"/>
        <v>0.1492204899777283</v>
      </c>
      <c r="BH192" s="431">
        <f t="shared" si="594"/>
        <v>0.15019762845849802</v>
      </c>
      <c r="BI192" s="431">
        <f t="shared" si="594"/>
        <v>0.16316440049443759</v>
      </c>
      <c r="BJ192" s="527">
        <f t="shared" si="594"/>
        <v>0.13104575163398693</v>
      </c>
      <c r="BK192" s="431">
        <f t="shared" ref="BK192:BO192" si="595">BK190/BK188</f>
        <v>7.6271186440677971E-2</v>
      </c>
      <c r="BL192" s="431">
        <f t="shared" si="595"/>
        <v>0.14377406931964057</v>
      </c>
      <c r="BM192" s="431">
        <f t="shared" si="595"/>
        <v>0.18192918192918192</v>
      </c>
      <c r="BN192" s="431">
        <f t="shared" si="595"/>
        <v>0.15101070154577884</v>
      </c>
      <c r="BO192" s="527">
        <f t="shared" si="595"/>
        <v>0.14045122338735302</v>
      </c>
      <c r="BP192" s="527"/>
      <c r="BQ192" s="475">
        <f t="shared" ref="BQ192:BU192" si="596">BQ190/BQ188</f>
        <v>7.428301724391595E-2</v>
      </c>
      <c r="BR192" s="431">
        <f t="shared" si="596"/>
        <v>0.14308363039851052</v>
      </c>
      <c r="BS192" s="431">
        <f t="shared" si="596"/>
        <v>0.19119015629839836</v>
      </c>
      <c r="BT192" s="476">
        <f t="shared" si="596"/>
        <v>0.14761531400524336</v>
      </c>
      <c r="BU192" s="527">
        <f t="shared" si="596"/>
        <v>0.14051799455853145</v>
      </c>
      <c r="BV192" s="475"/>
      <c r="BW192" s="431"/>
      <c r="BX192" s="431"/>
      <c r="BY192" s="476"/>
      <c r="BZ192" s="474">
        <f>BZ190/BZ188</f>
        <v>0.11752984123657136</v>
      </c>
      <c r="CA192" s="475"/>
      <c r="CB192" s="431"/>
      <c r="CC192" s="431"/>
      <c r="CD192" s="476"/>
      <c r="CE192" s="474">
        <f>CE190/CE188</f>
        <v>0.11628729631110896</v>
      </c>
      <c r="CF192" s="475"/>
      <c r="CG192" s="431"/>
      <c r="CH192" s="431"/>
      <c r="CI192" s="476"/>
      <c r="CJ192" s="474">
        <f>CJ190/CJ188</f>
        <v>0.11516851258841576</v>
      </c>
      <c r="CK192" s="430"/>
      <c r="CL192" s="677"/>
      <c r="CM192" s="677"/>
      <c r="CN192" s="682"/>
      <c r="CO192" s="677"/>
      <c r="CP192" s="677"/>
      <c r="CQ192" s="677"/>
      <c r="CR192" s="677"/>
      <c r="CS192" s="677"/>
      <c r="CT192" s="430"/>
      <c r="CX192"/>
      <c r="CY192"/>
      <c r="CZ192"/>
      <c r="DA192"/>
      <c r="DB192"/>
      <c r="DC192"/>
    </row>
    <row r="193" spans="1:107">
      <c r="A193" s="624" t="s">
        <v>318</v>
      </c>
      <c r="B193" s="70"/>
      <c r="C193" s="70"/>
      <c r="D193" s="70"/>
      <c r="E193" s="70"/>
      <c r="F193" s="70"/>
      <c r="G193" s="70"/>
      <c r="H193" s="118"/>
      <c r="I193" s="64"/>
      <c r="J193" s="64"/>
      <c r="K193" s="64"/>
      <c r="L193" s="70"/>
      <c r="M193" s="64"/>
      <c r="N193" s="64"/>
      <c r="O193" s="64"/>
      <c r="P193" s="64"/>
      <c r="Q193" s="70"/>
      <c r="R193" s="64"/>
      <c r="S193" s="64"/>
      <c r="T193" s="64"/>
      <c r="U193" s="64"/>
      <c r="V193" s="398">
        <v>875</v>
      </c>
      <c r="W193" s="401"/>
      <c r="X193" s="401"/>
      <c r="Y193" s="401"/>
      <c r="Z193" s="401"/>
      <c r="AA193" s="398">
        <v>968</v>
      </c>
      <c r="AB193" s="401">
        <v>222</v>
      </c>
      <c r="AC193" s="401">
        <v>230</v>
      </c>
      <c r="AD193" s="401">
        <v>255</v>
      </c>
      <c r="AE193" s="401">
        <v>334</v>
      </c>
      <c r="AF193" s="398">
        <v>1041</v>
      </c>
      <c r="AG193" s="401">
        <v>239</v>
      </c>
      <c r="AH193" s="401">
        <v>263</v>
      </c>
      <c r="AI193" s="401">
        <v>234</v>
      </c>
      <c r="AJ193" s="401">
        <v>290</v>
      </c>
      <c r="AK193" s="398">
        <v>1026</v>
      </c>
      <c r="AL193" s="401">
        <v>273</v>
      </c>
      <c r="AM193" s="401">
        <v>277</v>
      </c>
      <c r="AN193" s="401">
        <v>237</v>
      </c>
      <c r="AO193" s="401">
        <f>AP193-SUM(AL193:AN193)</f>
        <v>342</v>
      </c>
      <c r="AP193" s="398">
        <v>1129</v>
      </c>
      <c r="AQ193" s="401">
        <v>251</v>
      </c>
      <c r="AR193" s="673">
        <v>269</v>
      </c>
      <c r="AS193" s="36">
        <v>277</v>
      </c>
      <c r="AT193" s="673">
        <f>1106-SUM(AQ193:AS193)</f>
        <v>309</v>
      </c>
      <c r="AU193" s="714">
        <f>SUM(AQ193:AT193)</f>
        <v>1106</v>
      </c>
      <c r="AV193" s="401"/>
      <c r="AW193" s="673"/>
      <c r="AX193" s="36"/>
      <c r="AY193" s="673"/>
      <c r="AZ193" s="714">
        <v>1106</v>
      </c>
      <c r="BA193" s="673">
        <v>181</v>
      </c>
      <c r="BB193" s="673">
        <v>150</v>
      </c>
      <c r="BC193" s="673">
        <v>208</v>
      </c>
      <c r="BD193" s="673">
        <f>811-SUM(BA193:BC193)</f>
        <v>272</v>
      </c>
      <c r="BE193" s="714">
        <f>SUM(BA193:BD193)</f>
        <v>811</v>
      </c>
      <c r="BF193" s="673">
        <v>179</v>
      </c>
      <c r="BG193" s="673">
        <v>228</v>
      </c>
      <c r="BH193" s="673">
        <v>221</v>
      </c>
      <c r="BI193" s="673">
        <f>879-SUM(BF193:BH193)</f>
        <v>251</v>
      </c>
      <c r="BJ193" s="714">
        <f>SUM(BF193:BI193)</f>
        <v>879</v>
      </c>
      <c r="BK193" s="673">
        <v>229</v>
      </c>
      <c r="BL193" s="668">
        <v>236</v>
      </c>
      <c r="BM193" s="36">
        <v>321</v>
      </c>
      <c r="BN193" s="36">
        <f>1116-BM193-BL193-BK193</f>
        <v>330</v>
      </c>
      <c r="BO193" s="714">
        <f>SUM(BK193:BN193)</f>
        <v>1116</v>
      </c>
      <c r="BP193" s="714">
        <f>BO193</f>
        <v>1116</v>
      </c>
      <c r="BQ193" s="1012">
        <f>BK193*(1+BQ78)</f>
        <v>240.23464839999997</v>
      </c>
      <c r="BR193" s="1013">
        <f>BL193*(1+BR78)</f>
        <v>250.2623994268429</v>
      </c>
      <c r="BS193" s="1013">
        <f>BM193*(1+BS78)</f>
        <v>339.48221224936344</v>
      </c>
      <c r="BT193" s="1014">
        <f>BN193*(1+BT78)+2.67</f>
        <v>353.39664296771343</v>
      </c>
      <c r="BU193" s="714">
        <f>SUM(BQ193:BT193)</f>
        <v>1183.3759030439196</v>
      </c>
      <c r="BV193" s="421"/>
      <c r="BW193" s="401"/>
      <c r="BX193" s="401"/>
      <c r="BY193" s="422"/>
      <c r="BZ193" s="398"/>
      <c r="CA193" s="421"/>
      <c r="CB193" s="401"/>
      <c r="CC193" s="401"/>
      <c r="CD193" s="422"/>
      <c r="CE193" s="398"/>
      <c r="CF193" s="421"/>
      <c r="CG193" s="401"/>
      <c r="CH193" s="401"/>
      <c r="CI193" s="422"/>
      <c r="CJ193" s="398"/>
      <c r="CK193" s="289"/>
      <c r="CL193" s="658"/>
      <c r="CM193" s="658"/>
      <c r="CN193" s="682"/>
      <c r="CO193" s="658"/>
      <c r="CP193" s="658"/>
      <c r="CQ193" s="658"/>
      <c r="CR193" s="658"/>
      <c r="CS193" s="658"/>
      <c r="CT193" s="289"/>
    </row>
    <row r="194" spans="1:107">
      <c r="A194" s="62" t="s">
        <v>95</v>
      </c>
      <c r="B194" s="70"/>
      <c r="C194" s="70"/>
      <c r="D194" s="70"/>
      <c r="E194" s="70"/>
      <c r="F194" s="70"/>
      <c r="G194" s="70"/>
      <c r="H194" s="118"/>
      <c r="I194" s="64"/>
      <c r="J194" s="64"/>
      <c r="K194" s="64"/>
      <c r="L194" s="70"/>
      <c r="M194" s="64"/>
      <c r="N194" s="64"/>
      <c r="O194" s="64"/>
      <c r="P194" s="64"/>
      <c r="Q194" s="70"/>
      <c r="R194" s="64"/>
      <c r="S194" s="64"/>
      <c r="T194" s="64"/>
      <c r="U194" s="64"/>
      <c r="V194" s="398">
        <v>-433</v>
      </c>
      <c r="W194" s="401"/>
      <c r="X194" s="401"/>
      <c r="Y194" s="401"/>
      <c r="Z194" s="401"/>
      <c r="AA194" s="398">
        <v>-810</v>
      </c>
      <c r="AB194" s="401">
        <v>-177</v>
      </c>
      <c r="AC194" s="401">
        <v>-113</v>
      </c>
      <c r="AD194" s="401">
        <v>-115</v>
      </c>
      <c r="AE194" s="401">
        <v>-88</v>
      </c>
      <c r="AF194" s="398">
        <v>-493</v>
      </c>
      <c r="AG194" s="401">
        <v>-96</v>
      </c>
      <c r="AH194" s="401">
        <v>-88</v>
      </c>
      <c r="AI194" s="401">
        <v>-77</v>
      </c>
      <c r="AJ194" s="401">
        <v>-152</v>
      </c>
      <c r="AK194" s="398">
        <v>-413</v>
      </c>
      <c r="AL194" s="401">
        <v>-134</v>
      </c>
      <c r="AM194" s="401">
        <v>-121</v>
      </c>
      <c r="AN194" s="401">
        <v>-94</v>
      </c>
      <c r="AO194" s="401">
        <f>AP194-SUM(AL194:AN194)</f>
        <v>-223</v>
      </c>
      <c r="AP194" s="398">
        <v>-572</v>
      </c>
      <c r="AQ194" s="401">
        <v>-129</v>
      </c>
      <c r="AR194" s="673">
        <v>-181</v>
      </c>
      <c r="AS194" s="36">
        <v>-122</v>
      </c>
      <c r="AT194" s="673">
        <f>-593-SUM(AQ194:AS194)</f>
        <v>-161</v>
      </c>
      <c r="AU194" s="714">
        <f>SUM(AQ194:AT194)</f>
        <v>-593</v>
      </c>
      <c r="AV194" s="401"/>
      <c r="AW194" s="673"/>
      <c r="AX194" s="36"/>
      <c r="AY194" s="673"/>
      <c r="AZ194" s="714">
        <v>-593</v>
      </c>
      <c r="BA194" s="673">
        <v>-60</v>
      </c>
      <c r="BB194" s="673">
        <v>-110</v>
      </c>
      <c r="BC194" s="673">
        <v>-124</v>
      </c>
      <c r="BD194" s="673">
        <f>-440-SUM(BA194:BC194)</f>
        <v>-146</v>
      </c>
      <c r="BE194" s="714">
        <f>SUM(BA194:BD194)</f>
        <v>-440</v>
      </c>
      <c r="BF194" s="673">
        <v>-158</v>
      </c>
      <c r="BG194" s="673">
        <v>-94</v>
      </c>
      <c r="BH194" s="673">
        <v>-107</v>
      </c>
      <c r="BI194" s="673">
        <f>-478-SUM(BF194:BH194)</f>
        <v>-119</v>
      </c>
      <c r="BJ194" s="714">
        <f>SUM(BF194:BI194)</f>
        <v>-478</v>
      </c>
      <c r="BK194" s="673">
        <v>-175</v>
      </c>
      <c r="BL194" s="668">
        <v>-124</v>
      </c>
      <c r="BM194" s="36">
        <v>-172</v>
      </c>
      <c r="BN194" s="36">
        <f>-674-BM194-BL194-BK194</f>
        <v>-203</v>
      </c>
      <c r="BO194" s="714">
        <f>SUM(BK194:BN194)</f>
        <v>-674</v>
      </c>
      <c r="BP194" s="714">
        <f>BO194</f>
        <v>-674</v>
      </c>
      <c r="BQ194" s="1012">
        <f>BK194*(1+BQ78)</f>
        <v>-183.58542999999997</v>
      </c>
      <c r="BR194" s="1013">
        <f>BL194*(1+BR78)</f>
        <v>-131.49380308868018</v>
      </c>
      <c r="BS194" s="1013">
        <f>BM194*(1+BS78)</f>
        <v>-181.90324145448758</v>
      </c>
      <c r="BT194" s="1014">
        <f>BN194*(1+BT78)</f>
        <v>-215.75002582559341</v>
      </c>
      <c r="BU194" s="714">
        <f>SUM(BQ194:BT194)</f>
        <v>-712.73250036876118</v>
      </c>
      <c r="BV194" s="421"/>
      <c r="BW194" s="401"/>
      <c r="BX194" s="401"/>
      <c r="BY194" s="422"/>
      <c r="BZ194" s="398"/>
      <c r="CA194" s="421"/>
      <c r="CB194" s="401"/>
      <c r="CC194" s="401"/>
      <c r="CD194" s="422"/>
      <c r="CE194" s="398"/>
      <c r="CF194" s="421"/>
      <c r="CG194" s="401"/>
      <c r="CH194" s="401"/>
      <c r="CI194" s="422"/>
      <c r="CJ194" s="398"/>
      <c r="CK194" s="289"/>
      <c r="CL194" s="658"/>
      <c r="CM194" s="658"/>
      <c r="CN194" s="682"/>
      <c r="CO194" s="658"/>
      <c r="CP194" s="658"/>
      <c r="CQ194" s="658"/>
      <c r="CR194" s="658"/>
      <c r="CS194" s="658"/>
      <c r="CT194" s="289"/>
    </row>
    <row r="195" spans="1:107" s="432" customFormat="1">
      <c r="A195" s="627" t="s">
        <v>168</v>
      </c>
      <c r="B195" s="640"/>
      <c r="C195" s="640"/>
      <c r="D195" s="640"/>
      <c r="E195" s="640"/>
      <c r="F195" s="640"/>
      <c r="G195" s="640"/>
      <c r="H195" s="641"/>
      <c r="I195" s="641"/>
      <c r="J195" s="641"/>
      <c r="K195" s="641"/>
      <c r="L195" s="640"/>
      <c r="M195" s="641"/>
      <c r="N195" s="641"/>
      <c r="O195" s="641"/>
      <c r="P195" s="641"/>
      <c r="Q195" s="640"/>
      <c r="R195" s="641"/>
      <c r="S195" s="641"/>
      <c r="T195" s="641"/>
      <c r="U195" s="641"/>
      <c r="V195" s="640">
        <f>(V188-V190)/V77</f>
        <v>0.10341224227322053</v>
      </c>
      <c r="W195" s="641"/>
      <c r="X195" s="641"/>
      <c r="Y195" s="641"/>
      <c r="Z195" s="641"/>
      <c r="AA195" s="640">
        <f t="shared" ref="AA195:AU195" si="597">(AA188-AA190)/AA77</f>
        <v>0.10467378787277132</v>
      </c>
      <c r="AB195" s="641">
        <f t="shared" si="597"/>
        <v>0.10459352280237938</v>
      </c>
      <c r="AC195" s="641">
        <f t="shared" si="597"/>
        <v>0.10369295274955652</v>
      </c>
      <c r="AD195" s="641">
        <f t="shared" si="597"/>
        <v>0.10742315238718117</v>
      </c>
      <c r="AE195" s="641">
        <f t="shared" si="597"/>
        <v>0.106820305200872</v>
      </c>
      <c r="AF195" s="640">
        <f t="shared" si="597"/>
        <v>0.10564317695938041</v>
      </c>
      <c r="AG195" s="641">
        <f t="shared" si="597"/>
        <v>0.1066015493432132</v>
      </c>
      <c r="AH195" s="641">
        <f t="shared" si="597"/>
        <v>0.10647530040053405</v>
      </c>
      <c r="AI195" s="641">
        <f t="shared" si="597"/>
        <v>0.11182795698924732</v>
      </c>
      <c r="AJ195" s="641">
        <f t="shared" si="597"/>
        <v>0.10622767510482994</v>
      </c>
      <c r="AK195" s="640">
        <f t="shared" si="597"/>
        <v>0.10776603588105185</v>
      </c>
      <c r="AL195" s="641">
        <f t="shared" si="597"/>
        <v>0.10852185745875149</v>
      </c>
      <c r="AM195" s="641">
        <f t="shared" si="597"/>
        <v>0.11152902698282911</v>
      </c>
      <c r="AN195" s="641">
        <f t="shared" si="597"/>
        <v>0.11297500855871277</v>
      </c>
      <c r="AO195" s="641">
        <f t="shared" si="597"/>
        <v>0.11073253833049404</v>
      </c>
      <c r="AP195" s="640">
        <f t="shared" si="597"/>
        <v>0.11898457529525491</v>
      </c>
      <c r="AQ195" s="641">
        <f t="shared" si="597"/>
        <v>0.10700798838053739</v>
      </c>
      <c r="AR195" s="641">
        <f t="shared" si="597"/>
        <v>0.10647254867567094</v>
      </c>
      <c r="AS195" s="641">
        <f t="shared" si="597"/>
        <v>0.10632078918523931</v>
      </c>
      <c r="AT195" s="641">
        <f t="shared" si="597"/>
        <v>0.10890444408269576</v>
      </c>
      <c r="AU195" s="640">
        <f t="shared" si="597"/>
        <v>0.10721983702795058</v>
      </c>
      <c r="AV195" s="641"/>
      <c r="AW195" s="641"/>
      <c r="AX195" s="641"/>
      <c r="AY195" s="641"/>
      <c r="AZ195" s="640">
        <f t="shared" ref="AZ195:BL195" si="598">(AZ188-AZ190)/AZ77</f>
        <v>0.10934898799614474</v>
      </c>
      <c r="BA195" s="641">
        <f t="shared" si="598"/>
        <v>0.13483358547655069</v>
      </c>
      <c r="BB195" s="641">
        <f t="shared" si="598"/>
        <v>0.10704514363885088</v>
      </c>
      <c r="BC195" s="641">
        <f t="shared" si="598"/>
        <v>0.1110150440947605</v>
      </c>
      <c r="BD195" s="641">
        <f t="shared" si="598"/>
        <v>0.11773072060682681</v>
      </c>
      <c r="BE195" s="640">
        <f t="shared" si="598"/>
        <v>0.11726244246569449</v>
      </c>
      <c r="BF195" s="641">
        <f t="shared" si="598"/>
        <v>9.8759048603929686E-2</v>
      </c>
      <c r="BG195" s="641">
        <f t="shared" si="598"/>
        <v>0.12659486329743164</v>
      </c>
      <c r="BH195" s="641">
        <f t="shared" si="598"/>
        <v>0.10691198408751865</v>
      </c>
      <c r="BI195" s="641">
        <f t="shared" si="598"/>
        <v>0.1091583360206385</v>
      </c>
      <c r="BJ195" s="640">
        <f t="shared" si="598"/>
        <v>0.11046028580923895</v>
      </c>
      <c r="BK195" s="641">
        <f t="shared" si="598"/>
        <v>0.109</v>
      </c>
      <c r="BL195" s="641">
        <f t="shared" si="598"/>
        <v>0.10619328132462984</v>
      </c>
      <c r="BM195" s="641">
        <f t="shared" ref="BM195:BO195" si="599">(BM188-BM190)/BM77</f>
        <v>0.10661998726925526</v>
      </c>
      <c r="BN195" s="641">
        <f t="shared" si="599"/>
        <v>0.10526315789473684</v>
      </c>
      <c r="BO195" s="640">
        <f t="shared" si="599"/>
        <v>0.10671453369102099</v>
      </c>
      <c r="BP195" s="640">
        <f t="shared" ref="BP195" si="600">(BP188-BP190)/BP77</f>
        <v>0.10671453369102099</v>
      </c>
      <c r="BQ195" s="642">
        <f t="shared" ref="BQ195:BU195" si="601">(BQ188-BQ190)/BQ77</f>
        <v>0.11215824496530037</v>
      </c>
      <c r="BR195" s="641">
        <f t="shared" si="601"/>
        <v>0.10679175352079602</v>
      </c>
      <c r="BS195" s="641">
        <f t="shared" si="601"/>
        <v>0.10030694235110794</v>
      </c>
      <c r="BT195" s="643">
        <f t="shared" si="601"/>
        <v>0.11025368932279553</v>
      </c>
      <c r="BU195" s="640">
        <f t="shared" si="601"/>
        <v>0.10737508372875708</v>
      </c>
      <c r="BV195" s="642"/>
      <c r="BW195" s="641"/>
      <c r="BX195" s="641"/>
      <c r="BY195" s="643"/>
      <c r="BZ195" s="640">
        <f>(BZ188-BZ190)/BZ77</f>
        <v>0.11262716125691916</v>
      </c>
      <c r="CA195" s="642"/>
      <c r="CB195" s="641"/>
      <c r="CC195" s="641"/>
      <c r="CD195" s="643"/>
      <c r="CE195" s="640">
        <f>(CE188-CE190)/CE77</f>
        <v>0.11399087411809612</v>
      </c>
      <c r="CF195" s="642"/>
      <c r="CG195" s="641"/>
      <c r="CH195" s="641"/>
      <c r="CI195" s="643"/>
      <c r="CJ195" s="640">
        <f>(CJ188-CJ190)/CJ77</f>
        <v>0.11524393267634139</v>
      </c>
      <c r="CK195" s="430"/>
      <c r="CL195" s="677"/>
      <c r="CM195" s="677"/>
      <c r="CN195" s="682"/>
      <c r="CO195" s="677"/>
      <c r="CP195" s="677"/>
      <c r="CQ195" s="677"/>
      <c r="CR195" s="677"/>
      <c r="CS195" s="677"/>
      <c r="CT195" s="430"/>
      <c r="CX195"/>
      <c r="CY195"/>
      <c r="CZ195"/>
      <c r="DA195"/>
      <c r="DB195"/>
      <c r="DC195"/>
    </row>
    <row r="196" spans="1:107" s="308" customFormat="1">
      <c r="A196" s="112" t="s">
        <v>140</v>
      </c>
      <c r="B196" s="114"/>
      <c r="C196" s="114"/>
      <c r="D196" s="114"/>
      <c r="E196" s="114"/>
      <c r="F196" s="114"/>
      <c r="G196" s="114"/>
      <c r="H196" s="113"/>
      <c r="I196" s="113"/>
      <c r="J196" s="113"/>
      <c r="K196" s="113"/>
      <c r="L196" s="114"/>
      <c r="M196" s="113"/>
      <c r="N196" s="113"/>
      <c r="O196" s="113"/>
      <c r="P196" s="113"/>
      <c r="Q196" s="114"/>
      <c r="R196" s="113">
        <f>(R195-M195)*100</f>
        <v>0</v>
      </c>
      <c r="S196" s="113">
        <f>(S195-N195)*100</f>
        <v>0</v>
      </c>
      <c r="T196" s="113">
        <f>(T195-O195)*100</f>
        <v>0</v>
      </c>
      <c r="U196" s="113">
        <f>(U195-P195)*100</f>
        <v>0</v>
      </c>
      <c r="V196" s="114"/>
      <c r="W196" s="113">
        <f t="shared" ref="W196:AS196" si="602">(W195-R195)*100</f>
        <v>0</v>
      </c>
      <c r="X196" s="113">
        <f t="shared" si="602"/>
        <v>0</v>
      </c>
      <c r="Y196" s="113">
        <f t="shared" si="602"/>
        <v>0</v>
      </c>
      <c r="Z196" s="113">
        <f t="shared" si="602"/>
        <v>0</v>
      </c>
      <c r="AA196" s="114">
        <f t="shared" si="602"/>
        <v>0.12615455995507868</v>
      </c>
      <c r="AB196" s="113">
        <f t="shared" si="602"/>
        <v>10.459352280237939</v>
      </c>
      <c r="AC196" s="113">
        <f t="shared" si="602"/>
        <v>10.369295274955652</v>
      </c>
      <c r="AD196" s="113">
        <f t="shared" si="602"/>
        <v>10.742315238718117</v>
      </c>
      <c r="AE196" s="113">
        <f t="shared" si="602"/>
        <v>10.682030520087201</v>
      </c>
      <c r="AF196" s="114">
        <f t="shared" si="602"/>
        <v>9.6938908660909595E-2</v>
      </c>
      <c r="AG196" s="113">
        <f t="shared" si="602"/>
        <v>0.20080265408338183</v>
      </c>
      <c r="AH196" s="113">
        <f t="shared" si="602"/>
        <v>0.27823476509775263</v>
      </c>
      <c r="AI196" s="113">
        <f t="shared" si="602"/>
        <v>0.44048046020661452</v>
      </c>
      <c r="AJ196" s="113">
        <f t="shared" si="602"/>
        <v>-5.9263009604205996E-2</v>
      </c>
      <c r="AK196" s="114">
        <f t="shared" si="602"/>
        <v>0.21228589216714389</v>
      </c>
      <c r="AL196" s="113">
        <f t="shared" si="602"/>
        <v>0.19203081155382967</v>
      </c>
      <c r="AM196" s="113">
        <f t="shared" si="602"/>
        <v>0.50537265822950683</v>
      </c>
      <c r="AN196" s="113">
        <f t="shared" si="602"/>
        <v>0.11470515694654571</v>
      </c>
      <c r="AO196" s="113">
        <f t="shared" si="602"/>
        <v>0.45048632256640964</v>
      </c>
      <c r="AP196" s="114">
        <f t="shared" si="602"/>
        <v>1.1218539414203059</v>
      </c>
      <c r="AQ196" s="113">
        <f t="shared" si="602"/>
        <v>-0.15138690782141029</v>
      </c>
      <c r="AR196" s="113">
        <f t="shared" si="602"/>
        <v>-0.50564783071581765</v>
      </c>
      <c r="AS196" s="113">
        <f t="shared" si="602"/>
        <v>-0.66542193734734634</v>
      </c>
      <c r="AT196" s="113">
        <f t="shared" ref="AT196:AU196" si="603">(AT195-AO195)*100</f>
        <v>-0.18280942477982842</v>
      </c>
      <c r="AU196" s="114">
        <f t="shared" si="603"/>
        <v>-1.1764738267304329</v>
      </c>
      <c r="AV196" s="113"/>
      <c r="AW196" s="113"/>
      <c r="AX196" s="113"/>
      <c r="AY196" s="113"/>
      <c r="AZ196" s="114">
        <f t="shared" ref="AZ196" si="604">(AZ195-AU195)*100</f>
        <v>0.21291509681941601</v>
      </c>
      <c r="BA196" s="113">
        <f t="shared" ref="BA196:BI196" si="605">(BA195-AQ195)*100</f>
        <v>2.7825597096013301</v>
      </c>
      <c r="BB196" s="113">
        <f t="shared" si="605"/>
        <v>5.7259496317994818E-2</v>
      </c>
      <c r="BC196" s="113">
        <f t="shared" si="605"/>
        <v>0.46942549095211894</v>
      </c>
      <c r="BD196" s="113">
        <f t="shared" si="605"/>
        <v>0.88262765241310515</v>
      </c>
      <c r="BE196" s="114">
        <f>(BE195-AZ195)*100</f>
        <v>0.79134544695497466</v>
      </c>
      <c r="BF196" s="113">
        <f t="shared" si="605"/>
        <v>9.8759048603929678</v>
      </c>
      <c r="BG196" s="113">
        <f t="shared" si="605"/>
        <v>12.659486329743164</v>
      </c>
      <c r="BH196" s="113">
        <f t="shared" si="605"/>
        <v>10.691198408751864</v>
      </c>
      <c r="BI196" s="113">
        <f t="shared" si="605"/>
        <v>10.91583360206385</v>
      </c>
      <c r="BJ196" s="114">
        <f>(BJ195-BE195)*100</f>
        <v>-0.68021566564555469</v>
      </c>
      <c r="BK196" s="113">
        <f t="shared" ref="BK196" si="606">(BK195-BA195)*100</f>
        <v>-2.5833585476550693</v>
      </c>
      <c r="BL196" s="113">
        <f t="shared" ref="BL196:BM196" si="607">(BL195-BB195)*100</f>
        <v>-8.5186231422104686E-2</v>
      </c>
      <c r="BM196" s="113">
        <f t="shared" si="607"/>
        <v>-0.43950568255052419</v>
      </c>
      <c r="BN196" s="113">
        <f t="shared" ref="BN196" si="608">(BN195-BD195)*100</f>
        <v>-1.2467562712089972</v>
      </c>
      <c r="BO196" s="114">
        <f>(BO195-BJ195)*100</f>
        <v>-0.37457521182179543</v>
      </c>
      <c r="BP196" s="114"/>
      <c r="BQ196" s="115">
        <f t="shared" ref="BQ196" si="609">(BQ195-BF195)*100</f>
        <v>1.3399196361370684</v>
      </c>
      <c r="BR196" s="113">
        <f t="shared" ref="BR196" si="610">(BR195-BG195)*100</f>
        <v>-1.9803109776635617</v>
      </c>
      <c r="BS196" s="113">
        <f t="shared" ref="BS196" si="611">(BS195-BH195)*100</f>
        <v>-0.66050417364107017</v>
      </c>
      <c r="BT196" s="116">
        <f t="shared" ref="BT196" si="612">(BT195-BI195)*100</f>
        <v>0.10953533021570289</v>
      </c>
      <c r="BU196" s="114">
        <f>(BU195-BO195)*100</f>
        <v>6.6055003773608789E-2</v>
      </c>
      <c r="BV196" s="115"/>
      <c r="BW196" s="113"/>
      <c r="BX196" s="113"/>
      <c r="BY196" s="116"/>
      <c r="BZ196" s="114">
        <f>(BZ195-BU195)*100</f>
        <v>0.5252077528162078</v>
      </c>
      <c r="CA196" s="115"/>
      <c r="CB196" s="113"/>
      <c r="CC196" s="113"/>
      <c r="CD196" s="116"/>
      <c r="CE196" s="114">
        <f>(CE195-BZ195)*100</f>
        <v>0.13637128611769661</v>
      </c>
      <c r="CF196" s="115"/>
      <c r="CG196" s="113"/>
      <c r="CH196" s="113"/>
      <c r="CI196" s="116"/>
      <c r="CJ196" s="114">
        <f>(CJ195-CE195)*100</f>
        <v>0.12530585582452708</v>
      </c>
      <c r="CK196" s="307"/>
      <c r="CL196" s="658"/>
      <c r="CM196" s="675"/>
      <c r="CN196" s="682"/>
      <c r="CO196" s="675"/>
      <c r="CP196" s="675"/>
      <c r="CQ196" s="675"/>
      <c r="CR196" s="675"/>
      <c r="CS196" s="675"/>
      <c r="CT196" s="307"/>
      <c r="CX196"/>
      <c r="CY196"/>
      <c r="CZ196"/>
      <c r="DA196"/>
      <c r="DB196"/>
      <c r="DC196"/>
    </row>
    <row r="197" spans="1:107" s="299" customFormat="1">
      <c r="A197" s="63" t="s">
        <v>175</v>
      </c>
      <c r="B197" s="101">
        <f t="shared" ref="B197:AP197" si="613">B199/B$77</f>
        <v>4.782418680152338E-2</v>
      </c>
      <c r="C197" s="101">
        <f t="shared" si="613"/>
        <v>0.10638424821002386</v>
      </c>
      <c r="D197" s="101">
        <f t="shared" si="613"/>
        <v>7.2671047545419407E-2</v>
      </c>
      <c r="E197" s="101">
        <f t="shared" si="613"/>
        <v>7.2987377279102386E-2</v>
      </c>
      <c r="F197" s="101">
        <f t="shared" si="613"/>
        <v>8.7556108377048289E-2</v>
      </c>
      <c r="G197" s="101">
        <f t="shared" si="613"/>
        <v>9.8645151469021156E-2</v>
      </c>
      <c r="H197" s="102">
        <f t="shared" si="613"/>
        <v>0.10845129059117402</v>
      </c>
      <c r="I197" s="102">
        <f t="shared" si="613"/>
        <v>0.11159530125047366</v>
      </c>
      <c r="J197" s="102">
        <f t="shared" si="613"/>
        <v>0.10959954014178962</v>
      </c>
      <c r="K197" s="102">
        <f t="shared" si="613"/>
        <v>0.10766666666666666</v>
      </c>
      <c r="L197" s="101">
        <f t="shared" si="613"/>
        <v>0.11051124360358669</v>
      </c>
      <c r="M197" s="102">
        <f t="shared" si="613"/>
        <v>0.11374673141576391</v>
      </c>
      <c r="N197" s="102">
        <f t="shared" si="613"/>
        <v>0.11379897785349233</v>
      </c>
      <c r="O197" s="102">
        <f t="shared" si="613"/>
        <v>0.11766712141882674</v>
      </c>
      <c r="P197" s="102">
        <f t="shared" si="613"/>
        <v>0.10729543213933618</v>
      </c>
      <c r="Q197" s="101">
        <f t="shared" si="613"/>
        <v>0.11305773711918529</v>
      </c>
      <c r="R197" s="102">
        <f t="shared" si="613"/>
        <v>0.12100611828687967</v>
      </c>
      <c r="S197" s="102">
        <f t="shared" si="613"/>
        <v>0.12489795918367347</v>
      </c>
      <c r="T197" s="102">
        <f t="shared" si="613"/>
        <v>0.12328767123287671</v>
      </c>
      <c r="U197" s="102">
        <f t="shared" si="613"/>
        <v>0.119994000299985</v>
      </c>
      <c r="V197" s="101">
        <f t="shared" si="613"/>
        <v>0.12226196696274265</v>
      </c>
      <c r="W197" s="102">
        <f t="shared" si="613"/>
        <v>0.11713200066082934</v>
      </c>
      <c r="X197" s="102">
        <f t="shared" si="613"/>
        <v>5.7759919638372674E-2</v>
      </c>
      <c r="Y197" s="102">
        <f t="shared" si="613"/>
        <v>0.11941964285714286</v>
      </c>
      <c r="Z197" s="102">
        <f t="shared" si="613"/>
        <v>0.11677559912854031</v>
      </c>
      <c r="AA197" s="101">
        <f t="shared" si="613"/>
        <v>0.10352221736885994</v>
      </c>
      <c r="AB197" s="102">
        <f t="shared" si="613"/>
        <v>9.7323198942498343E-2</v>
      </c>
      <c r="AC197" s="102">
        <f t="shared" si="613"/>
        <v>0.10804708917916465</v>
      </c>
      <c r="AD197" s="102">
        <f t="shared" si="613"/>
        <v>0.11805101373446697</v>
      </c>
      <c r="AE197" s="102">
        <f t="shared" si="613"/>
        <v>0.13220180629087511</v>
      </c>
      <c r="AF197" s="101">
        <f t="shared" si="613"/>
        <v>0.11415433020047598</v>
      </c>
      <c r="AG197" s="102">
        <f t="shared" si="613"/>
        <v>0.11889525092623779</v>
      </c>
      <c r="AH197" s="102">
        <f t="shared" si="613"/>
        <v>0.12383177570093458</v>
      </c>
      <c r="AI197" s="102">
        <f t="shared" si="613"/>
        <v>0.13002481389578163</v>
      </c>
      <c r="AJ197" s="102">
        <f t="shared" si="613"/>
        <v>0.11725423202360614</v>
      </c>
      <c r="AK197" s="101">
        <f t="shared" si="613"/>
        <v>0.12242975342016875</v>
      </c>
      <c r="AL197" s="102">
        <f t="shared" si="613"/>
        <v>0.12008845041673755</v>
      </c>
      <c r="AM197" s="102">
        <f t="shared" si="613"/>
        <v>0.12526573998364676</v>
      </c>
      <c r="AN197" s="102">
        <f>AN199/AN$77</f>
        <v>0.12957891133173571</v>
      </c>
      <c r="AO197" s="102">
        <f>AO199/AO$77</f>
        <v>0.12078364565587735</v>
      </c>
      <c r="AP197" s="101">
        <f t="shared" si="613"/>
        <v>0.1315512965998403</v>
      </c>
      <c r="AQ197" s="102">
        <f t="shared" ref="AQ197:BC197" si="614">AQ199/AQ$77</f>
        <v>0.14295570079883804</v>
      </c>
      <c r="AR197" s="102">
        <f t="shared" si="614"/>
        <v>0.13295912997719697</v>
      </c>
      <c r="AS197" s="102">
        <f t="shared" si="614"/>
        <v>0.13883814395323346</v>
      </c>
      <c r="AT197" s="102">
        <f t="shared" si="614"/>
        <v>0.14146182646915187</v>
      </c>
      <c r="AU197" s="101">
        <f t="shared" si="614"/>
        <v>0.13906948216945589</v>
      </c>
      <c r="AV197" s="102"/>
      <c r="AW197" s="102"/>
      <c r="AX197" s="102"/>
      <c r="AY197" s="102"/>
      <c r="AZ197" s="101">
        <f t="shared" ref="AZ197" si="615">AZ199/AZ$77</f>
        <v>0.13927100674669238</v>
      </c>
      <c r="BA197" s="102">
        <f t="shared" si="614"/>
        <v>0.15885022692889561</v>
      </c>
      <c r="BB197" s="102">
        <f t="shared" si="614"/>
        <v>0.11080711354309165</v>
      </c>
      <c r="BC197" s="102">
        <f t="shared" si="614"/>
        <v>0.12052567871347052</v>
      </c>
      <c r="BD197" s="102">
        <f t="shared" ref="BD197:BJ197" si="616">BD199/BD$77</f>
        <v>0.13037294563843235</v>
      </c>
      <c r="BE197" s="101">
        <f t="shared" si="616"/>
        <v>0.12947907256850347</v>
      </c>
      <c r="BF197" s="102">
        <f t="shared" si="616"/>
        <v>0.10565322302654258</v>
      </c>
      <c r="BG197" s="102">
        <f t="shared" si="616"/>
        <v>0.15907207953603977</v>
      </c>
      <c r="BH197" s="102">
        <f t="shared" si="616"/>
        <v>0.13359854135587601</v>
      </c>
      <c r="BI197" s="102">
        <f t="shared" si="616"/>
        <v>0.13882618510158012</v>
      </c>
      <c r="BJ197" s="101">
        <f t="shared" si="616"/>
        <v>0.1345962113659023</v>
      </c>
      <c r="BK197" s="102">
        <f t="shared" ref="BK197:BO197" si="617">BK199/BK$77</f>
        <v>0.1235</v>
      </c>
      <c r="BL197" s="102">
        <f t="shared" si="617"/>
        <v>0.13516955898742239</v>
      </c>
      <c r="BM197" s="102">
        <f t="shared" si="617"/>
        <v>0.13653723742838955</v>
      </c>
      <c r="BN197" s="102">
        <f t="shared" si="617"/>
        <v>0.12826183104820876</v>
      </c>
      <c r="BO197" s="101">
        <f t="shared" si="617"/>
        <v>0.13089790121508602</v>
      </c>
      <c r="BP197" s="101">
        <f t="shared" ref="BP197" si="618">BP199/BP$77</f>
        <v>0.1669165220135711</v>
      </c>
      <c r="BQ197" s="103">
        <f t="shared" ref="BQ197:BT197" si="619">BQ199/BQ$77</f>
        <v>0.16913772423733917</v>
      </c>
      <c r="BR197" s="102">
        <f t="shared" si="619"/>
        <v>0.16996466962145204</v>
      </c>
      <c r="BS197" s="102">
        <f t="shared" si="619"/>
        <v>0.16946009444870427</v>
      </c>
      <c r="BT197" s="104">
        <f t="shared" si="619"/>
        <v>0.17123926115005492</v>
      </c>
      <c r="BU197" s="101">
        <f>BU199/BU$77</f>
        <v>0.16998817454079096</v>
      </c>
      <c r="BV197" s="103"/>
      <c r="BW197" s="102"/>
      <c r="BX197" s="102"/>
      <c r="BY197" s="104"/>
      <c r="BZ197" s="101">
        <f>BZ199/BZ$77</f>
        <v>0.17123293144367921</v>
      </c>
      <c r="CA197" s="103"/>
      <c r="CB197" s="102"/>
      <c r="CC197" s="102"/>
      <c r="CD197" s="104"/>
      <c r="CE197" s="101">
        <f>CE199/CE$77</f>
        <v>0.17045350530953077</v>
      </c>
      <c r="CF197" s="103"/>
      <c r="CG197" s="102"/>
      <c r="CH197" s="102"/>
      <c r="CI197" s="104"/>
      <c r="CJ197" s="101">
        <f>CJ199/CJ$77</f>
        <v>0.1692662933682457</v>
      </c>
      <c r="CK197" s="290"/>
      <c r="CL197" s="657"/>
      <c r="CM197" s="658"/>
      <c r="CN197" s="682"/>
      <c r="CO197" s="658"/>
      <c r="CP197" s="658"/>
      <c r="CQ197" s="657"/>
      <c r="CR197" s="658"/>
      <c r="CS197" s="658"/>
      <c r="CT197" s="290"/>
      <c r="CX197"/>
      <c r="CY197"/>
      <c r="CZ197"/>
      <c r="DA197"/>
      <c r="DB197"/>
      <c r="DC197"/>
    </row>
    <row r="198" spans="1:107" s="308" customFormat="1">
      <c r="A198" s="112" t="s">
        <v>140</v>
      </c>
      <c r="B198" s="114"/>
      <c r="C198" s="114">
        <f>(C197-B197)*100</f>
        <v>5.8560061408500479</v>
      </c>
      <c r="D198" s="114">
        <f>(D197-C197)*100</f>
        <v>-3.3713200664604455</v>
      </c>
      <c r="E198" s="114">
        <f>(E197-D197)*100</f>
        <v>3.1632973368297956E-2</v>
      </c>
      <c r="F198" s="114">
        <f>(F197-E197)*100</f>
        <v>1.4568731097945902</v>
      </c>
      <c r="G198" s="114">
        <f>(G197-F197)*100</f>
        <v>1.1089043091972868</v>
      </c>
      <c r="H198" s="113"/>
      <c r="I198" s="113"/>
      <c r="J198" s="113"/>
      <c r="K198" s="113"/>
      <c r="L198" s="114">
        <f t="shared" ref="L198:AS198" si="620">(L197-G197)*100</f>
        <v>1.1866092134565533</v>
      </c>
      <c r="M198" s="113">
        <f t="shared" si="620"/>
        <v>0.52954408245898943</v>
      </c>
      <c r="N198" s="113">
        <f t="shared" si="620"/>
        <v>0.22036766030186644</v>
      </c>
      <c r="O198" s="113">
        <f t="shared" si="620"/>
        <v>0.80675812770371191</v>
      </c>
      <c r="P198" s="113">
        <f t="shared" si="620"/>
        <v>-3.712345273304829E-2</v>
      </c>
      <c r="Q198" s="114">
        <f t="shared" si="620"/>
        <v>0.25464935155986024</v>
      </c>
      <c r="R198" s="113">
        <f t="shared" si="620"/>
        <v>0.72593868711157561</v>
      </c>
      <c r="S198" s="113">
        <f t="shared" si="620"/>
        <v>1.1098981330181141</v>
      </c>
      <c r="T198" s="113">
        <f t="shared" si="620"/>
        <v>0.56205498140499688</v>
      </c>
      <c r="U198" s="113">
        <f t="shared" si="620"/>
        <v>1.2698568160648822</v>
      </c>
      <c r="V198" s="114">
        <f t="shared" si="620"/>
        <v>0.92042298435573566</v>
      </c>
      <c r="W198" s="113">
        <f t="shared" si="620"/>
        <v>-0.38741176260503329</v>
      </c>
      <c r="X198" s="113">
        <f t="shared" si="620"/>
        <v>-6.7138039545300785</v>
      </c>
      <c r="Y198" s="113">
        <f t="shared" si="620"/>
        <v>-0.38680283757338424</v>
      </c>
      <c r="Z198" s="113">
        <f t="shared" si="620"/>
        <v>-0.32184011714446875</v>
      </c>
      <c r="AA198" s="114">
        <f t="shared" si="620"/>
        <v>-1.8739749593882706</v>
      </c>
      <c r="AB198" s="113">
        <f t="shared" si="620"/>
        <v>-1.9808801718330993</v>
      </c>
      <c r="AC198" s="113">
        <f t="shared" si="620"/>
        <v>5.0287169540791981</v>
      </c>
      <c r="AD198" s="113">
        <f t="shared" si="620"/>
        <v>-0.13686291226758934</v>
      </c>
      <c r="AE198" s="113">
        <f t="shared" si="620"/>
        <v>1.5426207162334795</v>
      </c>
      <c r="AF198" s="114">
        <f t="shared" si="620"/>
        <v>1.0632112831616038</v>
      </c>
      <c r="AG198" s="113">
        <f t="shared" si="620"/>
        <v>2.1572051983739446</v>
      </c>
      <c r="AH198" s="113">
        <f t="shared" si="620"/>
        <v>1.5784686521769924</v>
      </c>
      <c r="AI198" s="113">
        <f t="shared" si="620"/>
        <v>1.1973800161314663</v>
      </c>
      <c r="AJ198" s="113">
        <f t="shared" si="620"/>
        <v>-1.4947574267268962</v>
      </c>
      <c r="AK198" s="114">
        <f>(AK197-AF197)*100</f>
        <v>0.8275423219692768</v>
      </c>
      <c r="AL198" s="113">
        <f t="shared" si="620"/>
        <v>0.11931994904997578</v>
      </c>
      <c r="AM198" s="113">
        <f t="shared" si="620"/>
        <v>0.14339642827121829</v>
      </c>
      <c r="AN198" s="113">
        <f t="shared" si="620"/>
        <v>-4.459025640459191E-2</v>
      </c>
      <c r="AO198" s="113">
        <f t="shared" si="620"/>
        <v>0.35294136322712027</v>
      </c>
      <c r="AP198" s="114">
        <f t="shared" si="620"/>
        <v>0.91215431796715518</v>
      </c>
      <c r="AQ198" s="113">
        <f>(AQ197-AL197)*100</f>
        <v>2.2867250382100495</v>
      </c>
      <c r="AR198" s="113">
        <f t="shared" si="620"/>
        <v>0.76933899935502092</v>
      </c>
      <c r="AS198" s="113">
        <f t="shared" si="620"/>
        <v>0.92592326214977483</v>
      </c>
      <c r="AT198" s="113">
        <f t="shared" ref="AT198:AU198" si="621">(AT197-AO197)*100</f>
        <v>2.0678180813274523</v>
      </c>
      <c r="AU198" s="114">
        <f t="shared" si="621"/>
        <v>0.75181855696155875</v>
      </c>
      <c r="AV198" s="113"/>
      <c r="AW198" s="113"/>
      <c r="AX198" s="113"/>
      <c r="AY198" s="113"/>
      <c r="AZ198" s="114">
        <f t="shared" ref="AZ198" si="622">(AZ197-AU197)*100</f>
        <v>2.0152457723648931E-2</v>
      </c>
      <c r="BA198" s="113">
        <f>(BA197-AQ197)*100</f>
        <v>1.5894526130057569</v>
      </c>
      <c r="BB198" s="113">
        <f>(BB197-AR197)*100</f>
        <v>-2.2152016434105319</v>
      </c>
      <c r="BC198" s="113">
        <f>(BC197-AS197)*100</f>
        <v>-1.8312465239762945</v>
      </c>
      <c r="BD198" s="113">
        <f>(BD197-AT197)*100</f>
        <v>-1.1088880830719516</v>
      </c>
      <c r="BE198" s="114">
        <f>(BE197-AZ197)*100</f>
        <v>-0.97919341781889102</v>
      </c>
      <c r="BF198" s="113">
        <f t="shared" ref="BF198:BM198" si="623">(BF197-BA197)*100</f>
        <v>-5.3197003902353028</v>
      </c>
      <c r="BG198" s="113">
        <f t="shared" si="623"/>
        <v>4.8264965992948117</v>
      </c>
      <c r="BH198" s="113">
        <f t="shared" si="623"/>
        <v>1.3072862642405494</v>
      </c>
      <c r="BI198" s="113">
        <f t="shared" si="623"/>
        <v>0.84532394631477714</v>
      </c>
      <c r="BJ198" s="114">
        <f t="shared" si="623"/>
        <v>0.51171387973988347</v>
      </c>
      <c r="BK198" s="113">
        <f t="shared" si="623"/>
        <v>1.7846776973457421</v>
      </c>
      <c r="BL198" s="113">
        <f t="shared" si="623"/>
        <v>-2.3902520548617385</v>
      </c>
      <c r="BM198" s="113">
        <f t="shared" si="623"/>
        <v>0.29386960725135414</v>
      </c>
      <c r="BN198" s="113">
        <f t="shared" ref="BN198" si="624">(BN197-BI197)*100</f>
        <v>-1.0564354053371361</v>
      </c>
      <c r="BO198" s="114">
        <f t="shared" ref="BO198" si="625">(BO197-BJ197)*100</f>
        <v>-0.36983101508162863</v>
      </c>
      <c r="BP198" s="114"/>
      <c r="BQ198" s="115">
        <f t="shared" ref="BQ198" si="626">(BQ197-BK197)*100</f>
        <v>4.5637724237339166</v>
      </c>
      <c r="BR198" s="113">
        <f t="shared" ref="BR198" si="627">(BR197-BL197)*100</f>
        <v>3.4795110634029651</v>
      </c>
      <c r="BS198" s="113">
        <f t="shared" ref="BS198" si="628">(BS197-BM197)*100</f>
        <v>3.2922857020314722</v>
      </c>
      <c r="BT198" s="116">
        <f>(BT197-BN197)*100</f>
        <v>4.2977430101846155</v>
      </c>
      <c r="BU198" s="114">
        <f>(BU197-BO197)*100</f>
        <v>3.9090273325704943</v>
      </c>
      <c r="BV198" s="115"/>
      <c r="BW198" s="113"/>
      <c r="BX198" s="113"/>
      <c r="BY198" s="116"/>
      <c r="BZ198" s="114">
        <f>(BZ197-BU197)*100</f>
        <v>0.12447569028882499</v>
      </c>
      <c r="CA198" s="115"/>
      <c r="CB198" s="113"/>
      <c r="CC198" s="113"/>
      <c r="CD198" s="116"/>
      <c r="CE198" s="114">
        <f>(CE197-BZ197)*100</f>
        <v>-7.7942613414844208E-2</v>
      </c>
      <c r="CF198" s="115"/>
      <c r="CG198" s="113"/>
      <c r="CH198" s="113"/>
      <c r="CI198" s="116"/>
      <c r="CJ198" s="114">
        <f>(CJ197-CE197)*100</f>
        <v>-0.11872119412850712</v>
      </c>
      <c r="CK198" s="307"/>
      <c r="CL198" s="675"/>
      <c r="CM198" s="675"/>
      <c r="CN198" s="682"/>
      <c r="CO198" s="675"/>
      <c r="CP198" s="675"/>
      <c r="CQ198" s="675"/>
      <c r="CR198" s="675"/>
      <c r="CS198" s="675"/>
      <c r="CT198" s="307"/>
      <c r="CX198"/>
      <c r="CY198"/>
      <c r="CZ198"/>
      <c r="DA198"/>
      <c r="DB198"/>
      <c r="DC198"/>
    </row>
    <row r="199" spans="1:107">
      <c r="A199" s="152" t="s">
        <v>29</v>
      </c>
      <c r="B199" s="139">
        <f t="shared" ref="B199:AO199" si="629">B188+B212</f>
        <v>766</v>
      </c>
      <c r="C199" s="139">
        <f t="shared" si="629"/>
        <v>1783</v>
      </c>
      <c r="D199" s="139">
        <f t="shared" si="629"/>
        <v>1316</v>
      </c>
      <c r="E199" s="139">
        <f t="shared" si="629"/>
        <v>1301</v>
      </c>
      <c r="F199" s="139">
        <f t="shared" si="629"/>
        <v>1619</v>
      </c>
      <c r="G199" s="139">
        <f t="shared" si="629"/>
        <v>1944</v>
      </c>
      <c r="H199" s="59">
        <f t="shared" si="629"/>
        <v>521</v>
      </c>
      <c r="I199" s="59">
        <f t="shared" si="629"/>
        <v>589</v>
      </c>
      <c r="J199" s="59">
        <f t="shared" si="629"/>
        <v>572</v>
      </c>
      <c r="K199" s="59">
        <f t="shared" si="629"/>
        <v>646</v>
      </c>
      <c r="L199" s="139">
        <f t="shared" si="629"/>
        <v>2354</v>
      </c>
      <c r="M199" s="59">
        <f t="shared" si="629"/>
        <v>609</v>
      </c>
      <c r="N199" s="59">
        <f t="shared" si="629"/>
        <v>668</v>
      </c>
      <c r="O199" s="59">
        <f t="shared" si="629"/>
        <v>690</v>
      </c>
      <c r="P199" s="59">
        <f t="shared" si="629"/>
        <v>653</v>
      </c>
      <c r="Q199" s="139">
        <f t="shared" si="629"/>
        <v>2620</v>
      </c>
      <c r="R199" s="59">
        <f t="shared" si="629"/>
        <v>712</v>
      </c>
      <c r="S199" s="59">
        <f t="shared" si="629"/>
        <v>765</v>
      </c>
      <c r="T199" s="59">
        <f t="shared" si="629"/>
        <v>765</v>
      </c>
      <c r="U199" s="59">
        <f t="shared" si="629"/>
        <v>800</v>
      </c>
      <c r="V199" s="139">
        <f t="shared" si="629"/>
        <v>3042</v>
      </c>
      <c r="W199" s="59">
        <f t="shared" si="629"/>
        <v>709</v>
      </c>
      <c r="X199" s="59">
        <f t="shared" si="629"/>
        <v>345</v>
      </c>
      <c r="Y199" s="59">
        <f t="shared" si="629"/>
        <v>749</v>
      </c>
      <c r="Z199" s="59">
        <f t="shared" si="629"/>
        <v>804</v>
      </c>
      <c r="AA199" s="139">
        <f t="shared" si="629"/>
        <v>2607</v>
      </c>
      <c r="AB199" s="59">
        <f t="shared" si="629"/>
        <v>589</v>
      </c>
      <c r="AC199" s="59">
        <f t="shared" si="629"/>
        <v>670</v>
      </c>
      <c r="AD199" s="59">
        <f t="shared" si="629"/>
        <v>722</v>
      </c>
      <c r="AE199" s="109">
        <f t="shared" si="629"/>
        <v>849</v>
      </c>
      <c r="AF199" s="139">
        <f t="shared" si="629"/>
        <v>2830</v>
      </c>
      <c r="AG199" s="59">
        <f t="shared" si="629"/>
        <v>706</v>
      </c>
      <c r="AH199" s="59">
        <f t="shared" si="629"/>
        <v>742</v>
      </c>
      <c r="AI199" s="59">
        <f t="shared" si="629"/>
        <v>786</v>
      </c>
      <c r="AJ199" s="59">
        <f t="shared" si="629"/>
        <v>755</v>
      </c>
      <c r="AK199" s="139">
        <f t="shared" si="629"/>
        <v>2989</v>
      </c>
      <c r="AL199" s="59">
        <f t="shared" si="629"/>
        <v>706</v>
      </c>
      <c r="AM199" s="59">
        <f t="shared" si="629"/>
        <v>766</v>
      </c>
      <c r="AN199" s="59">
        <f t="shared" si="629"/>
        <v>757</v>
      </c>
      <c r="AO199" s="59">
        <f t="shared" si="629"/>
        <v>709</v>
      </c>
      <c r="AP199" s="139">
        <f>AP188+AP212+AP179</f>
        <v>3130</v>
      </c>
      <c r="AQ199" s="59">
        <f>AQ188+AQ212+AQ179+AQ182</f>
        <v>787.4</v>
      </c>
      <c r="AR199" s="59">
        <f t="shared" ref="AR199:CI199" si="630">AR188+AR212+AR179+AR182</f>
        <v>758</v>
      </c>
      <c r="AS199" s="59">
        <f t="shared" si="630"/>
        <v>760</v>
      </c>
      <c r="AT199" s="59">
        <f t="shared" si="630"/>
        <v>869</v>
      </c>
      <c r="AU199" s="139">
        <f t="shared" si="630"/>
        <v>3174.4</v>
      </c>
      <c r="AV199" s="59">
        <f t="shared" si="630"/>
        <v>0</v>
      </c>
      <c r="AW199" s="59">
        <f t="shared" si="630"/>
        <v>0</v>
      </c>
      <c r="AX199" s="59">
        <f t="shared" si="630"/>
        <v>0</v>
      </c>
      <c r="AY199" s="59">
        <f t="shared" si="630"/>
        <v>0</v>
      </c>
      <c r="AZ199" s="139">
        <f t="shared" si="630"/>
        <v>3179</v>
      </c>
      <c r="BA199" s="59">
        <f t="shared" si="630"/>
        <v>840</v>
      </c>
      <c r="BB199" s="59">
        <f t="shared" si="630"/>
        <v>648</v>
      </c>
      <c r="BC199" s="59">
        <f t="shared" si="630"/>
        <v>697</v>
      </c>
      <c r="BD199" s="59">
        <f t="shared" si="630"/>
        <v>825</v>
      </c>
      <c r="BE199" s="139">
        <f t="shared" si="630"/>
        <v>3010</v>
      </c>
      <c r="BF199" s="59">
        <f t="shared" si="630"/>
        <v>613</v>
      </c>
      <c r="BG199" s="59">
        <f t="shared" si="630"/>
        <v>960</v>
      </c>
      <c r="BH199" s="59">
        <f t="shared" si="630"/>
        <v>806</v>
      </c>
      <c r="BI199" s="59">
        <f t="shared" si="630"/>
        <v>861</v>
      </c>
      <c r="BJ199" s="139">
        <f t="shared" si="630"/>
        <v>3240</v>
      </c>
      <c r="BK199" s="59">
        <f t="shared" si="630"/>
        <v>741</v>
      </c>
      <c r="BL199" s="59">
        <f>BL188+BL212+BL179+BL182</f>
        <v>849</v>
      </c>
      <c r="BM199" s="59">
        <f>BM188+BM212+BM179+BM182</f>
        <v>858</v>
      </c>
      <c r="BN199" s="59">
        <f t="shared" ref="BN199:BO199" si="631">BN188+BN212+BN179+BN182</f>
        <v>870</v>
      </c>
      <c r="BO199" s="139">
        <f t="shared" si="631"/>
        <v>3318</v>
      </c>
      <c r="BP199" s="139">
        <f>BP188+BP212+BP179+BP182</f>
        <v>4231</v>
      </c>
      <c r="BQ199" s="140">
        <f>BQ188+BQ212+BQ179+BQ182</f>
        <v>1064.6133199999999</v>
      </c>
      <c r="BR199" s="59">
        <f t="shared" ref="BR199:BT199" si="632">BR188+BR212+BR179+BR182</f>
        <v>1132.0641800000001</v>
      </c>
      <c r="BS199" s="59">
        <f t="shared" si="632"/>
        <v>1126.2002299999999</v>
      </c>
      <c r="BT199" s="543">
        <f t="shared" si="632"/>
        <v>1234.4684100000002</v>
      </c>
      <c r="BU199" s="139">
        <f>BU188+BU212+BU179+BU182</f>
        <v>4557.3461400000006</v>
      </c>
      <c r="BV199" s="140">
        <f t="shared" si="630"/>
        <v>0</v>
      </c>
      <c r="BW199" s="59">
        <f t="shared" si="630"/>
        <v>0</v>
      </c>
      <c r="BX199" s="59">
        <f t="shared" si="630"/>
        <v>0</v>
      </c>
      <c r="BY199" s="60">
        <f t="shared" si="630"/>
        <v>0</v>
      </c>
      <c r="BZ199" s="139">
        <f>BZ188+BZ212+BZ179+BZ182</f>
        <v>4841.0720393514857</v>
      </c>
      <c r="CA199" s="140">
        <f t="shared" si="630"/>
        <v>0</v>
      </c>
      <c r="CB199" s="59">
        <f t="shared" si="630"/>
        <v>0</v>
      </c>
      <c r="CC199" s="59">
        <f t="shared" si="630"/>
        <v>0</v>
      </c>
      <c r="CD199" s="60">
        <f t="shared" si="630"/>
        <v>0</v>
      </c>
      <c r="CE199" s="139">
        <f>CE188+CE212+CE179+CE182</f>
        <v>5093.2918836156077</v>
      </c>
      <c r="CF199" s="140">
        <f t="shared" si="630"/>
        <v>0</v>
      </c>
      <c r="CG199" s="59">
        <f t="shared" si="630"/>
        <v>0</v>
      </c>
      <c r="CH199" s="59">
        <f t="shared" si="630"/>
        <v>0</v>
      </c>
      <c r="CI199" s="60">
        <f t="shared" si="630"/>
        <v>0</v>
      </c>
      <c r="CJ199" s="139">
        <f>CJ188+CJ212+CJ179+CJ182</f>
        <v>5347.1622884293329</v>
      </c>
      <c r="CK199" s="289"/>
      <c r="CL199" s="658"/>
      <c r="CM199" s="658"/>
      <c r="CN199" s="682"/>
      <c r="CO199" s="658"/>
      <c r="CP199" s="658"/>
      <c r="CQ199" s="658"/>
      <c r="CR199" s="658"/>
      <c r="CS199" s="658"/>
      <c r="CT199" s="289"/>
    </row>
    <row r="200" spans="1:107">
      <c r="A200" s="164" t="s">
        <v>137</v>
      </c>
      <c r="B200" s="70"/>
      <c r="C200" s="70">
        <f>C199/B199-1</f>
        <v>1.3276762402088771</v>
      </c>
      <c r="D200" s="70">
        <f>D199/C199-1</f>
        <v>-0.26191811553561417</v>
      </c>
      <c r="E200" s="70">
        <f>E199/D199-1</f>
        <v>-1.1398176291793294E-2</v>
      </c>
      <c r="F200" s="70">
        <f>F199/E199-1</f>
        <v>0.24442736356648731</v>
      </c>
      <c r="G200" s="70">
        <f>G199/F199-1</f>
        <v>0.20074119827053738</v>
      </c>
      <c r="H200" s="118"/>
      <c r="I200" s="64"/>
      <c r="J200" s="64"/>
      <c r="K200" s="64"/>
      <c r="L200" s="70">
        <f t="shared" ref="L200:AR200" si="633">L199/G199-1</f>
        <v>0.21090534979423858</v>
      </c>
      <c r="M200" s="64">
        <f t="shared" si="633"/>
        <v>0.16890595009596931</v>
      </c>
      <c r="N200" s="64">
        <f t="shared" si="633"/>
        <v>0.13412563667232602</v>
      </c>
      <c r="O200" s="64">
        <f t="shared" si="633"/>
        <v>0.20629370629370625</v>
      </c>
      <c r="P200" s="64">
        <f t="shared" si="633"/>
        <v>1.0835913312693402E-2</v>
      </c>
      <c r="Q200" s="70">
        <f t="shared" si="633"/>
        <v>0.112999150382328</v>
      </c>
      <c r="R200" s="64">
        <f t="shared" si="633"/>
        <v>0.16912972085385869</v>
      </c>
      <c r="S200" s="64">
        <f t="shared" si="633"/>
        <v>0.14520958083832336</v>
      </c>
      <c r="T200" s="64">
        <f t="shared" si="633"/>
        <v>0.10869565217391308</v>
      </c>
      <c r="U200" s="64">
        <f t="shared" si="633"/>
        <v>0.22511485451761093</v>
      </c>
      <c r="V200" s="70">
        <f t="shared" si="633"/>
        <v>0.1610687022900763</v>
      </c>
      <c r="W200" s="64">
        <f t="shared" si="633"/>
        <v>-4.2134831460673983E-3</v>
      </c>
      <c r="X200" s="64">
        <f t="shared" si="633"/>
        <v>-0.5490196078431373</v>
      </c>
      <c r="Y200" s="64">
        <f t="shared" si="633"/>
        <v>-2.0915032679738599E-2</v>
      </c>
      <c r="Z200" s="64">
        <f t="shared" si="633"/>
        <v>4.9999999999998934E-3</v>
      </c>
      <c r="AA200" s="70">
        <f t="shared" si="633"/>
        <v>-0.14299802761341218</v>
      </c>
      <c r="AB200" s="64">
        <f t="shared" si="633"/>
        <v>-0.16925246826516216</v>
      </c>
      <c r="AC200" s="64">
        <f t="shared" si="633"/>
        <v>0.94202898550724634</v>
      </c>
      <c r="AD200" s="64">
        <f t="shared" si="633"/>
        <v>-3.6048064085447251E-2</v>
      </c>
      <c r="AE200" s="64">
        <f t="shared" si="633"/>
        <v>5.5970149253731449E-2</v>
      </c>
      <c r="AF200" s="70">
        <f t="shared" si="633"/>
        <v>8.5538933640199488E-2</v>
      </c>
      <c r="AG200" s="64">
        <f t="shared" si="633"/>
        <v>0.19864176570458403</v>
      </c>
      <c r="AH200" s="64">
        <f t="shared" si="633"/>
        <v>0.10746268656716418</v>
      </c>
      <c r="AI200" s="64">
        <f t="shared" si="633"/>
        <v>8.8642659279778435E-2</v>
      </c>
      <c r="AJ200" s="64">
        <f t="shared" si="633"/>
        <v>-0.11071849234393405</v>
      </c>
      <c r="AK200" s="70">
        <f>AK199/AF199-1</f>
        <v>5.6183745583038958E-2</v>
      </c>
      <c r="AL200" s="64">
        <f t="shared" si="633"/>
        <v>0</v>
      </c>
      <c r="AM200" s="64">
        <f t="shared" si="633"/>
        <v>3.2345013477088846E-2</v>
      </c>
      <c r="AN200" s="64">
        <f>AN199/AI199-1</f>
        <v>-3.6895674300254422E-2</v>
      </c>
      <c r="AO200" s="64">
        <f>AO199/AJ199-1</f>
        <v>-6.0927152317880817E-2</v>
      </c>
      <c r="AP200" s="70">
        <f t="shared" si="633"/>
        <v>4.717296754767486E-2</v>
      </c>
      <c r="AQ200" s="64">
        <f>AQ199/AL199-1</f>
        <v>0.11529745042492912</v>
      </c>
      <c r="AR200" s="64">
        <f t="shared" si="633"/>
        <v>-1.0443864229765065E-2</v>
      </c>
      <c r="AS200" s="64">
        <f t="shared" ref="AS200:AU200" si="634">AS199/AN199-1</f>
        <v>3.9630118890356947E-3</v>
      </c>
      <c r="AT200" s="64">
        <f t="shared" si="634"/>
        <v>0.22566995768688303</v>
      </c>
      <c r="AU200" s="70">
        <f t="shared" si="634"/>
        <v>1.4185303514377079E-2</v>
      </c>
      <c r="AV200" s="64"/>
      <c r="AW200" s="64"/>
      <c r="AX200" s="64"/>
      <c r="AY200" s="64"/>
      <c r="AZ200" s="70">
        <f t="shared" ref="AZ200" si="635">AZ199/AU199-1</f>
        <v>1.4490927419354982E-3</v>
      </c>
      <c r="BA200" s="64">
        <f>BA199/AQ199-1</f>
        <v>6.6802133604267233E-2</v>
      </c>
      <c r="BB200" s="64">
        <f>BB199/AR199-1</f>
        <v>-0.14511873350923488</v>
      </c>
      <c r="BC200" s="64">
        <f>BC199/AS199-1</f>
        <v>-8.2894736842105243E-2</v>
      </c>
      <c r="BD200" s="64">
        <f>BD199/AT199-1</f>
        <v>-5.0632911392405111E-2</v>
      </c>
      <c r="BE200" s="70">
        <f>BE199/AZ199-1</f>
        <v>-5.3161371500471843E-2</v>
      </c>
      <c r="BF200" s="64">
        <f t="shared" ref="BF200:BJ200" si="636">BF199/BA199-1</f>
        <v>-0.27023809523809528</v>
      </c>
      <c r="BG200" s="64">
        <f t="shared" si="636"/>
        <v>0.4814814814814814</v>
      </c>
      <c r="BH200" s="64">
        <f t="shared" si="636"/>
        <v>0.1563845050215209</v>
      </c>
      <c r="BI200" s="64">
        <f t="shared" si="636"/>
        <v>4.3636363636363695E-2</v>
      </c>
      <c r="BJ200" s="70">
        <f t="shared" si="636"/>
        <v>7.6411960132890311E-2</v>
      </c>
      <c r="BK200" s="64">
        <f t="shared" ref="BK200" si="637">BK199/BF199-1</f>
        <v>0.20880913539967372</v>
      </c>
      <c r="BL200" s="64">
        <f t="shared" ref="BL200:BM200" si="638">BL199/BG199-1</f>
        <v>-0.11562499999999998</v>
      </c>
      <c r="BM200" s="64">
        <f t="shared" si="638"/>
        <v>6.4516129032258007E-2</v>
      </c>
      <c r="BN200" s="64">
        <f t="shared" ref="BN200" si="639">BN199/BI199-1</f>
        <v>1.0452961672473782E-2</v>
      </c>
      <c r="BO200" s="70">
        <f t="shared" ref="BO200" si="640">BO199/BJ199-1</f>
        <v>2.4074074074074137E-2</v>
      </c>
      <c r="BP200" s="70"/>
      <c r="BQ200" s="121">
        <f t="shared" ref="BQ200" si="641">BQ199/BK199-1</f>
        <v>0.4367251282051281</v>
      </c>
      <c r="BR200" s="64">
        <f t="shared" ref="BR200" si="642">BR199/BL199-1</f>
        <v>0.33340892815076573</v>
      </c>
      <c r="BS200" s="64">
        <f t="shared" ref="BS200" si="643">BS199/BM199-1</f>
        <v>0.31258768065268061</v>
      </c>
      <c r="BT200" s="122">
        <f t="shared" ref="BT200" si="644">BT199/BN199-1</f>
        <v>0.418929206896552</v>
      </c>
      <c r="BU200" s="70">
        <f>BU199/BO199-1</f>
        <v>0.37352204339963846</v>
      </c>
      <c r="BV200" s="121"/>
      <c r="BW200" s="64"/>
      <c r="BX200" s="64"/>
      <c r="BY200" s="122"/>
      <c r="BZ200" s="70">
        <f>BZ199/BU199-1</f>
        <v>6.225682461580262E-2</v>
      </c>
      <c r="CA200" s="121"/>
      <c r="CB200" s="64"/>
      <c r="CC200" s="64"/>
      <c r="CD200" s="122"/>
      <c r="CE200" s="70">
        <f>CE199/BZ199-1</f>
        <v>5.2099998143780857E-2</v>
      </c>
      <c r="CF200" s="121"/>
      <c r="CG200" s="64"/>
      <c r="CH200" s="64"/>
      <c r="CI200" s="122"/>
      <c r="CJ200" s="70">
        <f>CJ199/CE199-1</f>
        <v>4.9844071499296927E-2</v>
      </c>
      <c r="CK200" s="289"/>
      <c r="CL200" s="658"/>
      <c r="CM200" s="658"/>
      <c r="CN200" s="682"/>
      <c r="CO200" s="678"/>
      <c r="CP200" s="658"/>
      <c r="CQ200" s="658"/>
      <c r="CR200" s="658"/>
      <c r="CS200" s="658"/>
      <c r="CT200" s="289"/>
    </row>
    <row r="201" spans="1:107">
      <c r="A201" s="165" t="s">
        <v>176</v>
      </c>
      <c r="B201" s="139">
        <f t="shared" ref="B201:AU201" si="645">B77</f>
        <v>16017</v>
      </c>
      <c r="C201" s="139">
        <f t="shared" si="645"/>
        <v>16760</v>
      </c>
      <c r="D201" s="139">
        <f t="shared" si="645"/>
        <v>18109</v>
      </c>
      <c r="E201" s="139">
        <f t="shared" si="645"/>
        <v>17825</v>
      </c>
      <c r="F201" s="139">
        <f t="shared" si="645"/>
        <v>18491</v>
      </c>
      <c r="G201" s="139">
        <f t="shared" si="645"/>
        <v>19707</v>
      </c>
      <c r="H201" s="59">
        <f t="shared" si="645"/>
        <v>4804</v>
      </c>
      <c r="I201" s="59">
        <f t="shared" si="645"/>
        <v>5278</v>
      </c>
      <c r="J201" s="59">
        <f t="shared" si="645"/>
        <v>5219</v>
      </c>
      <c r="K201" s="59">
        <f t="shared" si="645"/>
        <v>6000</v>
      </c>
      <c r="L201" s="139">
        <f t="shared" si="645"/>
        <v>21301</v>
      </c>
      <c r="M201" s="59">
        <f t="shared" si="645"/>
        <v>5354</v>
      </c>
      <c r="N201" s="59">
        <f t="shared" si="645"/>
        <v>5870</v>
      </c>
      <c r="O201" s="59">
        <f t="shared" si="645"/>
        <v>5864</v>
      </c>
      <c r="P201" s="59">
        <f t="shared" si="645"/>
        <v>6086</v>
      </c>
      <c r="Q201" s="139">
        <f t="shared" si="645"/>
        <v>23174</v>
      </c>
      <c r="R201" s="59">
        <f t="shared" si="645"/>
        <v>5884</v>
      </c>
      <c r="S201" s="59">
        <f t="shared" si="645"/>
        <v>6125</v>
      </c>
      <c r="T201" s="59">
        <f t="shared" si="645"/>
        <v>6205</v>
      </c>
      <c r="U201" s="59">
        <f t="shared" si="645"/>
        <v>6667</v>
      </c>
      <c r="V201" s="139">
        <f t="shared" si="645"/>
        <v>24881</v>
      </c>
      <c r="W201" s="59">
        <f t="shared" si="645"/>
        <v>6053</v>
      </c>
      <c r="X201" s="59">
        <f t="shared" si="645"/>
        <v>5973</v>
      </c>
      <c r="Y201" s="59">
        <f t="shared" si="645"/>
        <v>6272</v>
      </c>
      <c r="Z201" s="59">
        <f t="shared" si="645"/>
        <v>6885</v>
      </c>
      <c r="AA201" s="139">
        <f t="shared" si="645"/>
        <v>25183</v>
      </c>
      <c r="AB201" s="59">
        <f t="shared" si="645"/>
        <v>6052</v>
      </c>
      <c r="AC201" s="59">
        <f t="shared" si="645"/>
        <v>6201</v>
      </c>
      <c r="AD201" s="59">
        <f t="shared" si="645"/>
        <v>6116</v>
      </c>
      <c r="AE201" s="59">
        <f t="shared" si="645"/>
        <v>6422</v>
      </c>
      <c r="AF201" s="139">
        <f t="shared" si="645"/>
        <v>24791</v>
      </c>
      <c r="AG201" s="59">
        <f t="shared" si="645"/>
        <v>5938</v>
      </c>
      <c r="AH201" s="59">
        <f t="shared" si="645"/>
        <v>5992</v>
      </c>
      <c r="AI201" s="59">
        <f t="shared" si="645"/>
        <v>6045</v>
      </c>
      <c r="AJ201" s="59">
        <f t="shared" si="645"/>
        <v>6439</v>
      </c>
      <c r="AK201" s="139">
        <f t="shared" si="645"/>
        <v>24414</v>
      </c>
      <c r="AL201" s="59">
        <f t="shared" si="645"/>
        <v>5879</v>
      </c>
      <c r="AM201" s="59">
        <f t="shared" si="645"/>
        <v>6115</v>
      </c>
      <c r="AN201" s="59">
        <f t="shared" si="645"/>
        <v>5842</v>
      </c>
      <c r="AO201" s="59">
        <f t="shared" si="645"/>
        <v>5870</v>
      </c>
      <c r="AP201" s="139">
        <f t="shared" si="645"/>
        <v>23793</v>
      </c>
      <c r="AQ201" s="59">
        <f t="shared" si="645"/>
        <v>5508</v>
      </c>
      <c r="AR201" s="59">
        <f t="shared" si="645"/>
        <v>5701</v>
      </c>
      <c r="AS201" s="59">
        <f t="shared" si="645"/>
        <v>5474</v>
      </c>
      <c r="AT201" s="59">
        <f t="shared" si="645"/>
        <v>6143</v>
      </c>
      <c r="AU201" s="139">
        <f t="shared" si="645"/>
        <v>22826</v>
      </c>
      <c r="AV201" s="59"/>
      <c r="AW201" s="59"/>
      <c r="AX201" s="59"/>
      <c r="AY201" s="59"/>
      <c r="AZ201" s="139">
        <f t="shared" ref="AZ201:BL201" si="646">AZ77</f>
        <v>22826</v>
      </c>
      <c r="BA201" s="59">
        <f t="shared" si="646"/>
        <v>5288</v>
      </c>
      <c r="BB201" s="59">
        <f t="shared" si="646"/>
        <v>5848</v>
      </c>
      <c r="BC201" s="59">
        <f t="shared" si="646"/>
        <v>5783</v>
      </c>
      <c r="BD201" s="59">
        <f t="shared" si="646"/>
        <v>6328</v>
      </c>
      <c r="BE201" s="139">
        <f t="shared" si="646"/>
        <v>23247</v>
      </c>
      <c r="BF201" s="59">
        <f t="shared" si="646"/>
        <v>5802</v>
      </c>
      <c r="BG201" s="59">
        <f t="shared" si="646"/>
        <v>6035</v>
      </c>
      <c r="BH201" s="59">
        <f t="shared" si="646"/>
        <v>6033</v>
      </c>
      <c r="BI201" s="59">
        <f t="shared" si="646"/>
        <v>6202</v>
      </c>
      <c r="BJ201" s="139">
        <f t="shared" si="646"/>
        <v>24072</v>
      </c>
      <c r="BK201" s="59">
        <f t="shared" si="646"/>
        <v>6000</v>
      </c>
      <c r="BL201" s="59">
        <f t="shared" si="646"/>
        <v>6281</v>
      </c>
      <c r="BM201" s="59">
        <f t="shared" ref="BM201:BO201" si="647">BM77</f>
        <v>6284</v>
      </c>
      <c r="BN201" s="59">
        <f t="shared" si="647"/>
        <v>6783</v>
      </c>
      <c r="BO201" s="139">
        <f t="shared" si="647"/>
        <v>25348</v>
      </c>
      <c r="BP201" s="139">
        <f t="shared" ref="BP201" si="648">BP77</f>
        <v>25348</v>
      </c>
      <c r="BQ201" s="140">
        <f t="shared" ref="BQ201:BU201" si="649">BQ77</f>
        <v>6294.3575999999994</v>
      </c>
      <c r="BR201" s="59">
        <f t="shared" si="649"/>
        <v>6660.5853000000006</v>
      </c>
      <c r="BS201" s="59">
        <f t="shared" si="649"/>
        <v>6645.8137749999996</v>
      </c>
      <c r="BT201" s="60">
        <f t="shared" si="649"/>
        <v>7209.0267250000006</v>
      </c>
      <c r="BU201" s="139">
        <f t="shared" si="649"/>
        <v>26809.783400000004</v>
      </c>
      <c r="BV201" s="140"/>
      <c r="BW201" s="59"/>
      <c r="BX201" s="59"/>
      <c r="BY201" s="60"/>
      <c r="BZ201" s="139">
        <f>BZ77</f>
        <v>28271.851673250007</v>
      </c>
      <c r="CA201" s="140"/>
      <c r="CB201" s="59"/>
      <c r="CC201" s="59"/>
      <c r="CD201" s="60"/>
      <c r="CE201" s="139">
        <f>CE77</f>
        <v>29880.828055525006</v>
      </c>
      <c r="CF201" s="140"/>
      <c r="CG201" s="59"/>
      <c r="CH201" s="59"/>
      <c r="CI201" s="60"/>
      <c r="CJ201" s="139">
        <f>CJ77</f>
        <v>31590.236792131815</v>
      </c>
      <c r="CK201" s="289"/>
      <c r="CL201" s="658"/>
      <c r="CM201" s="658"/>
      <c r="CN201" s="682"/>
      <c r="CO201" s="658"/>
      <c r="CP201" s="658"/>
      <c r="CQ201" s="658"/>
      <c r="CR201" s="658"/>
      <c r="CS201" s="658"/>
      <c r="CT201" s="289"/>
    </row>
    <row r="202" spans="1:107">
      <c r="A202" s="166" t="s">
        <v>137</v>
      </c>
      <c r="B202" s="70"/>
      <c r="C202" s="70">
        <f>C201/B201-1</f>
        <v>4.6388212524193007E-2</v>
      </c>
      <c r="D202" s="70">
        <f>D201/C201-1</f>
        <v>8.0489260143198127E-2</v>
      </c>
      <c r="E202" s="70">
        <f>E201/D201-1</f>
        <v>-1.5682809652658891E-2</v>
      </c>
      <c r="F202" s="70">
        <f>F201/E201-1</f>
        <v>3.7363253856942391E-2</v>
      </c>
      <c r="G202" s="70">
        <f>G201/F201-1</f>
        <v>6.5761721918771388E-2</v>
      </c>
      <c r="H202" s="118"/>
      <c r="I202" s="64"/>
      <c r="J202" s="64"/>
      <c r="K202" s="64"/>
      <c r="L202" s="70">
        <f t="shared" ref="L202:AR202" si="650">L201/G201-1</f>
        <v>8.088496473334339E-2</v>
      </c>
      <c r="M202" s="64">
        <f t="shared" si="650"/>
        <v>0.11448792672772679</v>
      </c>
      <c r="N202" s="64">
        <f t="shared" si="650"/>
        <v>0.11216369837059492</v>
      </c>
      <c r="O202" s="64">
        <f t="shared" si="650"/>
        <v>0.12358689404100409</v>
      </c>
      <c r="P202" s="64">
        <f t="shared" si="650"/>
        <v>1.4333333333333309E-2</v>
      </c>
      <c r="Q202" s="70">
        <f t="shared" si="650"/>
        <v>8.7930144124688914E-2</v>
      </c>
      <c r="R202" s="64">
        <f t="shared" si="650"/>
        <v>9.8991408292865124E-2</v>
      </c>
      <c r="S202" s="64">
        <f t="shared" si="650"/>
        <v>4.3441226575809289E-2</v>
      </c>
      <c r="T202" s="64">
        <f t="shared" si="650"/>
        <v>5.815143246930421E-2</v>
      </c>
      <c r="U202" s="64">
        <f t="shared" si="650"/>
        <v>9.5465001643115333E-2</v>
      </c>
      <c r="V202" s="70">
        <f t="shared" si="650"/>
        <v>7.3660136359713579E-2</v>
      </c>
      <c r="W202" s="64">
        <f t="shared" si="650"/>
        <v>2.8721957851801427E-2</v>
      </c>
      <c r="X202" s="64">
        <f t="shared" si="650"/>
        <v>-2.4816326530612276E-2</v>
      </c>
      <c r="Y202" s="64">
        <f t="shared" si="650"/>
        <v>1.0797743755036171E-2</v>
      </c>
      <c r="Z202" s="64">
        <f t="shared" si="650"/>
        <v>3.2698365081745839E-2</v>
      </c>
      <c r="AA202" s="70">
        <f t="shared" si="650"/>
        <v>1.2137775812869345E-2</v>
      </c>
      <c r="AB202" s="64">
        <f t="shared" si="650"/>
        <v>-1.6520733520564157E-4</v>
      </c>
      <c r="AC202" s="64">
        <f t="shared" si="650"/>
        <v>3.8171772978402796E-2</v>
      </c>
      <c r="AD202" s="64">
        <f t="shared" si="650"/>
        <v>-2.4872448979591844E-2</v>
      </c>
      <c r="AE202" s="64">
        <f t="shared" si="650"/>
        <v>-6.7247639796659375E-2</v>
      </c>
      <c r="AF202" s="70">
        <f t="shared" si="650"/>
        <v>-1.556605646666398E-2</v>
      </c>
      <c r="AG202" s="64">
        <f t="shared" si="650"/>
        <v>-1.8836748182418983E-2</v>
      </c>
      <c r="AH202" s="64">
        <f t="shared" si="650"/>
        <v>-3.3704241251411027E-2</v>
      </c>
      <c r="AI202" s="64">
        <f t="shared" si="650"/>
        <v>-1.1608894702419881E-2</v>
      </c>
      <c r="AJ202" s="64">
        <f t="shared" si="650"/>
        <v>2.6471504204297336E-3</v>
      </c>
      <c r="AK202" s="70">
        <f t="shared" si="650"/>
        <v>-1.5207131620346148E-2</v>
      </c>
      <c r="AL202" s="64">
        <f t="shared" si="650"/>
        <v>-9.9360053890198419E-3</v>
      </c>
      <c r="AM202" s="64">
        <f t="shared" si="650"/>
        <v>2.0527369826435216E-2</v>
      </c>
      <c r="AN202" s="64">
        <f>AN201/AI201-1</f>
        <v>-3.3581472291149717E-2</v>
      </c>
      <c r="AO202" s="64">
        <f>AO201/AJ201-1</f>
        <v>-8.8367758968784016E-2</v>
      </c>
      <c r="AP202" s="70">
        <f t="shared" si="650"/>
        <v>-2.5436225116736266E-2</v>
      </c>
      <c r="AQ202" s="64">
        <f>AQ201/AL201-1</f>
        <v>-6.3105970403129819E-2</v>
      </c>
      <c r="AR202" s="64">
        <f t="shared" si="650"/>
        <v>-6.7702371218315571E-2</v>
      </c>
      <c r="AS202" s="64">
        <f t="shared" ref="AS202:AU202" si="651">AS201/AN201-1</f>
        <v>-6.2992125984251968E-2</v>
      </c>
      <c r="AT202" s="64">
        <f t="shared" si="651"/>
        <v>4.6507666098807521E-2</v>
      </c>
      <c r="AU202" s="70">
        <f t="shared" si="651"/>
        <v>-4.0642205690749389E-2</v>
      </c>
      <c r="AV202" s="64"/>
      <c r="AW202" s="64"/>
      <c r="AX202" s="64"/>
      <c r="AY202" s="64"/>
      <c r="AZ202" s="70">
        <f t="shared" ref="AZ202" si="652">AZ201/AU201-1</f>
        <v>0</v>
      </c>
      <c r="BA202" s="64">
        <f>BA201/AQ201-1</f>
        <v>-3.9941902687000708E-2</v>
      </c>
      <c r="BB202" s="64">
        <f>BB201/AR201-1</f>
        <v>2.5784950008770346E-2</v>
      </c>
      <c r="BC202" s="64">
        <f>BC201/AS201-1</f>
        <v>5.6448666423090987E-2</v>
      </c>
      <c r="BD202" s="64">
        <f>BD201/AT201-1</f>
        <v>3.0115578707471835E-2</v>
      </c>
      <c r="BE202" s="70">
        <f>BE201/AZ201-1</f>
        <v>1.8443879786208761E-2</v>
      </c>
      <c r="BF202" s="64">
        <f t="shared" ref="BF202:BJ202" si="653">BF201/BA201-1</f>
        <v>9.7201210287443329E-2</v>
      </c>
      <c r="BG202" s="64">
        <f t="shared" si="653"/>
        <v>3.1976744186046568E-2</v>
      </c>
      <c r="BH202" s="64">
        <f t="shared" si="653"/>
        <v>4.3230157357772692E-2</v>
      </c>
      <c r="BI202" s="64">
        <f t="shared" si="653"/>
        <v>-1.9911504424778736E-2</v>
      </c>
      <c r="BJ202" s="70">
        <f t="shared" si="653"/>
        <v>3.5488450122596493E-2</v>
      </c>
      <c r="BK202" s="64">
        <f t="shared" ref="BK202" si="654">BK201/BF201-1</f>
        <v>3.4126163391933861E-2</v>
      </c>
      <c r="BL202" s="64">
        <f t="shared" ref="BL202:BM202" si="655">BL201/BG201-1</f>
        <v>4.0762220381110215E-2</v>
      </c>
      <c r="BM202" s="64">
        <f t="shared" si="655"/>
        <v>4.16045085363832E-2</v>
      </c>
      <c r="BN202" s="64">
        <f t="shared" ref="BN202" si="656">BN201/BI201-1</f>
        <v>9.3679458239277702E-2</v>
      </c>
      <c r="BO202" s="70">
        <f t="shared" ref="BO202" si="657">BO201/BJ201-1</f>
        <v>5.3007643735460297E-2</v>
      </c>
      <c r="BP202" s="70"/>
      <c r="BQ202" s="121">
        <f t="shared" ref="BQ202" si="658">BQ201/BK201-1</f>
        <v>4.905959999999987E-2</v>
      </c>
      <c r="BR202" s="64">
        <f t="shared" ref="BR202" si="659">BR201/BL201-1</f>
        <v>6.0433895876452981E-2</v>
      </c>
      <c r="BS202" s="64">
        <f t="shared" ref="BS202" si="660">BS201/BM201-1</f>
        <v>5.7576985200509245E-2</v>
      </c>
      <c r="BT202" s="122">
        <f t="shared" ref="BT202" si="661">BT201/BN201-1</f>
        <v>6.280800899307093E-2</v>
      </c>
      <c r="BU202" s="70">
        <f>BU201/BO201-1</f>
        <v>5.7668589237809931E-2</v>
      </c>
      <c r="BV202" s="121"/>
      <c r="BW202" s="64"/>
      <c r="BX202" s="64"/>
      <c r="BY202" s="122"/>
      <c r="BZ202" s="70">
        <f>BZ201/BU201-1</f>
        <v>5.4534878235905637E-2</v>
      </c>
      <c r="CA202" s="121"/>
      <c r="CB202" s="64"/>
      <c r="CC202" s="64"/>
      <c r="CD202" s="122"/>
      <c r="CE202" s="70">
        <f>CE201/BZ201-1</f>
        <v>5.6910895008598361E-2</v>
      </c>
      <c r="CF202" s="121"/>
      <c r="CG202" s="64"/>
      <c r="CH202" s="64"/>
      <c r="CI202" s="122"/>
      <c r="CJ202" s="70">
        <f>CJ201/CE201-1</f>
        <v>5.7207542355598662E-2</v>
      </c>
      <c r="CK202" s="289"/>
      <c r="CL202" s="658"/>
      <c r="CM202" s="658"/>
      <c r="CN202" s="682"/>
      <c r="CO202" s="658"/>
      <c r="CP202" s="658"/>
      <c r="CQ202" s="658"/>
      <c r="CR202" s="658"/>
      <c r="CS202" s="658"/>
      <c r="CT202" s="289"/>
    </row>
    <row r="203" spans="1:107">
      <c r="A203" s="165" t="s">
        <v>177</v>
      </c>
      <c r="B203" s="139">
        <f>B201-B199</f>
        <v>15251</v>
      </c>
      <c r="C203" s="139">
        <f t="shared" ref="C203:AP203" si="662">C201-C199</f>
        <v>14977</v>
      </c>
      <c r="D203" s="139">
        <f t="shared" si="662"/>
        <v>16793</v>
      </c>
      <c r="E203" s="139">
        <f t="shared" si="662"/>
        <v>16524</v>
      </c>
      <c r="F203" s="139">
        <f t="shared" si="662"/>
        <v>16872</v>
      </c>
      <c r="G203" s="139">
        <f t="shared" si="662"/>
        <v>17763</v>
      </c>
      <c r="H203" s="59">
        <f t="shared" si="662"/>
        <v>4283</v>
      </c>
      <c r="I203" s="59">
        <f t="shared" si="662"/>
        <v>4689</v>
      </c>
      <c r="J203" s="59">
        <f t="shared" si="662"/>
        <v>4647</v>
      </c>
      <c r="K203" s="59">
        <f t="shared" si="662"/>
        <v>5354</v>
      </c>
      <c r="L203" s="139">
        <f t="shared" si="662"/>
        <v>18947</v>
      </c>
      <c r="M203" s="59">
        <f t="shared" si="662"/>
        <v>4745</v>
      </c>
      <c r="N203" s="59">
        <f t="shared" si="662"/>
        <v>5202</v>
      </c>
      <c r="O203" s="59">
        <f t="shared" si="662"/>
        <v>5174</v>
      </c>
      <c r="P203" s="59">
        <f t="shared" si="662"/>
        <v>5433</v>
      </c>
      <c r="Q203" s="139">
        <f>Q201-Q199</f>
        <v>20554</v>
      </c>
      <c r="R203" s="59">
        <f t="shared" si="662"/>
        <v>5172</v>
      </c>
      <c r="S203" s="59">
        <f t="shared" si="662"/>
        <v>5360</v>
      </c>
      <c r="T203" s="59">
        <f t="shared" si="662"/>
        <v>5440</v>
      </c>
      <c r="U203" s="59">
        <f t="shared" si="662"/>
        <v>5867</v>
      </c>
      <c r="V203" s="139">
        <f t="shared" si="662"/>
        <v>21839</v>
      </c>
      <c r="W203" s="59">
        <f t="shared" si="662"/>
        <v>5344</v>
      </c>
      <c r="X203" s="59">
        <f t="shared" si="662"/>
        <v>5628</v>
      </c>
      <c r="Y203" s="59">
        <f t="shared" si="662"/>
        <v>5523</v>
      </c>
      <c r="Z203" s="59">
        <f t="shared" si="662"/>
        <v>6081</v>
      </c>
      <c r="AA203" s="139">
        <f t="shared" si="662"/>
        <v>22576</v>
      </c>
      <c r="AB203" s="59">
        <f t="shared" si="662"/>
        <v>5463</v>
      </c>
      <c r="AC203" s="59">
        <f t="shared" si="662"/>
        <v>5531</v>
      </c>
      <c r="AD203" s="59">
        <f t="shared" si="662"/>
        <v>5394</v>
      </c>
      <c r="AE203" s="59">
        <f t="shared" si="662"/>
        <v>5573</v>
      </c>
      <c r="AF203" s="139">
        <f t="shared" si="662"/>
        <v>21961</v>
      </c>
      <c r="AG203" s="59">
        <f t="shared" si="662"/>
        <v>5232</v>
      </c>
      <c r="AH203" s="59">
        <f t="shared" si="662"/>
        <v>5250</v>
      </c>
      <c r="AI203" s="59">
        <f t="shared" si="662"/>
        <v>5259</v>
      </c>
      <c r="AJ203" s="59">
        <f t="shared" si="662"/>
        <v>5684</v>
      </c>
      <c r="AK203" s="139">
        <f t="shared" si="662"/>
        <v>21425</v>
      </c>
      <c r="AL203" s="59">
        <f t="shared" si="662"/>
        <v>5173</v>
      </c>
      <c r="AM203" s="59">
        <f>AM201-AM199</f>
        <v>5349</v>
      </c>
      <c r="AN203" s="59">
        <f>AN201-AN199</f>
        <v>5085</v>
      </c>
      <c r="AO203" s="59">
        <f>AO201-AO199</f>
        <v>5161</v>
      </c>
      <c r="AP203" s="139">
        <f t="shared" si="662"/>
        <v>20663</v>
      </c>
      <c r="AQ203" s="59">
        <f t="shared" ref="AQ203:BC203" si="663">AQ201-AQ199</f>
        <v>4720.6000000000004</v>
      </c>
      <c r="AR203" s="59">
        <f t="shared" si="663"/>
        <v>4943</v>
      </c>
      <c r="AS203" s="59">
        <f t="shared" si="663"/>
        <v>4714</v>
      </c>
      <c r="AT203" s="59">
        <f t="shared" si="663"/>
        <v>5274</v>
      </c>
      <c r="AU203" s="139">
        <f t="shared" si="663"/>
        <v>19651.599999999999</v>
      </c>
      <c r="AV203" s="59"/>
      <c r="AW203" s="59"/>
      <c r="AX203" s="59"/>
      <c r="AY203" s="59"/>
      <c r="AZ203" s="139">
        <f t="shared" ref="AZ203" si="664">AZ201-AZ199</f>
        <v>19647</v>
      </c>
      <c r="BA203" s="59">
        <f t="shared" si="663"/>
        <v>4448</v>
      </c>
      <c r="BB203" s="59">
        <f t="shared" si="663"/>
        <v>5200</v>
      </c>
      <c r="BC203" s="59">
        <f t="shared" si="663"/>
        <v>5086</v>
      </c>
      <c r="BD203" s="59">
        <f t="shared" ref="BD203:BJ203" si="665">BD201-BD199</f>
        <v>5503</v>
      </c>
      <c r="BE203" s="139">
        <f t="shared" si="665"/>
        <v>20237</v>
      </c>
      <c r="BF203" s="59">
        <f t="shared" si="665"/>
        <v>5189</v>
      </c>
      <c r="BG203" s="59">
        <f t="shared" si="665"/>
        <v>5075</v>
      </c>
      <c r="BH203" s="59">
        <f t="shared" si="665"/>
        <v>5227</v>
      </c>
      <c r="BI203" s="59">
        <f t="shared" si="665"/>
        <v>5341</v>
      </c>
      <c r="BJ203" s="139">
        <f t="shared" si="665"/>
        <v>20832</v>
      </c>
      <c r="BK203" s="59">
        <f t="shared" ref="BK203:BO203" si="666">BK201-BK199</f>
        <v>5259</v>
      </c>
      <c r="BL203" s="59">
        <f t="shared" si="666"/>
        <v>5432</v>
      </c>
      <c r="BM203" s="59">
        <f t="shared" si="666"/>
        <v>5426</v>
      </c>
      <c r="BN203" s="59">
        <f t="shared" si="666"/>
        <v>5913</v>
      </c>
      <c r="BO203" s="139">
        <f t="shared" si="666"/>
        <v>22030</v>
      </c>
      <c r="BP203" s="139">
        <f t="shared" ref="BP203" si="667">BP201-BP199</f>
        <v>21117</v>
      </c>
      <c r="BQ203" s="140">
        <f t="shared" ref="BQ203:BT203" si="668">BQ201-BQ199</f>
        <v>5229.744279999999</v>
      </c>
      <c r="BR203" s="59">
        <f t="shared" si="668"/>
        <v>5528.5211200000003</v>
      </c>
      <c r="BS203" s="59">
        <f t="shared" si="668"/>
        <v>5519.6135450000002</v>
      </c>
      <c r="BT203" s="60">
        <f t="shared" si="668"/>
        <v>5974.5583150000002</v>
      </c>
      <c r="BU203" s="139">
        <f>BU201-BU199</f>
        <v>22252.437260000002</v>
      </c>
      <c r="BV203" s="140"/>
      <c r="BW203" s="59"/>
      <c r="BX203" s="59"/>
      <c r="BY203" s="60"/>
      <c r="BZ203" s="139">
        <f>BZ201-BZ199</f>
        <v>23430.779633898521</v>
      </c>
      <c r="CA203" s="140"/>
      <c r="CB203" s="59"/>
      <c r="CC203" s="59"/>
      <c r="CD203" s="60"/>
      <c r="CE203" s="139">
        <f>CE201-CE199</f>
        <v>24787.5361719094</v>
      </c>
      <c r="CF203" s="140"/>
      <c r="CG203" s="59"/>
      <c r="CH203" s="59"/>
      <c r="CI203" s="60"/>
      <c r="CJ203" s="139">
        <f>CJ201-CJ199</f>
        <v>26243.074503702483</v>
      </c>
      <c r="CK203" s="289"/>
      <c r="CL203" s="658"/>
      <c r="CM203" s="658"/>
      <c r="CN203" s="682"/>
      <c r="CO203" s="658"/>
      <c r="CP203" s="658"/>
      <c r="CQ203" s="658"/>
      <c r="CR203" s="658"/>
      <c r="CS203" s="658"/>
      <c r="CT203" s="289"/>
    </row>
    <row r="204" spans="1:107">
      <c r="A204" s="166" t="s">
        <v>137</v>
      </c>
      <c r="B204" s="70"/>
      <c r="C204" s="70">
        <f>C203/B203-1</f>
        <v>-1.7966035014097437E-2</v>
      </c>
      <c r="D204" s="70">
        <f>D203/C203-1</f>
        <v>0.12125258730052746</v>
      </c>
      <c r="E204" s="70">
        <f>E203/D203-1</f>
        <v>-1.6018579169892244E-2</v>
      </c>
      <c r="F204" s="70">
        <f>F203/E203-1</f>
        <v>2.1060275962236696E-2</v>
      </c>
      <c r="G204" s="70">
        <f>G203/F203-1</f>
        <v>5.2809388335704144E-2</v>
      </c>
      <c r="H204" s="118"/>
      <c r="I204" s="64"/>
      <c r="J204" s="64"/>
      <c r="K204" s="64"/>
      <c r="L204" s="70">
        <f t="shared" ref="L204:AR204" si="669">L203/G203-1</f>
        <v>6.6655407307324221E-2</v>
      </c>
      <c r="M204" s="64">
        <f t="shared" si="669"/>
        <v>0.10786831660051366</v>
      </c>
      <c r="N204" s="64">
        <f t="shared" si="669"/>
        <v>0.10940499040307095</v>
      </c>
      <c r="O204" s="64">
        <f t="shared" si="669"/>
        <v>0.11340649881644072</v>
      </c>
      <c r="P204" s="64">
        <f t="shared" si="669"/>
        <v>1.4755323122898734E-2</v>
      </c>
      <c r="Q204" s="70">
        <f t="shared" si="669"/>
        <v>8.481553807990716E-2</v>
      </c>
      <c r="R204" s="64">
        <f t="shared" si="669"/>
        <v>8.9989462592202418E-2</v>
      </c>
      <c r="S204" s="64">
        <f t="shared" si="669"/>
        <v>3.0372933487120335E-2</v>
      </c>
      <c r="T204" s="64">
        <f t="shared" si="669"/>
        <v>5.141090065713172E-2</v>
      </c>
      <c r="U204" s="64">
        <f t="shared" si="669"/>
        <v>7.9882201362046823E-2</v>
      </c>
      <c r="V204" s="70">
        <f t="shared" si="669"/>
        <v>6.2518244623917418E-2</v>
      </c>
      <c r="W204" s="64">
        <f t="shared" si="669"/>
        <v>3.325599381283828E-2</v>
      </c>
      <c r="X204" s="64">
        <f t="shared" si="669"/>
        <v>5.0000000000000044E-2</v>
      </c>
      <c r="Y204" s="64">
        <f t="shared" si="669"/>
        <v>1.5257352941176361E-2</v>
      </c>
      <c r="Z204" s="64">
        <f t="shared" si="669"/>
        <v>3.6475200272711783E-2</v>
      </c>
      <c r="AA204" s="70">
        <f t="shared" si="669"/>
        <v>3.3746966436192238E-2</v>
      </c>
      <c r="AB204" s="64">
        <f t="shared" si="669"/>
        <v>2.2267964071856383E-2</v>
      </c>
      <c r="AC204" s="64">
        <f t="shared" si="669"/>
        <v>-1.7235252309879212E-2</v>
      </c>
      <c r="AD204" s="64">
        <f t="shared" si="669"/>
        <v>-2.3356871265616475E-2</v>
      </c>
      <c r="AE204" s="64">
        <f t="shared" si="669"/>
        <v>-8.3538891629666212E-2</v>
      </c>
      <c r="AF204" s="70">
        <f t="shared" si="669"/>
        <v>-2.7241318214032639E-2</v>
      </c>
      <c r="AG204" s="64">
        <f t="shared" si="669"/>
        <v>-4.228445908841294E-2</v>
      </c>
      <c r="AH204" s="64">
        <f t="shared" si="669"/>
        <v>-5.0804556138130508E-2</v>
      </c>
      <c r="AI204" s="64">
        <f t="shared" si="669"/>
        <v>-2.5027808676307051E-2</v>
      </c>
      <c r="AJ204" s="64">
        <f t="shared" si="669"/>
        <v>1.9917459178180552E-2</v>
      </c>
      <c r="AK204" s="70">
        <f t="shared" si="669"/>
        <v>-2.4406903146486969E-2</v>
      </c>
      <c r="AL204" s="64">
        <f t="shared" si="669"/>
        <v>-1.1276758409785925E-2</v>
      </c>
      <c r="AM204" s="64">
        <f t="shared" si="669"/>
        <v>1.8857142857142906E-2</v>
      </c>
      <c r="AN204" s="64">
        <f>AN203/AI203-1</f>
        <v>-3.30861380490588E-2</v>
      </c>
      <c r="AO204" s="64">
        <f>AO203/AJ203-1</f>
        <v>-9.2012667135819792E-2</v>
      </c>
      <c r="AP204" s="70">
        <f t="shared" si="669"/>
        <v>-3.5565927654609086E-2</v>
      </c>
      <c r="AQ204" s="64">
        <f>AQ203/AL203-1</f>
        <v>-8.7454088536632391E-2</v>
      </c>
      <c r="AR204" s="64">
        <f t="shared" si="669"/>
        <v>-7.5902037764068009E-2</v>
      </c>
      <c r="AS204" s="64">
        <f t="shared" ref="AS204:AU204" si="670">AS203/AN203-1</f>
        <v>-7.2959685349065828E-2</v>
      </c>
      <c r="AT204" s="64">
        <f t="shared" si="670"/>
        <v>2.1894981592714524E-2</v>
      </c>
      <c r="AU204" s="70">
        <f t="shared" si="670"/>
        <v>-4.894739389246483E-2</v>
      </c>
      <c r="AV204" s="64"/>
      <c r="AW204" s="64"/>
      <c r="AX204" s="64"/>
      <c r="AY204" s="64"/>
      <c r="AZ204" s="70">
        <f t="shared" ref="AZ204" si="671">AZ203/AU203-1</f>
        <v>-2.3407763235561152E-4</v>
      </c>
      <c r="BA204" s="64">
        <f>BA203/AQ203-1</f>
        <v>-5.7746896580943119E-2</v>
      </c>
      <c r="BB204" s="64">
        <f>BB203/AR203-1</f>
        <v>5.1992716973497943E-2</v>
      </c>
      <c r="BC204" s="64">
        <f>BC203/AS203-1</f>
        <v>7.8913873568094983E-2</v>
      </c>
      <c r="BD204" s="64">
        <f>BD203/AT203-1</f>
        <v>4.3420553659461403E-2</v>
      </c>
      <c r="BE204" s="70">
        <f>BE203/AZ203-1</f>
        <v>3.0030030030030019E-2</v>
      </c>
      <c r="BF204" s="64">
        <f t="shared" ref="BF204:BM204" si="672">BF203/BA203-1</f>
        <v>0.16659172661870514</v>
      </c>
      <c r="BG204" s="64">
        <f t="shared" si="672"/>
        <v>-2.4038461538461564E-2</v>
      </c>
      <c r="BH204" s="64">
        <f t="shared" si="672"/>
        <v>2.7723161620133663E-2</v>
      </c>
      <c r="BI204" s="64">
        <f t="shared" si="672"/>
        <v>-2.9438488097401461E-2</v>
      </c>
      <c r="BJ204" s="70">
        <f t="shared" si="672"/>
        <v>2.9401591144932571E-2</v>
      </c>
      <c r="BK204" s="64">
        <f t="shared" si="672"/>
        <v>1.3490075158990145E-2</v>
      </c>
      <c r="BL204" s="64">
        <f t="shared" si="672"/>
        <v>7.0344827586206859E-2</v>
      </c>
      <c r="BM204" s="64">
        <f t="shared" si="672"/>
        <v>3.8071551559211825E-2</v>
      </c>
      <c r="BN204" s="15">
        <f t="shared" ref="BN204" si="673">BN203/BI203-1</f>
        <v>0.10709604942894591</v>
      </c>
      <c r="BO204" s="70">
        <f t="shared" ref="BO204" si="674">BO203/BJ203-1</f>
        <v>5.7507680491551527E-2</v>
      </c>
      <c r="BP204" s="70"/>
      <c r="BQ204" s="121">
        <f t="shared" ref="BQ204" si="675">BQ203/BK203-1</f>
        <v>-5.562981555429003E-3</v>
      </c>
      <c r="BR204" s="64">
        <f t="shared" ref="BR204" si="676">BR203/BL203-1</f>
        <v>1.7768983799705484E-2</v>
      </c>
      <c r="BS204" s="64">
        <f t="shared" ref="BS204" si="677">BS203/BM203-1</f>
        <v>1.725277276078141E-2</v>
      </c>
      <c r="BT204" s="122">
        <f>BT203/BN203-1</f>
        <v>1.0410673938779036E-2</v>
      </c>
      <c r="BU204" s="70">
        <f>BU203/BO203-1</f>
        <v>1.0097015887426286E-2</v>
      </c>
      <c r="BV204" s="121"/>
      <c r="BW204" s="64"/>
      <c r="BX204" s="64"/>
      <c r="BY204" s="122"/>
      <c r="BZ204" s="70">
        <f>BZ203/BU203-1</f>
        <v>5.2953407311326472E-2</v>
      </c>
      <c r="CA204" s="121"/>
      <c r="CB204" s="64"/>
      <c r="CC204" s="64"/>
      <c r="CD204" s="122"/>
      <c r="CE204" s="70">
        <f>CE203/BZ203-1</f>
        <v>5.7904882347490805E-2</v>
      </c>
      <c r="CF204" s="121"/>
      <c r="CG204" s="64"/>
      <c r="CH204" s="64"/>
      <c r="CI204" s="122"/>
      <c r="CJ204" s="70">
        <f>CJ203/CE203-1</f>
        <v>5.8720573182363234E-2</v>
      </c>
      <c r="CK204" s="289"/>
      <c r="CL204" s="658"/>
      <c r="CM204" s="658"/>
      <c r="CN204" s="682"/>
      <c r="CO204" s="658"/>
      <c r="CP204" s="657"/>
      <c r="CQ204" s="657"/>
      <c r="CR204" s="657"/>
      <c r="CS204" s="657"/>
      <c r="CT204" s="289"/>
    </row>
    <row r="205" spans="1:107" s="180" customFormat="1" hidden="1">
      <c r="A205" s="169" t="s">
        <v>178</v>
      </c>
      <c r="B205" s="170">
        <v>13664</v>
      </c>
      <c r="C205" s="170">
        <v>13358</v>
      </c>
      <c r="D205" s="170">
        <v>15045</v>
      </c>
      <c r="E205" s="170">
        <v>14909</v>
      </c>
      <c r="F205" s="170">
        <v>15214</v>
      </c>
      <c r="G205" s="170">
        <v>15977</v>
      </c>
      <c r="H205" s="171">
        <v>3856</v>
      </c>
      <c r="I205" s="171">
        <v>4194</v>
      </c>
      <c r="J205" s="171">
        <v>4150</v>
      </c>
      <c r="K205" s="171">
        <f>(15431+1580)-H205-I205-J205</f>
        <v>4811</v>
      </c>
      <c r="L205" s="170">
        <f>SUM(H205:K205)</f>
        <v>17011</v>
      </c>
      <c r="M205" s="171">
        <v>4258</v>
      </c>
      <c r="N205" s="171">
        <v>4664</v>
      </c>
      <c r="O205" s="171">
        <f>4664</f>
        <v>4664</v>
      </c>
      <c r="P205" s="171">
        <f>(16570+1919)-M205-N205-O205</f>
        <v>4903</v>
      </c>
      <c r="Q205" s="170">
        <f>SUM(M205:P205)</f>
        <v>18489</v>
      </c>
      <c r="R205" s="171">
        <f>4093+604</f>
        <v>4697</v>
      </c>
      <c r="S205" s="171">
        <f>4184+655</f>
        <v>4839</v>
      </c>
      <c r="T205" s="171">
        <f>4235+659</f>
        <v>4894</v>
      </c>
      <c r="U205" s="171">
        <f>(17071+2676)-R205-S205-T205</f>
        <v>5317</v>
      </c>
      <c r="V205" s="170">
        <f>SUM(R205:U205)</f>
        <v>19747</v>
      </c>
      <c r="W205" s="171">
        <f>4062+722</f>
        <v>4784</v>
      </c>
      <c r="X205" s="171">
        <f>4245+793</f>
        <v>5038</v>
      </c>
      <c r="Y205" s="171">
        <f>4119+856</f>
        <v>4975</v>
      </c>
      <c r="Z205" s="171">
        <f>(17000+3273)-W205-X205-Y205</f>
        <v>5476</v>
      </c>
      <c r="AA205" s="170">
        <f>SUM(W205:Z205)</f>
        <v>20273</v>
      </c>
      <c r="AB205" s="171">
        <f>4061+837</f>
        <v>4898</v>
      </c>
      <c r="AC205" s="171">
        <f>4131+802</f>
        <v>4933</v>
      </c>
      <c r="AD205" s="171">
        <f>3971+844</f>
        <v>4815</v>
      </c>
      <c r="AE205" s="171">
        <f>(16245+3419)-AB205-AC205-AD205</f>
        <v>5018</v>
      </c>
      <c r="AF205" s="170">
        <f>SUM(AB205:AE205)</f>
        <v>19664</v>
      </c>
      <c r="AG205" s="171">
        <f>3785+874</f>
        <v>4659</v>
      </c>
      <c r="AH205" s="171">
        <f>3805+847</f>
        <v>4652</v>
      </c>
      <c r="AI205" s="171">
        <f>3848+841</f>
        <v>4689</v>
      </c>
      <c r="AJ205" s="171">
        <f>(15712+3380)-AG205-AH205-AI205</f>
        <v>5092</v>
      </c>
      <c r="AK205" s="170">
        <f>SUM(AG205:AJ205)</f>
        <v>19092</v>
      </c>
      <c r="AL205" s="171">
        <f>3800+805</f>
        <v>4605</v>
      </c>
      <c r="AM205" s="171">
        <f>3904+849</f>
        <v>4753</v>
      </c>
      <c r="AN205" s="171">
        <f>3718+816</f>
        <v>4534</v>
      </c>
      <c r="AO205" s="171">
        <v>4640</v>
      </c>
      <c r="AP205" s="170">
        <f>SUM(AL205:AO205)</f>
        <v>18532</v>
      </c>
      <c r="AQ205" s="171">
        <f>3391+770</f>
        <v>4161</v>
      </c>
      <c r="AR205" s="670">
        <f>3526+775</f>
        <v>4301</v>
      </c>
      <c r="AS205" s="353">
        <f>3418+753</f>
        <v>4171</v>
      </c>
      <c r="AT205" s="670">
        <f>14260+3035-SUM(AQ205:AS205)</f>
        <v>4662</v>
      </c>
      <c r="AU205" s="170">
        <f>SUM(AQ205:AT205)</f>
        <v>17295</v>
      </c>
      <c r="AV205" s="171"/>
      <c r="AW205" s="670"/>
      <c r="AX205" s="353"/>
      <c r="AY205" s="670"/>
      <c r="AZ205" s="170">
        <f>SUM(AV205:AY205)</f>
        <v>0</v>
      </c>
      <c r="BA205" s="670">
        <f>3096+737</f>
        <v>3833</v>
      </c>
      <c r="BB205" s="670">
        <v>4525</v>
      </c>
      <c r="BC205" s="753">
        <v>4525</v>
      </c>
      <c r="BD205" s="753">
        <v>4412</v>
      </c>
      <c r="BE205" s="170">
        <f>SUM(BA205:BD205)</f>
        <v>17295</v>
      </c>
      <c r="BF205" s="172"/>
      <c r="BG205" s="171"/>
      <c r="BH205" s="171"/>
      <c r="BI205" s="173"/>
      <c r="BJ205" s="170">
        <f>BJ203-BJ206-BJ209+BJ212+BJ184</f>
        <v>18220.592979739322</v>
      </c>
      <c r="BK205" s="172"/>
      <c r="BL205" s="171"/>
      <c r="BM205" s="171"/>
      <c r="BN205" s="1051"/>
      <c r="BO205" s="170">
        <f>BO203-BO206-BO209+BO212+BO184</f>
        <v>19212.110121736136</v>
      </c>
      <c r="BP205" s="170">
        <f>BP203-BP206-BP209+BP212+BP184</f>
        <v>22420</v>
      </c>
      <c r="BQ205" s="172"/>
      <c r="BR205" s="171"/>
      <c r="BS205" s="171"/>
      <c r="BT205" s="173"/>
      <c r="BU205" s="170">
        <f>BU203-BU206-BU209+BU212+BU184</f>
        <v>20275.552898026413</v>
      </c>
      <c r="BV205" s="172"/>
      <c r="BW205" s="171"/>
      <c r="BX205" s="171"/>
      <c r="BY205" s="173"/>
      <c r="BZ205" s="170">
        <f>BZ203-BZ206-BZ209+BZ212+BZ184</f>
        <v>21278.864736376196</v>
      </c>
      <c r="CA205" s="172"/>
      <c r="CB205" s="171"/>
      <c r="CC205" s="171"/>
      <c r="CD205" s="173"/>
      <c r="CE205" s="170">
        <f>CE203-CE206-CE209+CE212+CE184</f>
        <v>22415.99893530448</v>
      </c>
      <c r="CF205" s="172"/>
      <c r="CG205" s="171"/>
      <c r="CH205" s="171"/>
      <c r="CI205" s="173"/>
      <c r="CJ205" s="170">
        <f>CJ203-CJ206-CJ209+CJ212+CJ184</f>
        <v>23655.204815465215</v>
      </c>
      <c r="CK205" s="291"/>
      <c r="CL205" s="657"/>
      <c r="CM205" s="657"/>
      <c r="CN205" s="682"/>
      <c r="CO205" s="657"/>
      <c r="CP205" s="657"/>
      <c r="CQ205" s="657"/>
      <c r="CR205" s="657"/>
      <c r="CS205" s="657"/>
      <c r="CT205" s="291"/>
      <c r="CX205"/>
      <c r="CY205"/>
      <c r="CZ205"/>
      <c r="DA205"/>
      <c r="DB205"/>
      <c r="DC205"/>
    </row>
    <row r="206" spans="1:107" s="180" customFormat="1" hidden="1">
      <c r="A206" s="168" t="s">
        <v>180</v>
      </c>
      <c r="B206" s="170">
        <f t="shared" ref="B206:K206" si="678">B203-B205-B209</f>
        <v>1587</v>
      </c>
      <c r="C206" s="170">
        <f t="shared" si="678"/>
        <v>1619</v>
      </c>
      <c r="D206" s="170">
        <f t="shared" si="678"/>
        <v>1748</v>
      </c>
      <c r="E206" s="170">
        <f t="shared" si="678"/>
        <v>1615</v>
      </c>
      <c r="F206" s="170">
        <f t="shared" si="678"/>
        <v>1658</v>
      </c>
      <c r="G206" s="170">
        <f t="shared" si="678"/>
        <v>1786</v>
      </c>
      <c r="H206" s="171">
        <f t="shared" si="678"/>
        <v>427</v>
      </c>
      <c r="I206" s="171">
        <f t="shared" si="678"/>
        <v>495</v>
      </c>
      <c r="J206" s="171">
        <f t="shared" si="678"/>
        <v>497</v>
      </c>
      <c r="K206" s="171">
        <f t="shared" si="678"/>
        <v>543</v>
      </c>
      <c r="L206" s="170">
        <f>SUM(H206:K206)</f>
        <v>1962</v>
      </c>
      <c r="M206" s="171">
        <f>M203-M205-M209</f>
        <v>487</v>
      </c>
      <c r="N206" s="171">
        <f>N203-N205-N209</f>
        <v>538</v>
      </c>
      <c r="O206" s="171">
        <f>O203-O205-O209</f>
        <v>510</v>
      </c>
      <c r="P206" s="171">
        <f>P203-P205-P209</f>
        <v>530</v>
      </c>
      <c r="Q206" s="170">
        <f>SUM(M206:P206)</f>
        <v>2065</v>
      </c>
      <c r="R206" s="171">
        <f>R203-R205-R209</f>
        <v>475</v>
      </c>
      <c r="S206" s="171">
        <f>S203-S205-S209</f>
        <v>521</v>
      </c>
      <c r="T206" s="171">
        <f>T203-T205-T209</f>
        <v>546</v>
      </c>
      <c r="U206" s="171">
        <f>U203-U205-U209</f>
        <v>550</v>
      </c>
      <c r="V206" s="170">
        <f>SUM(R206:U206)</f>
        <v>2092</v>
      </c>
      <c r="W206" s="171">
        <f>W203-W205-W209</f>
        <v>560</v>
      </c>
      <c r="X206" s="171">
        <f>X203-X205-X209</f>
        <v>590</v>
      </c>
      <c r="Y206" s="171">
        <f>Y203-Y205-Y209</f>
        <v>548</v>
      </c>
      <c r="Z206" s="171">
        <f>Z203-Z205-Z209</f>
        <v>605</v>
      </c>
      <c r="AA206" s="170">
        <f>SUM(W206:Z206)</f>
        <v>2303</v>
      </c>
      <c r="AB206" s="171">
        <f t="shared" ref="AB206:AR206" si="679">AB203-AB205-AB209</f>
        <v>565</v>
      </c>
      <c r="AC206" s="171">
        <f t="shared" si="679"/>
        <v>598</v>
      </c>
      <c r="AD206" s="171">
        <f t="shared" si="679"/>
        <v>579</v>
      </c>
      <c r="AE206" s="171">
        <f t="shared" si="679"/>
        <v>555</v>
      </c>
      <c r="AF206" s="170">
        <f t="shared" si="679"/>
        <v>1847</v>
      </c>
      <c r="AG206" s="171">
        <f t="shared" si="679"/>
        <v>573</v>
      </c>
      <c r="AH206" s="171">
        <f t="shared" si="679"/>
        <v>598</v>
      </c>
      <c r="AI206" s="171">
        <f t="shared" si="679"/>
        <v>570</v>
      </c>
      <c r="AJ206" s="171">
        <f t="shared" si="679"/>
        <v>592</v>
      </c>
      <c r="AK206" s="170">
        <f t="shared" si="679"/>
        <v>1882</v>
      </c>
      <c r="AL206" s="171">
        <f t="shared" si="679"/>
        <v>568</v>
      </c>
      <c r="AM206" s="171">
        <f t="shared" si="679"/>
        <v>596</v>
      </c>
      <c r="AN206" s="171">
        <f t="shared" si="679"/>
        <v>551</v>
      </c>
      <c r="AO206" s="171">
        <f t="shared" si="679"/>
        <v>521</v>
      </c>
      <c r="AP206" s="170">
        <f t="shared" si="679"/>
        <v>1666</v>
      </c>
      <c r="AQ206" s="171">
        <f t="shared" si="679"/>
        <v>448.60000000000036</v>
      </c>
      <c r="AR206" s="171">
        <f t="shared" si="679"/>
        <v>518</v>
      </c>
      <c r="AS206" s="171">
        <v>540</v>
      </c>
      <c r="AT206" s="171">
        <f t="shared" ref="AT206:BE206" si="680">AT203-AT205-AT209</f>
        <v>468</v>
      </c>
      <c r="AU206" s="170">
        <f t="shared" si="680"/>
        <v>1856.5999999999985</v>
      </c>
      <c r="AV206" s="171"/>
      <c r="AW206" s="171"/>
      <c r="AX206" s="171"/>
      <c r="AY206" s="171"/>
      <c r="AZ206" s="170">
        <f t="shared" ref="AZ206" si="681">AZ203-AZ205-AZ209</f>
        <v>19647</v>
      </c>
      <c r="BA206" s="171">
        <f t="shared" si="680"/>
        <v>473</v>
      </c>
      <c r="BB206" s="171">
        <f t="shared" si="680"/>
        <v>489</v>
      </c>
      <c r="BC206" s="171">
        <f t="shared" si="680"/>
        <v>375</v>
      </c>
      <c r="BD206" s="171">
        <f t="shared" si="680"/>
        <v>905</v>
      </c>
      <c r="BE206" s="170">
        <f t="shared" si="680"/>
        <v>2242</v>
      </c>
      <c r="BF206" s="172"/>
      <c r="BG206" s="171"/>
      <c r="BH206" s="171"/>
      <c r="BI206" s="173"/>
      <c r="BJ206" s="170">
        <f>BJ201*BJ208</f>
        <v>2321.5651051748614</v>
      </c>
      <c r="BK206" s="172"/>
      <c r="BL206" s="171"/>
      <c r="BM206" s="171"/>
      <c r="BN206" s="1051"/>
      <c r="BO206" s="170">
        <f>BO201*BO208</f>
        <v>2444.6258011786467</v>
      </c>
      <c r="BP206" s="170">
        <f>BP201*BP208</f>
        <v>0</v>
      </c>
      <c r="BQ206" s="172"/>
      <c r="BR206" s="171"/>
      <c r="BS206" s="171"/>
      <c r="BT206" s="173"/>
      <c r="BU206" s="171">
        <f>BU201*BU208</f>
        <v>2585.6039223469697</v>
      </c>
      <c r="BV206" s="172"/>
      <c r="BW206" s="171"/>
      <c r="BX206" s="171"/>
      <c r="BY206" s="173"/>
      <c r="BZ206" s="171">
        <f>BZ201*BZ208</f>
        <v>2726.6095174184416</v>
      </c>
      <c r="CA206" s="172"/>
      <c r="CB206" s="171"/>
      <c r="CC206" s="171"/>
      <c r="CD206" s="173"/>
      <c r="CE206" s="171">
        <f>CE201*CE208</f>
        <v>2881.7833053936879</v>
      </c>
      <c r="CF206" s="172"/>
      <c r="CG206" s="171"/>
      <c r="CH206" s="171"/>
      <c r="CI206" s="173"/>
      <c r="CJ206" s="171">
        <f>CJ201*CJ208</f>
        <v>3046.6430458966547</v>
      </c>
      <c r="CK206" s="291"/>
      <c r="CL206" s="657"/>
      <c r="CM206" s="657"/>
      <c r="CN206" s="682"/>
      <c r="CO206" s="657"/>
      <c r="CP206" s="657"/>
      <c r="CQ206" s="657"/>
      <c r="CR206" s="657"/>
      <c r="CS206" s="657"/>
      <c r="CT206" s="291"/>
      <c r="CX206"/>
      <c r="CY206"/>
      <c r="CZ206"/>
      <c r="DA206"/>
      <c r="DB206"/>
      <c r="DC206"/>
    </row>
    <row r="207" spans="1:107" hidden="1">
      <c r="A207" s="166" t="s">
        <v>137</v>
      </c>
      <c r="B207" s="70"/>
      <c r="C207" s="70">
        <f>C206/B206-1</f>
        <v>2.01638311279142E-2</v>
      </c>
      <c r="D207" s="70">
        <f>D206/C206-1</f>
        <v>7.9678814082767113E-2</v>
      </c>
      <c r="E207" s="70">
        <f>E206/D206-1</f>
        <v>-7.6086956521739135E-2</v>
      </c>
      <c r="F207" s="70">
        <f>F206/E206-1</f>
        <v>2.6625386996903977E-2</v>
      </c>
      <c r="G207" s="70">
        <f>G206/F206-1</f>
        <v>7.7201447527141198E-2</v>
      </c>
      <c r="H207" s="118"/>
      <c r="I207" s="64"/>
      <c r="J207" s="64"/>
      <c r="K207" s="64"/>
      <c r="L207" s="70">
        <f t="shared" ref="L207:AM207" si="682">L206/G206-1</f>
        <v>9.85442329227324E-2</v>
      </c>
      <c r="M207" s="64">
        <f t="shared" si="682"/>
        <v>0.14051522248243553</v>
      </c>
      <c r="N207" s="64">
        <f t="shared" si="682"/>
        <v>8.6868686868686762E-2</v>
      </c>
      <c r="O207" s="64">
        <f t="shared" si="682"/>
        <v>2.6156941649899457E-2</v>
      </c>
      <c r="P207" s="64">
        <f t="shared" si="682"/>
        <v>-2.3941068139963217E-2</v>
      </c>
      <c r="Q207" s="70">
        <f t="shared" si="682"/>
        <v>5.2497451580020282E-2</v>
      </c>
      <c r="R207" s="64">
        <f t="shared" si="682"/>
        <v>-2.4640657084188944E-2</v>
      </c>
      <c r="S207" s="64">
        <f t="shared" si="682"/>
        <v>-3.1598513011152463E-2</v>
      </c>
      <c r="T207" s="64">
        <f t="shared" si="682"/>
        <v>7.0588235294117618E-2</v>
      </c>
      <c r="U207" s="64">
        <f t="shared" si="682"/>
        <v>3.7735849056603765E-2</v>
      </c>
      <c r="V207" s="70">
        <f t="shared" si="682"/>
        <v>1.3075060532687699E-2</v>
      </c>
      <c r="W207" s="64">
        <f t="shared" si="682"/>
        <v>0.17894736842105252</v>
      </c>
      <c r="X207" s="64">
        <f t="shared" si="682"/>
        <v>0.13243761996161219</v>
      </c>
      <c r="Y207" s="64">
        <f t="shared" si="682"/>
        <v>3.66300366300365E-3</v>
      </c>
      <c r="Z207" s="64">
        <f t="shared" si="682"/>
        <v>0.10000000000000009</v>
      </c>
      <c r="AA207" s="70">
        <f t="shared" si="682"/>
        <v>0.10086042065009559</v>
      </c>
      <c r="AB207" s="64">
        <f t="shared" si="682"/>
        <v>8.9285714285713969E-3</v>
      </c>
      <c r="AC207" s="64">
        <f t="shared" si="682"/>
        <v>1.3559322033898313E-2</v>
      </c>
      <c r="AD207" s="64">
        <f t="shared" si="682"/>
        <v>5.65693430656935E-2</v>
      </c>
      <c r="AE207" s="64">
        <f t="shared" si="682"/>
        <v>-8.2644628099173501E-2</v>
      </c>
      <c r="AF207" s="70">
        <f t="shared" si="682"/>
        <v>-0.19800260529743807</v>
      </c>
      <c r="AG207" s="64">
        <f t="shared" si="682"/>
        <v>1.4159292035398341E-2</v>
      </c>
      <c r="AH207" s="64">
        <f t="shared" si="682"/>
        <v>0</v>
      </c>
      <c r="AI207" s="64">
        <f t="shared" si="682"/>
        <v>-1.5544041450777257E-2</v>
      </c>
      <c r="AJ207" s="64">
        <f t="shared" si="682"/>
        <v>6.6666666666666652E-2</v>
      </c>
      <c r="AK207" s="70">
        <f t="shared" si="682"/>
        <v>1.8949648077964287E-2</v>
      </c>
      <c r="AL207" s="64">
        <f t="shared" si="682"/>
        <v>-8.7260034904014239E-3</v>
      </c>
      <c r="AM207" s="64">
        <f t="shared" si="682"/>
        <v>-3.3444816053511683E-3</v>
      </c>
      <c r="AN207" s="64">
        <f t="shared" ref="AN207:AS207" si="683">AN206/AI206-1</f>
        <v>-3.3333333333333326E-2</v>
      </c>
      <c r="AO207" s="64">
        <f>AO206/AJ206-1</f>
        <v>-0.11993243243243246</v>
      </c>
      <c r="AP207" s="70">
        <f t="shared" si="683"/>
        <v>-0.11477151965993626</v>
      </c>
      <c r="AQ207" s="64">
        <f t="shared" si="683"/>
        <v>-0.21021126760563313</v>
      </c>
      <c r="AR207" s="64">
        <f t="shared" si="683"/>
        <v>-0.13087248322147649</v>
      </c>
      <c r="AS207" s="64">
        <f t="shared" si="683"/>
        <v>-1.9963702359346636E-2</v>
      </c>
      <c r="AT207" s="64">
        <f t="shared" ref="AT207:AU207" si="684">AT206/AO206-1</f>
        <v>-0.10172744721689064</v>
      </c>
      <c r="AU207" s="70">
        <f t="shared" si="684"/>
        <v>0.11440576230492105</v>
      </c>
      <c r="AV207" s="64"/>
      <c r="AW207" s="64"/>
      <c r="AX207" s="64"/>
      <c r="AY207" s="64"/>
      <c r="AZ207" s="70">
        <f t="shared" ref="AZ207" si="685">AZ206/AU206-1</f>
        <v>9.5822471183884605</v>
      </c>
      <c r="BA207" s="64">
        <f>BA206/AQ206-1</f>
        <v>5.4391440035665761E-2</v>
      </c>
      <c r="BB207" s="64">
        <f>BB206/AR206-1</f>
        <v>-5.5984555984555984E-2</v>
      </c>
      <c r="BC207" s="64">
        <f>BC206/AS206-1</f>
        <v>-0.30555555555555558</v>
      </c>
      <c r="BD207" s="64">
        <f>BD206/AT206-1</f>
        <v>0.93376068376068377</v>
      </c>
      <c r="BE207" s="70">
        <f>BE206/AZ206-1</f>
        <v>-0.8858858858858859</v>
      </c>
      <c r="BF207" s="121"/>
      <c r="BG207" s="64"/>
      <c r="BH207" s="64"/>
      <c r="BI207" s="122"/>
      <c r="BJ207" s="70">
        <f>BJ206/BE206-1</f>
        <v>3.5488450122596493E-2</v>
      </c>
      <c r="BK207" s="121"/>
      <c r="BL207" s="64"/>
      <c r="BM207" s="64"/>
      <c r="BN207" s="17"/>
      <c r="BO207" s="70">
        <f>BO206/BJ206-1</f>
        <v>5.3007643735460297E-2</v>
      </c>
      <c r="BP207" s="70" t="e">
        <f>BP206/BK206-1</f>
        <v>#DIV/0!</v>
      </c>
      <c r="BQ207" s="121"/>
      <c r="BR207" s="64"/>
      <c r="BS207" s="64"/>
      <c r="BT207" s="122"/>
      <c r="BU207" s="122">
        <f>BU206/BO206-1</f>
        <v>5.7668589237809709E-2</v>
      </c>
      <c r="BV207" s="121"/>
      <c r="BW207" s="64"/>
      <c r="BX207" s="64"/>
      <c r="BY207" s="122"/>
      <c r="BZ207" s="122">
        <f>BZ206/BU206-1</f>
        <v>5.4534878235905637E-2</v>
      </c>
      <c r="CA207" s="121"/>
      <c r="CB207" s="64"/>
      <c r="CC207" s="64"/>
      <c r="CD207" s="122"/>
      <c r="CE207" s="122">
        <f>CE206/BZ206-1</f>
        <v>5.6910895008598583E-2</v>
      </c>
      <c r="CF207" s="121"/>
      <c r="CG207" s="64"/>
      <c r="CH207" s="64"/>
      <c r="CI207" s="122"/>
      <c r="CJ207" s="122">
        <f>CJ206/CE206-1</f>
        <v>5.7207542355598662E-2</v>
      </c>
      <c r="CK207" s="289"/>
      <c r="CL207" s="657"/>
      <c r="CM207" s="657"/>
      <c r="CN207" s="682"/>
      <c r="CO207" s="658"/>
      <c r="CP207" s="658"/>
      <c r="CQ207" s="658"/>
      <c r="CR207" s="658"/>
      <c r="CS207" s="658"/>
      <c r="CT207" s="289"/>
    </row>
    <row r="208" spans="1:107" hidden="1">
      <c r="A208" s="167" t="s">
        <v>179</v>
      </c>
      <c r="B208" s="70">
        <f t="shared" ref="B208:AQ208" si="686">B206/B201</f>
        <v>9.908222513579322E-2</v>
      </c>
      <c r="C208" s="70">
        <f t="shared" si="686"/>
        <v>9.6599045346062049E-2</v>
      </c>
      <c r="D208" s="70">
        <f t="shared" si="686"/>
        <v>9.6526588988900541E-2</v>
      </c>
      <c r="E208" s="70">
        <f t="shared" si="686"/>
        <v>9.0603085553997195E-2</v>
      </c>
      <c r="F208" s="70">
        <f t="shared" si="686"/>
        <v>8.9665242550429944E-2</v>
      </c>
      <c r="G208" s="70">
        <f t="shared" si="686"/>
        <v>9.0627695742629522E-2</v>
      </c>
      <c r="H208" s="118">
        <f t="shared" si="686"/>
        <v>8.8884263114071604E-2</v>
      </c>
      <c r="I208" s="64">
        <f t="shared" si="686"/>
        <v>9.3785524820007585E-2</v>
      </c>
      <c r="J208" s="64">
        <f t="shared" si="686"/>
        <v>9.5228971067254267E-2</v>
      </c>
      <c r="K208" s="64">
        <f t="shared" si="686"/>
        <v>9.0499999999999997E-2</v>
      </c>
      <c r="L208" s="70">
        <f t="shared" si="686"/>
        <v>9.2108351720576492E-2</v>
      </c>
      <c r="M208" s="64">
        <f t="shared" si="686"/>
        <v>9.0960029884198726E-2</v>
      </c>
      <c r="N208" s="64">
        <f t="shared" si="686"/>
        <v>9.1652470187393531E-2</v>
      </c>
      <c r="O208" s="64">
        <f t="shared" si="686"/>
        <v>8.6971350613915421E-2</v>
      </c>
      <c r="P208" s="64">
        <f t="shared" si="686"/>
        <v>8.7085113374958917E-2</v>
      </c>
      <c r="Q208" s="70">
        <f t="shared" si="686"/>
        <v>8.9108483645464739E-2</v>
      </c>
      <c r="R208" s="64">
        <f t="shared" si="686"/>
        <v>8.0727396329027867E-2</v>
      </c>
      <c r="S208" s="64">
        <f t="shared" si="686"/>
        <v>8.5061224489795917E-2</v>
      </c>
      <c r="T208" s="64">
        <f t="shared" si="686"/>
        <v>8.7993553585817882E-2</v>
      </c>
      <c r="U208" s="64">
        <f t="shared" si="686"/>
        <v>8.2495875206239688E-2</v>
      </c>
      <c r="V208" s="70">
        <f t="shared" si="686"/>
        <v>8.4080221856034726E-2</v>
      </c>
      <c r="W208" s="64">
        <f t="shared" si="686"/>
        <v>9.2516107715182552E-2</v>
      </c>
      <c r="X208" s="64">
        <f t="shared" si="686"/>
        <v>9.8777833584463418E-2</v>
      </c>
      <c r="Y208" s="64">
        <f t="shared" si="686"/>
        <v>8.7372448979591844E-2</v>
      </c>
      <c r="Z208" s="64">
        <f t="shared" si="686"/>
        <v>8.7872185911401599E-2</v>
      </c>
      <c r="AA208" s="70">
        <f t="shared" si="686"/>
        <v>9.1450581741651119E-2</v>
      </c>
      <c r="AB208" s="64">
        <f t="shared" si="686"/>
        <v>9.3357567746199605E-2</v>
      </c>
      <c r="AC208" s="64">
        <f t="shared" si="686"/>
        <v>9.6436058700209645E-2</v>
      </c>
      <c r="AD208" s="64">
        <f t="shared" si="686"/>
        <v>9.4669718770438199E-2</v>
      </c>
      <c r="AE208" s="64">
        <f t="shared" si="686"/>
        <v>8.6421675490501407E-2</v>
      </c>
      <c r="AF208" s="70">
        <f t="shared" si="686"/>
        <v>7.4502843773950223E-2</v>
      </c>
      <c r="AG208" s="64">
        <f t="shared" si="686"/>
        <v>9.6497137083192991E-2</v>
      </c>
      <c r="AH208" s="64">
        <f t="shared" si="686"/>
        <v>9.9799732977303074E-2</v>
      </c>
      <c r="AI208" s="64">
        <f t="shared" si="686"/>
        <v>9.4292803970223327E-2</v>
      </c>
      <c r="AJ208" s="64">
        <f t="shared" si="686"/>
        <v>9.1939742195993171E-2</v>
      </c>
      <c r="AK208" s="70">
        <f t="shared" si="686"/>
        <v>7.7086917342508401E-2</v>
      </c>
      <c r="AL208" s="64">
        <f t="shared" si="686"/>
        <v>9.661507059023644E-2</v>
      </c>
      <c r="AM208" s="64">
        <f t="shared" si="686"/>
        <v>9.7465249386753883E-2</v>
      </c>
      <c r="AN208" s="64">
        <f t="shared" si="686"/>
        <v>9.431701472098597E-2</v>
      </c>
      <c r="AO208" s="64">
        <f t="shared" si="686"/>
        <v>8.8756388415672918E-2</v>
      </c>
      <c r="AP208" s="70">
        <f t="shared" si="686"/>
        <v>7.0020594292438953E-2</v>
      </c>
      <c r="AQ208" s="64">
        <f t="shared" si="686"/>
        <v>8.1445170660857005E-2</v>
      </c>
      <c r="AR208" s="64">
        <f t="shared" ref="AR208:BB208" si="687">AR206/AR201</f>
        <v>9.0861252411857565E-2</v>
      </c>
      <c r="AS208" s="64">
        <f t="shared" si="687"/>
        <v>9.8648154914139571E-2</v>
      </c>
      <c r="AT208" s="64">
        <f t="shared" si="687"/>
        <v>7.6184274784307338E-2</v>
      </c>
      <c r="AU208" s="70">
        <f t="shared" si="687"/>
        <v>8.1337071760273313E-2</v>
      </c>
      <c r="AV208" s="64"/>
      <c r="AW208" s="64"/>
      <c r="AX208" s="64"/>
      <c r="AY208" s="64"/>
      <c r="AZ208" s="70">
        <f t="shared" ref="AZ208" si="688">AZ206/AZ201</f>
        <v>0.86072899325330765</v>
      </c>
      <c r="BA208" s="64">
        <f t="shared" si="687"/>
        <v>8.9447806354009077E-2</v>
      </c>
      <c r="BB208" s="64">
        <f t="shared" si="687"/>
        <v>8.3618331053351577E-2</v>
      </c>
      <c r="BC208" s="64">
        <f>BC206/BC201</f>
        <v>6.4845236036659176E-2</v>
      </c>
      <c r="BD208" s="64">
        <f>BD206/BD201</f>
        <v>0.14301517067003794</v>
      </c>
      <c r="BE208" s="70">
        <f>BE206/BE201</f>
        <v>9.6442551727104572E-2</v>
      </c>
      <c r="BF208" s="240"/>
      <c r="BG208" s="238"/>
      <c r="BH208" s="238"/>
      <c r="BI208" s="241"/>
      <c r="BJ208" s="239">
        <f>BE208</f>
        <v>9.6442551727104572E-2</v>
      </c>
      <c r="BK208" s="240"/>
      <c r="BL208" s="238"/>
      <c r="BM208" s="238"/>
      <c r="BN208" s="620"/>
      <c r="BO208" s="239">
        <f>BJ208</f>
        <v>9.6442551727104572E-2</v>
      </c>
      <c r="BP208" s="239">
        <f>BK208</f>
        <v>0</v>
      </c>
      <c r="BQ208" s="240"/>
      <c r="BR208" s="238"/>
      <c r="BS208" s="238"/>
      <c r="BT208" s="241"/>
      <c r="BU208" s="241">
        <f>BO208</f>
        <v>9.6442551727104572E-2</v>
      </c>
      <c r="BV208" s="240"/>
      <c r="BW208" s="238"/>
      <c r="BX208" s="238"/>
      <c r="BY208" s="241"/>
      <c r="BZ208" s="241">
        <f>BU208</f>
        <v>9.6442551727104572E-2</v>
      </c>
      <c r="CA208" s="240"/>
      <c r="CB208" s="238"/>
      <c r="CC208" s="238"/>
      <c r="CD208" s="241"/>
      <c r="CE208" s="241">
        <f>BZ208</f>
        <v>9.6442551727104572E-2</v>
      </c>
      <c r="CF208" s="240"/>
      <c r="CG208" s="238"/>
      <c r="CH208" s="238"/>
      <c r="CI208" s="241"/>
      <c r="CJ208" s="241">
        <f>CE208</f>
        <v>9.6442551727104572E-2</v>
      </c>
      <c r="CK208" s="289"/>
      <c r="CL208" s="658"/>
      <c r="CM208" s="658"/>
      <c r="CN208" s="682"/>
      <c r="CO208" s="658"/>
      <c r="CP208" s="658"/>
      <c r="CQ208" s="658"/>
      <c r="CR208" s="658"/>
      <c r="CS208" s="658"/>
      <c r="CT208" s="289"/>
    </row>
    <row r="209" spans="1:107" s="180" customFormat="1" hidden="1">
      <c r="A209" s="546" t="s">
        <v>86</v>
      </c>
      <c r="B209" s="170"/>
      <c r="C209" s="170"/>
      <c r="D209" s="170"/>
      <c r="E209" s="170"/>
      <c r="F209" s="170"/>
      <c r="G209" s="170"/>
      <c r="H209" s="171"/>
      <c r="I209" s="171"/>
      <c r="J209" s="171"/>
      <c r="K209" s="171"/>
      <c r="L209" s="170"/>
      <c r="M209" s="171"/>
      <c r="N209" s="171"/>
      <c r="O209" s="171"/>
      <c r="P209" s="171"/>
      <c r="Q209" s="170"/>
      <c r="R209" s="171"/>
      <c r="S209" s="171"/>
      <c r="T209" s="171"/>
      <c r="U209" s="171"/>
      <c r="V209" s="170"/>
      <c r="W209" s="171"/>
      <c r="X209" s="171"/>
      <c r="Y209" s="171"/>
      <c r="Z209" s="171"/>
      <c r="AA209" s="170"/>
      <c r="AB209" s="171"/>
      <c r="AC209" s="171"/>
      <c r="AD209" s="171"/>
      <c r="AE209" s="171"/>
      <c r="AF209" s="170">
        <v>450</v>
      </c>
      <c r="AG209" s="171"/>
      <c r="AH209" s="171"/>
      <c r="AI209" s="171"/>
      <c r="AJ209" s="171"/>
      <c r="AK209" s="170">
        <v>451</v>
      </c>
      <c r="AL209" s="171"/>
      <c r="AM209" s="171"/>
      <c r="AN209" s="171"/>
      <c r="AO209" s="353"/>
      <c r="AP209" s="170">
        <v>465</v>
      </c>
      <c r="AQ209" s="171">
        <v>111</v>
      </c>
      <c r="AR209" s="171">
        <v>124</v>
      </c>
      <c r="AS209" s="353">
        <v>121</v>
      </c>
      <c r="AT209" s="670">
        <f>500-SUM(AQ209:AS209)</f>
        <v>144</v>
      </c>
      <c r="AU209" s="708">
        <f>SUM(AQ209:AT209)</f>
        <v>500</v>
      </c>
      <c r="AV209" s="171"/>
      <c r="AW209" s="171"/>
      <c r="AX209" s="353"/>
      <c r="AY209" s="670"/>
      <c r="AZ209" s="708">
        <f>SUM(AV209:AY209)</f>
        <v>0</v>
      </c>
      <c r="BA209" s="670">
        <v>142</v>
      </c>
      <c r="BB209" s="670">
        <v>186</v>
      </c>
      <c r="BC209" s="753">
        <v>186</v>
      </c>
      <c r="BD209" s="753">
        <v>186</v>
      </c>
      <c r="BE209" s="708">
        <f>SUM(BA209:BD209)</f>
        <v>700</v>
      </c>
      <c r="BF209" s="172"/>
      <c r="BG209" s="171"/>
      <c r="BH209" s="171"/>
      <c r="BI209" s="173"/>
      <c r="BJ209" s="170">
        <f>BJ201*BJ211</f>
        <v>724.8419150858175</v>
      </c>
      <c r="BK209" s="172"/>
      <c r="BL209" s="171"/>
      <c r="BM209" s="171"/>
      <c r="BN209" s="1051"/>
      <c r="BO209" s="170">
        <f>BO201*BO211</f>
        <v>763.26407708521526</v>
      </c>
      <c r="BP209" s="170">
        <f>BP201*BP211</f>
        <v>0</v>
      </c>
      <c r="BQ209" s="172"/>
      <c r="BR209" s="171"/>
      <c r="BS209" s="171"/>
      <c r="BT209" s="173"/>
      <c r="BU209" s="171">
        <f>BU201*BU211</f>
        <v>807.28043962661866</v>
      </c>
      <c r="BV209" s="172"/>
      <c r="BW209" s="171"/>
      <c r="BX209" s="171"/>
      <c r="BY209" s="173"/>
      <c r="BZ209" s="171">
        <f>BZ201*BZ211</f>
        <v>851.30538010388454</v>
      </c>
      <c r="CA209" s="172"/>
      <c r="CB209" s="171"/>
      <c r="CC209" s="171"/>
      <c r="CD209" s="173"/>
      <c r="CE209" s="171">
        <f>CE201*CE211</f>
        <v>899.7539312112317</v>
      </c>
      <c r="CF209" s="172"/>
      <c r="CG209" s="171"/>
      <c r="CH209" s="171"/>
      <c r="CI209" s="173"/>
      <c r="CJ209" s="171">
        <f>CJ201*CJ211</f>
        <v>951.22664234061472</v>
      </c>
      <c r="CK209" s="291"/>
      <c r="CL209" s="657"/>
      <c r="CM209" s="657"/>
      <c r="CN209" s="682"/>
      <c r="CO209" s="657"/>
      <c r="CP209" s="657"/>
      <c r="CQ209" s="657"/>
      <c r="CR209" s="657"/>
      <c r="CS209" s="657"/>
      <c r="CT209" s="291"/>
      <c r="CX209"/>
      <c r="CY209"/>
      <c r="CZ209"/>
      <c r="DA209"/>
      <c r="DB209"/>
      <c r="DC209"/>
    </row>
    <row r="210" spans="1:107" hidden="1">
      <c r="A210" s="472" t="s">
        <v>137</v>
      </c>
      <c r="B210" s="70"/>
      <c r="C210" s="70"/>
      <c r="D210" s="70"/>
      <c r="E210" s="70"/>
      <c r="F210" s="70"/>
      <c r="G210" s="70"/>
      <c r="H210" s="118"/>
      <c r="I210" s="64"/>
      <c r="J210" s="64"/>
      <c r="K210" s="64"/>
      <c r="L210" s="70"/>
      <c r="M210" s="64"/>
      <c r="N210" s="64"/>
      <c r="O210" s="64"/>
      <c r="P210" s="64"/>
      <c r="Q210" s="70"/>
      <c r="R210" s="64"/>
      <c r="S210" s="64"/>
      <c r="T210" s="64"/>
      <c r="U210" s="64"/>
      <c r="V210" s="70"/>
      <c r="W210" s="64"/>
      <c r="X210" s="64"/>
      <c r="Y210" s="64"/>
      <c r="Z210" s="64"/>
      <c r="AA210" s="70"/>
      <c r="AB210" s="64"/>
      <c r="AC210" s="64"/>
      <c r="AD210" s="64"/>
      <c r="AE210" s="64"/>
      <c r="AF210" s="70"/>
      <c r="AG210" s="64"/>
      <c r="AH210" s="64"/>
      <c r="AI210" s="64"/>
      <c r="AJ210" s="64"/>
      <c r="AK210" s="121">
        <f>AK209/AF209-1</f>
        <v>2.2222222222221255E-3</v>
      </c>
      <c r="AL210" s="121"/>
      <c r="AM210" s="64"/>
      <c r="AN210" s="64"/>
      <c r="AO210" s="64"/>
      <c r="AP210" s="70">
        <f>AP209/AK209-1</f>
        <v>3.104212860310418E-2</v>
      </c>
      <c r="AQ210" s="64"/>
      <c r="AR210" s="64"/>
      <c r="AS210" s="64"/>
      <c r="AT210" s="64"/>
      <c r="AU210" s="70">
        <f>AU209/AP209-1</f>
        <v>7.5268817204301008E-2</v>
      </c>
      <c r="AV210" s="64"/>
      <c r="AW210" s="64"/>
      <c r="AX210" s="64"/>
      <c r="AY210" s="64"/>
      <c r="AZ210" s="70">
        <f>AZ209/AU209-1</f>
        <v>-1</v>
      </c>
      <c r="BA210" s="64"/>
      <c r="BB210" s="64"/>
      <c r="BC210" s="64"/>
      <c r="BD210" s="64"/>
      <c r="BE210" s="70" t="e">
        <f>BE209/AZ209-1</f>
        <v>#DIV/0!</v>
      </c>
      <c r="BF210" s="121"/>
      <c r="BG210" s="64"/>
      <c r="BH210" s="64"/>
      <c r="BI210" s="122"/>
      <c r="BJ210" s="70">
        <f>BJ209/BE209-1</f>
        <v>3.5488450122596493E-2</v>
      </c>
      <c r="BK210" s="121"/>
      <c r="BL210" s="64"/>
      <c r="BM210" s="64"/>
      <c r="BN210" s="17"/>
      <c r="BO210" s="70">
        <f>BO209/BJ209-1</f>
        <v>5.3007643735460297E-2</v>
      </c>
      <c r="BP210" s="70" t="e">
        <f>BP209/BK209-1</f>
        <v>#DIV/0!</v>
      </c>
      <c r="BQ210" s="121"/>
      <c r="BR210" s="64"/>
      <c r="BS210" s="64"/>
      <c r="BT210" s="122"/>
      <c r="BU210" s="122">
        <f>BU209/BO209-1</f>
        <v>5.7668589237809931E-2</v>
      </c>
      <c r="BV210" s="121"/>
      <c r="BW210" s="64"/>
      <c r="BX210" s="64"/>
      <c r="BY210" s="122"/>
      <c r="BZ210" s="122">
        <f>BZ209/BU209-1</f>
        <v>5.4534878235905415E-2</v>
      </c>
      <c r="CA210" s="121"/>
      <c r="CB210" s="64"/>
      <c r="CC210" s="64"/>
      <c r="CD210" s="122"/>
      <c r="CE210" s="122">
        <f>CE209/BZ209-1</f>
        <v>5.6910895008598361E-2</v>
      </c>
      <c r="CF210" s="121"/>
      <c r="CG210" s="64"/>
      <c r="CH210" s="64"/>
      <c r="CI210" s="122"/>
      <c r="CJ210" s="122">
        <f>CJ209/CE209-1</f>
        <v>5.7207542355598662E-2</v>
      </c>
      <c r="CK210" s="289"/>
      <c r="CL210" s="658"/>
      <c r="CM210" s="658"/>
      <c r="CN210" s="682"/>
      <c r="CO210" s="658"/>
      <c r="CP210" s="658"/>
      <c r="CQ210" s="658"/>
      <c r="CR210" s="658"/>
      <c r="CS210" s="658"/>
      <c r="CT210" s="289"/>
    </row>
    <row r="211" spans="1:107" hidden="1">
      <c r="A211" s="547" t="s">
        <v>179</v>
      </c>
      <c r="B211" s="70"/>
      <c r="C211" s="70"/>
      <c r="D211" s="70"/>
      <c r="E211" s="70"/>
      <c r="F211" s="70"/>
      <c r="G211" s="70"/>
      <c r="H211" s="118"/>
      <c r="I211" s="64"/>
      <c r="J211" s="64"/>
      <c r="K211" s="64"/>
      <c r="L211" s="121"/>
      <c r="M211" s="121"/>
      <c r="N211" s="64"/>
      <c r="O211" s="64"/>
      <c r="P211" s="64"/>
      <c r="Q211" s="121"/>
      <c r="R211" s="121"/>
      <c r="S211" s="64"/>
      <c r="T211" s="64"/>
      <c r="U211" s="64"/>
      <c r="V211" s="121"/>
      <c r="W211" s="121"/>
      <c r="X211" s="64"/>
      <c r="Y211" s="64"/>
      <c r="Z211" s="64"/>
      <c r="AA211" s="70"/>
      <c r="AB211" s="64"/>
      <c r="AC211" s="64"/>
      <c r="AD211" s="64"/>
      <c r="AE211" s="64"/>
      <c r="AF211" s="70">
        <f t="shared" ref="AF211:AK211" si="689">AF209/AF201</f>
        <v>1.8151748618450245E-2</v>
      </c>
      <c r="AG211" s="64">
        <f t="shared" si="689"/>
        <v>0</v>
      </c>
      <c r="AH211" s="64">
        <f t="shared" si="689"/>
        <v>0</v>
      </c>
      <c r="AI211" s="64">
        <f t="shared" si="689"/>
        <v>0</v>
      </c>
      <c r="AJ211" s="64">
        <f t="shared" si="689"/>
        <v>0</v>
      </c>
      <c r="AK211" s="121">
        <f t="shared" si="689"/>
        <v>1.8473007290898666E-2</v>
      </c>
      <c r="AL211" s="121"/>
      <c r="AM211" s="64"/>
      <c r="AN211" s="64"/>
      <c r="AO211" s="64"/>
      <c r="AP211" s="70">
        <f t="shared" ref="AP211:BE211" si="690">AP209/AP201</f>
        <v>1.9543563232883622E-2</v>
      </c>
      <c r="AQ211" s="64">
        <f t="shared" si="690"/>
        <v>2.0152505446623094E-2</v>
      </c>
      <c r="AR211" s="64">
        <f t="shared" si="690"/>
        <v>2.1750570075425364E-2</v>
      </c>
      <c r="AS211" s="64">
        <f t="shared" si="690"/>
        <v>2.2104493971501646E-2</v>
      </c>
      <c r="AT211" s="64">
        <f t="shared" si="690"/>
        <v>2.3441315318248414E-2</v>
      </c>
      <c r="AU211" s="70">
        <f t="shared" si="690"/>
        <v>2.1904845351791817E-2</v>
      </c>
      <c r="AV211" s="64"/>
      <c r="AW211" s="64"/>
      <c r="AX211" s="64"/>
      <c r="AY211" s="64"/>
      <c r="AZ211" s="70">
        <f t="shared" ref="AZ211" si="691">AZ209/AZ201</f>
        <v>0</v>
      </c>
      <c r="BA211" s="64">
        <f t="shared" si="690"/>
        <v>2.6853252647503781E-2</v>
      </c>
      <c r="BB211" s="64">
        <f t="shared" si="690"/>
        <v>3.1805745554035571E-2</v>
      </c>
      <c r="BC211" s="64">
        <f t="shared" si="690"/>
        <v>3.2163237074182949E-2</v>
      </c>
      <c r="BD211" s="64">
        <f t="shared" si="690"/>
        <v>2.9393173198482933E-2</v>
      </c>
      <c r="BE211" s="70">
        <f t="shared" si="690"/>
        <v>3.0111412225233364E-2</v>
      </c>
      <c r="BF211" s="240"/>
      <c r="BG211" s="238"/>
      <c r="BH211" s="238"/>
      <c r="BI211" s="241"/>
      <c r="BJ211" s="239">
        <f>BE211</f>
        <v>3.0111412225233364E-2</v>
      </c>
      <c r="BK211" s="240"/>
      <c r="BL211" s="238"/>
      <c r="BM211" s="238"/>
      <c r="BN211" s="620"/>
      <c r="BO211" s="239">
        <f>BJ211</f>
        <v>3.0111412225233364E-2</v>
      </c>
      <c r="BP211" s="239">
        <f>BK211</f>
        <v>0</v>
      </c>
      <c r="BQ211" s="240"/>
      <c r="BR211" s="238"/>
      <c r="BS211" s="238"/>
      <c r="BT211" s="241"/>
      <c r="BU211" s="241">
        <f>BO211</f>
        <v>3.0111412225233364E-2</v>
      </c>
      <c r="BV211" s="240"/>
      <c r="BW211" s="238"/>
      <c r="BX211" s="238"/>
      <c r="BY211" s="241"/>
      <c r="BZ211" s="241">
        <f>BU211</f>
        <v>3.0111412225233364E-2</v>
      </c>
      <c r="CA211" s="240"/>
      <c r="CB211" s="238"/>
      <c r="CC211" s="238"/>
      <c r="CD211" s="241"/>
      <c r="CE211" s="241">
        <f>BZ211</f>
        <v>3.0111412225233364E-2</v>
      </c>
      <c r="CF211" s="240"/>
      <c r="CG211" s="238"/>
      <c r="CH211" s="238"/>
      <c r="CI211" s="241"/>
      <c r="CJ211" s="241">
        <f>CE211</f>
        <v>3.0111412225233364E-2</v>
      </c>
      <c r="CK211" s="289"/>
      <c r="CL211" s="658"/>
      <c r="CM211" s="658"/>
      <c r="CN211" s="682"/>
      <c r="CO211" s="658"/>
      <c r="CP211" s="658"/>
      <c r="CQ211" s="658"/>
      <c r="CR211" s="658"/>
      <c r="CS211" s="658"/>
      <c r="CT211" s="289"/>
    </row>
    <row r="212" spans="1:107" s="180" customFormat="1">
      <c r="A212" s="450" t="s">
        <v>123</v>
      </c>
      <c r="B212" s="176">
        <v>386</v>
      </c>
      <c r="C212" s="176">
        <v>210</v>
      </c>
      <c r="D212" s="176">
        <v>-109</v>
      </c>
      <c r="E212" s="176">
        <v>-457</v>
      </c>
      <c r="F212" s="176">
        <v>-448</v>
      </c>
      <c r="G212" s="178">
        <v>-362</v>
      </c>
      <c r="H212" s="178">
        <v>-62</v>
      </c>
      <c r="I212" s="177">
        <v>-63</v>
      </c>
      <c r="J212" s="177">
        <v>-51</v>
      </c>
      <c r="K212" s="177">
        <v>-67</v>
      </c>
      <c r="L212" s="178">
        <v>-259</v>
      </c>
      <c r="M212" s="178">
        <v>-33</v>
      </c>
      <c r="N212" s="177">
        <v>-34</v>
      </c>
      <c r="O212" s="177">
        <v>-26</v>
      </c>
      <c r="P212" s="177">
        <v>-30</v>
      </c>
      <c r="Q212" s="178">
        <v>-123</v>
      </c>
      <c r="R212" s="178">
        <v>11</v>
      </c>
      <c r="S212" s="177">
        <v>11</v>
      </c>
      <c r="T212" s="177">
        <v>-1</v>
      </c>
      <c r="U212" s="177">
        <v>6</v>
      </c>
      <c r="V212" s="178">
        <v>27</v>
      </c>
      <c r="W212" s="178">
        <v>-42</v>
      </c>
      <c r="X212" s="177">
        <v>-44</v>
      </c>
      <c r="Y212" s="177">
        <v>-52</v>
      </c>
      <c r="Z212" s="177">
        <v>-49</v>
      </c>
      <c r="AA212" s="176">
        <v>-187</v>
      </c>
      <c r="AB212" s="177">
        <v>-89</v>
      </c>
      <c r="AC212" s="177">
        <v>-90</v>
      </c>
      <c r="AD212" s="177">
        <v>-75</v>
      </c>
      <c r="AE212" s="177">
        <v>-83</v>
      </c>
      <c r="AF212" s="178">
        <v>-337</v>
      </c>
      <c r="AG212" s="178">
        <v>-70</v>
      </c>
      <c r="AH212" s="177">
        <v>-71</v>
      </c>
      <c r="AI212" s="177">
        <v>-47</v>
      </c>
      <c r="AJ212" s="177">
        <v>-67</v>
      </c>
      <c r="AK212" s="178">
        <f>+SUM(AG212:AJ212)</f>
        <v>-255</v>
      </c>
      <c r="AL212" s="178">
        <v>-71</v>
      </c>
      <c r="AM212" s="177">
        <v>-72</v>
      </c>
      <c r="AN212" s="177">
        <v>-46</v>
      </c>
      <c r="AO212" s="177">
        <v>-60</v>
      </c>
      <c r="AP212" s="176">
        <f>SUM(AL212:AO212)</f>
        <v>-249</v>
      </c>
      <c r="AQ212" s="660">
        <f t="shared" ref="AQ212:AS212" si="692">AQ215-AQ213</f>
        <v>86</v>
      </c>
      <c r="AR212" s="660">
        <f t="shared" si="692"/>
        <v>86</v>
      </c>
      <c r="AS212" s="660">
        <f t="shared" si="692"/>
        <v>39</v>
      </c>
      <c r="AT212" s="660">
        <f>AT215-AT213</f>
        <v>70</v>
      </c>
      <c r="AU212" s="176">
        <f>SUM(AQ212:AT212)</f>
        <v>281</v>
      </c>
      <c r="AV212" s="660"/>
      <c r="AW212" s="660"/>
      <c r="AX212" s="660"/>
      <c r="AY212" s="660"/>
      <c r="AZ212" s="176">
        <v>286</v>
      </c>
      <c r="BA212" s="177">
        <v>49</v>
      </c>
      <c r="BB212" s="177">
        <v>49</v>
      </c>
      <c r="BC212" s="177">
        <v>43</v>
      </c>
      <c r="BD212" s="660">
        <f>182-SUM(BA212:BC212)</f>
        <v>41</v>
      </c>
      <c r="BE212" s="176">
        <f>SUM(BA212:BD212)</f>
        <v>182</v>
      </c>
      <c r="BF212" s="178">
        <v>105</v>
      </c>
      <c r="BG212" s="177">
        <v>109</v>
      </c>
      <c r="BH212" s="177">
        <v>104</v>
      </c>
      <c r="BI212" s="179">
        <f>435-SUM(BF212:BH212)</f>
        <v>117</v>
      </c>
      <c r="BJ212" s="176">
        <f>SUM(BF212:BI212)</f>
        <v>435</v>
      </c>
      <c r="BK212" s="668">
        <f t="shared" ref="BK212" si="693">BK215-BK213+BK217</f>
        <v>108</v>
      </c>
      <c r="BL212" s="668">
        <f>BL215-BL213+BL217</f>
        <v>109</v>
      </c>
      <c r="BM212" s="668">
        <f t="shared" ref="BM212:BP212" si="694">BM215-BM213+BM217</f>
        <v>78</v>
      </c>
      <c r="BN212" s="138">
        <f t="shared" si="694"/>
        <v>95</v>
      </c>
      <c r="BO212" s="176">
        <f>SUM(BK212:BN212)</f>
        <v>390</v>
      </c>
      <c r="BP212" s="176">
        <f t="shared" si="694"/>
        <v>1303</v>
      </c>
      <c r="BQ212" s="455">
        <f t="shared" ref="BQ212:BT212" si="695">BQ215-BQ213+BQ217</f>
        <v>354</v>
      </c>
      <c r="BR212" s="136">
        <f t="shared" si="695"/>
        <v>354</v>
      </c>
      <c r="BS212" s="136">
        <f t="shared" si="695"/>
        <v>354</v>
      </c>
      <c r="BT212" s="138">
        <f t="shared" si="695"/>
        <v>354</v>
      </c>
      <c r="BU212" s="718">
        <f>+SUM(BQ212:BT212)</f>
        <v>1416</v>
      </c>
      <c r="BV212" s="718"/>
      <c r="BW212" s="660"/>
      <c r="BX212" s="660"/>
      <c r="BY212" s="752"/>
      <c r="BZ212" s="718">
        <f t="shared" ref="BZ212" si="696">BZ215-BZ213+BZ217</f>
        <v>1426</v>
      </c>
      <c r="CA212" s="718"/>
      <c r="CB212" s="660"/>
      <c r="CC212" s="660"/>
      <c r="CD212" s="752"/>
      <c r="CE212" s="718">
        <f t="shared" ref="CE212" si="697">CE215-CE213+CE217</f>
        <v>1410</v>
      </c>
      <c r="CF212" s="718"/>
      <c r="CG212" s="660"/>
      <c r="CH212" s="660"/>
      <c r="CI212" s="752"/>
      <c r="CJ212" s="718">
        <f t="shared" ref="CJ212" si="698">CJ215-CJ213+CJ217</f>
        <v>1410</v>
      </c>
      <c r="CK212" s="451"/>
      <c r="CL212" s="657" t="s">
        <v>356</v>
      </c>
      <c r="CM212" s="657"/>
      <c r="CN212" s="682"/>
      <c r="CO212" s="657"/>
      <c r="CP212" s="657"/>
      <c r="CQ212" s="657"/>
      <c r="CR212" s="657"/>
      <c r="CS212" s="657"/>
      <c r="CT212" s="451"/>
      <c r="CX212"/>
      <c r="CY212"/>
      <c r="CZ212"/>
      <c r="DA212"/>
      <c r="DB212"/>
      <c r="DC212"/>
    </row>
    <row r="213" spans="1:107" s="407" customFormat="1">
      <c r="A213" s="471" t="s">
        <v>72</v>
      </c>
      <c r="B213" s="362">
        <v>-284</v>
      </c>
      <c r="C213" s="363">
        <v>-78</v>
      </c>
      <c r="D213" s="363">
        <v>315</v>
      </c>
      <c r="E213" s="473">
        <v>738</v>
      </c>
      <c r="F213" s="363">
        <v>813</v>
      </c>
      <c r="G213" s="363">
        <v>827</v>
      </c>
      <c r="H213" s="363"/>
      <c r="I213" s="362"/>
      <c r="J213" s="362"/>
      <c r="K213" s="362"/>
      <c r="L213" s="363">
        <v>693</v>
      </c>
      <c r="M213" s="363"/>
      <c r="N213" s="362"/>
      <c r="O213" s="362"/>
      <c r="P213" s="362"/>
      <c r="Q213" s="363">
        <v>524</v>
      </c>
      <c r="R213" s="363"/>
      <c r="S213" s="362"/>
      <c r="T213" s="362"/>
      <c r="U213" s="362"/>
      <c r="V213" s="363">
        <v>646</v>
      </c>
      <c r="W213" s="363"/>
      <c r="X213" s="362"/>
      <c r="Y213" s="362"/>
      <c r="Z213" s="362"/>
      <c r="AA213" s="363">
        <v>896</v>
      </c>
      <c r="AB213" s="363"/>
      <c r="AC213" s="362"/>
      <c r="AD213" s="362"/>
      <c r="AE213" s="362"/>
      <c r="AF213" s="363">
        <v>1073</v>
      </c>
      <c r="AG213" s="363"/>
      <c r="AH213" s="362"/>
      <c r="AI213" s="362"/>
      <c r="AJ213" s="362"/>
      <c r="AK213" s="363">
        <v>1093</v>
      </c>
      <c r="AL213" s="363"/>
      <c r="AM213" s="362"/>
      <c r="AN213" s="362"/>
      <c r="AO213" s="362"/>
      <c r="AP213" s="363">
        <v>1250</v>
      </c>
      <c r="AQ213" s="178">
        <v>221</v>
      </c>
      <c r="AR213" s="177">
        <v>220</v>
      </c>
      <c r="AS213" s="41">
        <v>229</v>
      </c>
      <c r="AT213" s="711">
        <v>225</v>
      </c>
      <c r="AU213" s="712">
        <f>SUM(AQ213:AT213)</f>
        <v>895</v>
      </c>
      <c r="AV213" s="178"/>
      <c r="AW213" s="177"/>
      <c r="AX213" s="41"/>
      <c r="AY213" s="711"/>
      <c r="AZ213" s="712">
        <v>895</v>
      </c>
      <c r="BA213" s="718">
        <v>291</v>
      </c>
      <c r="BB213" s="660">
        <v>292</v>
      </c>
      <c r="BC213" s="660">
        <v>306</v>
      </c>
      <c r="BD213" s="711">
        <f>1186-SUM(BA213:BC213)</f>
        <v>297</v>
      </c>
      <c r="BE213" s="712">
        <f>SUM(BA213:BD213)</f>
        <v>1186</v>
      </c>
      <c r="BF213" s="916">
        <v>265</v>
      </c>
      <c r="BG213" s="921">
        <v>262</v>
      </c>
      <c r="BH213" s="921">
        <v>283</v>
      </c>
      <c r="BI213" s="914">
        <f>1073-SUM(BF213:BH213)</f>
        <v>263</v>
      </c>
      <c r="BJ213" s="712">
        <f>SUM(BF213:BI213)</f>
        <v>1073</v>
      </c>
      <c r="BK213" s="916">
        <v>319</v>
      </c>
      <c r="BL213" s="921">
        <v>319</v>
      </c>
      <c r="BM213" s="1002">
        <v>387</v>
      </c>
      <c r="BN213" s="1055">
        <v>342</v>
      </c>
      <c r="BO213" s="712">
        <f>SUM(BK213:BN213)</f>
        <v>1367</v>
      </c>
      <c r="BP213" s="712">
        <v>479</v>
      </c>
      <c r="BQ213" s="1009">
        <f>514/4</f>
        <v>128.5</v>
      </c>
      <c r="BR213" s="1010">
        <f t="shared" ref="BR213:BT213" si="699">514/4</f>
        <v>128.5</v>
      </c>
      <c r="BS213" s="1010">
        <f t="shared" si="699"/>
        <v>128.5</v>
      </c>
      <c r="BT213" s="1011">
        <f t="shared" si="699"/>
        <v>128.5</v>
      </c>
      <c r="BU213" s="712">
        <f>SUM(BQ213:BT213)</f>
        <v>514</v>
      </c>
      <c r="BV213" s="713"/>
      <c r="BW213" s="711"/>
      <c r="BX213" s="711"/>
      <c r="BY213" s="881"/>
      <c r="BZ213" s="880">
        <f>480</f>
        <v>480</v>
      </c>
      <c r="CA213" s="713"/>
      <c r="CB213" s="711"/>
      <c r="CC213" s="711"/>
      <c r="CD213" s="881"/>
      <c r="CE213" s="880">
        <f>449</f>
        <v>449</v>
      </c>
      <c r="CF213" s="713"/>
      <c r="CG213" s="711"/>
      <c r="CH213" s="711"/>
      <c r="CI213" s="881"/>
      <c r="CJ213" s="916">
        <f>+CE213</f>
        <v>449</v>
      </c>
      <c r="CK213" s="405"/>
      <c r="CL213" s="657"/>
      <c r="CM213" s="659"/>
      <c r="CN213" s="682"/>
      <c r="CO213" s="659"/>
      <c r="CP213" s="1030"/>
      <c r="CQ213" s="1030"/>
      <c r="CR213" s="1030"/>
      <c r="CS213" s="659"/>
      <c r="CT213" s="405"/>
      <c r="CX213"/>
      <c r="CY213"/>
      <c r="CZ213"/>
      <c r="DA213"/>
      <c r="DB213"/>
      <c r="DC213"/>
    </row>
    <row r="214" spans="1:107" s="407" customFormat="1">
      <c r="A214" s="472" t="s">
        <v>137</v>
      </c>
      <c r="B214" s="70"/>
      <c r="C214" s="121">
        <f>C213/B213-1</f>
        <v>-0.72535211267605626</v>
      </c>
      <c r="D214" s="121">
        <f>D213/C213-1</f>
        <v>-5.0384615384615383</v>
      </c>
      <c r="E214" s="121">
        <f>E213/D213-1</f>
        <v>1.342857142857143</v>
      </c>
      <c r="F214" s="121">
        <f>F213/E213-1</f>
        <v>0.10162601626016254</v>
      </c>
      <c r="G214" s="121">
        <f>G213/F213-1</f>
        <v>1.7220172201722006E-2</v>
      </c>
      <c r="H214" s="470"/>
      <c r="I214" s="64"/>
      <c r="J214" s="64"/>
      <c r="K214" s="64"/>
      <c r="L214" s="121">
        <f>L213/G213-1</f>
        <v>-0.16203143893591299</v>
      </c>
      <c r="M214" s="121"/>
      <c r="N214" s="64"/>
      <c r="O214" s="64"/>
      <c r="P214" s="64"/>
      <c r="Q214" s="121">
        <f>Q213/L213-1</f>
        <v>-0.2438672438672439</v>
      </c>
      <c r="R214" s="121"/>
      <c r="S214" s="64"/>
      <c r="T214" s="64"/>
      <c r="U214" s="64"/>
      <c r="V214" s="121">
        <f>V213/Q213-1</f>
        <v>0.23282442748091614</v>
      </c>
      <c r="W214" s="121"/>
      <c r="X214" s="64"/>
      <c r="Y214" s="64"/>
      <c r="Z214" s="64"/>
      <c r="AA214" s="121">
        <f>AA213/V213-1</f>
        <v>0.38699690402476783</v>
      </c>
      <c r="AB214" s="121"/>
      <c r="AC214" s="64"/>
      <c r="AD214" s="64"/>
      <c r="AE214" s="64"/>
      <c r="AF214" s="121">
        <f>AF213/AA213-1</f>
        <v>0.19754464285714279</v>
      </c>
      <c r="AG214" s="121"/>
      <c r="AH214" s="64"/>
      <c r="AI214" s="64"/>
      <c r="AJ214" s="64"/>
      <c r="AK214" s="121">
        <f>AK213/AF213-1</f>
        <v>1.8639328984156656E-2</v>
      </c>
      <c r="AL214" s="121"/>
      <c r="AM214" s="64"/>
      <c r="AN214" s="64"/>
      <c r="AO214" s="64"/>
      <c r="AP214" s="121">
        <f>AP213/AK213-1</f>
        <v>0.14364135407136325</v>
      </c>
      <c r="AQ214" s="121"/>
      <c r="AR214" s="64"/>
      <c r="AS214" s="64"/>
      <c r="AT214" s="64"/>
      <c r="AU214" s="121">
        <f>AU213/AP213-1</f>
        <v>-0.28400000000000003</v>
      </c>
      <c r="AV214" s="121"/>
      <c r="AW214" s="64"/>
      <c r="AX214" s="64"/>
      <c r="AY214" s="64"/>
      <c r="AZ214" s="121">
        <f>AZ213/AU213-1</f>
        <v>0</v>
      </c>
      <c r="BA214" s="719"/>
      <c r="BB214" s="716"/>
      <c r="BC214" s="716"/>
      <c r="BD214" s="64"/>
      <c r="BE214" s="121">
        <f>BE213/AZ213-1</f>
        <v>0.32513966480446932</v>
      </c>
      <c r="BF214" s="926"/>
      <c r="BG214" s="927"/>
      <c r="BH214" s="927"/>
      <c r="BI214" s="931"/>
      <c r="BJ214" s="121">
        <f>BJ213/BE213-1</f>
        <v>-9.5278246205733552E-2</v>
      </c>
      <c r="BK214" s="926"/>
      <c r="BL214" s="879"/>
      <c r="BM214" s="1003"/>
      <c r="BN214" s="1056"/>
      <c r="BO214" s="121">
        <f>BO213/BJ213-1</f>
        <v>0.27399813606710155</v>
      </c>
      <c r="BP214" s="121"/>
      <c r="BQ214" s="23"/>
      <c r="BR214" s="15"/>
      <c r="BS214" s="15"/>
      <c r="BT214" s="17"/>
      <c r="BU214" s="121">
        <f>BU213/BO213-1</f>
        <v>-0.62399414776883688</v>
      </c>
      <c r="BV214" s="719"/>
      <c r="BW214" s="716"/>
      <c r="BX214" s="716"/>
      <c r="BY214" s="883"/>
      <c r="BZ214" s="882">
        <v>-0.2</v>
      </c>
      <c r="CA214" s="719"/>
      <c r="CB214" s="716"/>
      <c r="CC214" s="716"/>
      <c r="CD214" s="883"/>
      <c r="CE214" s="882">
        <v>-0.2</v>
      </c>
      <c r="CF214" s="719"/>
      <c r="CG214" s="716"/>
      <c r="CH214" s="716"/>
      <c r="CI214" s="883"/>
      <c r="CJ214" s="882">
        <v>-0.2</v>
      </c>
      <c r="CK214" s="405"/>
      <c r="CL214" s="657"/>
      <c r="CM214" s="659"/>
      <c r="CN214" s="682"/>
      <c r="CO214" s="1032"/>
      <c r="CP214" s="1031"/>
      <c r="CQ214" s="1031"/>
      <c r="CR214" s="1031"/>
      <c r="CS214" s="659"/>
      <c r="CT214" s="405"/>
      <c r="CX214"/>
      <c r="CY214"/>
      <c r="CZ214"/>
      <c r="DA214"/>
      <c r="DB214"/>
      <c r="DC214"/>
    </row>
    <row r="215" spans="1:107" s="407" customFormat="1">
      <c r="A215" s="471" t="s">
        <v>73</v>
      </c>
      <c r="B215" s="363">
        <f t="shared" ref="B215:G215" si="700">B212+B213</f>
        <v>102</v>
      </c>
      <c r="C215" s="363">
        <f t="shared" si="700"/>
        <v>132</v>
      </c>
      <c r="D215" s="363">
        <f t="shared" si="700"/>
        <v>206</v>
      </c>
      <c r="E215" s="363">
        <f t="shared" si="700"/>
        <v>281</v>
      </c>
      <c r="F215" s="363">
        <f t="shared" si="700"/>
        <v>365</v>
      </c>
      <c r="G215" s="363">
        <f t="shared" si="700"/>
        <v>465</v>
      </c>
      <c r="H215" s="363"/>
      <c r="I215" s="362"/>
      <c r="J215" s="362"/>
      <c r="K215" s="362"/>
      <c r="L215" s="363">
        <f>L212+L213</f>
        <v>434</v>
      </c>
      <c r="M215" s="363"/>
      <c r="N215" s="362"/>
      <c r="O215" s="362"/>
      <c r="P215" s="362"/>
      <c r="Q215" s="363">
        <f>Q212+Q213</f>
        <v>401</v>
      </c>
      <c r="R215" s="363"/>
      <c r="S215" s="362"/>
      <c r="T215" s="362"/>
      <c r="U215" s="362"/>
      <c r="V215" s="363">
        <f>V212+V213</f>
        <v>673</v>
      </c>
      <c r="W215" s="363"/>
      <c r="X215" s="362"/>
      <c r="Y215" s="362"/>
      <c r="Z215" s="362"/>
      <c r="AA215" s="363">
        <f>AA212+AA213</f>
        <v>709</v>
      </c>
      <c r="AB215" s="363"/>
      <c r="AC215" s="362"/>
      <c r="AD215" s="362"/>
      <c r="AE215" s="362"/>
      <c r="AF215" s="363">
        <f>AF212+AF213</f>
        <v>736</v>
      </c>
      <c r="AG215" s="363"/>
      <c r="AH215" s="362"/>
      <c r="AI215" s="362"/>
      <c r="AJ215" s="362"/>
      <c r="AK215" s="363">
        <f>AK212+AK213</f>
        <v>838</v>
      </c>
      <c r="AL215" s="363"/>
      <c r="AM215" s="362"/>
      <c r="AN215" s="362"/>
      <c r="AO215" s="362"/>
      <c r="AP215" s="363">
        <v>1001</v>
      </c>
      <c r="AQ215" s="178">
        <v>307</v>
      </c>
      <c r="AR215" s="177">
        <v>306</v>
      </c>
      <c r="AS215" s="41">
        <v>268</v>
      </c>
      <c r="AT215" s="711">
        <v>295</v>
      </c>
      <c r="AU215" s="713">
        <f>SUM(AQ215:AT215)</f>
        <v>1176</v>
      </c>
      <c r="AV215" s="178"/>
      <c r="AW215" s="177"/>
      <c r="AX215" s="41"/>
      <c r="AY215" s="711"/>
      <c r="AZ215" s="713">
        <v>1176</v>
      </c>
      <c r="BA215" s="718">
        <v>339</v>
      </c>
      <c r="BB215" s="660">
        <v>340</v>
      </c>
      <c r="BC215" s="660">
        <v>347</v>
      </c>
      <c r="BD215" s="711">
        <f>1368-SUM(BA215:BC215)</f>
        <v>342</v>
      </c>
      <c r="BE215" s="713">
        <f>SUM(BA215:BD215)</f>
        <v>1368</v>
      </c>
      <c r="BF215" s="916">
        <v>370</v>
      </c>
      <c r="BG215" s="921">
        <v>370</v>
      </c>
      <c r="BH215" s="921">
        <v>388</v>
      </c>
      <c r="BI215" s="914">
        <f>1508-SUM(BF215:BH215)</f>
        <v>380</v>
      </c>
      <c r="BJ215" s="713">
        <f>SUM(BF215:BI215)</f>
        <v>1508</v>
      </c>
      <c r="BK215" s="916">
        <v>428</v>
      </c>
      <c r="BL215" s="921">
        <v>428</v>
      </c>
      <c r="BM215" s="1002">
        <v>468</v>
      </c>
      <c r="BN215" s="1055">
        <f>1764-BM215-BL215-BK215</f>
        <v>440</v>
      </c>
      <c r="BO215" s="713">
        <f>SUM(BK215:BN215)</f>
        <v>1764</v>
      </c>
      <c r="BP215" s="713">
        <v>1782</v>
      </c>
      <c r="BQ215" s="343">
        <f>1930/4</f>
        <v>482.5</v>
      </c>
      <c r="BR215" s="49">
        <f t="shared" ref="BR215:BT215" si="701">1930/4</f>
        <v>482.5</v>
      </c>
      <c r="BS215" s="49">
        <f t="shared" si="701"/>
        <v>482.5</v>
      </c>
      <c r="BT215" s="344">
        <f t="shared" si="701"/>
        <v>482.5</v>
      </c>
      <c r="BU215" s="713">
        <f>SUM(BQ215:BT215)</f>
        <v>1930</v>
      </c>
      <c r="BV215" s="885"/>
      <c r="BW215" s="886"/>
      <c r="BX215" s="886"/>
      <c r="BY215" s="887"/>
      <c r="BZ215" s="884">
        <v>1906</v>
      </c>
      <c r="CA215" s="885"/>
      <c r="CB215" s="886"/>
      <c r="CC215" s="886"/>
      <c r="CD215" s="887"/>
      <c r="CE215" s="884">
        <v>1859</v>
      </c>
      <c r="CF215" s="885"/>
      <c r="CG215" s="886"/>
      <c r="CH215" s="886"/>
      <c r="CI215" s="887"/>
      <c r="CJ215" s="915">
        <f>+CE215</f>
        <v>1859</v>
      </c>
      <c r="CK215" s="405"/>
      <c r="CL215" s="658"/>
      <c r="CM215" s="657"/>
      <c r="CN215" s="682"/>
      <c r="CO215" s="659"/>
      <c r="CP215" s="659"/>
      <c r="CQ215" s="659"/>
      <c r="CR215" s="659"/>
      <c r="CS215" s="659"/>
      <c r="CT215" s="405"/>
      <c r="CX215"/>
      <c r="CY215"/>
      <c r="CZ215"/>
      <c r="DA215"/>
      <c r="DB215"/>
      <c r="DC215"/>
    </row>
    <row r="216" spans="1:107" s="407" customFormat="1">
      <c r="A216" s="472" t="s">
        <v>137</v>
      </c>
      <c r="B216" s="70"/>
      <c r="C216" s="121">
        <f>C215/B215-1</f>
        <v>0.29411764705882359</v>
      </c>
      <c r="D216" s="121">
        <f>D215/C215-1</f>
        <v>0.56060606060606055</v>
      </c>
      <c r="E216" s="121">
        <f>E215/D215-1</f>
        <v>0.36407766990291268</v>
      </c>
      <c r="F216" s="121">
        <f>F215/E215-1</f>
        <v>0.29893238434163694</v>
      </c>
      <c r="G216" s="121">
        <f>G215/F215-1</f>
        <v>0.27397260273972601</v>
      </c>
      <c r="H216" s="470"/>
      <c r="I216" s="64"/>
      <c r="J216" s="64"/>
      <c r="K216" s="64"/>
      <c r="L216" s="121">
        <f>L215/G215-1</f>
        <v>-6.6666666666666652E-2</v>
      </c>
      <c r="M216" s="121"/>
      <c r="N216" s="64"/>
      <c r="O216" s="64"/>
      <c r="P216" s="64"/>
      <c r="Q216" s="121">
        <f>Q215/L215-1</f>
        <v>-7.6036866359446953E-2</v>
      </c>
      <c r="R216" s="121"/>
      <c r="S216" s="64"/>
      <c r="T216" s="64"/>
      <c r="U216" s="64"/>
      <c r="V216" s="121">
        <f>V215/Q215-1</f>
        <v>0.6783042394014962</v>
      </c>
      <c r="W216" s="121"/>
      <c r="X216" s="64"/>
      <c r="Y216" s="64"/>
      <c r="Z216" s="64"/>
      <c r="AA216" s="121">
        <f>AA215/V215-1</f>
        <v>5.3491827637444311E-2</v>
      </c>
      <c r="AB216" s="121"/>
      <c r="AC216" s="64"/>
      <c r="AD216" s="64"/>
      <c r="AE216" s="64"/>
      <c r="AF216" s="121">
        <f>AF215/AA215-1</f>
        <v>3.8081805359661436E-2</v>
      </c>
      <c r="AG216" s="121"/>
      <c r="AH216" s="64"/>
      <c r="AI216" s="64"/>
      <c r="AJ216" s="64"/>
      <c r="AK216" s="121">
        <f>AK215/AF215-1</f>
        <v>0.13858695652173902</v>
      </c>
      <c r="AL216" s="121"/>
      <c r="AM216" s="64"/>
      <c r="AN216" s="64"/>
      <c r="AO216" s="64"/>
      <c r="AP216" s="121">
        <f>AP215/AK215-1</f>
        <v>0.19451073985680201</v>
      </c>
      <c r="AQ216" s="121"/>
      <c r="AR216" s="64"/>
      <c r="AS216" s="64"/>
      <c r="AT216" s="64"/>
      <c r="AU216" s="121">
        <f>AU215/AP215-1</f>
        <v>0.17482517482517479</v>
      </c>
      <c r="AV216" s="121"/>
      <c r="AW216" s="64"/>
      <c r="AX216" s="64"/>
      <c r="AY216" s="64"/>
      <c r="AZ216" s="121">
        <f>AZ215/AU215-1</f>
        <v>0</v>
      </c>
      <c r="BA216" s="121"/>
      <c r="BB216" s="716"/>
      <c r="BC216" s="64"/>
      <c r="BD216" s="64"/>
      <c r="BE216" s="121">
        <f>BE215/AZ215-1</f>
        <v>0.16326530612244894</v>
      </c>
      <c r="BF216" s="240"/>
      <c r="BG216" s="238"/>
      <c r="BH216" s="238"/>
      <c r="BI216" s="241"/>
      <c r="BJ216" s="121">
        <f>BJ215/BE215-1</f>
        <v>0.10233918128654973</v>
      </c>
      <c r="BK216" s="240"/>
      <c r="BL216" s="238"/>
      <c r="BM216" s="238"/>
      <c r="BN216" s="620"/>
      <c r="BO216" s="121">
        <f>BO215/BJ215-1</f>
        <v>0.16976127320954904</v>
      </c>
      <c r="BP216" s="121"/>
      <c r="BQ216" s="1008"/>
      <c r="BR216" s="619"/>
      <c r="BS216" s="619"/>
      <c r="BT216" s="620"/>
      <c r="BU216" s="121">
        <f>BU215/BO215-1</f>
        <v>9.4104308390022595E-2</v>
      </c>
      <c r="BV216" s="240"/>
      <c r="BW216" s="238"/>
      <c r="BX216" s="238"/>
      <c r="BY216" s="241"/>
      <c r="BZ216" s="121">
        <f>BZ215/BU215-1</f>
        <v>-1.2435233160621784E-2</v>
      </c>
      <c r="CA216" s="240"/>
      <c r="CB216" s="238"/>
      <c r="CC216" s="238"/>
      <c r="CD216" s="241"/>
      <c r="CE216" s="121">
        <f>CE215/BZ215-1</f>
        <v>-2.4658971668415575E-2</v>
      </c>
      <c r="CF216" s="240"/>
      <c r="CG216" s="238"/>
      <c r="CH216" s="238"/>
      <c r="CI216" s="241"/>
      <c r="CJ216" s="121">
        <f>CJ215/CE215-1</f>
        <v>0</v>
      </c>
      <c r="CK216" s="405"/>
      <c r="CL216" s="658"/>
      <c r="CM216" s="659"/>
      <c r="CN216" s="682"/>
      <c r="CO216" s="659"/>
      <c r="CP216" s="659"/>
      <c r="CQ216" s="659"/>
      <c r="CR216" s="659"/>
      <c r="CS216" s="659"/>
      <c r="CT216" s="405"/>
      <c r="CX216"/>
      <c r="CY216"/>
      <c r="CZ216"/>
      <c r="DA216"/>
      <c r="DB216"/>
      <c r="DC216"/>
    </row>
    <row r="217" spans="1:107" s="407" customFormat="1">
      <c r="A217" s="471" t="s">
        <v>72</v>
      </c>
      <c r="B217" s="362"/>
      <c r="C217" s="363"/>
      <c r="D217" s="363"/>
      <c r="E217" s="473"/>
      <c r="F217" s="363"/>
      <c r="G217" s="363"/>
      <c r="H217" s="363"/>
      <c r="I217" s="362"/>
      <c r="J217" s="362"/>
      <c r="K217" s="362"/>
      <c r="L217" s="363"/>
      <c r="M217" s="363"/>
      <c r="N217" s="362"/>
      <c r="O217" s="362"/>
      <c r="P217" s="362"/>
      <c r="Q217" s="363"/>
      <c r="R217" s="363"/>
      <c r="S217" s="362"/>
      <c r="T217" s="362"/>
      <c r="U217" s="362"/>
      <c r="V217" s="363"/>
      <c r="W217" s="363"/>
      <c r="X217" s="362"/>
      <c r="Y217" s="362"/>
      <c r="Z217" s="362"/>
      <c r="AA217" s="363"/>
      <c r="AB217" s="363"/>
      <c r="AC217" s="362"/>
      <c r="AD217" s="362"/>
      <c r="AE217" s="362"/>
      <c r="AF217" s="363"/>
      <c r="AG217" s="363"/>
      <c r="AH217" s="362"/>
      <c r="AI217" s="362"/>
      <c r="AJ217" s="362"/>
      <c r="AK217" s="363"/>
      <c r="AL217" s="363"/>
      <c r="AM217" s="362"/>
      <c r="AN217" s="362"/>
      <c r="AO217" s="362"/>
      <c r="AP217" s="363"/>
      <c r="AQ217" s="178"/>
      <c r="AR217" s="177"/>
      <c r="AS217" s="41"/>
      <c r="AT217" s="711"/>
      <c r="AU217" s="712"/>
      <c r="AV217" s="178"/>
      <c r="AW217" s="177"/>
      <c r="AX217" s="41"/>
      <c r="AY217" s="711"/>
      <c r="AZ217" s="712"/>
      <c r="BA217" s="718"/>
      <c r="BB217" s="660"/>
      <c r="BC217" s="660"/>
      <c r="BD217" s="711"/>
      <c r="BE217" s="712"/>
      <c r="BF217" s="916"/>
      <c r="BG217" s="921"/>
      <c r="BH217" s="921"/>
      <c r="BI217" s="914"/>
      <c r="BJ217" s="712"/>
      <c r="BK217" s="916">
        <v>-1</v>
      </c>
      <c r="BL217" s="921">
        <v>0</v>
      </c>
      <c r="BM217" s="1002">
        <v>-3</v>
      </c>
      <c r="BN217" s="914">
        <v>-3</v>
      </c>
      <c r="BO217" s="712">
        <f>SUM(BK217:BN217)</f>
        <v>-7</v>
      </c>
      <c r="BP217" s="712"/>
      <c r="BQ217" s="1009">
        <v>0</v>
      </c>
      <c r="BR217" s="1010">
        <v>0</v>
      </c>
      <c r="BS217" s="1010">
        <v>0</v>
      </c>
      <c r="BT217" s="1011">
        <v>0</v>
      </c>
      <c r="BU217" s="712">
        <f>SUM(BQ217:BT217)</f>
        <v>0</v>
      </c>
      <c r="BV217" s="713"/>
      <c r="BW217" s="711"/>
      <c r="BX217" s="711"/>
      <c r="BY217" s="881"/>
      <c r="BZ217" s="880">
        <v>0</v>
      </c>
      <c r="CA217" s="713"/>
      <c r="CB217" s="711"/>
      <c r="CC217" s="711"/>
      <c r="CD217" s="881"/>
      <c r="CE217" s="880">
        <v>0</v>
      </c>
      <c r="CF217" s="713"/>
      <c r="CG217" s="711"/>
      <c r="CH217" s="711"/>
      <c r="CI217" s="881"/>
      <c r="CJ217" s="880">
        <v>0</v>
      </c>
      <c r="CK217" s="405"/>
      <c r="CL217" s="657"/>
      <c r="CM217" s="659"/>
      <c r="CN217" s="682"/>
      <c r="CO217" s="659"/>
      <c r="CP217" s="659"/>
      <c r="CQ217" s="659"/>
      <c r="CR217" s="659"/>
      <c r="CS217" s="659"/>
      <c r="CT217" s="405"/>
      <c r="CX217"/>
      <c r="CY217"/>
      <c r="CZ217"/>
      <c r="DA217"/>
      <c r="DB217"/>
      <c r="DC217"/>
    </row>
    <row r="218" spans="1:107" s="407" customFormat="1">
      <c r="A218" s="1063" t="s">
        <v>338</v>
      </c>
      <c r="B218" s="362"/>
      <c r="C218" s="363"/>
      <c r="D218" s="363"/>
      <c r="E218" s="1062"/>
      <c r="F218" s="363"/>
      <c r="G218" s="363"/>
      <c r="H218" s="363"/>
      <c r="I218" s="362"/>
      <c r="J218" s="362"/>
      <c r="K218" s="362"/>
      <c r="L218" s="363"/>
      <c r="M218" s="363"/>
      <c r="N218" s="362"/>
      <c r="O218" s="362"/>
      <c r="P218" s="362"/>
      <c r="Q218" s="363"/>
      <c r="R218" s="363"/>
      <c r="S218" s="362"/>
      <c r="T218" s="362"/>
      <c r="U218" s="362"/>
      <c r="V218" s="363"/>
      <c r="W218" s="363"/>
      <c r="X218" s="362"/>
      <c r="Y218" s="362"/>
      <c r="Z218" s="362"/>
      <c r="AA218" s="363"/>
      <c r="AB218" s="363"/>
      <c r="AC218" s="362"/>
      <c r="AD218" s="362"/>
      <c r="AE218" s="362"/>
      <c r="AF218" s="363"/>
      <c r="AG218" s="363"/>
      <c r="AH218" s="362"/>
      <c r="AI218" s="362"/>
      <c r="AJ218" s="362"/>
      <c r="AK218" s="363"/>
      <c r="AL218" s="363"/>
      <c r="AM218" s="362"/>
      <c r="AN218" s="362"/>
      <c r="AO218" s="362"/>
      <c r="AP218" s="363"/>
      <c r="AQ218" s="178"/>
      <c r="AR218" s="177"/>
      <c r="AS218" s="41"/>
      <c r="AT218" s="711"/>
      <c r="AU218" s="713"/>
      <c r="AV218" s="178"/>
      <c r="AW218" s="177"/>
      <c r="AX218" s="41"/>
      <c r="AY218" s="711"/>
      <c r="AZ218" s="713"/>
      <c r="BA218" s="718"/>
      <c r="BB218" s="660"/>
      <c r="BC218" s="660"/>
      <c r="BD218" s="711"/>
      <c r="BE218" s="713"/>
      <c r="BF218" s="916"/>
      <c r="BG218" s="921"/>
      <c r="BH218" s="921"/>
      <c r="BI218" s="921"/>
      <c r="BJ218" s="713"/>
      <c r="BK218" s="916"/>
      <c r="BL218" s="921"/>
      <c r="BM218" s="1002"/>
      <c r="BN218" s="921"/>
      <c r="BO218" s="713"/>
      <c r="BP218" s="713">
        <v>913</v>
      </c>
      <c r="BQ218" s="343">
        <f>958/4</f>
        <v>239.5</v>
      </c>
      <c r="BR218" s="49">
        <f t="shared" ref="BR218:BT218" si="702">958/4</f>
        <v>239.5</v>
      </c>
      <c r="BS218" s="49">
        <f t="shared" si="702"/>
        <v>239.5</v>
      </c>
      <c r="BT218" s="344">
        <f t="shared" si="702"/>
        <v>239.5</v>
      </c>
      <c r="BU218" s="713">
        <f>SUM(BQ218:BT218)</f>
        <v>958</v>
      </c>
      <c r="BV218" s="713"/>
      <c r="BW218" s="711"/>
      <c r="BX218" s="711"/>
      <c r="BY218" s="881"/>
      <c r="BZ218" s="884">
        <v>771</v>
      </c>
      <c r="CA218" s="713"/>
      <c r="CB218" s="711"/>
      <c r="CC218" s="711"/>
      <c r="CD218" s="881"/>
      <c r="CE218" s="884">
        <v>540</v>
      </c>
      <c r="CF218" s="713"/>
      <c r="CG218" s="711"/>
      <c r="CH218" s="711"/>
      <c r="CI218" s="881"/>
      <c r="CJ218" s="884">
        <f>+CE218</f>
        <v>540</v>
      </c>
      <c r="CK218" s="405"/>
      <c r="CL218" s="657" t="s">
        <v>357</v>
      </c>
      <c r="CM218" s="659"/>
      <c r="CN218" s="682"/>
      <c r="CO218" s="659"/>
      <c r="CP218" s="659"/>
      <c r="CQ218" s="659"/>
      <c r="CR218" s="659"/>
      <c r="CS218" s="659"/>
      <c r="CT218" s="405"/>
      <c r="CX218"/>
      <c r="CY218"/>
      <c r="CZ218"/>
      <c r="DA218"/>
      <c r="DB218"/>
      <c r="DC218"/>
    </row>
    <row r="219" spans="1:107">
      <c r="A219" s="182" t="s">
        <v>128</v>
      </c>
      <c r="B219" s="28">
        <f t="shared" ref="B219:AG219" si="703">B199+B278</f>
        <v>1443</v>
      </c>
      <c r="C219" s="90">
        <f t="shared" si="703"/>
        <v>2147</v>
      </c>
      <c r="D219" s="90">
        <f t="shared" si="703"/>
        <v>1709</v>
      </c>
      <c r="E219" s="90">
        <f t="shared" si="703"/>
        <v>1650</v>
      </c>
      <c r="F219" s="90">
        <f t="shared" si="703"/>
        <v>1967</v>
      </c>
      <c r="G219" s="90">
        <f t="shared" si="703"/>
        <v>2305</v>
      </c>
      <c r="H219" s="90">
        <f t="shared" si="703"/>
        <v>607</v>
      </c>
      <c r="I219" s="28">
        <f t="shared" si="703"/>
        <v>683</v>
      </c>
      <c r="J219" s="28">
        <f t="shared" si="703"/>
        <v>667</v>
      </c>
      <c r="K219" s="28">
        <f t="shared" si="703"/>
        <v>743</v>
      </c>
      <c r="L219" s="90">
        <f t="shared" si="703"/>
        <v>2726</v>
      </c>
      <c r="M219" s="90">
        <f t="shared" si="703"/>
        <v>701</v>
      </c>
      <c r="N219" s="28">
        <f t="shared" si="703"/>
        <v>765</v>
      </c>
      <c r="O219" s="28">
        <f t="shared" si="703"/>
        <v>789</v>
      </c>
      <c r="P219" s="28">
        <f t="shared" si="703"/>
        <v>755</v>
      </c>
      <c r="Q219" s="90">
        <f t="shared" si="703"/>
        <v>3010</v>
      </c>
      <c r="R219" s="90">
        <f t="shared" si="703"/>
        <v>809</v>
      </c>
      <c r="S219" s="28">
        <f t="shared" si="703"/>
        <v>862</v>
      </c>
      <c r="T219" s="28">
        <f t="shared" si="703"/>
        <v>866</v>
      </c>
      <c r="U219" s="28">
        <f t="shared" si="703"/>
        <v>907</v>
      </c>
      <c r="V219" s="90">
        <f t="shared" si="703"/>
        <v>3444</v>
      </c>
      <c r="W219" s="90">
        <f t="shared" si="703"/>
        <v>812</v>
      </c>
      <c r="X219" s="28">
        <f t="shared" si="703"/>
        <v>448</v>
      </c>
      <c r="Y219" s="28">
        <f t="shared" si="703"/>
        <v>854</v>
      </c>
      <c r="Z219" s="28">
        <f t="shared" si="703"/>
        <v>907</v>
      </c>
      <c r="AA219" s="90">
        <f t="shared" si="703"/>
        <v>3021</v>
      </c>
      <c r="AB219" s="90">
        <f t="shared" si="703"/>
        <v>693</v>
      </c>
      <c r="AC219" s="28">
        <f t="shared" si="703"/>
        <v>781</v>
      </c>
      <c r="AD219" s="28">
        <f t="shared" si="703"/>
        <v>835</v>
      </c>
      <c r="AE219" s="28">
        <f t="shared" si="703"/>
        <v>968</v>
      </c>
      <c r="AF219" s="90">
        <f t="shared" si="703"/>
        <v>3277</v>
      </c>
      <c r="AG219" s="90">
        <f t="shared" si="703"/>
        <v>818</v>
      </c>
      <c r="AH219" s="28">
        <f t="shared" ref="AH219:BJ219" si="704">AH199+AH278</f>
        <v>858</v>
      </c>
      <c r="AI219" s="28">
        <f t="shared" si="704"/>
        <v>899</v>
      </c>
      <c r="AJ219" s="28">
        <f t="shared" si="704"/>
        <v>869</v>
      </c>
      <c r="AK219" s="90">
        <f t="shared" si="704"/>
        <v>3444</v>
      </c>
      <c r="AL219" s="90">
        <f t="shared" si="704"/>
        <v>814</v>
      </c>
      <c r="AM219" s="28">
        <f t="shared" si="704"/>
        <v>879</v>
      </c>
      <c r="AN219" s="28">
        <f t="shared" si="704"/>
        <v>868</v>
      </c>
      <c r="AO219" s="28">
        <f t="shared" si="704"/>
        <v>822</v>
      </c>
      <c r="AP219" s="90">
        <f t="shared" si="704"/>
        <v>3575</v>
      </c>
      <c r="AQ219" s="90">
        <f t="shared" si="704"/>
        <v>894.4</v>
      </c>
      <c r="AR219" s="28">
        <f t="shared" si="704"/>
        <v>857</v>
      </c>
      <c r="AS219" s="28">
        <f t="shared" si="704"/>
        <v>881</v>
      </c>
      <c r="AT219" s="28">
        <f t="shared" si="704"/>
        <v>981</v>
      </c>
      <c r="AU219" s="90">
        <f t="shared" si="704"/>
        <v>3613.4</v>
      </c>
      <c r="AV219" s="90"/>
      <c r="AW219" s="28"/>
      <c r="AX219" s="28"/>
      <c r="AY219" s="28"/>
      <c r="AZ219" s="90">
        <f t="shared" ref="AZ219" si="705">AZ199+AZ278</f>
        <v>3618</v>
      </c>
      <c r="BA219" s="90">
        <f t="shared" si="704"/>
        <v>947</v>
      </c>
      <c r="BB219" s="28">
        <f t="shared" si="704"/>
        <v>764</v>
      </c>
      <c r="BC219" s="28">
        <f t="shared" si="704"/>
        <v>827</v>
      </c>
      <c r="BD219" s="28">
        <f t="shared" si="704"/>
        <v>961</v>
      </c>
      <c r="BE219" s="90">
        <f t="shared" si="704"/>
        <v>3499</v>
      </c>
      <c r="BF219" s="90">
        <f t="shared" si="704"/>
        <v>737</v>
      </c>
      <c r="BG219" s="28">
        <f t="shared" si="704"/>
        <v>1083</v>
      </c>
      <c r="BH219" s="28">
        <f t="shared" si="704"/>
        <v>936</v>
      </c>
      <c r="BI219" s="28">
        <f t="shared" si="704"/>
        <v>999</v>
      </c>
      <c r="BJ219" s="90">
        <f t="shared" si="704"/>
        <v>3755</v>
      </c>
      <c r="BK219" s="90">
        <f t="shared" ref="BK219:BO219" si="706">BK199+BK278</f>
        <v>871</v>
      </c>
      <c r="BL219" s="28">
        <f t="shared" si="706"/>
        <v>982</v>
      </c>
      <c r="BM219" s="28">
        <f t="shared" si="706"/>
        <v>996</v>
      </c>
      <c r="BN219" s="28">
        <f t="shared" si="706"/>
        <v>1019</v>
      </c>
      <c r="BO219" s="90">
        <f t="shared" si="706"/>
        <v>3868</v>
      </c>
      <c r="BP219" s="90">
        <f>BP199+BP278-BP218</f>
        <v>3868</v>
      </c>
      <c r="BQ219" s="90">
        <f>BQ199+BQ278-BQ218</f>
        <v>962.91331999999989</v>
      </c>
      <c r="BR219" s="28">
        <f t="shared" ref="BR219:BT219" si="707">BR199+BR278-BR218</f>
        <v>1033.5441800000001</v>
      </c>
      <c r="BS219" s="28">
        <f t="shared" si="707"/>
        <v>1032.9802299999999</v>
      </c>
      <c r="BT219" s="30">
        <f t="shared" si="707"/>
        <v>1152.9084100000002</v>
      </c>
      <c r="BU219" s="76">
        <f>BU199+BU278-BU218</f>
        <v>4182.3461400000006</v>
      </c>
      <c r="BV219" s="90"/>
      <c r="BW219" s="28"/>
      <c r="BX219" s="28"/>
      <c r="BY219" s="30"/>
      <c r="BZ219" s="76">
        <f>BZ199+BZ278-BZ218</f>
        <v>4688.0520393514853</v>
      </c>
      <c r="CA219" s="90"/>
      <c r="CB219" s="28"/>
      <c r="CC219" s="28"/>
      <c r="CD219" s="30"/>
      <c r="CE219" s="76">
        <f>CE199+CE278-CE218</f>
        <v>5208.3506836156075</v>
      </c>
      <c r="CF219" s="90"/>
      <c r="CG219" s="28"/>
      <c r="CH219" s="28"/>
      <c r="CI219" s="30"/>
      <c r="CJ219" s="76">
        <f>CJ199+CJ278-CJ218</f>
        <v>5501.524616429333</v>
      </c>
      <c r="CK219" s="289"/>
      <c r="CL219" s="658"/>
      <c r="CM219" s="658"/>
      <c r="CN219" s="682"/>
      <c r="CO219" s="658"/>
      <c r="CP219" s="658"/>
      <c r="CQ219" s="658"/>
      <c r="CR219" s="658"/>
      <c r="CS219" s="658"/>
      <c r="CT219" s="289"/>
    </row>
    <row r="220" spans="1:107">
      <c r="A220" s="164" t="s">
        <v>137</v>
      </c>
      <c r="B220" s="121"/>
      <c r="C220" s="70">
        <f>C219/B219-1</f>
        <v>0.48787248787248783</v>
      </c>
      <c r="D220" s="70">
        <f>D219/C219-1</f>
        <v>-0.20400558919422451</v>
      </c>
      <c r="E220" s="70">
        <f>E219/D219-1</f>
        <v>-3.4523112931538869E-2</v>
      </c>
      <c r="F220" s="70">
        <f>F219/E219-1</f>
        <v>0.19212121212121214</v>
      </c>
      <c r="G220" s="121">
        <f>G219/F219-1</f>
        <v>0.17183528215556687</v>
      </c>
      <c r="H220" s="470"/>
      <c r="I220" s="64"/>
      <c r="J220" s="64"/>
      <c r="K220" s="64"/>
      <c r="L220" s="121">
        <f t="shared" ref="L220:AS220" si="708">L219/G219-1</f>
        <v>0.18264642082429505</v>
      </c>
      <c r="M220" s="121">
        <f t="shared" si="708"/>
        <v>0.15485996705107086</v>
      </c>
      <c r="N220" s="64">
        <f t="shared" si="708"/>
        <v>0.12005856515373359</v>
      </c>
      <c r="O220" s="64">
        <f t="shared" si="708"/>
        <v>0.18290854572713644</v>
      </c>
      <c r="P220" s="64">
        <f t="shared" si="708"/>
        <v>1.6150740242261152E-2</v>
      </c>
      <c r="Q220" s="121">
        <f t="shared" si="708"/>
        <v>0.10418195157740273</v>
      </c>
      <c r="R220" s="121">
        <f t="shared" si="708"/>
        <v>0.15406562054208273</v>
      </c>
      <c r="S220" s="64">
        <f t="shared" si="708"/>
        <v>0.12679738562091503</v>
      </c>
      <c r="T220" s="64">
        <f t="shared" si="708"/>
        <v>9.759188846641309E-2</v>
      </c>
      <c r="U220" s="64">
        <f t="shared" si="708"/>
        <v>0.20132450331125828</v>
      </c>
      <c r="V220" s="121">
        <f t="shared" si="708"/>
        <v>0.14418604651162781</v>
      </c>
      <c r="W220" s="121">
        <f t="shared" si="708"/>
        <v>3.7082818294189579E-3</v>
      </c>
      <c r="X220" s="64">
        <f t="shared" si="708"/>
        <v>-0.48027842227378192</v>
      </c>
      <c r="Y220" s="64">
        <f t="shared" si="708"/>
        <v>-1.3856812933025431E-2</v>
      </c>
      <c r="Z220" s="64">
        <f t="shared" si="708"/>
        <v>0</v>
      </c>
      <c r="AA220" s="121">
        <f t="shared" si="708"/>
        <v>-0.12282229965156799</v>
      </c>
      <c r="AB220" s="121">
        <f t="shared" si="708"/>
        <v>-0.14655172413793105</v>
      </c>
      <c r="AC220" s="64">
        <f t="shared" si="708"/>
        <v>0.7433035714285714</v>
      </c>
      <c r="AD220" s="64">
        <f t="shared" si="708"/>
        <v>-2.2248243559718994E-2</v>
      </c>
      <c r="AE220" s="64">
        <f t="shared" si="708"/>
        <v>6.725468577728777E-2</v>
      </c>
      <c r="AF220" s="121">
        <f t="shared" si="708"/>
        <v>8.4740152267461122E-2</v>
      </c>
      <c r="AG220" s="121">
        <f t="shared" si="708"/>
        <v>0.1803751803751803</v>
      </c>
      <c r="AH220" s="64">
        <f t="shared" si="708"/>
        <v>9.8591549295774739E-2</v>
      </c>
      <c r="AI220" s="64">
        <f t="shared" si="708"/>
        <v>7.6646706586826374E-2</v>
      </c>
      <c r="AJ220" s="64">
        <f t="shared" si="708"/>
        <v>-0.10227272727272729</v>
      </c>
      <c r="AK220" s="121">
        <f t="shared" si="708"/>
        <v>5.0961245041196257E-2</v>
      </c>
      <c r="AL220" s="121">
        <f t="shared" si="708"/>
        <v>-4.8899755501222719E-3</v>
      </c>
      <c r="AM220" s="64">
        <f t="shared" si="708"/>
        <v>2.4475524475524368E-2</v>
      </c>
      <c r="AN220" s="64">
        <f t="shared" si="708"/>
        <v>-3.4482758620689613E-2</v>
      </c>
      <c r="AO220" s="64">
        <f t="shared" si="708"/>
        <v>-5.4085155350978131E-2</v>
      </c>
      <c r="AP220" s="121">
        <f t="shared" si="708"/>
        <v>3.803716608594665E-2</v>
      </c>
      <c r="AQ220" s="121">
        <f>AQ219/AL219-1</f>
        <v>9.8771498771498711E-2</v>
      </c>
      <c r="AR220" s="64">
        <f t="shared" si="708"/>
        <v>-2.5028441410693936E-2</v>
      </c>
      <c r="AS220" s="64">
        <f t="shared" si="708"/>
        <v>1.4976958525345641E-2</v>
      </c>
      <c r="AT220" s="64">
        <f t="shared" ref="AT220:AU220" si="709">AT219/AO219-1</f>
        <v>0.1934306569343065</v>
      </c>
      <c r="AU220" s="121">
        <f t="shared" si="709"/>
        <v>1.0741258741258752E-2</v>
      </c>
      <c r="AV220" s="121"/>
      <c r="AW220" s="64"/>
      <c r="AX220" s="64"/>
      <c r="AY220" s="64"/>
      <c r="AZ220" s="121">
        <f t="shared" ref="AZ220" si="710">AZ219/AU219-1</f>
        <v>1.2730392428184079E-3</v>
      </c>
      <c r="BA220" s="121">
        <f>BA219/AQ219-1</f>
        <v>5.8810375670840909E-2</v>
      </c>
      <c r="BB220" s="64">
        <f>BB219/AR219-1</f>
        <v>-0.10851808634772464</v>
      </c>
      <c r="BC220" s="64">
        <f>BC219/AS219-1</f>
        <v>-6.1293984108967137E-2</v>
      </c>
      <c r="BD220" s="64">
        <f>BD219/AT219-1</f>
        <v>-2.0387359836901098E-2</v>
      </c>
      <c r="BE220" s="121">
        <f>BE219/AZ219-1</f>
        <v>-3.2891100055279177E-2</v>
      </c>
      <c r="BF220" s="121">
        <f t="shared" ref="BF220:BM220" si="711">BF219/BA219-1</f>
        <v>-0.22175290390707503</v>
      </c>
      <c r="BG220" s="64">
        <f t="shared" si="711"/>
        <v>0.41753926701570676</v>
      </c>
      <c r="BH220" s="64">
        <f t="shared" si="711"/>
        <v>0.13180169286577992</v>
      </c>
      <c r="BI220" s="64">
        <f t="shared" si="711"/>
        <v>3.9542143600416191E-2</v>
      </c>
      <c r="BJ220" s="121">
        <f t="shared" si="711"/>
        <v>7.316376107459277E-2</v>
      </c>
      <c r="BK220" s="121">
        <f t="shared" si="711"/>
        <v>0.18181818181818188</v>
      </c>
      <c r="BL220" s="64">
        <f t="shared" si="711"/>
        <v>-9.3259464450600182E-2</v>
      </c>
      <c r="BM220" s="64">
        <f t="shared" si="711"/>
        <v>6.4102564102564097E-2</v>
      </c>
      <c r="BN220" s="64">
        <f t="shared" ref="BN220" si="712">BN219/BI219-1</f>
        <v>2.0020020020020013E-2</v>
      </c>
      <c r="BO220" s="121">
        <f t="shared" ref="BO220" si="713">BO219/BJ219-1</f>
        <v>3.0093209054593784E-2</v>
      </c>
      <c r="BP220" s="121">
        <f>BP219/BJ219-1</f>
        <v>3.0093209054593784E-2</v>
      </c>
      <c r="BQ220" s="121">
        <f>BQ219/BK219-1</f>
        <v>0.10552619977037869</v>
      </c>
      <c r="BR220" s="64">
        <f t="shared" ref="BR220" si="714">BR219/BL219-1</f>
        <v>5.2488981670061108E-2</v>
      </c>
      <c r="BS220" s="64">
        <f t="shared" ref="BS220" si="715">BS219/BM219-1</f>
        <v>3.7128744979919581E-2</v>
      </c>
      <c r="BT220" s="122">
        <f>BT219/BN219-1</f>
        <v>0.13141158979391587</v>
      </c>
      <c r="BU220" s="70">
        <f>BU219/BO219-1</f>
        <v>8.1268391933815964E-2</v>
      </c>
      <c r="BV220" s="121"/>
      <c r="BW220" s="64"/>
      <c r="BX220" s="64"/>
      <c r="BY220" s="122"/>
      <c r="BZ220" s="70">
        <f>BZ219/BU219-1</f>
        <v>0.12091440603514569</v>
      </c>
      <c r="CA220" s="121"/>
      <c r="CB220" s="64"/>
      <c r="CC220" s="64"/>
      <c r="CD220" s="122"/>
      <c r="CE220" s="70">
        <f>CE219/BZ219-1</f>
        <v>0.11098397370522717</v>
      </c>
      <c r="CF220" s="121"/>
      <c r="CG220" s="64"/>
      <c r="CH220" s="64"/>
      <c r="CI220" s="122"/>
      <c r="CJ220" s="70">
        <f>CJ219/CE219-1</f>
        <v>5.6289207586576406E-2</v>
      </c>
      <c r="CK220" s="289"/>
      <c r="CL220" s="658"/>
      <c r="CM220" s="658"/>
      <c r="CN220" s="682"/>
      <c r="CO220" s="658"/>
      <c r="CP220" s="658"/>
      <c r="CQ220" s="658"/>
      <c r="CR220" s="658"/>
      <c r="CS220" s="658"/>
      <c r="CT220" s="289"/>
    </row>
    <row r="221" spans="1:107">
      <c r="A221" s="182" t="s">
        <v>96</v>
      </c>
      <c r="B221" s="76">
        <f t="shared" ref="B221:AU221" si="716">B188+B278</f>
        <v>1057</v>
      </c>
      <c r="C221" s="76">
        <f t="shared" si="716"/>
        <v>1937</v>
      </c>
      <c r="D221" s="76">
        <f t="shared" si="716"/>
        <v>1818</v>
      </c>
      <c r="E221" s="76">
        <f t="shared" si="716"/>
        <v>2107</v>
      </c>
      <c r="F221" s="76">
        <f t="shared" si="716"/>
        <v>2415</v>
      </c>
      <c r="G221" s="90">
        <f t="shared" si="716"/>
        <v>2667</v>
      </c>
      <c r="H221" s="90">
        <f t="shared" si="716"/>
        <v>669</v>
      </c>
      <c r="I221" s="29">
        <f t="shared" si="716"/>
        <v>746</v>
      </c>
      <c r="J221" s="29">
        <f t="shared" si="716"/>
        <v>718</v>
      </c>
      <c r="K221" s="28">
        <f t="shared" si="716"/>
        <v>810</v>
      </c>
      <c r="L221" s="90">
        <f t="shared" si="716"/>
        <v>2985</v>
      </c>
      <c r="M221" s="90">
        <f t="shared" si="716"/>
        <v>734</v>
      </c>
      <c r="N221" s="29">
        <f t="shared" si="716"/>
        <v>799</v>
      </c>
      <c r="O221" s="29">
        <f t="shared" si="716"/>
        <v>815</v>
      </c>
      <c r="P221" s="28">
        <f t="shared" si="716"/>
        <v>785</v>
      </c>
      <c r="Q221" s="90">
        <f t="shared" si="716"/>
        <v>3133</v>
      </c>
      <c r="R221" s="90">
        <f t="shared" si="716"/>
        <v>798</v>
      </c>
      <c r="S221" s="29">
        <f t="shared" si="716"/>
        <v>851</v>
      </c>
      <c r="T221" s="29">
        <f t="shared" si="716"/>
        <v>867</v>
      </c>
      <c r="U221" s="28">
        <f t="shared" si="716"/>
        <v>901</v>
      </c>
      <c r="V221" s="90">
        <f t="shared" si="716"/>
        <v>3417</v>
      </c>
      <c r="W221" s="90">
        <f t="shared" si="716"/>
        <v>854</v>
      </c>
      <c r="X221" s="29">
        <f t="shared" si="716"/>
        <v>492</v>
      </c>
      <c r="Y221" s="29">
        <f t="shared" si="716"/>
        <v>906</v>
      </c>
      <c r="Z221" s="28">
        <f t="shared" si="716"/>
        <v>956</v>
      </c>
      <c r="AA221" s="76">
        <f t="shared" si="716"/>
        <v>3208</v>
      </c>
      <c r="AB221" s="28">
        <f t="shared" si="716"/>
        <v>782</v>
      </c>
      <c r="AC221" s="29">
        <f t="shared" si="716"/>
        <v>871</v>
      </c>
      <c r="AD221" s="29">
        <f t="shared" si="716"/>
        <v>910</v>
      </c>
      <c r="AE221" s="28">
        <f t="shared" si="716"/>
        <v>1051</v>
      </c>
      <c r="AF221" s="90">
        <f t="shared" si="716"/>
        <v>3614</v>
      </c>
      <c r="AG221" s="90">
        <f t="shared" si="716"/>
        <v>888</v>
      </c>
      <c r="AH221" s="29">
        <f t="shared" si="716"/>
        <v>929</v>
      </c>
      <c r="AI221" s="29">
        <f t="shared" si="716"/>
        <v>946</v>
      </c>
      <c r="AJ221" s="28">
        <f t="shared" si="716"/>
        <v>936</v>
      </c>
      <c r="AK221" s="90">
        <f t="shared" si="716"/>
        <v>3699</v>
      </c>
      <c r="AL221" s="90">
        <f t="shared" si="716"/>
        <v>885</v>
      </c>
      <c r="AM221" s="28">
        <f t="shared" si="716"/>
        <v>951</v>
      </c>
      <c r="AN221" s="29">
        <f t="shared" si="716"/>
        <v>914</v>
      </c>
      <c r="AO221" s="28">
        <f t="shared" si="716"/>
        <v>882</v>
      </c>
      <c r="AP221" s="90">
        <f t="shared" si="716"/>
        <v>3833</v>
      </c>
      <c r="AQ221" s="90">
        <f t="shared" si="716"/>
        <v>818.4</v>
      </c>
      <c r="AR221" s="28">
        <f t="shared" si="716"/>
        <v>794</v>
      </c>
      <c r="AS221" s="29">
        <f t="shared" si="716"/>
        <v>858</v>
      </c>
      <c r="AT221" s="28">
        <f t="shared" si="716"/>
        <v>929</v>
      </c>
      <c r="AU221" s="90">
        <f t="shared" si="716"/>
        <v>3399.4</v>
      </c>
      <c r="AV221" s="90"/>
      <c r="AW221" s="28"/>
      <c r="AX221" s="29"/>
      <c r="AY221" s="28"/>
      <c r="AZ221" s="90">
        <f t="shared" ref="AZ221:BL221" si="717">AZ188+AZ278</f>
        <v>3448</v>
      </c>
      <c r="BA221" s="90">
        <f t="shared" si="717"/>
        <v>941</v>
      </c>
      <c r="BB221" s="28">
        <f t="shared" si="717"/>
        <v>782</v>
      </c>
      <c r="BC221" s="29">
        <f t="shared" si="717"/>
        <v>856</v>
      </c>
      <c r="BD221" s="28">
        <f t="shared" si="717"/>
        <v>1007</v>
      </c>
      <c r="BE221" s="90">
        <f t="shared" si="717"/>
        <v>3586</v>
      </c>
      <c r="BF221" s="90">
        <f t="shared" si="717"/>
        <v>718</v>
      </c>
      <c r="BG221" s="28">
        <f t="shared" si="717"/>
        <v>1021</v>
      </c>
      <c r="BH221" s="29">
        <f t="shared" si="717"/>
        <v>889</v>
      </c>
      <c r="BI221" s="28">
        <f t="shared" si="717"/>
        <v>947</v>
      </c>
      <c r="BJ221" s="90">
        <f t="shared" si="717"/>
        <v>3575</v>
      </c>
      <c r="BK221" s="90">
        <f t="shared" si="717"/>
        <v>838</v>
      </c>
      <c r="BL221" s="28">
        <f t="shared" si="717"/>
        <v>912</v>
      </c>
      <c r="BM221" s="29">
        <f t="shared" ref="BM221:BO221" si="718">BM188+BM278</f>
        <v>957</v>
      </c>
      <c r="BN221" s="28">
        <f t="shared" si="718"/>
        <v>990</v>
      </c>
      <c r="BO221" s="90">
        <f t="shared" si="718"/>
        <v>3697</v>
      </c>
      <c r="BP221" s="90">
        <f t="shared" ref="BP221" si="719">BP188+BP278</f>
        <v>3697</v>
      </c>
      <c r="BQ221" s="90">
        <f t="shared" ref="BQ221:BU221" si="720">BQ188+BQ278</f>
        <v>900.41332000000011</v>
      </c>
      <c r="BR221" s="28">
        <f t="shared" si="720"/>
        <v>971.0441800000001</v>
      </c>
      <c r="BS221" s="28">
        <f t="shared" si="720"/>
        <v>970.48022999999989</v>
      </c>
      <c r="BT221" s="30">
        <f t="shared" si="720"/>
        <v>1090.4084100000002</v>
      </c>
      <c r="BU221" s="76">
        <f t="shared" si="720"/>
        <v>3932.3461400000006</v>
      </c>
      <c r="BV221" s="90"/>
      <c r="BW221" s="28"/>
      <c r="BX221" s="28"/>
      <c r="BY221" s="30"/>
      <c r="BZ221" s="76">
        <f>BZ188+BZ278</f>
        <v>4226.2361725335777</v>
      </c>
      <c r="CA221" s="90"/>
      <c r="CB221" s="28"/>
      <c r="CC221" s="28"/>
      <c r="CD221" s="30"/>
      <c r="CE221" s="76">
        <f>CE188+CE278</f>
        <v>4509.4129302547008</v>
      </c>
      <c r="CF221" s="90"/>
      <c r="CG221" s="28"/>
      <c r="CH221" s="28"/>
      <c r="CI221" s="30"/>
      <c r="CJ221" s="76">
        <f>CJ188+CJ278</f>
        <v>4808.799001984099</v>
      </c>
      <c r="CK221" s="289"/>
      <c r="CL221" s="658"/>
      <c r="CM221" s="658"/>
      <c r="CN221" s="682"/>
      <c r="CO221" s="658"/>
      <c r="CP221" s="658"/>
      <c r="CQ221" s="658"/>
      <c r="CR221" s="658"/>
      <c r="CS221" s="658"/>
      <c r="CT221" s="289"/>
    </row>
    <row r="222" spans="1:107">
      <c r="A222" s="164" t="s">
        <v>137</v>
      </c>
      <c r="B222" s="70"/>
      <c r="C222" s="70">
        <f>C221/B221-1</f>
        <v>0.8325449385052035</v>
      </c>
      <c r="D222" s="70">
        <f>D221/C221-1</f>
        <v>-6.1435209086215803E-2</v>
      </c>
      <c r="E222" s="70">
        <f>E221/D221-1</f>
        <v>0.15896589658965898</v>
      </c>
      <c r="F222" s="70">
        <f>F221/E221-1</f>
        <v>0.14617940199335555</v>
      </c>
      <c r="G222" s="70">
        <f>G221/F221-1</f>
        <v>0.10434782608695659</v>
      </c>
      <c r="H222" s="118"/>
      <c r="I222" s="64"/>
      <c r="J222" s="64"/>
      <c r="K222" s="64"/>
      <c r="L222" s="70">
        <f t="shared" ref="L222:AR222" si="721">L221/G221-1</f>
        <v>0.11923509561304835</v>
      </c>
      <c r="M222" s="64">
        <f t="shared" si="721"/>
        <v>9.7159940209267548E-2</v>
      </c>
      <c r="N222" s="64">
        <f t="shared" si="721"/>
        <v>7.1045576407506639E-2</v>
      </c>
      <c r="O222" s="64">
        <f t="shared" si="721"/>
        <v>0.13509749303621166</v>
      </c>
      <c r="P222" s="64">
        <f t="shared" si="721"/>
        <v>-3.0864197530864224E-2</v>
      </c>
      <c r="Q222" s="121">
        <f t="shared" si="721"/>
        <v>4.9581239530988253E-2</v>
      </c>
      <c r="R222" s="121">
        <f t="shared" si="721"/>
        <v>8.719346049046317E-2</v>
      </c>
      <c r="S222" s="64">
        <f t="shared" si="721"/>
        <v>6.5081351689612044E-2</v>
      </c>
      <c r="T222" s="64">
        <f t="shared" si="721"/>
        <v>6.3803680981595168E-2</v>
      </c>
      <c r="U222" s="64">
        <f t="shared" si="721"/>
        <v>0.14777070063694264</v>
      </c>
      <c r="V222" s="70">
        <f t="shared" si="721"/>
        <v>9.0647941270347809E-2</v>
      </c>
      <c r="W222" s="64">
        <f t="shared" si="721"/>
        <v>7.0175438596491224E-2</v>
      </c>
      <c r="X222" s="64">
        <f t="shared" si="721"/>
        <v>-0.42185663924794359</v>
      </c>
      <c r="Y222" s="64">
        <f t="shared" si="721"/>
        <v>4.4982698961937739E-2</v>
      </c>
      <c r="Z222" s="64">
        <f t="shared" si="721"/>
        <v>6.104328523862379E-2</v>
      </c>
      <c r="AA222" s="70">
        <f t="shared" si="721"/>
        <v>-6.1164764413227934E-2</v>
      </c>
      <c r="AB222" s="64">
        <f t="shared" si="721"/>
        <v>-8.4309133489461341E-2</v>
      </c>
      <c r="AC222" s="64">
        <f t="shared" si="721"/>
        <v>0.77032520325203246</v>
      </c>
      <c r="AD222" s="64">
        <f t="shared" si="721"/>
        <v>4.4150110375276164E-3</v>
      </c>
      <c r="AE222" s="64">
        <f t="shared" si="721"/>
        <v>9.9372384937238545E-2</v>
      </c>
      <c r="AF222" s="70">
        <f t="shared" si="721"/>
        <v>0.12655860349127179</v>
      </c>
      <c r="AG222" s="64">
        <f t="shared" si="721"/>
        <v>0.13554987212276215</v>
      </c>
      <c r="AH222" s="64">
        <f t="shared" si="721"/>
        <v>6.6590126291618867E-2</v>
      </c>
      <c r="AI222" s="64">
        <f t="shared" si="721"/>
        <v>3.9560439560439642E-2</v>
      </c>
      <c r="AJ222" s="64">
        <f t="shared" si="721"/>
        <v>-0.10941960038058995</v>
      </c>
      <c r="AK222" s="121">
        <f t="shared" si="721"/>
        <v>2.3519645821804103E-2</v>
      </c>
      <c r="AL222" s="121">
        <f t="shared" si="721"/>
        <v>-3.3783783783783994E-3</v>
      </c>
      <c r="AM222" s="64">
        <f t="shared" si="721"/>
        <v>2.3681377825618855E-2</v>
      </c>
      <c r="AN222" s="64">
        <f>AN221/AI221-1</f>
        <v>-3.3826638477801318E-2</v>
      </c>
      <c r="AO222" s="64">
        <f t="shared" si="721"/>
        <v>-5.7692307692307709E-2</v>
      </c>
      <c r="AP222" s="121">
        <f t="shared" si="721"/>
        <v>3.6226007028926643E-2</v>
      </c>
      <c r="AQ222" s="121">
        <f>AQ221/AL221-1</f>
        <v>-7.5254237288135628E-2</v>
      </c>
      <c r="AR222" s="64">
        <f t="shared" si="721"/>
        <v>-0.16508937960042058</v>
      </c>
      <c r="AS222" s="64">
        <f t="shared" ref="AS222:AU222" si="722">AS221/AN221-1</f>
        <v>-6.1269146608315062E-2</v>
      </c>
      <c r="AT222" s="64">
        <f t="shared" si="722"/>
        <v>5.3287981859410527E-2</v>
      </c>
      <c r="AU222" s="121">
        <f t="shared" si="722"/>
        <v>-0.11312288025045658</v>
      </c>
      <c r="AV222" s="121"/>
      <c r="AW222" s="64"/>
      <c r="AX222" s="64"/>
      <c r="AY222" s="64"/>
      <c r="AZ222" s="121">
        <f t="shared" ref="AZ222" si="723">AZ221/AU221-1</f>
        <v>1.4296640583632447E-2</v>
      </c>
      <c r="BA222" s="121">
        <f>BA221/AQ221-1</f>
        <v>0.14980449657869022</v>
      </c>
      <c r="BB222" s="64">
        <f>BB221/AR221-1</f>
        <v>-1.5113350125944613E-2</v>
      </c>
      <c r="BC222" s="64">
        <f>BC221/AS221-1</f>
        <v>-2.3310023310023631E-3</v>
      </c>
      <c r="BD222" s="64">
        <f>BD221/AT221-1</f>
        <v>8.3961248654467191E-2</v>
      </c>
      <c r="BE222" s="121">
        <f>BE221/AZ221-1</f>
        <v>4.0023201856148383E-2</v>
      </c>
      <c r="BF222" s="121">
        <f t="shared" ref="BF222:BJ222" si="724">BF221/BA221-1</f>
        <v>-0.23698193411264612</v>
      </c>
      <c r="BG222" s="64">
        <f t="shared" si="724"/>
        <v>0.30562659846547313</v>
      </c>
      <c r="BH222" s="64">
        <f t="shared" si="724"/>
        <v>3.8551401869158841E-2</v>
      </c>
      <c r="BI222" s="64">
        <f t="shared" si="724"/>
        <v>-5.9582919563058612E-2</v>
      </c>
      <c r="BJ222" s="121">
        <f t="shared" si="724"/>
        <v>-3.0674846625766694E-3</v>
      </c>
      <c r="BK222" s="121">
        <f t="shared" ref="BK222" si="725">BK221/BF221-1</f>
        <v>0.16713091922005563</v>
      </c>
      <c r="BL222" s="64">
        <f t="shared" ref="BL222:BM222" si="726">BL221/BG221-1</f>
        <v>-0.10675808031341827</v>
      </c>
      <c r="BM222" s="64">
        <f t="shared" si="726"/>
        <v>7.6490438695163032E-2</v>
      </c>
      <c r="BN222" s="64">
        <f t="shared" ref="BN222" si="727">BN221/BI221-1</f>
        <v>4.5406546990496288E-2</v>
      </c>
      <c r="BO222" s="121">
        <f t="shared" ref="BO222" si="728">BO221/BJ221-1</f>
        <v>3.4125874125874089E-2</v>
      </c>
      <c r="BP222" s="121">
        <f>BP221/BJ221-1</f>
        <v>3.4125874125874089E-2</v>
      </c>
      <c r="BQ222" s="121">
        <f t="shared" ref="BQ222" si="729">BQ221/BK221-1</f>
        <v>7.4478902147971482E-2</v>
      </c>
      <c r="BR222" s="64">
        <f t="shared" ref="BR222" si="730">BR221/BL221-1</f>
        <v>6.4741425438596512E-2</v>
      </c>
      <c r="BS222" s="64">
        <f t="shared" ref="BS222" si="731">BS221/BM221-1</f>
        <v>1.4085924764890123E-2</v>
      </c>
      <c r="BT222" s="122">
        <f t="shared" ref="BT222" si="732">BT221/BN221-1</f>
        <v>0.10142263636363658</v>
      </c>
      <c r="BU222" s="70">
        <f>BU221/BO221-1</f>
        <v>6.3658680010819646E-2</v>
      </c>
      <c r="BV222" s="121"/>
      <c r="BW222" s="64"/>
      <c r="BX222" s="64"/>
      <c r="BY222" s="122"/>
      <c r="BZ222" s="70">
        <f>BZ221/BU221-1</f>
        <v>7.4736562365178116E-2</v>
      </c>
      <c r="CA222" s="121"/>
      <c r="CB222" s="64"/>
      <c r="CC222" s="64"/>
      <c r="CD222" s="122"/>
      <c r="CE222" s="70">
        <f>CE221/BZ221-1</f>
        <v>6.7004480147488277E-2</v>
      </c>
      <c r="CF222" s="121"/>
      <c r="CG222" s="64"/>
      <c r="CH222" s="64"/>
      <c r="CI222" s="122"/>
      <c r="CJ222" s="70">
        <f>CJ221/CE221-1</f>
        <v>6.6391363212880306E-2</v>
      </c>
      <c r="CK222" s="289"/>
      <c r="CL222" s="658"/>
      <c r="CM222" s="658"/>
      <c r="CN222" s="682"/>
      <c r="CO222" s="658"/>
      <c r="CP222" s="658"/>
      <c r="CQ222" s="658"/>
      <c r="CR222" s="658"/>
      <c r="CS222" s="658"/>
      <c r="CT222" s="289"/>
    </row>
    <row r="223" spans="1:107">
      <c r="A223" s="183" t="s">
        <v>97</v>
      </c>
      <c r="B223" s="72">
        <f t="shared" ref="B223:AP223" si="733">B221/B$77</f>
        <v>6.5992383092963722E-2</v>
      </c>
      <c r="C223" s="72">
        <f t="shared" si="733"/>
        <v>0.1155727923627685</v>
      </c>
      <c r="D223" s="72">
        <f t="shared" si="733"/>
        <v>0.10039207024131647</v>
      </c>
      <c r="E223" s="72">
        <f t="shared" si="733"/>
        <v>0.11820476858345021</v>
      </c>
      <c r="F223" s="72">
        <f t="shared" si="733"/>
        <v>0.13060407765940188</v>
      </c>
      <c r="G223" s="72">
        <f t="shared" si="733"/>
        <v>0.1353326229258639</v>
      </c>
      <c r="H223" s="16">
        <f t="shared" si="733"/>
        <v>0.13925895087427145</v>
      </c>
      <c r="I223" s="16">
        <f t="shared" si="733"/>
        <v>0.14134141720348617</v>
      </c>
      <c r="J223" s="16">
        <f t="shared" si="733"/>
        <v>0.13757424794021844</v>
      </c>
      <c r="K223" s="13">
        <f t="shared" si="733"/>
        <v>0.13500000000000001</v>
      </c>
      <c r="L223" s="72">
        <f t="shared" si="733"/>
        <v>0.14013426599690154</v>
      </c>
      <c r="M223" s="13">
        <f t="shared" si="733"/>
        <v>0.13709376167351514</v>
      </c>
      <c r="N223" s="16">
        <f t="shared" si="733"/>
        <v>0.13611584327086881</v>
      </c>
      <c r="O223" s="16">
        <f t="shared" si="733"/>
        <v>0.13898362892223737</v>
      </c>
      <c r="P223" s="13">
        <f t="shared" si="733"/>
        <v>0.12898455471574105</v>
      </c>
      <c r="Q223" s="72">
        <f t="shared" si="733"/>
        <v>0.13519461465435401</v>
      </c>
      <c r="R223" s="13">
        <f t="shared" si="733"/>
        <v>0.13562202583276683</v>
      </c>
      <c r="S223" s="16">
        <f t="shared" si="733"/>
        <v>0.13893877551020409</v>
      </c>
      <c r="T223" s="16">
        <f t="shared" si="733"/>
        <v>0.13972602739726028</v>
      </c>
      <c r="U223" s="13">
        <f t="shared" si="733"/>
        <v>0.13514324283785811</v>
      </c>
      <c r="V223" s="72">
        <f t="shared" si="733"/>
        <v>0.13733370845223264</v>
      </c>
      <c r="W223" s="13">
        <f t="shared" si="733"/>
        <v>0.1410870642656534</v>
      </c>
      <c r="X223" s="16">
        <f t="shared" si="733"/>
        <v>8.2370668006027117E-2</v>
      </c>
      <c r="Y223" s="16">
        <f t="shared" si="733"/>
        <v>0.14445153061224489</v>
      </c>
      <c r="Z223" s="13">
        <f t="shared" si="733"/>
        <v>0.13885257806826434</v>
      </c>
      <c r="AA223" s="72">
        <f t="shared" si="733"/>
        <v>0.12738752332923003</v>
      </c>
      <c r="AB223" s="13">
        <f t="shared" si="733"/>
        <v>0.12921348314606743</v>
      </c>
      <c r="AC223" s="16">
        <f t="shared" si="733"/>
        <v>0.14046121593291405</v>
      </c>
      <c r="AD223" s="16">
        <f t="shared" si="733"/>
        <v>0.14879005886200131</v>
      </c>
      <c r="AE223" s="13">
        <f t="shared" si="733"/>
        <v>0.16365618187480535</v>
      </c>
      <c r="AF223" s="72">
        <f t="shared" si="733"/>
        <v>0.14577871001573151</v>
      </c>
      <c r="AG223" s="13">
        <f t="shared" si="733"/>
        <v>0.14954530144829908</v>
      </c>
      <c r="AH223" s="16">
        <f t="shared" si="733"/>
        <v>0.15504005340453939</v>
      </c>
      <c r="AI223" s="16">
        <f t="shared" si="733"/>
        <v>0.1564929693961952</v>
      </c>
      <c r="AJ223" s="13">
        <f t="shared" si="733"/>
        <v>0.14536418698555675</v>
      </c>
      <c r="AK223" s="21">
        <f t="shared" si="733"/>
        <v>0.15151142786925534</v>
      </c>
      <c r="AL223" s="21">
        <f t="shared" si="733"/>
        <v>0.15053580540908318</v>
      </c>
      <c r="AM223" s="13">
        <f t="shared" si="733"/>
        <v>0.15551921504497138</v>
      </c>
      <c r="AN223" s="16">
        <f t="shared" si="733"/>
        <v>0.15645326942827797</v>
      </c>
      <c r="AO223" s="13">
        <f>AO221/AO$77</f>
        <v>0.15025553662691651</v>
      </c>
      <c r="AP223" s="21">
        <f t="shared" si="733"/>
        <v>0.1610978018745009</v>
      </c>
      <c r="AQ223" s="21">
        <f>AQ221/AQ$77</f>
        <v>0.14858387799564271</v>
      </c>
      <c r="AR223" s="13">
        <f>AR221/AR$77</f>
        <v>0.13927381161199789</v>
      </c>
      <c r="AS223" s="16">
        <f>AS221/AS$77</f>
        <v>0.1567409572524662</v>
      </c>
      <c r="AT223" s="13">
        <f t="shared" ref="AT223:BE223" si="734">AT221/AT$77</f>
        <v>0.15122904118508873</v>
      </c>
      <c r="AU223" s="21">
        <f t="shared" si="734"/>
        <v>0.14892666257776221</v>
      </c>
      <c r="AV223" s="21"/>
      <c r="AW223" s="13"/>
      <c r="AX223" s="16"/>
      <c r="AY223" s="13"/>
      <c r="AZ223" s="21">
        <f t="shared" ref="AZ223" si="735">AZ221/AZ$77</f>
        <v>0.15105581354595637</v>
      </c>
      <c r="BA223" s="21">
        <f t="shared" si="734"/>
        <v>0.17795007564296519</v>
      </c>
      <c r="BB223" s="13">
        <f t="shared" si="734"/>
        <v>0.13372093023255813</v>
      </c>
      <c r="BC223" s="16">
        <f t="shared" si="734"/>
        <v>0.148020058793014</v>
      </c>
      <c r="BD223" s="13">
        <f t="shared" si="734"/>
        <v>0.15913400758533502</v>
      </c>
      <c r="BE223" s="21">
        <f t="shared" si="734"/>
        <v>0.15425646319955263</v>
      </c>
      <c r="BF223" s="21">
        <f t="shared" ref="BF223:BL223" si="736">BF221/BF$77</f>
        <v>0.12375043088590142</v>
      </c>
      <c r="BG223" s="13">
        <f t="shared" si="736"/>
        <v>0.1691797845898923</v>
      </c>
      <c r="BH223" s="16">
        <f t="shared" si="736"/>
        <v>0.14735620752527764</v>
      </c>
      <c r="BI223" s="13">
        <f t="shared" si="736"/>
        <v>0.15269267978071591</v>
      </c>
      <c r="BJ223" s="21">
        <f t="shared" si="736"/>
        <v>0.14851279494848788</v>
      </c>
      <c r="BK223" s="21">
        <f t="shared" si="736"/>
        <v>0.13966666666666666</v>
      </c>
      <c r="BL223" s="13">
        <f t="shared" si="736"/>
        <v>0.1451998089476198</v>
      </c>
      <c r="BM223" s="16">
        <f t="shared" ref="BM223:BO223" si="737">BM221/BM$77</f>
        <v>0.15229153405474219</v>
      </c>
      <c r="BN223" s="13">
        <f t="shared" si="737"/>
        <v>0.145953118089341</v>
      </c>
      <c r="BO223" s="21">
        <f t="shared" si="737"/>
        <v>0.14584977118510337</v>
      </c>
      <c r="BP223" s="21">
        <f t="shared" ref="BP223" si="738">BP221/BP$77</f>
        <v>0.14584977118510337</v>
      </c>
      <c r="BQ223" s="21">
        <f t="shared" ref="BQ223:BU223" si="739">BQ221/BQ$77</f>
        <v>0.14305086828876709</v>
      </c>
      <c r="BR223" s="13">
        <f t="shared" si="739"/>
        <v>0.14578961701759152</v>
      </c>
      <c r="BS223" s="13">
        <f t="shared" si="739"/>
        <v>0.1460288029211291</v>
      </c>
      <c r="BT223" s="14">
        <f t="shared" si="739"/>
        <v>0.15125598109084554</v>
      </c>
      <c r="BU223" s="72">
        <f t="shared" si="739"/>
        <v>0.14667578925684271</v>
      </c>
      <c r="BV223" s="21"/>
      <c r="BW223" s="13"/>
      <c r="BX223" s="13"/>
      <c r="BY223" s="14"/>
      <c r="BZ223" s="72">
        <f>BZ221/BZ$77</f>
        <v>0.14948565171386768</v>
      </c>
      <c r="CA223" s="21"/>
      <c r="CB223" s="13"/>
      <c r="CC223" s="13"/>
      <c r="CD223" s="14"/>
      <c r="CE223" s="72">
        <f>CE221/CE$77</f>
        <v>0.15091325186421345</v>
      </c>
      <c r="CF223" s="21"/>
      <c r="CG223" s="13"/>
      <c r="CH223" s="13"/>
      <c r="CI223" s="14"/>
      <c r="CJ223" s="72">
        <f>CJ221/CJ$77</f>
        <v>0.15222421514680851</v>
      </c>
      <c r="CK223" s="289"/>
      <c r="CL223" s="658"/>
      <c r="CM223" s="658"/>
      <c r="CN223" s="682"/>
      <c r="CO223" s="658"/>
      <c r="CP223" s="658"/>
      <c r="CQ223" s="658"/>
      <c r="CR223" s="658"/>
      <c r="CS223" s="658"/>
      <c r="CT223" s="289"/>
    </row>
    <row r="224" spans="1:107" s="308" customFormat="1">
      <c r="A224" s="184" t="s">
        <v>140</v>
      </c>
      <c r="B224" s="114"/>
      <c r="C224" s="114">
        <f>(C223-B223)*100</f>
        <v>4.9580409269804786</v>
      </c>
      <c r="D224" s="114">
        <f>(D223-C223)*100</f>
        <v>-1.5180722121452037</v>
      </c>
      <c r="E224" s="114">
        <f>(E223-D223)*100</f>
        <v>1.7812698342133739</v>
      </c>
      <c r="F224" s="114">
        <f>(F223-E223)*100</f>
        <v>1.2399309075951672</v>
      </c>
      <c r="G224" s="114">
        <f>(G223-F223)*100</f>
        <v>0.47285452664620198</v>
      </c>
      <c r="H224" s="113"/>
      <c r="I224" s="113"/>
      <c r="J224" s="113"/>
      <c r="K224" s="113"/>
      <c r="L224" s="114">
        <f t="shared" ref="L224:AS224" si="740">(L223-G223)*100</f>
        <v>0.48016430710376423</v>
      </c>
      <c r="M224" s="113">
        <f t="shared" si="740"/>
        <v>-0.21651892007563123</v>
      </c>
      <c r="N224" s="113">
        <f t="shared" si="740"/>
        <v>-0.52255739326173556</v>
      </c>
      <c r="O224" s="113">
        <f t="shared" si="740"/>
        <v>0.14093809820189263</v>
      </c>
      <c r="P224" s="113">
        <f t="shared" si="740"/>
        <v>-0.60154452842589579</v>
      </c>
      <c r="Q224" s="114">
        <f t="shared" si="740"/>
        <v>-0.49396513425475352</v>
      </c>
      <c r="R224" s="113">
        <f t="shared" si="740"/>
        <v>-0.14717358407483061</v>
      </c>
      <c r="S224" s="113">
        <f t="shared" si="740"/>
        <v>0.2822932239335274</v>
      </c>
      <c r="T224" s="113">
        <f t="shared" si="740"/>
        <v>7.4239847502291512E-2</v>
      </c>
      <c r="U224" s="113">
        <f t="shared" si="740"/>
        <v>0.6158688122117062</v>
      </c>
      <c r="V224" s="114">
        <f t="shared" si="740"/>
        <v>0.21390937978786329</v>
      </c>
      <c r="W224" s="113">
        <f t="shared" si="740"/>
        <v>0.54650384328865653</v>
      </c>
      <c r="X224" s="113">
        <f t="shared" si="740"/>
        <v>-5.656810750417697</v>
      </c>
      <c r="Y224" s="113">
        <f t="shared" si="740"/>
        <v>0.47255032149846055</v>
      </c>
      <c r="Z224" s="113">
        <f t="shared" si="740"/>
        <v>0.37093352304062299</v>
      </c>
      <c r="AA224" s="114">
        <f t="shared" si="740"/>
        <v>-0.99461851230026044</v>
      </c>
      <c r="AB224" s="113">
        <f t="shared" si="740"/>
        <v>-1.1873581119585974</v>
      </c>
      <c r="AC224" s="113">
        <f t="shared" si="740"/>
        <v>5.8090547926886931</v>
      </c>
      <c r="AD224" s="113">
        <f t="shared" si="740"/>
        <v>0.43385282497564182</v>
      </c>
      <c r="AE224" s="113">
        <f t="shared" si="740"/>
        <v>2.4803603806541008</v>
      </c>
      <c r="AF224" s="114">
        <f t="shared" si="740"/>
        <v>1.8391186686501471</v>
      </c>
      <c r="AG224" s="113">
        <f t="shared" si="740"/>
        <v>2.0331818302231657</v>
      </c>
      <c r="AH224" s="113">
        <f t="shared" si="740"/>
        <v>1.4578837471625334</v>
      </c>
      <c r="AI224" s="113">
        <f t="shared" si="740"/>
        <v>0.77029105341938908</v>
      </c>
      <c r="AJ224" s="113">
        <f t="shared" si="740"/>
        <v>-1.8291994889248597</v>
      </c>
      <c r="AK224" s="115">
        <f t="shared" si="740"/>
        <v>0.57327178535238332</v>
      </c>
      <c r="AL224" s="115">
        <f t="shared" si="740"/>
        <v>9.9050396078409486E-2</v>
      </c>
      <c r="AM224" s="113">
        <f t="shared" si="740"/>
        <v>4.7916164043199094E-2</v>
      </c>
      <c r="AN224" s="113">
        <f t="shared" si="740"/>
        <v>-3.9699967917222745E-3</v>
      </c>
      <c r="AO224" s="113">
        <f t="shared" si="740"/>
        <v>0.48913496413597601</v>
      </c>
      <c r="AP224" s="114">
        <f t="shared" si="740"/>
        <v>0.95863740052455626</v>
      </c>
      <c r="AQ224" s="115">
        <f>(AQ223-AL223)*100</f>
        <v>-0.19519274134404685</v>
      </c>
      <c r="AR224" s="113">
        <f t="shared" si="740"/>
        <v>-1.6245403432973482</v>
      </c>
      <c r="AS224" s="113">
        <f t="shared" si="740"/>
        <v>2.8768782418822636E-2</v>
      </c>
      <c r="AT224" s="113">
        <f t="shared" ref="AT224:AU224" si="741">(AT223-AO223)*100</f>
        <v>9.7350455817221682E-2</v>
      </c>
      <c r="AU224" s="114">
        <f t="shared" si="741"/>
        <v>-1.2171139296738687</v>
      </c>
      <c r="AV224" s="115"/>
      <c r="AW224" s="113"/>
      <c r="AX224" s="113"/>
      <c r="AY224" s="113"/>
      <c r="AZ224" s="114">
        <f t="shared" ref="AZ224" si="742">(AZ223-AU223)*100</f>
        <v>0.21291509681941601</v>
      </c>
      <c r="BA224" s="115">
        <f>(BA223-AQ223)*100</f>
        <v>2.9366197647322485</v>
      </c>
      <c r="BB224" s="113">
        <f>(BB223-AR223)*100</f>
        <v>-0.55528813794397669</v>
      </c>
      <c r="BC224" s="113">
        <f>(BC223-AS223)*100</f>
        <v>-0.87208984594522032</v>
      </c>
      <c r="BD224" s="113">
        <f>(BD223-AT223)*100</f>
        <v>0.79049664002462938</v>
      </c>
      <c r="BE224" s="114">
        <f>(BE223-AZ223)*100</f>
        <v>0.32006496535962603</v>
      </c>
      <c r="BF224" s="115">
        <f t="shared" ref="BF224:BM224" si="743">(BF223-BA223)*100</f>
        <v>-5.4199644757063776</v>
      </c>
      <c r="BG224" s="113">
        <f t="shared" si="743"/>
        <v>3.5458854357334175</v>
      </c>
      <c r="BH224" s="113">
        <f t="shared" si="743"/>
        <v>-6.6385126773635394E-2</v>
      </c>
      <c r="BI224" s="113">
        <f t="shared" si="743"/>
        <v>-0.6441327804619118</v>
      </c>
      <c r="BJ224" s="114">
        <f t="shared" si="743"/>
        <v>-0.57436682510647596</v>
      </c>
      <c r="BK224" s="115">
        <f t="shared" si="743"/>
        <v>1.5916235780765244</v>
      </c>
      <c r="BL224" s="113">
        <f t="shared" si="743"/>
        <v>-2.39799756422725</v>
      </c>
      <c r="BM224" s="113">
        <f t="shared" si="743"/>
        <v>0.49353265294645454</v>
      </c>
      <c r="BN224" s="113">
        <f t="shared" ref="BN224" si="744">(BN223-BI223)*100</f>
        <v>-0.67395616913749068</v>
      </c>
      <c r="BO224" s="114">
        <f t="shared" ref="BO224" si="745">(BO223-BJ223)*100</f>
        <v>-0.26630237633845089</v>
      </c>
      <c r="BP224" s="114">
        <f>(BP223-BJ223)*100</f>
        <v>-0.26630237633845089</v>
      </c>
      <c r="BQ224" s="115">
        <f t="shared" ref="BQ224" si="746">(BQ223-BK223)*100</f>
        <v>0.33842016221004301</v>
      </c>
      <c r="BR224" s="113">
        <f t="shared" ref="BR224" si="747">(BR223-BL223)*100</f>
        <v>5.8980806997172008E-2</v>
      </c>
      <c r="BS224" s="113">
        <f t="shared" ref="BS224" si="748">(BS223-BM223)*100</f>
        <v>-0.62627311336130864</v>
      </c>
      <c r="BT224" s="116">
        <f>(BT223-BN223)*100</f>
        <v>0.53028630015045375</v>
      </c>
      <c r="BU224" s="114">
        <f>(BU223-BO223)*100</f>
        <v>8.2601807173934838E-2</v>
      </c>
      <c r="BV224" s="115"/>
      <c r="BW224" s="113"/>
      <c r="BX224" s="113"/>
      <c r="BY224" s="116"/>
      <c r="BZ224" s="114">
        <f>(BZ223-BU223)*100</f>
        <v>0.28098624570249697</v>
      </c>
      <c r="CA224" s="115"/>
      <c r="CB224" s="113"/>
      <c r="CC224" s="113"/>
      <c r="CD224" s="116"/>
      <c r="CE224" s="114">
        <f>(CE223-BZ223)*100</f>
        <v>0.14276001503457647</v>
      </c>
      <c r="CF224" s="115"/>
      <c r="CG224" s="113"/>
      <c r="CH224" s="113"/>
      <c r="CI224" s="116"/>
      <c r="CJ224" s="114">
        <f>(CJ223-CE223)*100</f>
        <v>0.13109632825950568</v>
      </c>
      <c r="CK224" s="307"/>
      <c r="CL224" s="984"/>
      <c r="CM224" s="675"/>
      <c r="CN224" s="682"/>
      <c r="CO224" s="675"/>
      <c r="CP224" s="675"/>
      <c r="CQ224" s="675"/>
      <c r="CR224" s="675"/>
      <c r="CS224" s="675"/>
      <c r="CT224" s="307"/>
      <c r="CX224"/>
      <c r="CY224"/>
      <c r="CZ224"/>
      <c r="DA224"/>
      <c r="DB224"/>
      <c r="DC224"/>
    </row>
    <row r="225" spans="1:107" s="306" customFormat="1" ht="12" customHeight="1">
      <c r="A225" s="123" t="s">
        <v>159</v>
      </c>
      <c r="B225" s="97"/>
      <c r="C225" s="97"/>
      <c r="D225" s="97"/>
      <c r="E225" s="97"/>
      <c r="F225" s="97"/>
      <c r="G225" s="97"/>
      <c r="H225" s="96"/>
      <c r="I225" s="96"/>
      <c r="J225" s="96"/>
      <c r="K225" s="98"/>
      <c r="L225" s="97"/>
      <c r="M225" s="96"/>
      <c r="N225" s="96"/>
      <c r="O225" s="96"/>
      <c r="P225" s="98"/>
      <c r="Q225" s="97"/>
      <c r="R225" s="96"/>
      <c r="S225" s="96"/>
      <c r="T225" s="96"/>
      <c r="U225" s="98"/>
      <c r="V225" s="97"/>
      <c r="W225" s="96"/>
      <c r="X225" s="96"/>
      <c r="Y225" s="96"/>
      <c r="Z225" s="98"/>
      <c r="AA225" s="97"/>
      <c r="AB225" s="96"/>
      <c r="AC225" s="96"/>
      <c r="AD225" s="96"/>
      <c r="AE225" s="98"/>
      <c r="AF225" s="97"/>
      <c r="AG225" s="96"/>
      <c r="AH225" s="96"/>
      <c r="AI225" s="96"/>
      <c r="AJ225" s="98"/>
      <c r="AK225" s="99"/>
      <c r="AL225" s="99"/>
      <c r="AM225" s="98"/>
      <c r="AN225" s="96"/>
      <c r="AO225" s="98"/>
      <c r="AP225" s="97"/>
      <c r="AQ225" s="99"/>
      <c r="AR225" s="98"/>
      <c r="AS225" s="96"/>
      <c r="AT225" s="98"/>
      <c r="AU225" s="97"/>
      <c r="AV225" s="99"/>
      <c r="AW225" s="98"/>
      <c r="AX225" s="96"/>
      <c r="AY225" s="98"/>
      <c r="AZ225" s="97"/>
      <c r="BA225" s="99"/>
      <c r="BB225" s="98"/>
      <c r="BC225" s="96"/>
      <c r="BD225" s="98"/>
      <c r="BE225" s="97"/>
      <c r="BF225" s="99"/>
      <c r="BG225" s="98"/>
      <c r="BH225" s="98"/>
      <c r="BI225" s="100"/>
      <c r="BJ225" s="97"/>
      <c r="BK225" s="99"/>
      <c r="BL225" s="98"/>
      <c r="BM225" s="98"/>
      <c r="BN225" s="100"/>
      <c r="BO225" s="97"/>
      <c r="BP225" s="97"/>
      <c r="BQ225" s="99"/>
      <c r="BR225" s="98"/>
      <c r="BS225" s="98"/>
      <c r="BT225" s="100"/>
      <c r="BU225" s="97"/>
      <c r="BV225" s="99"/>
      <c r="BW225" s="98"/>
      <c r="BX225" s="98"/>
      <c r="BY225" s="100"/>
      <c r="BZ225" s="97"/>
      <c r="CA225" s="99"/>
      <c r="CB225" s="98"/>
      <c r="CC225" s="98"/>
      <c r="CD225" s="100"/>
      <c r="CE225" s="97"/>
      <c r="CF225" s="99"/>
      <c r="CG225" s="98"/>
      <c r="CH225" s="98"/>
      <c r="CI225" s="100"/>
      <c r="CJ225" s="97"/>
      <c r="CK225" s="66"/>
      <c r="CL225" s="658"/>
      <c r="CM225" s="658"/>
      <c r="CN225" s="682"/>
      <c r="CO225" s="658"/>
      <c r="CP225" s="1052"/>
      <c r="CQ225" s="658"/>
      <c r="CR225" s="658"/>
      <c r="CS225" s="658"/>
      <c r="CT225" s="66"/>
      <c r="CX225"/>
      <c r="CY225"/>
      <c r="CZ225"/>
      <c r="DA225"/>
      <c r="DB225"/>
      <c r="DC225"/>
    </row>
    <row r="226" spans="1:107" s="180" customFormat="1">
      <c r="A226" s="185" t="s">
        <v>59</v>
      </c>
      <c r="B226" s="186">
        <v>-696</v>
      </c>
      <c r="C226" s="186">
        <v>-497</v>
      </c>
      <c r="D226" s="186">
        <v>-537</v>
      </c>
      <c r="E226" s="186">
        <v>-418</v>
      </c>
      <c r="F226" s="186">
        <v>-305</v>
      </c>
      <c r="G226" s="186">
        <v>-272</v>
      </c>
      <c r="H226" s="187">
        <v>-60</v>
      </c>
      <c r="I226" s="187">
        <v>-54</v>
      </c>
      <c r="J226" s="187">
        <v>-41</v>
      </c>
      <c r="K226" s="187">
        <v>-41</v>
      </c>
      <c r="L226" s="570">
        <f>SUM(H226:K226)</f>
        <v>-196</v>
      </c>
      <c r="M226" s="187">
        <v>-34</v>
      </c>
      <c r="N226" s="187">
        <v>-34</v>
      </c>
      <c r="O226" s="187">
        <v>-29</v>
      </c>
      <c r="P226" s="187">
        <v>-32</v>
      </c>
      <c r="Q226" s="186">
        <f>SUM(M226:P226)</f>
        <v>-129</v>
      </c>
      <c r="R226" s="187">
        <v>-32</v>
      </c>
      <c r="S226" s="187">
        <v>-31</v>
      </c>
      <c r="T226" s="187">
        <v>-32</v>
      </c>
      <c r="U226" s="187">
        <f>-28+22</f>
        <v>-6</v>
      </c>
      <c r="V226" s="186">
        <f>SUM(R226:U226)</f>
        <v>-101</v>
      </c>
      <c r="W226" s="187">
        <v>-32</v>
      </c>
      <c r="X226" s="187">
        <v>-33</v>
      </c>
      <c r="Y226" s="187">
        <v>-33</v>
      </c>
      <c r="Z226" s="536">
        <v>-28</v>
      </c>
      <c r="AA226" s="186">
        <f>SUM(W226:Z226)</f>
        <v>-126</v>
      </c>
      <c r="AB226" s="187">
        <v>-43</v>
      </c>
      <c r="AC226" s="187">
        <v>-43</v>
      </c>
      <c r="AD226" s="187">
        <v>-41</v>
      </c>
      <c r="AE226" s="187">
        <v>-45</v>
      </c>
      <c r="AF226" s="186">
        <f>SUM(AB226:AE226)</f>
        <v>-172</v>
      </c>
      <c r="AG226" s="187">
        <v>-50</v>
      </c>
      <c r="AH226" s="187">
        <v>-50</v>
      </c>
      <c r="AI226" s="187">
        <v>-49</v>
      </c>
      <c r="AJ226" s="187">
        <v>-52</v>
      </c>
      <c r="AK226" s="186">
        <f>+SUM(AG226:AJ226)</f>
        <v>-201</v>
      </c>
      <c r="AL226" s="187">
        <v>-53</v>
      </c>
      <c r="AM226" s="187">
        <v>-53</v>
      </c>
      <c r="AN226" s="187">
        <v>-53</v>
      </c>
      <c r="AO226" s="187">
        <v>-51</v>
      </c>
      <c r="AP226" s="186">
        <f>SUM(AL226:AO226)</f>
        <v>-210</v>
      </c>
      <c r="AQ226" s="187">
        <v>-51</v>
      </c>
      <c r="AR226" s="187">
        <v>-54</v>
      </c>
      <c r="AS226" s="187">
        <v>-53</v>
      </c>
      <c r="AT226" s="187">
        <v>-55</v>
      </c>
      <c r="AU226" s="186">
        <f>SUM(AQ226:AT226)</f>
        <v>-213</v>
      </c>
      <c r="AV226" s="187"/>
      <c r="AW226" s="187"/>
      <c r="AX226" s="187"/>
      <c r="AY226" s="187"/>
      <c r="AZ226" s="186">
        <v>-213</v>
      </c>
      <c r="BA226" s="187">
        <v>-58</v>
      </c>
      <c r="BB226" s="187">
        <v>-59</v>
      </c>
      <c r="BC226" s="923">
        <v>-58</v>
      </c>
      <c r="BD226" s="923">
        <v>-58</v>
      </c>
      <c r="BE226" s="186">
        <f>SUM(BA226:BD226)</f>
        <v>-233</v>
      </c>
      <c r="BF226" s="902">
        <v>-58</v>
      </c>
      <c r="BG226" s="923">
        <v>-58</v>
      </c>
      <c r="BH226" s="923">
        <v>-58</v>
      </c>
      <c r="BI226" s="932">
        <v>-58</v>
      </c>
      <c r="BJ226" s="186">
        <f>SUM(BF226:BI226)</f>
        <v>-232</v>
      </c>
      <c r="BK226" s="903">
        <v>-58</v>
      </c>
      <c r="BL226" s="734">
        <v>-51</v>
      </c>
      <c r="BM226" s="923">
        <v>-48</v>
      </c>
      <c r="BN226" s="932">
        <v>-48</v>
      </c>
      <c r="BO226" s="186">
        <f>SUM(BK226:BN226)</f>
        <v>-205</v>
      </c>
      <c r="BP226" s="186">
        <f>BO226</f>
        <v>-205</v>
      </c>
      <c r="BQ226" s="737">
        <f>-BQ227*BQ228/4</f>
        <v>-48.27714427367377</v>
      </c>
      <c r="BR226" s="734">
        <f>-BR227*BR228/4</f>
        <v>-48.27714427367377</v>
      </c>
      <c r="BS226" s="734">
        <f t="shared" ref="BS226:BT226" si="749">-BS227*BS228/4</f>
        <v>-48.27714427367377</v>
      </c>
      <c r="BT226" s="738">
        <f t="shared" si="749"/>
        <v>-48.27714427367377</v>
      </c>
      <c r="BU226" s="186">
        <f>SUM(BQ226:BT226)</f>
        <v>-193.10857709469508</v>
      </c>
      <c r="BV226" s="870"/>
      <c r="BW226" s="871"/>
      <c r="BX226" s="871"/>
      <c r="BY226" s="872"/>
      <c r="BZ226" s="893">
        <v>-193</v>
      </c>
      <c r="CA226" s="870"/>
      <c r="CB226" s="871"/>
      <c r="CC226" s="871"/>
      <c r="CD226" s="872"/>
      <c r="CE226" s="893">
        <v>-193</v>
      </c>
      <c r="CF226" s="870"/>
      <c r="CG226" s="871"/>
      <c r="CH226" s="871"/>
      <c r="CI226" s="872"/>
      <c r="CJ226" s="893">
        <v>-193</v>
      </c>
      <c r="CK226" s="291"/>
      <c r="CL226" s="657" t="s">
        <v>359</v>
      </c>
      <c r="CM226" s="657"/>
      <c r="CN226" s="682"/>
      <c r="CO226" s="657"/>
      <c r="CP226" s="657"/>
      <c r="CQ226" s="657"/>
      <c r="CR226" s="657"/>
      <c r="CS226" s="657"/>
      <c r="CT226" s="291"/>
      <c r="CX226"/>
      <c r="CY226"/>
      <c r="CZ226"/>
      <c r="DA226"/>
      <c r="DB226"/>
      <c r="DC226"/>
    </row>
    <row r="227" spans="1:107">
      <c r="A227" s="124" t="s">
        <v>160</v>
      </c>
      <c r="B227" s="73"/>
      <c r="C227" s="73"/>
      <c r="D227" s="73"/>
      <c r="E227" s="73"/>
      <c r="F227" s="73"/>
      <c r="G227" s="73"/>
      <c r="H227" s="18"/>
      <c r="I227" s="12"/>
      <c r="J227" s="18"/>
      <c r="K227" s="12"/>
      <c r="L227" s="73"/>
      <c r="M227" s="18"/>
      <c r="N227" s="18"/>
      <c r="O227" s="18"/>
      <c r="P227" s="12"/>
      <c r="Q227" s="78">
        <f>AVERAGE(Q332,L332)</f>
        <v>2288.5</v>
      </c>
      <c r="R227" s="18"/>
      <c r="S227" s="18"/>
      <c r="T227" s="12"/>
      <c r="U227" s="12"/>
      <c r="V227" s="78">
        <f>AVERAGE(V332,Q332)</f>
        <v>2319</v>
      </c>
      <c r="W227" s="12"/>
      <c r="X227" s="12"/>
      <c r="Y227" s="12"/>
      <c r="Z227" s="578"/>
      <c r="AA227" s="78">
        <f>AVERAGE(AA332,V332)</f>
        <v>2969.5</v>
      </c>
      <c r="AB227" s="12"/>
      <c r="AC227" s="12"/>
      <c r="AD227" s="12"/>
      <c r="AE227" s="12"/>
      <c r="AF227" s="78">
        <f>AVERAGE(AF332,AA332)</f>
        <v>4107.5</v>
      </c>
      <c r="AG227" s="12"/>
      <c r="AH227" s="12"/>
      <c r="AI227" s="12"/>
      <c r="AJ227" s="12"/>
      <c r="AK227" s="78">
        <f>AVERAGE(AK332,AF332)</f>
        <v>4668</v>
      </c>
      <c r="AL227" s="12">
        <f>AVERAGE(AK332:AL332)</f>
        <v>4731</v>
      </c>
      <c r="AM227" s="12">
        <f>AVERAGE(AL332:AM332)</f>
        <v>4731.5</v>
      </c>
      <c r="AN227" s="12">
        <f>AVERAGE(AM332:AN332)</f>
        <v>4732.5</v>
      </c>
      <c r="AO227" s="12">
        <f>AVERAGE(AN332:AO332)</f>
        <v>4733.5</v>
      </c>
      <c r="AP227" s="78">
        <f>AVERAGE(AP332,AK332)</f>
        <v>4732.5</v>
      </c>
      <c r="AQ227" s="12">
        <f>AVERAGE(AP332:AQ332)</f>
        <v>4734.5</v>
      </c>
      <c r="AR227" s="12">
        <f>AVERAGE(AQ332:AR332)</f>
        <v>4735.5</v>
      </c>
      <c r="AS227" s="12">
        <f>AVERAGE(AR332:AS332)</f>
        <v>4736.5</v>
      </c>
      <c r="AT227" s="12">
        <f>AVERAGE(AS332:AT332)</f>
        <v>5033.5</v>
      </c>
      <c r="AU227" s="78">
        <f>AVERAGE(AU332,AP332)</f>
        <v>5032</v>
      </c>
      <c r="AV227" s="12"/>
      <c r="AW227" s="12"/>
      <c r="AX227" s="12"/>
      <c r="AY227" s="12"/>
      <c r="AZ227" s="78">
        <f>AVERAGE(AZ332,AU332)</f>
        <v>5330</v>
      </c>
      <c r="BA227" s="12">
        <f>AVERAGE(AU332:BA332)</f>
        <v>5330.333333333333</v>
      </c>
      <c r="BB227" s="12">
        <f>AVERAGE(BA332:BB332)</f>
        <v>5332</v>
      </c>
      <c r="BC227" s="12">
        <f>AVERAGE(BB332:BC332)</f>
        <v>5333.5</v>
      </c>
      <c r="BD227" s="12">
        <f>AVERAGE(BC332:BD332)</f>
        <v>5332</v>
      </c>
      <c r="BE227" s="78">
        <f>AVERAGE(BE332,AZ332)</f>
        <v>5330</v>
      </c>
      <c r="BF227" s="12">
        <f>AVERAGE(BE332:BF332)</f>
        <v>5331</v>
      </c>
      <c r="BG227" s="12">
        <f>AVERAGE(BF332:BG332)</f>
        <v>5332.5</v>
      </c>
      <c r="BH227" s="12">
        <f>AVERAGE(BG332:BH332)</f>
        <v>5333.5</v>
      </c>
      <c r="BI227" s="12">
        <f>AVERAGE(BH332:BI332)</f>
        <v>5334.5</v>
      </c>
      <c r="BJ227" s="78">
        <f>AVERAGE(BJ332,BE332)</f>
        <v>5332.5</v>
      </c>
      <c r="BK227" s="12">
        <f>AVERAGE(BJ332:BK332)</f>
        <v>5210.5</v>
      </c>
      <c r="BL227" s="12">
        <f>AVERAGE(BK332:BL332)</f>
        <v>4916.5</v>
      </c>
      <c r="BM227" s="12">
        <f>AVERAGE(BL332:BM332)</f>
        <v>4748</v>
      </c>
      <c r="BN227" s="12">
        <f>AVERAGE(BM332:BN332)</f>
        <v>4749.5</v>
      </c>
      <c r="BO227" s="78">
        <f>AVERAGE(BO332,BJ332)</f>
        <v>5042.5</v>
      </c>
      <c r="BP227" s="78">
        <f>BO227</f>
        <v>5042.5</v>
      </c>
      <c r="BQ227" s="40">
        <f>AVERAGE(BO332:BQ332)</f>
        <v>4750</v>
      </c>
      <c r="BR227" s="12">
        <f t="shared" ref="BR227:BT227" si="750">AVERAGE(BQ332:BR332)</f>
        <v>4750</v>
      </c>
      <c r="BS227" s="12">
        <f t="shared" si="750"/>
        <v>4750</v>
      </c>
      <c r="BT227" s="11">
        <f t="shared" si="750"/>
        <v>4750</v>
      </c>
      <c r="BU227" s="78">
        <f>AVERAGE(BU332,BO332)</f>
        <v>4750</v>
      </c>
      <c r="BV227" s="40"/>
      <c r="BW227" s="12"/>
      <c r="BX227" s="12"/>
      <c r="BY227" s="11"/>
      <c r="BZ227" s="78">
        <f>AVERAGE(BZ332,BU332)</f>
        <v>4750</v>
      </c>
      <c r="CA227" s="40"/>
      <c r="CB227" s="12"/>
      <c r="CC227" s="12"/>
      <c r="CD227" s="11"/>
      <c r="CE227" s="78">
        <f>AVERAGE(CE332,BZ332)</f>
        <v>4750</v>
      </c>
      <c r="CF227" s="40"/>
      <c r="CG227" s="12"/>
      <c r="CH227" s="12"/>
      <c r="CI227" s="11"/>
      <c r="CJ227" s="78">
        <f>AVERAGE(CJ332,CE332)</f>
        <v>4750</v>
      </c>
      <c r="CK227" s="289"/>
      <c r="CL227" s="983"/>
      <c r="CM227" s="658"/>
      <c r="CN227" s="682"/>
      <c r="CO227" s="658"/>
      <c r="CP227" s="658"/>
      <c r="CQ227" s="658"/>
      <c r="CR227" s="658"/>
      <c r="CS227" s="658"/>
      <c r="CT227" s="289"/>
    </row>
    <row r="228" spans="1:107" s="233" customFormat="1">
      <c r="A228" s="253" t="s">
        <v>161</v>
      </c>
      <c r="B228" s="254"/>
      <c r="C228" s="254"/>
      <c r="D228" s="254"/>
      <c r="E228" s="254"/>
      <c r="F228" s="254"/>
      <c r="G228" s="254"/>
      <c r="H228" s="255"/>
      <c r="I228" s="256"/>
      <c r="J228" s="255"/>
      <c r="K228" s="256"/>
      <c r="L228" s="254"/>
      <c r="M228" s="255"/>
      <c r="N228" s="255"/>
      <c r="O228" s="255"/>
      <c r="P228" s="256"/>
      <c r="Q228" s="257">
        <f>-Q226/Q227</f>
        <v>5.6368800524360933E-2</v>
      </c>
      <c r="R228" s="255"/>
      <c r="S228" s="255"/>
      <c r="T228" s="256"/>
      <c r="U228" s="256"/>
      <c r="V228" s="257">
        <f>-V226/V227</f>
        <v>4.3553255713669685E-2</v>
      </c>
      <c r="W228" s="256"/>
      <c r="X228" s="256"/>
      <c r="Y228" s="256"/>
      <c r="AA228" s="257">
        <f>-AA226/AA227</f>
        <v>4.2431385755177638E-2</v>
      </c>
      <c r="AB228" s="256"/>
      <c r="AC228" s="256"/>
      <c r="AD228" s="256"/>
      <c r="AE228" s="256"/>
      <c r="AF228" s="257">
        <f>-AF226/AF227</f>
        <v>4.1874619598295804E-2</v>
      </c>
      <c r="AG228" s="256"/>
      <c r="AH228" s="256"/>
      <c r="AI228" s="256"/>
      <c r="AJ228" s="256"/>
      <c r="AK228" s="257">
        <f>-AK226/AK227</f>
        <v>4.3059125964010285E-2</v>
      </c>
      <c r="AL228" s="452">
        <f>-AL226*4/AL227</f>
        <v>4.4810822236313677E-2</v>
      </c>
      <c r="AM228" s="256">
        <f>-AM226*4/AM227</f>
        <v>4.4806086864630668E-2</v>
      </c>
      <c r="AN228" s="256">
        <f>-AN226*4/AN227</f>
        <v>4.4796619123085052E-2</v>
      </c>
      <c r="AO228" s="256">
        <f>-AO226*4/AO227</f>
        <v>4.3097074046688499E-2</v>
      </c>
      <c r="AP228" s="257">
        <f>-AP226/AP227</f>
        <v>4.4374009508716325E-2</v>
      </c>
      <c r="AQ228" s="452">
        <f>-AQ226*4/AQ227</f>
        <v>4.3087971274685818E-2</v>
      </c>
      <c r="AR228" s="256">
        <f>-AR226*4/AR227</f>
        <v>4.5612923661704149E-2</v>
      </c>
      <c r="AS228" s="256">
        <f>-AS226*4/AS227</f>
        <v>4.4758788134698614E-2</v>
      </c>
      <c r="AT228" s="256">
        <f>-AT226*4/AT227</f>
        <v>4.370716201450283E-2</v>
      </c>
      <c r="AU228" s="257">
        <f>-AU226/AU227</f>
        <v>4.2329093799682034E-2</v>
      </c>
      <c r="AV228" s="452"/>
      <c r="AW228" s="256"/>
      <c r="AX228" s="256"/>
      <c r="AY228" s="256"/>
      <c r="AZ228" s="257">
        <f>-AZ226/AZ227</f>
        <v>3.99624765478424E-2</v>
      </c>
      <c r="BA228" s="452">
        <f>-BA226*4/BA227</f>
        <v>4.3524482521418301E-2</v>
      </c>
      <c r="BB228" s="256">
        <f>-BB226*4/BB227</f>
        <v>4.4261065266316582E-2</v>
      </c>
      <c r="BC228" s="256">
        <f>-BC226*4/BC227</f>
        <v>4.349864066747914E-2</v>
      </c>
      <c r="BD228" s="256">
        <f>-BD226*4/BD227</f>
        <v>4.3510877719429859E-2</v>
      </c>
      <c r="BE228" s="257">
        <f>-BE226/BE227</f>
        <v>4.3714821763602252E-2</v>
      </c>
      <c r="BF228" s="452">
        <f>-BF226*4/BF227</f>
        <v>4.351903957981617E-2</v>
      </c>
      <c r="BG228" s="256">
        <f>-BG226*4/BG227</f>
        <v>4.3506797937177683E-2</v>
      </c>
      <c r="BH228" s="256">
        <f>-BH226*4/BH227</f>
        <v>4.349864066747914E-2</v>
      </c>
      <c r="BI228" s="256">
        <f>-BI226*4/BI227</f>
        <v>4.3490486456087732E-2</v>
      </c>
      <c r="BJ228" s="257">
        <f>-BJ226/BJ227</f>
        <v>4.3506797937177683E-2</v>
      </c>
      <c r="BK228" s="452">
        <f>-BK226*4/BK227</f>
        <v>4.4525477401401017E-2</v>
      </c>
      <c r="BL228" s="256">
        <f>-BL226*4/BL227</f>
        <v>4.1492931963795381E-2</v>
      </c>
      <c r="BM228" s="256">
        <f>-BM226*4/BM227</f>
        <v>4.0438079191238416E-2</v>
      </c>
      <c r="BN228" s="256">
        <f>-BN226*4/BN227</f>
        <v>4.0425307927150225E-2</v>
      </c>
      <c r="BO228" s="257">
        <f>-BO226/BO227</f>
        <v>4.0654437283093703E-2</v>
      </c>
      <c r="BP228" s="257">
        <f>-BP226/BP227</f>
        <v>4.0654437283093703E-2</v>
      </c>
      <c r="BQ228" s="452">
        <f>BO228</f>
        <v>4.0654437283093703E-2</v>
      </c>
      <c r="BR228" s="256">
        <f>BQ228</f>
        <v>4.0654437283093703E-2</v>
      </c>
      <c r="BS228" s="256">
        <f>BR228</f>
        <v>4.0654437283093703E-2</v>
      </c>
      <c r="BT228" s="453">
        <f>BS228</f>
        <v>4.0654437283093703E-2</v>
      </c>
      <c r="BU228" s="257">
        <f>-BU226/BU227</f>
        <v>4.0654437283093703E-2</v>
      </c>
      <c r="BV228" s="452"/>
      <c r="BW228" s="256"/>
      <c r="BX228" s="256"/>
      <c r="BY228" s="453"/>
      <c r="BZ228" s="88">
        <f>BU228</f>
        <v>4.0654437283093703E-2</v>
      </c>
      <c r="CA228" s="452"/>
      <c r="CB228" s="256"/>
      <c r="CC228" s="256"/>
      <c r="CD228" s="453"/>
      <c r="CE228" s="88">
        <f>BZ228</f>
        <v>4.0654437283093703E-2</v>
      </c>
      <c r="CF228" s="452"/>
      <c r="CG228" s="256"/>
      <c r="CH228" s="256"/>
      <c r="CI228" s="453"/>
      <c r="CJ228" s="88">
        <f>CE228</f>
        <v>4.0654437283093703E-2</v>
      </c>
      <c r="CK228" s="292"/>
      <c r="CL228" s="986"/>
      <c r="CM228" s="680"/>
      <c r="CN228" s="987"/>
      <c r="CO228" s="988"/>
      <c r="CP228" s="680"/>
      <c r="CQ228" s="680"/>
      <c r="CR228" s="680"/>
      <c r="CS228" s="680"/>
      <c r="CT228" s="292"/>
      <c r="CX228"/>
      <c r="CY228"/>
      <c r="CZ228"/>
      <c r="DA228"/>
      <c r="DB228"/>
      <c r="DC228"/>
    </row>
    <row r="229" spans="1:107" s="300" customFormat="1">
      <c r="A229" s="262" t="s">
        <v>162</v>
      </c>
      <c r="B229" s="263"/>
      <c r="C229" s="263"/>
      <c r="D229" s="263"/>
      <c r="E229" s="263"/>
      <c r="F229" s="263"/>
      <c r="G229" s="263"/>
      <c r="H229" s="264"/>
      <c r="I229" s="265"/>
      <c r="J229" s="264"/>
      <c r="K229" s="265"/>
      <c r="L229" s="263"/>
      <c r="M229" s="264"/>
      <c r="N229" s="264"/>
      <c r="O229" s="264"/>
      <c r="P229" s="265"/>
      <c r="Q229" s="266"/>
      <c r="R229" s="264"/>
      <c r="S229" s="264"/>
      <c r="T229" s="265"/>
      <c r="U229" s="265"/>
      <c r="V229" s="266"/>
      <c r="W229" s="265"/>
      <c r="X229" s="265"/>
      <c r="Y229" s="265"/>
      <c r="Z229" s="579"/>
      <c r="AA229" s="266"/>
      <c r="AB229" s="265"/>
      <c r="AC229" s="265"/>
      <c r="AD229" s="265"/>
      <c r="AE229" s="265"/>
      <c r="AF229" s="266"/>
      <c r="AG229" s="265"/>
      <c r="AH229" s="265"/>
      <c r="AI229" s="265"/>
      <c r="AJ229" s="265"/>
      <c r="AK229" s="266"/>
      <c r="AL229" s="265"/>
      <c r="AM229" s="265"/>
      <c r="AN229" s="265"/>
      <c r="AO229" s="265"/>
      <c r="AP229" s="266"/>
      <c r="AQ229" s="265"/>
      <c r="AR229" s="265"/>
      <c r="AS229" s="265"/>
      <c r="AT229" s="265"/>
      <c r="AU229" s="266"/>
      <c r="AV229" s="265"/>
      <c r="AW229" s="265"/>
      <c r="AX229" s="265"/>
      <c r="AY229" s="265"/>
      <c r="AZ229" s="266"/>
      <c r="BA229" s="265"/>
      <c r="BB229" s="265"/>
      <c r="BC229" s="265"/>
      <c r="BD229" s="265"/>
      <c r="BE229" s="266"/>
      <c r="BF229" s="267"/>
      <c r="BG229" s="265"/>
      <c r="BH229" s="265"/>
      <c r="BI229" s="268"/>
      <c r="BJ229" s="266"/>
      <c r="BK229" s="267"/>
      <c r="BL229" s="265"/>
      <c r="BM229" s="265"/>
      <c r="BN229" s="268"/>
      <c r="BO229" s="266"/>
      <c r="BP229" s="266"/>
      <c r="BQ229" s="267"/>
      <c r="BR229" s="265"/>
      <c r="BS229" s="265"/>
      <c r="BT229" s="268"/>
      <c r="BU229" s="266">
        <f>-BU227*BU228</f>
        <v>-193.10857709469508</v>
      </c>
      <c r="BV229" s="267"/>
      <c r="BW229" s="265"/>
      <c r="BX229" s="265"/>
      <c r="BY229" s="268"/>
      <c r="BZ229" s="266">
        <f>-BZ227*BZ228</f>
        <v>-193.10857709469508</v>
      </c>
      <c r="CA229" s="267"/>
      <c r="CB229" s="265"/>
      <c r="CC229" s="265"/>
      <c r="CD229" s="268"/>
      <c r="CE229" s="266">
        <f>-CE227*CE228</f>
        <v>-193.10857709469508</v>
      </c>
      <c r="CF229" s="267"/>
      <c r="CG229" s="265"/>
      <c r="CH229" s="265"/>
      <c r="CI229" s="268"/>
      <c r="CJ229" s="266">
        <f>-CJ227*CJ228</f>
        <v>-193.10857709469508</v>
      </c>
      <c r="CK229" s="293"/>
      <c r="CL229" s="957"/>
      <c r="CM229" s="657"/>
      <c r="CN229" s="682"/>
      <c r="CO229" s="657"/>
      <c r="CP229" s="657"/>
      <c r="CQ229" s="657"/>
      <c r="CR229" s="657"/>
      <c r="CS229" s="657"/>
      <c r="CT229" s="293"/>
      <c r="CX229"/>
      <c r="CY229"/>
      <c r="CZ229"/>
      <c r="DA229"/>
      <c r="DB229"/>
      <c r="DC229"/>
    </row>
    <row r="230" spans="1:107" s="180" customFormat="1">
      <c r="A230" s="185" t="s">
        <v>60</v>
      </c>
      <c r="B230" s="186">
        <v>36</v>
      </c>
      <c r="C230" s="186">
        <v>27</v>
      </c>
      <c r="D230" s="186">
        <v>50</v>
      </c>
      <c r="E230" s="186">
        <v>36</v>
      </c>
      <c r="F230" s="186">
        <v>39</v>
      </c>
      <c r="G230" s="186">
        <v>75</v>
      </c>
      <c r="H230" s="187">
        <v>28</v>
      </c>
      <c r="I230" s="187">
        <v>57</v>
      </c>
      <c r="J230" s="187">
        <v>42</v>
      </c>
      <c r="K230" s="187">
        <v>36</v>
      </c>
      <c r="L230" s="570">
        <f>SUM(H230:K230)</f>
        <v>163</v>
      </c>
      <c r="M230" s="187">
        <v>23</v>
      </c>
      <c r="N230" s="187">
        <v>17</v>
      </c>
      <c r="O230" s="187">
        <v>16</v>
      </c>
      <c r="P230" s="187">
        <v>8</v>
      </c>
      <c r="Q230" s="186">
        <f>SUM(M230:P230)</f>
        <v>64</v>
      </c>
      <c r="R230" s="187">
        <v>4</v>
      </c>
      <c r="S230" s="187">
        <v>3</v>
      </c>
      <c r="T230" s="187">
        <v>4</v>
      </c>
      <c r="U230" s="187">
        <v>3</v>
      </c>
      <c r="V230" s="186">
        <f>SUM(R230:U230)</f>
        <v>14</v>
      </c>
      <c r="W230" s="187">
        <v>3</v>
      </c>
      <c r="X230" s="187">
        <v>4</v>
      </c>
      <c r="Y230" s="187">
        <v>3</v>
      </c>
      <c r="Z230" s="536">
        <v>6</v>
      </c>
      <c r="AA230" s="186">
        <f>SUM(W230:Z230)</f>
        <v>16</v>
      </c>
      <c r="AB230" s="187">
        <v>4</v>
      </c>
      <c r="AC230" s="187">
        <v>3</v>
      </c>
      <c r="AD230" s="187">
        <v>5</v>
      </c>
      <c r="AE230" s="187">
        <v>2</v>
      </c>
      <c r="AF230" s="186">
        <f>SUM(AB230:AE230)</f>
        <v>14</v>
      </c>
      <c r="AG230" s="187">
        <v>2</v>
      </c>
      <c r="AH230" s="187">
        <v>1</v>
      </c>
      <c r="AI230" s="187">
        <v>3</v>
      </c>
      <c r="AJ230" s="187">
        <v>3</v>
      </c>
      <c r="AK230" s="186">
        <f>+SUM(AG230:AJ230)</f>
        <v>9</v>
      </c>
      <c r="AL230" s="187">
        <v>3</v>
      </c>
      <c r="AM230" s="187">
        <v>3</v>
      </c>
      <c r="AN230" s="187">
        <v>3</v>
      </c>
      <c r="AO230" s="187">
        <v>3</v>
      </c>
      <c r="AP230" s="186">
        <f>SUM(AL230:AO230)</f>
        <v>12</v>
      </c>
      <c r="AQ230" s="187">
        <v>3</v>
      </c>
      <c r="AR230" s="187">
        <v>2</v>
      </c>
      <c r="AS230" s="187">
        <v>3</v>
      </c>
      <c r="AT230" s="187">
        <v>2</v>
      </c>
      <c r="AU230" s="186">
        <f>SUM(AQ230:AT230)</f>
        <v>10</v>
      </c>
      <c r="AV230" s="187"/>
      <c r="AW230" s="187"/>
      <c r="AX230" s="187"/>
      <c r="AY230" s="187"/>
      <c r="AZ230" s="186">
        <v>10</v>
      </c>
      <c r="BA230" s="187">
        <v>4</v>
      </c>
      <c r="BB230" s="187">
        <v>2</v>
      </c>
      <c r="BC230" s="923">
        <v>3</v>
      </c>
      <c r="BD230" s="923">
        <v>2</v>
      </c>
      <c r="BE230" s="186">
        <f>SUM(BA230:BD230)</f>
        <v>11</v>
      </c>
      <c r="BF230" s="902">
        <v>4</v>
      </c>
      <c r="BG230" s="923">
        <v>4</v>
      </c>
      <c r="BH230" s="923">
        <v>4</v>
      </c>
      <c r="BI230" s="932">
        <v>4</v>
      </c>
      <c r="BJ230" s="186">
        <f>SUM(BF230:BI230)</f>
        <v>16</v>
      </c>
      <c r="BK230" s="903">
        <v>5</v>
      </c>
      <c r="BL230" s="734">
        <v>5</v>
      </c>
      <c r="BM230" s="923">
        <v>4</v>
      </c>
      <c r="BN230" s="932">
        <v>7</v>
      </c>
      <c r="BO230" s="186">
        <f>SUM(BK230:BN230)</f>
        <v>21</v>
      </c>
      <c r="BP230" s="186">
        <f>BO230</f>
        <v>21</v>
      </c>
      <c r="BQ230" s="870">
        <f>18/4</f>
        <v>4.5</v>
      </c>
      <c r="BR230" s="871">
        <f t="shared" ref="BR230:BT230" si="751">18/4</f>
        <v>4.5</v>
      </c>
      <c r="BS230" s="871">
        <f t="shared" si="751"/>
        <v>4.5</v>
      </c>
      <c r="BT230" s="872">
        <f t="shared" si="751"/>
        <v>4.5</v>
      </c>
      <c r="BU230" s="186">
        <f>SUM(BQ230:BT230)</f>
        <v>18</v>
      </c>
      <c r="BV230" s="870"/>
      <c r="BW230" s="871"/>
      <c r="BX230" s="871"/>
      <c r="BY230" s="872"/>
      <c r="BZ230" s="893">
        <v>19</v>
      </c>
      <c r="CA230" s="870"/>
      <c r="CB230" s="871"/>
      <c r="CC230" s="871"/>
      <c r="CD230" s="872"/>
      <c r="CE230" s="893">
        <v>22</v>
      </c>
      <c r="CF230" s="870"/>
      <c r="CG230" s="871"/>
      <c r="CH230" s="871"/>
      <c r="CI230" s="872"/>
      <c r="CJ230" s="893">
        <v>24</v>
      </c>
      <c r="CK230" s="291"/>
      <c r="CL230" s="657"/>
      <c r="CM230" s="657"/>
      <c r="CN230" s="682"/>
      <c r="CO230" s="657"/>
      <c r="CP230" s="657"/>
      <c r="CQ230" s="657"/>
      <c r="CR230" s="657"/>
      <c r="CS230" s="657"/>
      <c r="CT230" s="291"/>
      <c r="CX230"/>
      <c r="CY230"/>
      <c r="CZ230"/>
      <c r="DA230"/>
      <c r="DB230"/>
      <c r="DC230"/>
    </row>
    <row r="231" spans="1:107">
      <c r="A231" s="124" t="s">
        <v>163</v>
      </c>
      <c r="B231" s="78"/>
      <c r="C231" s="78"/>
      <c r="D231" s="78"/>
      <c r="E231" s="78"/>
      <c r="F231" s="78"/>
      <c r="G231" s="78"/>
      <c r="H231" s="10"/>
      <c r="I231" s="10"/>
      <c r="J231" s="10"/>
      <c r="K231" s="12"/>
      <c r="L231" s="78"/>
      <c r="M231" s="12"/>
      <c r="N231" s="10"/>
      <c r="O231" s="10"/>
      <c r="P231" s="12"/>
      <c r="Q231" s="78">
        <f>AVERAGE(L306,Q306)</f>
        <v>2457</v>
      </c>
      <c r="R231" s="12"/>
      <c r="S231" s="10"/>
      <c r="T231" s="10"/>
      <c r="U231" s="12"/>
      <c r="V231" s="78">
        <f>AVERAGE(Q306,V306)</f>
        <v>2450.5</v>
      </c>
      <c r="W231" s="12"/>
      <c r="X231" s="10"/>
      <c r="Y231" s="10"/>
      <c r="Z231" s="578"/>
      <c r="AA231" s="78">
        <f>AVERAGE(V306,AA306)</f>
        <v>3140</v>
      </c>
      <c r="AB231" s="12"/>
      <c r="AC231" s="10"/>
      <c r="AD231" s="10"/>
      <c r="AE231" s="12"/>
      <c r="AF231" s="78">
        <f>AVERAGE(AA306,AF306)</f>
        <v>3819</v>
      </c>
      <c r="AG231" s="12"/>
      <c r="AH231" s="10"/>
      <c r="AI231" s="10"/>
      <c r="AJ231" s="12"/>
      <c r="AK231" s="78">
        <f>AVERAGE(AF306,AK306)</f>
        <v>3594</v>
      </c>
      <c r="AL231" s="303">
        <f>AVERAGE(AK306,AL306)</f>
        <v>3156.5</v>
      </c>
      <c r="AM231" s="303">
        <f>AVERAGE(AL306,AM306)</f>
        <v>2796</v>
      </c>
      <c r="AN231" s="303">
        <f>AVERAGE(AM306,AN306)</f>
        <v>2704.5</v>
      </c>
      <c r="AO231" s="303">
        <f>AVERAGE(AN306,AO306)</f>
        <v>3119</v>
      </c>
      <c r="AP231" s="78">
        <f>AVERAGE(AK306,AP306)</f>
        <v>3242</v>
      </c>
      <c r="AQ231" s="303">
        <f>AVERAGE(AP306,AQ306)</f>
        <v>3166</v>
      </c>
      <c r="AR231" s="303">
        <f>AVERAGE(AQ306,AR306)</f>
        <v>3148.5</v>
      </c>
      <c r="AS231" s="303">
        <f>AVERAGE(AR306,AS306)</f>
        <v>2947.5</v>
      </c>
      <c r="AT231" s="303">
        <f>AVERAGE(AS306,AT306)</f>
        <v>2928</v>
      </c>
      <c r="AU231" s="78">
        <f>AVERAGE(AP306,AU306)</f>
        <v>3259</v>
      </c>
      <c r="AV231" s="303"/>
      <c r="AW231" s="303"/>
      <c r="AX231" s="303"/>
      <c r="AY231" s="303"/>
      <c r="AZ231" s="78">
        <f>AVERAGE(AU306,AZ306)</f>
        <v>3222</v>
      </c>
      <c r="BA231" s="303">
        <f>AVERAGE(AU306,BA306)</f>
        <v>3064</v>
      </c>
      <c r="BB231" s="303">
        <f>AVERAGE(BA306,BB306)</f>
        <v>2367</v>
      </c>
      <c r="BC231" s="303">
        <f>AVERAGE(BB306,BC306)</f>
        <v>2140.5</v>
      </c>
      <c r="BD231" s="303">
        <f>AVERAGE(BC306,BD306)</f>
        <v>2390.5</v>
      </c>
      <c r="BE231" s="78">
        <f>AVERAGE(AZ306,BE306)</f>
        <v>2775</v>
      </c>
      <c r="BF231" s="303">
        <f>AVERAGE(BE306,BF306)</f>
        <v>2131</v>
      </c>
      <c r="BG231" s="303">
        <f>AVERAGE(BF306,BG306)</f>
        <v>1975</v>
      </c>
      <c r="BH231" s="303">
        <f>AVERAGE(BG306,BH306)</f>
        <v>2179</v>
      </c>
      <c r="BI231" s="303">
        <f>AVERAGE(BH306,BI306)</f>
        <v>2822.5</v>
      </c>
      <c r="BJ231" s="78">
        <f>AVERAGE(BE306,BJ306)</f>
        <v>2815.5</v>
      </c>
      <c r="BK231" s="303">
        <f>AVERAGE(BJ306,BK306)</f>
        <v>2744.5</v>
      </c>
      <c r="BL231" s="303">
        <f>AVERAGE(BK306,BL306)</f>
        <v>2176.5</v>
      </c>
      <c r="BM231" s="303">
        <f>AVERAGE(BL306,BM306)</f>
        <v>2239</v>
      </c>
      <c r="BN231" s="303">
        <f>AVERAGE(BM306,BN306)</f>
        <v>2707</v>
      </c>
      <c r="BO231" s="78">
        <f>AVERAGE(BJ306,BO306)</f>
        <v>3203</v>
      </c>
      <c r="BP231" s="78">
        <f>BO231</f>
        <v>3203</v>
      </c>
      <c r="BQ231" s="40">
        <f>AVERAGE(BO306,BQ306)</f>
        <v>2439.8546991613221</v>
      </c>
      <c r="BR231" s="12">
        <f t="shared" ref="BR231:BT231" si="752">AVERAGE(BQ306,BR306)</f>
        <v>1641.4787983014003</v>
      </c>
      <c r="BS231" s="12">
        <f t="shared" si="752"/>
        <v>1557.3590245513315</v>
      </c>
      <c r="BT231" s="11">
        <f t="shared" si="752"/>
        <v>2307.1516453102595</v>
      </c>
      <c r="BU231" s="78">
        <f>AVERAGE(BO306,BU306)</f>
        <v>3054.4167198990062</v>
      </c>
      <c r="BV231" s="40"/>
      <c r="BW231" s="12"/>
      <c r="BX231" s="12"/>
      <c r="BY231" s="11"/>
      <c r="BZ231" s="78">
        <f>AVERAGE(BU306,BZ306)</f>
        <v>3001.1107804897506</v>
      </c>
      <c r="CA231" s="40"/>
      <c r="CB231" s="12"/>
      <c r="CC231" s="12"/>
      <c r="CD231" s="11"/>
      <c r="CE231" s="78">
        <f>AVERAGE(BZ306,CE306)</f>
        <v>3039.0367050291798</v>
      </c>
      <c r="CF231" s="40"/>
      <c r="CG231" s="12"/>
      <c r="CH231" s="12"/>
      <c r="CI231" s="11"/>
      <c r="CJ231" s="78">
        <f>AVERAGE(CE306,CJ306)</f>
        <v>3004.1449623312537</v>
      </c>
      <c r="CK231" s="289"/>
      <c r="CL231" s="658"/>
      <c r="CM231" s="658"/>
      <c r="CN231" s="682"/>
      <c r="CO231" s="658"/>
      <c r="CP231" s="658"/>
      <c r="CQ231" s="658"/>
      <c r="CR231" s="658"/>
      <c r="CS231" s="658"/>
      <c r="CT231" s="289"/>
    </row>
    <row r="232" spans="1:107">
      <c r="A232" s="125" t="s">
        <v>161</v>
      </c>
      <c r="B232" s="78"/>
      <c r="C232" s="78"/>
      <c r="D232" s="78"/>
      <c r="E232" s="78"/>
      <c r="F232" s="78"/>
      <c r="G232" s="78"/>
      <c r="H232" s="10"/>
      <c r="I232" s="10"/>
      <c r="J232" s="10"/>
      <c r="K232" s="12"/>
      <c r="L232" s="78"/>
      <c r="M232" s="12"/>
      <c r="N232" s="10"/>
      <c r="O232" s="10"/>
      <c r="P232" s="12"/>
      <c r="Q232" s="257">
        <f>Q230/Q231</f>
        <v>2.6048026048026047E-2</v>
      </c>
      <c r="R232" s="12"/>
      <c r="S232" s="10"/>
      <c r="T232" s="10"/>
      <c r="U232" s="12"/>
      <c r="V232" s="257">
        <f>V230/V231</f>
        <v>5.7131197714752092E-3</v>
      </c>
      <c r="W232" s="12"/>
      <c r="X232" s="10"/>
      <c r="Y232" s="10"/>
      <c r="Z232" s="578"/>
      <c r="AA232" s="257">
        <f>AA230/AA231</f>
        <v>5.0955414012738851E-3</v>
      </c>
      <c r="AB232" s="12"/>
      <c r="AC232" s="10"/>
      <c r="AD232" s="10"/>
      <c r="AE232" s="12"/>
      <c r="AF232" s="257">
        <f>AF230/AF231</f>
        <v>3.6658811207122281E-3</v>
      </c>
      <c r="AG232" s="12"/>
      <c r="AH232" s="10"/>
      <c r="AI232" s="10"/>
      <c r="AJ232" s="12"/>
      <c r="AK232" s="257">
        <f>AK230/AK231</f>
        <v>2.5041736227045075E-3</v>
      </c>
      <c r="AL232" s="454">
        <f>AL230*4/AL231</f>
        <v>3.8016790749247583E-3</v>
      </c>
      <c r="AM232" s="454">
        <f>AM230*4/AM231</f>
        <v>4.2918454935622317E-3</v>
      </c>
      <c r="AN232" s="454">
        <f>AN230*4/AN231</f>
        <v>4.4370493621741546E-3</v>
      </c>
      <c r="AO232" s="454">
        <f>AO230*4/AO231</f>
        <v>3.8473869830073742E-3</v>
      </c>
      <c r="AP232" s="257">
        <f>AP230/AP231</f>
        <v>3.7014188772362738E-3</v>
      </c>
      <c r="AQ232" s="454">
        <f>AQ230*4/AQ231</f>
        <v>3.7902716361339229E-3</v>
      </c>
      <c r="AR232" s="454">
        <f>AR230*4/AR231</f>
        <v>2.5408924884865809E-3</v>
      </c>
      <c r="AS232" s="454">
        <f>AS230*4/AS231</f>
        <v>4.0712468193384223E-3</v>
      </c>
      <c r="AT232" s="454">
        <f>AT230*4/AT231</f>
        <v>2.7322404371584699E-3</v>
      </c>
      <c r="AU232" s="257">
        <f>AU230/AU231</f>
        <v>3.0684258975145749E-3</v>
      </c>
      <c r="AV232" s="454"/>
      <c r="AW232" s="454"/>
      <c r="AX232" s="454"/>
      <c r="AY232" s="454"/>
      <c r="AZ232" s="257">
        <f>AZ230/AZ231</f>
        <v>3.1036623215394167E-3</v>
      </c>
      <c r="BA232" s="454">
        <f>BA230*4/BA231</f>
        <v>5.2219321148825066E-3</v>
      </c>
      <c r="BB232" s="454">
        <f>BB230*4/BB231</f>
        <v>3.3798056611744824E-3</v>
      </c>
      <c r="BC232" s="454">
        <f>BC230*4/BC231</f>
        <v>5.6061667834618077E-3</v>
      </c>
      <c r="BD232" s="454">
        <f>BD230*4/BD231</f>
        <v>3.3465802133444888E-3</v>
      </c>
      <c r="BE232" s="257">
        <f>BE230/BE231</f>
        <v>3.9639639639639642E-3</v>
      </c>
      <c r="BF232" s="454">
        <f>BF230*4/BF231</f>
        <v>7.5082121069920222E-3</v>
      </c>
      <c r="BG232" s="454">
        <f>BG230*4/BG231</f>
        <v>8.1012658227848106E-3</v>
      </c>
      <c r="BH232" s="454">
        <f>BH230*4/BH231</f>
        <v>7.3428178063331805E-3</v>
      </c>
      <c r="BI232" s="454">
        <f>BI230*4/BI231</f>
        <v>5.6687333923826399E-3</v>
      </c>
      <c r="BJ232" s="257">
        <f>BJ230/BJ231</f>
        <v>5.6828272065352512E-3</v>
      </c>
      <c r="BK232" s="454">
        <f>BK230*4/BK231</f>
        <v>7.2873018764802334E-3</v>
      </c>
      <c r="BL232" s="454">
        <f>BL230*4/BL231</f>
        <v>9.189065012634964E-3</v>
      </c>
      <c r="BM232" s="454">
        <f>BM230*4/BM231</f>
        <v>7.1460473425636441E-3</v>
      </c>
      <c r="BN232" s="454">
        <f>BN230*4/BN231</f>
        <v>1.0343553749538234E-2</v>
      </c>
      <c r="BO232" s="257">
        <f>BO230/BO231</f>
        <v>6.5563534186699971E-3</v>
      </c>
      <c r="BP232" s="257">
        <f>BP230/BP231</f>
        <v>6.5563534186699971E-3</v>
      </c>
      <c r="BQ232" s="454">
        <f t="shared" ref="BQ232:BT232" si="753">BQ230*4/BQ231</f>
        <v>7.377488506257089E-3</v>
      </c>
      <c r="BR232" s="454">
        <f t="shared" si="753"/>
        <v>1.0965721895784687E-2</v>
      </c>
      <c r="BS232" s="454">
        <f t="shared" si="753"/>
        <v>1.1558028506102325E-2</v>
      </c>
      <c r="BT232" s="454">
        <f t="shared" si="753"/>
        <v>7.8018278670968803E-3</v>
      </c>
      <c r="BU232" s="257">
        <f>BU230/BU231</f>
        <v>5.8931055093868027E-3</v>
      </c>
      <c r="BV232" s="19"/>
      <c r="BW232" s="9"/>
      <c r="BX232" s="9"/>
      <c r="BY232" s="8"/>
      <c r="BZ232" s="88">
        <f>BU232</f>
        <v>5.8931055093868027E-3</v>
      </c>
      <c r="CA232" s="19"/>
      <c r="CB232" s="9"/>
      <c r="CC232" s="9"/>
      <c r="CD232" s="8"/>
      <c r="CE232" s="88">
        <f>BZ232</f>
        <v>5.8931055093868027E-3</v>
      </c>
      <c r="CF232" s="19"/>
      <c r="CG232" s="9"/>
      <c r="CH232" s="9"/>
      <c r="CI232" s="8"/>
      <c r="CJ232" s="88">
        <f>CE232</f>
        <v>5.8931055093868027E-3</v>
      </c>
      <c r="CK232" s="289"/>
      <c r="CL232" s="658"/>
      <c r="CM232" s="658"/>
      <c r="CN232" s="682"/>
      <c r="CO232" s="658"/>
      <c r="CP232" s="658"/>
      <c r="CQ232" s="658"/>
      <c r="CR232" s="658"/>
      <c r="CS232" s="658"/>
      <c r="CT232" s="289"/>
    </row>
    <row r="233" spans="1:107">
      <c r="A233" s="126" t="s">
        <v>164</v>
      </c>
      <c r="B233" s="78"/>
      <c r="C233" s="78"/>
      <c r="D233" s="78"/>
      <c r="E233" s="78"/>
      <c r="F233" s="78"/>
      <c r="G233" s="78"/>
      <c r="H233" s="12"/>
      <c r="I233" s="12"/>
      <c r="J233" s="12"/>
      <c r="K233" s="12"/>
      <c r="L233" s="78"/>
      <c r="M233" s="12"/>
      <c r="N233" s="12"/>
      <c r="O233" s="12"/>
      <c r="P233" s="12"/>
      <c r="Q233" s="266"/>
      <c r="R233" s="12"/>
      <c r="S233" s="12"/>
      <c r="T233" s="12"/>
      <c r="U233" s="12"/>
      <c r="V233" s="266"/>
      <c r="W233" s="12"/>
      <c r="X233" s="12"/>
      <c r="Y233" s="12"/>
      <c r="Z233" s="578"/>
      <c r="AA233" s="266"/>
      <c r="AB233" s="12"/>
      <c r="AC233" s="12"/>
      <c r="AD233" s="12"/>
      <c r="AE233" s="12"/>
      <c r="AF233" s="266"/>
      <c r="AG233" s="12"/>
      <c r="AH233" s="12"/>
      <c r="AI233" s="12"/>
      <c r="AJ233" s="12"/>
      <c r="AK233" s="266"/>
      <c r="AL233" s="12"/>
      <c r="AM233" s="12"/>
      <c r="AN233" s="304"/>
      <c r="AO233" s="304"/>
      <c r="AP233" s="266"/>
      <c r="AQ233" s="12"/>
      <c r="AR233" s="12"/>
      <c r="AS233" s="304"/>
      <c r="AT233" s="304"/>
      <c r="AU233" s="266"/>
      <c r="AV233" s="12"/>
      <c r="AW233" s="12"/>
      <c r="AX233" s="304"/>
      <c r="AY233" s="304"/>
      <c r="AZ233" s="266"/>
      <c r="BA233" s="12"/>
      <c r="BB233" s="12"/>
      <c r="BC233" s="304"/>
      <c r="BD233" s="304"/>
      <c r="BE233" s="266"/>
      <c r="BF233" s="40"/>
      <c r="BG233" s="12"/>
      <c r="BH233" s="12"/>
      <c r="BI233" s="11"/>
      <c r="BJ233" s="266"/>
      <c r="BK233" s="40"/>
      <c r="BL233" s="12"/>
      <c r="BM233" s="12"/>
      <c r="BN233" s="11"/>
      <c r="BO233" s="266"/>
      <c r="BP233" s="266"/>
      <c r="BQ233" s="40"/>
      <c r="BR233" s="12"/>
      <c r="BS233" s="12"/>
      <c r="BT233" s="11"/>
      <c r="BU233" s="266">
        <f>BU231*BU232</f>
        <v>18</v>
      </c>
      <c r="BV233" s="267"/>
      <c r="BW233" s="265"/>
      <c r="BX233" s="265"/>
      <c r="BY233" s="268"/>
      <c r="BZ233" s="266">
        <f>BZ231*BZ232</f>
        <v>17.685862474784276</v>
      </c>
      <c r="CA233" s="267"/>
      <c r="CB233" s="265"/>
      <c r="CC233" s="265"/>
      <c r="CD233" s="268"/>
      <c r="CE233" s="266">
        <f>CE231*CE232</f>
        <v>17.909363949636177</v>
      </c>
      <c r="CF233" s="267"/>
      <c r="CG233" s="265"/>
      <c r="CH233" s="265"/>
      <c r="CI233" s="268"/>
      <c r="CJ233" s="266">
        <f>CJ231*CJ232</f>
        <v>17.70374322851092</v>
      </c>
      <c r="CK233" s="289"/>
      <c r="CL233" s="658"/>
      <c r="CM233" s="658"/>
      <c r="CN233" s="682"/>
      <c r="CO233" s="658"/>
      <c r="CP233" s="658"/>
      <c r="CQ233" s="658"/>
      <c r="CR233" s="658"/>
      <c r="CS233" s="658"/>
      <c r="CT233" s="289"/>
    </row>
    <row r="234" spans="1:107" s="740" customFormat="1">
      <c r="A234" s="733" t="s">
        <v>221</v>
      </c>
      <c r="B234" s="702">
        <f t="shared" ref="B234:AK234" si="754">SUM(B226,B230)</f>
        <v>-660</v>
      </c>
      <c r="C234" s="702">
        <f t="shared" si="754"/>
        <v>-470</v>
      </c>
      <c r="D234" s="702">
        <f t="shared" si="754"/>
        <v>-487</v>
      </c>
      <c r="E234" s="702">
        <f t="shared" si="754"/>
        <v>-382</v>
      </c>
      <c r="F234" s="702">
        <f t="shared" si="754"/>
        <v>-266</v>
      </c>
      <c r="G234" s="702">
        <f t="shared" si="754"/>
        <v>-197</v>
      </c>
      <c r="H234" s="734">
        <f t="shared" si="754"/>
        <v>-32</v>
      </c>
      <c r="I234" s="734">
        <f t="shared" si="754"/>
        <v>3</v>
      </c>
      <c r="J234" s="734">
        <f t="shared" si="754"/>
        <v>1</v>
      </c>
      <c r="K234" s="734">
        <f t="shared" si="754"/>
        <v>-5</v>
      </c>
      <c r="L234" s="735">
        <f t="shared" si="754"/>
        <v>-33</v>
      </c>
      <c r="M234" s="734">
        <f t="shared" si="754"/>
        <v>-11</v>
      </c>
      <c r="N234" s="734">
        <f t="shared" si="754"/>
        <v>-17</v>
      </c>
      <c r="O234" s="734">
        <f t="shared" si="754"/>
        <v>-13</v>
      </c>
      <c r="P234" s="734">
        <f t="shared" si="754"/>
        <v>-24</v>
      </c>
      <c r="Q234" s="702">
        <f t="shared" si="754"/>
        <v>-65</v>
      </c>
      <c r="R234" s="734">
        <f t="shared" si="754"/>
        <v>-28</v>
      </c>
      <c r="S234" s="734">
        <f t="shared" si="754"/>
        <v>-28</v>
      </c>
      <c r="T234" s="734">
        <f t="shared" si="754"/>
        <v>-28</v>
      </c>
      <c r="U234" s="734">
        <f t="shared" si="754"/>
        <v>-3</v>
      </c>
      <c r="V234" s="702">
        <f t="shared" si="754"/>
        <v>-87</v>
      </c>
      <c r="W234" s="734">
        <f t="shared" si="754"/>
        <v>-29</v>
      </c>
      <c r="X234" s="734">
        <f t="shared" si="754"/>
        <v>-29</v>
      </c>
      <c r="Y234" s="734">
        <f t="shared" si="754"/>
        <v>-30</v>
      </c>
      <c r="Z234" s="736">
        <f t="shared" si="754"/>
        <v>-22</v>
      </c>
      <c r="AA234" s="702">
        <f t="shared" si="754"/>
        <v>-110</v>
      </c>
      <c r="AB234" s="734">
        <f t="shared" si="754"/>
        <v>-39</v>
      </c>
      <c r="AC234" s="734">
        <f t="shared" si="754"/>
        <v>-40</v>
      </c>
      <c r="AD234" s="734">
        <f t="shared" si="754"/>
        <v>-36</v>
      </c>
      <c r="AE234" s="734">
        <f t="shared" si="754"/>
        <v>-43</v>
      </c>
      <c r="AF234" s="702">
        <f t="shared" si="754"/>
        <v>-158</v>
      </c>
      <c r="AG234" s="734">
        <f t="shared" si="754"/>
        <v>-48</v>
      </c>
      <c r="AH234" s="734">
        <f t="shared" si="754"/>
        <v>-49</v>
      </c>
      <c r="AI234" s="734">
        <f t="shared" si="754"/>
        <v>-46</v>
      </c>
      <c r="AJ234" s="736">
        <f t="shared" si="754"/>
        <v>-49</v>
      </c>
      <c r="AK234" s="702">
        <f t="shared" si="754"/>
        <v>-192</v>
      </c>
      <c r="AL234" s="734">
        <f t="shared" ref="AL234:BG234" si="755">SUM(AL226,AL230)</f>
        <v>-50</v>
      </c>
      <c r="AM234" s="734">
        <f t="shared" si="755"/>
        <v>-50</v>
      </c>
      <c r="AN234" s="734">
        <f t="shared" si="755"/>
        <v>-50</v>
      </c>
      <c r="AO234" s="734">
        <f t="shared" si="755"/>
        <v>-48</v>
      </c>
      <c r="AP234" s="702">
        <f t="shared" si="755"/>
        <v>-198</v>
      </c>
      <c r="AQ234" s="734">
        <f t="shared" si="755"/>
        <v>-48</v>
      </c>
      <c r="AR234" s="734">
        <f t="shared" si="755"/>
        <v>-52</v>
      </c>
      <c r="AS234" s="734">
        <f t="shared" si="755"/>
        <v>-50</v>
      </c>
      <c r="AT234" s="734">
        <f t="shared" si="755"/>
        <v>-53</v>
      </c>
      <c r="AU234" s="702">
        <f t="shared" si="755"/>
        <v>-203</v>
      </c>
      <c r="AV234" s="734"/>
      <c r="AW234" s="734"/>
      <c r="AX234" s="734"/>
      <c r="AY234" s="734"/>
      <c r="AZ234" s="702">
        <f t="shared" ref="AZ234" si="756">SUM(AZ226,AZ230)</f>
        <v>-203</v>
      </c>
      <c r="BA234" s="734">
        <f t="shared" si="755"/>
        <v>-54</v>
      </c>
      <c r="BB234" s="734">
        <f t="shared" si="755"/>
        <v>-57</v>
      </c>
      <c r="BC234" s="734">
        <f t="shared" si="755"/>
        <v>-55</v>
      </c>
      <c r="BD234" s="734">
        <f t="shared" si="755"/>
        <v>-56</v>
      </c>
      <c r="BE234" s="702">
        <f t="shared" si="755"/>
        <v>-222</v>
      </c>
      <c r="BF234" s="734">
        <f t="shared" si="755"/>
        <v>-54</v>
      </c>
      <c r="BG234" s="734">
        <f t="shared" si="755"/>
        <v>-54</v>
      </c>
      <c r="BH234" s="734">
        <f>SUM(BH226,BH230)</f>
        <v>-54</v>
      </c>
      <c r="BI234" s="734">
        <f>SUM(BI226,BI230)</f>
        <v>-54</v>
      </c>
      <c r="BJ234" s="702">
        <f>SUM(BF234:BI234)</f>
        <v>-216</v>
      </c>
      <c r="BK234" s="734">
        <f t="shared" ref="BK234:BL234" si="757">SUM(BK226,BK230)</f>
        <v>-53</v>
      </c>
      <c r="BL234" s="734">
        <f t="shared" si="757"/>
        <v>-46</v>
      </c>
      <c r="BM234" s="734">
        <f>SUM(BM226,BM230)</f>
        <v>-44</v>
      </c>
      <c r="BN234" s="734">
        <f>SUM(BN226,BN230)</f>
        <v>-41</v>
      </c>
      <c r="BO234" s="702">
        <f>SUM(BK234:BN234)</f>
        <v>-184</v>
      </c>
      <c r="BP234" s="702">
        <f>BO234</f>
        <v>-184</v>
      </c>
      <c r="BQ234" s="737">
        <f t="shared" ref="BQ234:BT234" si="758">SUM(BQ226,BQ230)</f>
        <v>-43.77714427367377</v>
      </c>
      <c r="BR234" s="734">
        <f t="shared" si="758"/>
        <v>-43.77714427367377</v>
      </c>
      <c r="BS234" s="734">
        <f t="shared" si="758"/>
        <v>-43.77714427367377</v>
      </c>
      <c r="BT234" s="738">
        <f t="shared" si="758"/>
        <v>-43.77714427367377</v>
      </c>
      <c r="BU234" s="702">
        <f>SUM(BQ234:BT234)</f>
        <v>-175.10857709469508</v>
      </c>
      <c r="BV234" s="737"/>
      <c r="BW234" s="734"/>
      <c r="BX234" s="734"/>
      <c r="BY234" s="738"/>
      <c r="BZ234" s="702">
        <f>SUM(BZ226,BZ230)</f>
        <v>-174</v>
      </c>
      <c r="CA234" s="737"/>
      <c r="CB234" s="734"/>
      <c r="CC234" s="734"/>
      <c r="CD234" s="738"/>
      <c r="CE234" s="702">
        <f>SUM(CE226,CE230)</f>
        <v>-171</v>
      </c>
      <c r="CF234" s="737"/>
      <c r="CG234" s="734"/>
      <c r="CH234" s="734"/>
      <c r="CI234" s="738"/>
      <c r="CJ234" s="702">
        <f>SUM(CJ226,CJ230)</f>
        <v>-169</v>
      </c>
      <c r="CK234" s="739"/>
      <c r="CL234" s="657" t="s">
        <v>358</v>
      </c>
      <c r="CM234" s="657"/>
      <c r="CN234" s="682"/>
      <c r="CO234" s="657"/>
      <c r="CP234" s="657"/>
      <c r="CQ234" s="657"/>
      <c r="CR234" s="657"/>
      <c r="CS234" s="657"/>
      <c r="CT234" s="739"/>
      <c r="CX234"/>
      <c r="CY234"/>
      <c r="CZ234"/>
      <c r="DA234"/>
      <c r="DB234"/>
      <c r="DC234"/>
    </row>
    <row r="235" spans="1:107" s="180" customFormat="1">
      <c r="A235" s="185" t="s">
        <v>222</v>
      </c>
      <c r="B235" s="186">
        <v>-6</v>
      </c>
      <c r="C235" s="186">
        <v>-237</v>
      </c>
      <c r="D235" s="186">
        <v>-67</v>
      </c>
      <c r="E235" s="186">
        <v>-436</v>
      </c>
      <c r="F235" s="186">
        <v>13</v>
      </c>
      <c r="G235" s="186">
        <v>44</v>
      </c>
      <c r="H235" s="187">
        <v>-3</v>
      </c>
      <c r="I235" s="187">
        <v>-56</v>
      </c>
      <c r="J235" s="187">
        <v>-9</v>
      </c>
      <c r="K235" s="187">
        <v>-2</v>
      </c>
      <c r="L235" s="570">
        <f>SUM(H235:K235)</f>
        <v>-70</v>
      </c>
      <c r="M235" s="187">
        <v>-5</v>
      </c>
      <c r="N235" s="187">
        <v>2</v>
      </c>
      <c r="O235" s="187">
        <v>-18</v>
      </c>
      <c r="P235" s="187">
        <v>-12</v>
      </c>
      <c r="Q235" s="186">
        <f>SUM(M235:P235)</f>
        <v>-33</v>
      </c>
      <c r="R235" s="187">
        <v>-5</v>
      </c>
      <c r="S235" s="187">
        <v>13</v>
      </c>
      <c r="T235" s="187">
        <v>10</v>
      </c>
      <c r="U235" s="187">
        <f>-21-6</f>
        <v>-27</v>
      </c>
      <c r="V235" s="186">
        <f>SUM(R235:U235)</f>
        <v>-9</v>
      </c>
      <c r="W235" s="187">
        <v>1</v>
      </c>
      <c r="X235" s="187">
        <v>-6</v>
      </c>
      <c r="Y235" s="187">
        <v>7</v>
      </c>
      <c r="Z235" s="536">
        <v>-67</v>
      </c>
      <c r="AA235" s="186">
        <f>SUM(W235:Z235)</f>
        <v>-65</v>
      </c>
      <c r="AB235" s="187">
        <v>0</v>
      </c>
      <c r="AC235" s="187">
        <v>-1</v>
      </c>
      <c r="AD235" s="187">
        <v>-14</v>
      </c>
      <c r="AE235" s="187">
        <v>3</v>
      </c>
      <c r="AF235" s="186">
        <f>SUM(AB235:AE235)</f>
        <v>-12</v>
      </c>
      <c r="AG235" s="187">
        <v>8</v>
      </c>
      <c r="AH235" s="187">
        <v>-3</v>
      </c>
      <c r="AI235" s="187">
        <v>5</v>
      </c>
      <c r="AJ235" s="536">
        <f>-28</f>
        <v>-28</v>
      </c>
      <c r="AK235" s="186">
        <f>+SUM(AG235:AJ235)</f>
        <v>-18</v>
      </c>
      <c r="AL235" s="187">
        <v>7</v>
      </c>
      <c r="AM235" s="187">
        <v>-3</v>
      </c>
      <c r="AN235" s="187">
        <v>5</v>
      </c>
      <c r="AO235" s="187">
        <v>8</v>
      </c>
      <c r="AP235" s="186">
        <f>SUM(AL235:AO235)</f>
        <v>17</v>
      </c>
      <c r="AQ235" s="187">
        <v>0</v>
      </c>
      <c r="AR235" s="187">
        <v>6</v>
      </c>
      <c r="AS235" s="187">
        <v>-1</v>
      </c>
      <c r="AT235" s="187">
        <v>2</v>
      </c>
      <c r="AU235" s="186">
        <f>SUM(AQ235:AT235)</f>
        <v>7</v>
      </c>
      <c r="AV235" s="187"/>
      <c r="AW235" s="187"/>
      <c r="AX235" s="187"/>
      <c r="AY235" s="187"/>
      <c r="AZ235" s="186">
        <v>7</v>
      </c>
      <c r="BA235" s="187">
        <v>2</v>
      </c>
      <c r="BB235" s="187">
        <v>1</v>
      </c>
      <c r="BC235" s="923">
        <v>-9</v>
      </c>
      <c r="BD235" s="923">
        <v>2</v>
      </c>
      <c r="BE235" s="186">
        <f>SUM(BA235:BD235)</f>
        <v>-4</v>
      </c>
      <c r="BF235" s="903">
        <v>2</v>
      </c>
      <c r="BG235" s="924">
        <v>1</v>
      </c>
      <c r="BH235" s="924">
        <v>4</v>
      </c>
      <c r="BI235" s="933">
        <v>-1</v>
      </c>
      <c r="BJ235" s="186">
        <f>SUM(BF235:BI235)</f>
        <v>6</v>
      </c>
      <c r="BK235" s="903">
        <v>7</v>
      </c>
      <c r="BL235" s="734">
        <v>-35</v>
      </c>
      <c r="BM235" s="924">
        <v>2</v>
      </c>
      <c r="BN235" s="933">
        <v>5</v>
      </c>
      <c r="BO235" s="186">
        <f>SUM(BK235:BN235)</f>
        <v>-21</v>
      </c>
      <c r="BP235" s="186">
        <f>BO235+-BP218</f>
        <v>-934</v>
      </c>
      <c r="BQ235" s="737">
        <f>-BQ218</f>
        <v>-239.5</v>
      </c>
      <c r="BR235" s="734">
        <f t="shared" ref="BR235:BT235" si="759">-BR218</f>
        <v>-239.5</v>
      </c>
      <c r="BS235" s="734">
        <f t="shared" si="759"/>
        <v>-239.5</v>
      </c>
      <c r="BT235" s="738">
        <f t="shared" si="759"/>
        <v>-239.5</v>
      </c>
      <c r="BU235" s="702">
        <f>SUM(BQ235:BT235)</f>
        <v>-958</v>
      </c>
      <c r="BV235" s="903"/>
      <c r="BW235" s="924"/>
      <c r="BX235" s="924"/>
      <c r="BY235" s="933"/>
      <c r="BZ235" s="1072">
        <f t="shared" ref="BZ235" si="760">-BZ218</f>
        <v>-771</v>
      </c>
      <c r="CA235" s="903"/>
      <c r="CB235" s="924"/>
      <c r="CC235" s="924"/>
      <c r="CD235" s="933"/>
      <c r="CE235" s="1072">
        <f t="shared" ref="CE235" si="761">-CE218</f>
        <v>-540</v>
      </c>
      <c r="CF235" s="903"/>
      <c r="CG235" s="924"/>
      <c r="CH235" s="924"/>
      <c r="CI235" s="933"/>
      <c r="CJ235" s="1072">
        <f t="shared" ref="CJ235" si="762">-CJ218</f>
        <v>-540</v>
      </c>
      <c r="CK235" s="291"/>
      <c r="CL235" s="657"/>
      <c r="CM235" s="657"/>
      <c r="CN235" s="682"/>
      <c r="CO235" s="657"/>
      <c r="CP235" s="657"/>
      <c r="CQ235" s="657"/>
      <c r="CR235" s="657"/>
      <c r="CS235" s="657"/>
      <c r="CT235" s="291"/>
      <c r="CX235"/>
      <c r="CY235"/>
      <c r="CZ235"/>
      <c r="DA235"/>
      <c r="DB235"/>
      <c r="DC235"/>
    </row>
    <row r="236" spans="1:107">
      <c r="A236" s="105" t="s">
        <v>223</v>
      </c>
      <c r="B236" s="139">
        <f t="shared" ref="B236:AG236" si="763">SUM(B199,B234:B235)</f>
        <v>100</v>
      </c>
      <c r="C236" s="139">
        <f t="shared" si="763"/>
        <v>1076</v>
      </c>
      <c r="D236" s="139">
        <f t="shared" si="763"/>
        <v>762</v>
      </c>
      <c r="E236" s="139">
        <f t="shared" si="763"/>
        <v>483</v>
      </c>
      <c r="F236" s="139">
        <f t="shared" si="763"/>
        <v>1366</v>
      </c>
      <c r="G236" s="139">
        <f t="shared" si="763"/>
        <v>1791</v>
      </c>
      <c r="H236" s="59">
        <f t="shared" si="763"/>
        <v>486</v>
      </c>
      <c r="I236" s="59">
        <f t="shared" si="763"/>
        <v>536</v>
      </c>
      <c r="J236" s="59">
        <f t="shared" si="763"/>
        <v>564</v>
      </c>
      <c r="K236" s="59">
        <f t="shared" si="763"/>
        <v>639</v>
      </c>
      <c r="L236" s="139">
        <f t="shared" si="763"/>
        <v>2251</v>
      </c>
      <c r="M236" s="59">
        <f t="shared" si="763"/>
        <v>593</v>
      </c>
      <c r="N236" s="59">
        <f t="shared" si="763"/>
        <v>653</v>
      </c>
      <c r="O236" s="59">
        <f t="shared" si="763"/>
        <v>659</v>
      </c>
      <c r="P236" s="59">
        <f t="shared" si="763"/>
        <v>617</v>
      </c>
      <c r="Q236" s="111">
        <f t="shared" si="763"/>
        <v>2522</v>
      </c>
      <c r="R236" s="59">
        <f t="shared" si="763"/>
        <v>679</v>
      </c>
      <c r="S236" s="59">
        <f t="shared" si="763"/>
        <v>750</v>
      </c>
      <c r="T236" s="59">
        <f t="shared" si="763"/>
        <v>747</v>
      </c>
      <c r="U236" s="109">
        <f t="shared" si="763"/>
        <v>770</v>
      </c>
      <c r="V236" s="111">
        <f t="shared" si="763"/>
        <v>2946</v>
      </c>
      <c r="W236" s="109">
        <f t="shared" si="763"/>
        <v>681</v>
      </c>
      <c r="X236" s="109">
        <f t="shared" si="763"/>
        <v>310</v>
      </c>
      <c r="Y236" s="109">
        <f t="shared" si="763"/>
        <v>726</v>
      </c>
      <c r="Z236" s="59">
        <f t="shared" si="763"/>
        <v>715</v>
      </c>
      <c r="AA236" s="111">
        <f t="shared" si="763"/>
        <v>2432</v>
      </c>
      <c r="AB236" s="59">
        <f t="shared" si="763"/>
        <v>550</v>
      </c>
      <c r="AC236" s="59">
        <f t="shared" si="763"/>
        <v>629</v>
      </c>
      <c r="AD236" s="59">
        <f t="shared" si="763"/>
        <v>672</v>
      </c>
      <c r="AE236" s="59">
        <f t="shared" si="763"/>
        <v>809</v>
      </c>
      <c r="AF236" s="139">
        <f t="shared" si="763"/>
        <v>2660</v>
      </c>
      <c r="AG236" s="59">
        <f t="shared" si="763"/>
        <v>666</v>
      </c>
      <c r="AH236" s="59">
        <f t="shared" ref="AH236:BJ236" si="764">SUM(AH199,AH234:AH235)</f>
        <v>690</v>
      </c>
      <c r="AI236" s="59">
        <f t="shared" si="764"/>
        <v>745</v>
      </c>
      <c r="AJ236" s="59">
        <f t="shared" si="764"/>
        <v>678</v>
      </c>
      <c r="AK236" s="139">
        <f t="shared" si="764"/>
        <v>2779</v>
      </c>
      <c r="AL236" s="59">
        <f t="shared" si="764"/>
        <v>663</v>
      </c>
      <c r="AM236" s="59">
        <f t="shared" si="764"/>
        <v>713</v>
      </c>
      <c r="AN236" s="59">
        <f t="shared" si="764"/>
        <v>712</v>
      </c>
      <c r="AO236" s="59">
        <f t="shared" si="764"/>
        <v>669</v>
      </c>
      <c r="AP236" s="139">
        <f t="shared" si="764"/>
        <v>2949</v>
      </c>
      <c r="AQ236" s="59">
        <f t="shared" si="764"/>
        <v>739.4</v>
      </c>
      <c r="AR236" s="59">
        <f t="shared" si="764"/>
        <v>712</v>
      </c>
      <c r="AS236" s="59">
        <f t="shared" si="764"/>
        <v>709</v>
      </c>
      <c r="AT236" s="59">
        <f t="shared" si="764"/>
        <v>818</v>
      </c>
      <c r="AU236" s="139">
        <f t="shared" si="764"/>
        <v>2978.4</v>
      </c>
      <c r="AV236" s="59"/>
      <c r="AW236" s="59"/>
      <c r="AX236" s="59"/>
      <c r="AY236" s="59"/>
      <c r="AZ236" s="139">
        <f t="shared" ref="AZ236" si="765">SUM(AZ199,AZ234:AZ235)</f>
        <v>2983</v>
      </c>
      <c r="BA236" s="59">
        <f t="shared" si="764"/>
        <v>788</v>
      </c>
      <c r="BB236" s="59">
        <f t="shared" si="764"/>
        <v>592</v>
      </c>
      <c r="BC236" s="59">
        <f t="shared" si="764"/>
        <v>633</v>
      </c>
      <c r="BD236" s="59">
        <f t="shared" si="764"/>
        <v>771</v>
      </c>
      <c r="BE236" s="139">
        <f t="shared" si="764"/>
        <v>2784</v>
      </c>
      <c r="BF236" s="59">
        <f t="shared" si="764"/>
        <v>561</v>
      </c>
      <c r="BG236" s="59">
        <f t="shared" si="764"/>
        <v>907</v>
      </c>
      <c r="BH236" s="59">
        <f t="shared" si="764"/>
        <v>756</v>
      </c>
      <c r="BI236" s="59">
        <f t="shared" si="764"/>
        <v>806</v>
      </c>
      <c r="BJ236" s="139">
        <f t="shared" si="764"/>
        <v>3030</v>
      </c>
      <c r="BK236" s="59">
        <f t="shared" ref="BK236" si="766">SUM(BK199,BK234:BK235)</f>
        <v>695</v>
      </c>
      <c r="BL236" s="59">
        <f t="shared" ref="BL236:BO236" si="767">SUM(BL199,BL234:BL235)</f>
        <v>768</v>
      </c>
      <c r="BM236" s="59">
        <f t="shared" si="767"/>
        <v>816</v>
      </c>
      <c r="BN236" s="59">
        <f t="shared" si="767"/>
        <v>834</v>
      </c>
      <c r="BO236" s="139">
        <f t="shared" si="767"/>
        <v>3113</v>
      </c>
      <c r="BP236" s="139">
        <f t="shared" ref="BP236" si="768">SUM(BP199,BP234:BP235)</f>
        <v>3113</v>
      </c>
      <c r="BQ236" s="140">
        <f t="shared" ref="BQ236:BT236" si="769">SUM(BQ199,BQ234:BQ235)</f>
        <v>781.33617572632613</v>
      </c>
      <c r="BR236" s="59">
        <f t="shared" si="769"/>
        <v>848.78703572632639</v>
      </c>
      <c r="BS236" s="59">
        <f t="shared" si="769"/>
        <v>842.92308572632624</v>
      </c>
      <c r="BT236" s="60">
        <f t="shared" si="769"/>
        <v>951.19126572632649</v>
      </c>
      <c r="BU236" s="139">
        <f>SUM(BU199,BU234:BU235)</f>
        <v>3424.2375629053058</v>
      </c>
      <c r="BV236" s="140"/>
      <c r="BW236" s="59"/>
      <c r="BX236" s="59"/>
      <c r="BY236" s="60"/>
      <c r="BZ236" s="139">
        <f>SUM(BZ199,BZ234:BZ235)</f>
        <v>3896.0720393514857</v>
      </c>
      <c r="CA236" s="140"/>
      <c r="CB236" s="59"/>
      <c r="CC236" s="59"/>
      <c r="CD236" s="60"/>
      <c r="CE236" s="139">
        <f>SUM(CE199,CE234:CE235)</f>
        <v>4382.2918836156077</v>
      </c>
      <c r="CF236" s="140"/>
      <c r="CG236" s="59"/>
      <c r="CH236" s="59"/>
      <c r="CI236" s="60"/>
      <c r="CJ236" s="139">
        <f>SUM(CJ199,CJ234:CJ235)</f>
        <v>4638.1622884293329</v>
      </c>
      <c r="CK236" s="289"/>
      <c r="CL236" s="980"/>
      <c r="CM236" s="980"/>
      <c r="CN236" s="681"/>
      <c r="CO236" s="658"/>
      <c r="CP236" s="658"/>
      <c r="CQ236" s="657"/>
      <c r="CR236" s="657"/>
      <c r="CS236" s="657"/>
      <c r="CT236" s="289"/>
    </row>
    <row r="237" spans="1:107" s="180" customFormat="1">
      <c r="A237" s="188" t="s">
        <v>217</v>
      </c>
      <c r="B237" s="176">
        <v>98</v>
      </c>
      <c r="C237" s="176">
        <v>320</v>
      </c>
      <c r="D237" s="176">
        <v>227</v>
      </c>
      <c r="E237" s="176">
        <v>109</v>
      </c>
      <c r="F237" s="176">
        <v>468</v>
      </c>
      <c r="G237" s="176">
        <v>604</v>
      </c>
      <c r="H237" s="189">
        <v>162</v>
      </c>
      <c r="I237" s="189">
        <v>181</v>
      </c>
      <c r="J237" s="189">
        <v>184</v>
      </c>
      <c r="K237" s="177">
        <f>5</f>
        <v>5</v>
      </c>
      <c r="L237" s="176">
        <f>SUM(H237:K237)</f>
        <v>532</v>
      </c>
      <c r="M237" s="177">
        <v>192</v>
      </c>
      <c r="N237" s="189">
        <v>221</v>
      </c>
      <c r="O237" s="189">
        <v>222</v>
      </c>
      <c r="P237" s="177">
        <v>189</v>
      </c>
      <c r="Q237" s="137">
        <f>SUM(M237:P237)</f>
        <v>824</v>
      </c>
      <c r="R237" s="177">
        <v>222</v>
      </c>
      <c r="S237" s="189">
        <v>246</v>
      </c>
      <c r="T237" s="189">
        <v>248</v>
      </c>
      <c r="U237" s="136">
        <f>237+8-2</f>
        <v>243</v>
      </c>
      <c r="V237" s="137">
        <f>SUM(R237:U237)</f>
        <v>959</v>
      </c>
      <c r="W237" s="136">
        <v>220</v>
      </c>
      <c r="X237" s="135">
        <f>91</f>
        <v>91</v>
      </c>
      <c r="Y237" s="135">
        <f>77</f>
        <v>77</v>
      </c>
      <c r="Z237" s="177">
        <v>201</v>
      </c>
      <c r="AA237" s="137">
        <f>SUM(W237:Z237)</f>
        <v>589</v>
      </c>
      <c r="AB237" s="189">
        <f>164</f>
        <v>164</v>
      </c>
      <c r="AC237" s="135">
        <v>192</v>
      </c>
      <c r="AD237" s="136">
        <f>165</f>
        <v>165</v>
      </c>
      <c r="AE237" s="136">
        <v>261</v>
      </c>
      <c r="AF237" s="137">
        <f>SUM(AB237:AE237)</f>
        <v>782</v>
      </c>
      <c r="AG237" s="136">
        <f>212</f>
        <v>212</v>
      </c>
      <c r="AH237" s="135">
        <f>219</f>
        <v>219</v>
      </c>
      <c r="AI237" s="135">
        <f>237</f>
        <v>237</v>
      </c>
      <c r="AJ237" s="136">
        <f>210</f>
        <v>210</v>
      </c>
      <c r="AK237" s="137">
        <f>SUM(AG237:AJ237)</f>
        <v>878</v>
      </c>
      <c r="AL237" s="135">
        <f>167</f>
        <v>167</v>
      </c>
      <c r="AM237" s="189">
        <v>220</v>
      </c>
      <c r="AN237" s="189">
        <v>221</v>
      </c>
      <c r="AO237" s="189">
        <v>200</v>
      </c>
      <c r="AP237" s="176">
        <f>SUM(AL237:AO237)</f>
        <v>808</v>
      </c>
      <c r="AQ237" s="135">
        <v>147</v>
      </c>
      <c r="AR237" s="189">
        <v>212</v>
      </c>
      <c r="AS237" s="189">
        <v>193</v>
      </c>
      <c r="AT237" s="189">
        <v>238</v>
      </c>
      <c r="AU237" s="176">
        <f>SUM(AQ237:AT237)</f>
        <v>790</v>
      </c>
      <c r="AV237" s="135"/>
      <c r="AW237" s="189"/>
      <c r="AX237" s="189"/>
      <c r="AY237" s="189"/>
      <c r="AZ237" s="176">
        <v>790</v>
      </c>
      <c r="BA237" s="135">
        <v>234</v>
      </c>
      <c r="BB237" s="189">
        <v>90</v>
      </c>
      <c r="BC237" s="674">
        <v>189</v>
      </c>
      <c r="BD237" s="674">
        <v>220</v>
      </c>
      <c r="BE237" s="176">
        <f>SUM(BA237:BD237)</f>
        <v>733</v>
      </c>
      <c r="BF237" s="718">
        <v>157</v>
      </c>
      <c r="BG237" s="660">
        <v>202</v>
      </c>
      <c r="BH237" s="660">
        <v>233</v>
      </c>
      <c r="BI237" s="752">
        <v>266</v>
      </c>
      <c r="BJ237" s="176">
        <f>SUM(BF237:BI237)</f>
        <v>858</v>
      </c>
      <c r="BK237" s="718">
        <v>198</v>
      </c>
      <c r="BL237" s="177">
        <v>221</v>
      </c>
      <c r="BM237" s="660">
        <v>248</v>
      </c>
      <c r="BN237" s="752">
        <f>447-171-25</f>
        <v>251</v>
      </c>
      <c r="BO237" s="176">
        <f>SUM(BK237:BN237)</f>
        <v>918</v>
      </c>
      <c r="BP237" s="176">
        <f>BO237</f>
        <v>918</v>
      </c>
      <c r="BQ237" s="178">
        <f t="shared" ref="BQ237:BT237" si="770">BQ236*BQ238</f>
        <v>144.54719250937032</v>
      </c>
      <c r="BR237" s="177">
        <f t="shared" si="770"/>
        <v>157.02560160937037</v>
      </c>
      <c r="BS237" s="177">
        <f t="shared" si="770"/>
        <v>155.94077085937036</v>
      </c>
      <c r="BT237" s="179">
        <f t="shared" si="770"/>
        <v>175.97038415937041</v>
      </c>
      <c r="BU237" s="176">
        <f>SUM(BQ237:BT237)</f>
        <v>633.48394913748143</v>
      </c>
      <c r="BV237" s="178"/>
      <c r="BW237" s="177"/>
      <c r="BX237" s="177"/>
      <c r="BY237" s="179"/>
      <c r="BZ237" s="176">
        <f>BZ236*BZ238</f>
        <v>740.25368747678226</v>
      </c>
      <c r="CA237" s="178"/>
      <c r="CB237" s="177"/>
      <c r="CC237" s="177"/>
      <c r="CD237" s="179"/>
      <c r="CE237" s="176">
        <f>CE236*CE238</f>
        <v>832.63545788696547</v>
      </c>
      <c r="CF237" s="178"/>
      <c r="CG237" s="177"/>
      <c r="CH237" s="177"/>
      <c r="CI237" s="179"/>
      <c r="CJ237" s="176">
        <f>CJ236*CJ238</f>
        <v>881.25083480157321</v>
      </c>
      <c r="CK237" s="291"/>
      <c r="CL237" s="658"/>
      <c r="CM237" s="658"/>
      <c r="CN237" s="682"/>
      <c r="CO237" s="657"/>
      <c r="CP237" s="657"/>
      <c r="CQ237" s="657"/>
      <c r="CR237" s="657"/>
      <c r="CS237" s="657"/>
      <c r="CT237" s="291"/>
      <c r="CX237"/>
      <c r="CY237"/>
      <c r="CZ237"/>
      <c r="DA237"/>
      <c r="DB237"/>
      <c r="DC237"/>
    </row>
    <row r="238" spans="1:107" s="409" customFormat="1">
      <c r="A238" s="581" t="s">
        <v>210</v>
      </c>
      <c r="B238" s="408">
        <f t="shared" ref="B238:AI238" si="771">B237/B236</f>
        <v>0.98</v>
      </c>
      <c r="C238" s="408">
        <f t="shared" si="771"/>
        <v>0.29739776951672864</v>
      </c>
      <c r="D238" s="408">
        <f t="shared" si="771"/>
        <v>0.29790026246719159</v>
      </c>
      <c r="E238" s="408">
        <f t="shared" si="771"/>
        <v>0.22567287784679088</v>
      </c>
      <c r="F238" s="408">
        <f t="shared" si="771"/>
        <v>0.34260614934114203</v>
      </c>
      <c r="G238" s="408">
        <f t="shared" si="771"/>
        <v>0.33724176437744274</v>
      </c>
      <c r="H238" s="406">
        <f t="shared" si="771"/>
        <v>0.33333333333333331</v>
      </c>
      <c r="I238" s="406">
        <f t="shared" si="771"/>
        <v>0.33768656716417911</v>
      </c>
      <c r="J238" s="406">
        <f t="shared" si="771"/>
        <v>0.32624113475177308</v>
      </c>
      <c r="K238" s="406">
        <f t="shared" si="771"/>
        <v>7.8247261345852897E-3</v>
      </c>
      <c r="L238" s="408">
        <f t="shared" si="771"/>
        <v>0.23633940470901821</v>
      </c>
      <c r="M238" s="406">
        <f t="shared" si="771"/>
        <v>0.32377740303541314</v>
      </c>
      <c r="N238" s="406">
        <f t="shared" si="771"/>
        <v>0.33843797856049007</v>
      </c>
      <c r="O238" s="406">
        <f t="shared" si="771"/>
        <v>0.33687405159332323</v>
      </c>
      <c r="P238" s="406">
        <f t="shared" si="771"/>
        <v>0.30632090761750408</v>
      </c>
      <c r="Q238" s="538">
        <f t="shared" si="771"/>
        <v>0.3267248215701824</v>
      </c>
      <c r="R238" s="406">
        <f t="shared" si="771"/>
        <v>0.32695139911634757</v>
      </c>
      <c r="S238" s="406">
        <f t="shared" si="771"/>
        <v>0.32800000000000001</v>
      </c>
      <c r="T238" s="406">
        <f t="shared" si="771"/>
        <v>0.33199464524765732</v>
      </c>
      <c r="U238" s="416">
        <f t="shared" si="771"/>
        <v>0.31558441558441558</v>
      </c>
      <c r="V238" s="538">
        <f t="shared" si="771"/>
        <v>0.32552613713509843</v>
      </c>
      <c r="W238" s="416">
        <f t="shared" si="771"/>
        <v>0.32305433186490456</v>
      </c>
      <c r="X238" s="416">
        <f t="shared" si="771"/>
        <v>0.29354838709677417</v>
      </c>
      <c r="Y238" s="416">
        <f t="shared" si="771"/>
        <v>0.10606060606060606</v>
      </c>
      <c r="Z238" s="406">
        <f t="shared" si="771"/>
        <v>0.28111888111888111</v>
      </c>
      <c r="AA238" s="538">
        <f t="shared" si="771"/>
        <v>0.2421875</v>
      </c>
      <c r="AB238" s="406">
        <f t="shared" si="771"/>
        <v>0.29818181818181816</v>
      </c>
      <c r="AC238" s="406">
        <f t="shared" si="771"/>
        <v>0.30524642289348169</v>
      </c>
      <c r="AD238" s="406">
        <f t="shared" si="771"/>
        <v>0.24553571428571427</v>
      </c>
      <c r="AE238" s="406">
        <f t="shared" si="771"/>
        <v>0.32262051915945611</v>
      </c>
      <c r="AF238" s="408">
        <f>AF237/AF236</f>
        <v>0.29398496240601502</v>
      </c>
      <c r="AG238" s="406">
        <f t="shared" si="771"/>
        <v>0.31831831831831831</v>
      </c>
      <c r="AH238" s="406">
        <f t="shared" si="771"/>
        <v>0.31739130434782609</v>
      </c>
      <c r="AI238" s="406">
        <f t="shared" si="771"/>
        <v>0.31812080536912751</v>
      </c>
      <c r="AJ238" s="406">
        <f t="shared" ref="AJ238:AP238" si="772">AJ237/AJ236</f>
        <v>0.30973451327433627</v>
      </c>
      <c r="AK238" s="408">
        <f t="shared" si="772"/>
        <v>0.31594098596617487</v>
      </c>
      <c r="AL238" s="406">
        <f t="shared" si="772"/>
        <v>0.25188536953242835</v>
      </c>
      <c r="AM238" s="406">
        <f t="shared" si="772"/>
        <v>0.30855539971949508</v>
      </c>
      <c r="AN238" s="406">
        <f t="shared" si="772"/>
        <v>0.3103932584269663</v>
      </c>
      <c r="AO238" s="406">
        <f t="shared" si="772"/>
        <v>0.29895366218236175</v>
      </c>
      <c r="AP238" s="408">
        <f t="shared" si="772"/>
        <v>0.27399118345201762</v>
      </c>
      <c r="AQ238" s="406">
        <f t="shared" ref="AQ238:BA238" si="773">AQ237/AQ236</f>
        <v>0.19880984582093589</v>
      </c>
      <c r="AR238" s="406">
        <f t="shared" si="773"/>
        <v>0.29775280898876405</v>
      </c>
      <c r="AS238" s="406">
        <f t="shared" si="773"/>
        <v>0.27221438645980256</v>
      </c>
      <c r="AT238" s="406">
        <f t="shared" si="773"/>
        <v>0.29095354523227385</v>
      </c>
      <c r="AU238" s="408">
        <f t="shared" si="773"/>
        <v>0.26524308353478376</v>
      </c>
      <c r="AV238" s="406"/>
      <c r="AW238" s="406"/>
      <c r="AX238" s="406"/>
      <c r="AY238" s="406"/>
      <c r="AZ238" s="408">
        <f t="shared" ref="AZ238" si="774">AZ237/AZ236</f>
        <v>0.26483405967147167</v>
      </c>
      <c r="BA238" s="406">
        <f t="shared" si="773"/>
        <v>0.29695431472081218</v>
      </c>
      <c r="BB238" s="406">
        <f t="shared" ref="BB238:BL238" si="775">BB237/BB236</f>
        <v>0.15202702702702703</v>
      </c>
      <c r="BC238" s="406">
        <f t="shared" si="775"/>
        <v>0.29857819905213268</v>
      </c>
      <c r="BD238" s="406">
        <f t="shared" si="775"/>
        <v>0.28534370946822307</v>
      </c>
      <c r="BE238" s="408">
        <f t="shared" si="775"/>
        <v>0.26329022988505746</v>
      </c>
      <c r="BF238" s="406">
        <f t="shared" si="775"/>
        <v>0.27985739750445632</v>
      </c>
      <c r="BG238" s="406">
        <f t="shared" si="775"/>
        <v>0.2227122381477398</v>
      </c>
      <c r="BH238" s="406">
        <f t="shared" si="775"/>
        <v>0.3082010582010582</v>
      </c>
      <c r="BI238" s="406">
        <f t="shared" si="775"/>
        <v>0.33002481389578164</v>
      </c>
      <c r="BJ238" s="408">
        <f t="shared" si="775"/>
        <v>0.28316831683168314</v>
      </c>
      <c r="BK238" s="406">
        <f t="shared" si="775"/>
        <v>0.28489208633093527</v>
      </c>
      <c r="BL238" s="965">
        <f t="shared" si="775"/>
        <v>0.28776041666666669</v>
      </c>
      <c r="BM238" s="406">
        <f t="shared" ref="BM238:BO238" si="776">BM237/BM236</f>
        <v>0.30392156862745096</v>
      </c>
      <c r="BN238" s="406">
        <f t="shared" si="776"/>
        <v>0.30095923261390889</v>
      </c>
      <c r="BO238" s="408">
        <f t="shared" si="776"/>
        <v>0.29489238676517826</v>
      </c>
      <c r="BP238" s="408">
        <f t="shared" ref="BP238" si="777">BP237/BP236</f>
        <v>0.29489238676517826</v>
      </c>
      <c r="BQ238" s="411">
        <v>0.185</v>
      </c>
      <c r="BR238" s="412">
        <v>0.185</v>
      </c>
      <c r="BS238" s="412">
        <v>0.185</v>
      </c>
      <c r="BT238" s="413">
        <v>0.185</v>
      </c>
      <c r="BU238" s="474">
        <f t="shared" ref="BU238" si="778">BU237/BU236</f>
        <v>0.18499999999999997</v>
      </c>
      <c r="BV238" s="411"/>
      <c r="BW238" s="412"/>
      <c r="BX238" s="412"/>
      <c r="BY238" s="413"/>
      <c r="BZ238" s="417">
        <v>0.19</v>
      </c>
      <c r="CA238" s="411"/>
      <c r="CB238" s="412"/>
      <c r="CC238" s="412"/>
      <c r="CD238" s="413"/>
      <c r="CE238" s="417">
        <v>0.19</v>
      </c>
      <c r="CF238" s="411"/>
      <c r="CG238" s="412"/>
      <c r="CH238" s="412"/>
      <c r="CI238" s="413"/>
      <c r="CJ238" s="417">
        <v>0.19</v>
      </c>
      <c r="CK238" s="414"/>
      <c r="CL238" s="657" t="s">
        <v>361</v>
      </c>
      <c r="CM238" s="980"/>
      <c r="CN238" s="980"/>
      <c r="CO238" s="980"/>
      <c r="CP238" s="657"/>
      <c r="CQ238" s="657"/>
      <c r="CR238" s="657"/>
      <c r="CS238" s="657"/>
      <c r="CT238" s="414"/>
      <c r="CX238"/>
      <c r="CY238"/>
      <c r="CZ238"/>
      <c r="DA238"/>
      <c r="DB238"/>
      <c r="DC238"/>
    </row>
    <row r="239" spans="1:107">
      <c r="A239" s="58" t="s">
        <v>63</v>
      </c>
      <c r="B239" s="139">
        <f t="shared" ref="B239:AM239" si="779">B236-B237</f>
        <v>2</v>
      </c>
      <c r="C239" s="139">
        <f t="shared" si="779"/>
        <v>756</v>
      </c>
      <c r="D239" s="139">
        <f>D236-D237</f>
        <v>535</v>
      </c>
      <c r="E239" s="139">
        <f t="shared" si="779"/>
        <v>374</v>
      </c>
      <c r="F239" s="139">
        <f t="shared" si="779"/>
        <v>898</v>
      </c>
      <c r="G239" s="139">
        <f t="shared" si="779"/>
        <v>1187</v>
      </c>
      <c r="H239" s="59">
        <f t="shared" si="779"/>
        <v>324</v>
      </c>
      <c r="I239" s="59">
        <f t="shared" si="779"/>
        <v>355</v>
      </c>
      <c r="J239" s="59">
        <f t="shared" si="779"/>
        <v>380</v>
      </c>
      <c r="K239" s="59">
        <f t="shared" si="779"/>
        <v>634</v>
      </c>
      <c r="L239" s="139">
        <f t="shared" si="779"/>
        <v>1719</v>
      </c>
      <c r="M239" s="59">
        <f t="shared" si="779"/>
        <v>401</v>
      </c>
      <c r="N239" s="59">
        <f t="shared" si="779"/>
        <v>432</v>
      </c>
      <c r="O239" s="59">
        <f t="shared" si="779"/>
        <v>437</v>
      </c>
      <c r="P239" s="59">
        <f t="shared" si="779"/>
        <v>428</v>
      </c>
      <c r="Q239" s="111">
        <f t="shared" si="779"/>
        <v>1698</v>
      </c>
      <c r="R239" s="59">
        <f t="shared" si="779"/>
        <v>457</v>
      </c>
      <c r="S239" s="59">
        <f t="shared" si="779"/>
        <v>504</v>
      </c>
      <c r="T239" s="59">
        <f t="shared" si="779"/>
        <v>499</v>
      </c>
      <c r="U239" s="109">
        <f t="shared" si="779"/>
        <v>527</v>
      </c>
      <c r="V239" s="111">
        <f t="shared" si="779"/>
        <v>1987</v>
      </c>
      <c r="W239" s="109">
        <f t="shared" si="779"/>
        <v>461</v>
      </c>
      <c r="X239" s="109">
        <f t="shared" si="779"/>
        <v>219</v>
      </c>
      <c r="Y239" s="109">
        <f t="shared" si="779"/>
        <v>649</v>
      </c>
      <c r="Z239" s="59">
        <f t="shared" si="779"/>
        <v>514</v>
      </c>
      <c r="AA239" s="111">
        <f>AA236-AA237</f>
        <v>1843</v>
      </c>
      <c r="AB239" s="59">
        <f t="shared" si="779"/>
        <v>386</v>
      </c>
      <c r="AC239" s="59">
        <f t="shared" si="779"/>
        <v>437</v>
      </c>
      <c r="AD239" s="59">
        <f t="shared" si="779"/>
        <v>507</v>
      </c>
      <c r="AE239" s="59">
        <f t="shared" si="779"/>
        <v>548</v>
      </c>
      <c r="AF239" s="139">
        <f t="shared" si="779"/>
        <v>1878</v>
      </c>
      <c r="AG239" s="59">
        <f t="shared" si="779"/>
        <v>454</v>
      </c>
      <c r="AH239" s="59">
        <f>AH236-AH237</f>
        <v>471</v>
      </c>
      <c r="AI239" s="59">
        <f>AI236-AI237</f>
        <v>508</v>
      </c>
      <c r="AJ239" s="59">
        <f>AJ236-AJ237</f>
        <v>468</v>
      </c>
      <c r="AK239" s="139">
        <f>AK236-AK237</f>
        <v>1901</v>
      </c>
      <c r="AL239" s="59">
        <f>AL236-AL237</f>
        <v>496</v>
      </c>
      <c r="AM239" s="59">
        <f t="shared" si="779"/>
        <v>493</v>
      </c>
      <c r="AN239" s="59">
        <f t="shared" ref="AN239:AU239" si="780">AN236-AN237</f>
        <v>491</v>
      </c>
      <c r="AO239" s="59">
        <f t="shared" si="780"/>
        <v>469</v>
      </c>
      <c r="AP239" s="139">
        <f t="shared" si="780"/>
        <v>2141</v>
      </c>
      <c r="AQ239" s="59">
        <f t="shared" si="780"/>
        <v>592.4</v>
      </c>
      <c r="AR239" s="59">
        <f t="shared" si="780"/>
        <v>500</v>
      </c>
      <c r="AS239" s="59">
        <f t="shared" si="780"/>
        <v>516</v>
      </c>
      <c r="AT239" s="59">
        <f t="shared" si="780"/>
        <v>580</v>
      </c>
      <c r="AU239" s="139">
        <f t="shared" si="780"/>
        <v>2188.4</v>
      </c>
      <c r="AV239" s="59"/>
      <c r="AW239" s="59"/>
      <c r="AX239" s="59"/>
      <c r="AY239" s="59"/>
      <c r="AZ239" s="139">
        <f t="shared" ref="AZ239" si="781">AZ236-AZ237</f>
        <v>2193</v>
      </c>
      <c r="BA239" s="59">
        <f t="shared" ref="BA239:BJ239" si="782">BA236-BA237</f>
        <v>554</v>
      </c>
      <c r="BB239" s="59">
        <f t="shared" si="782"/>
        <v>502</v>
      </c>
      <c r="BC239" s="59">
        <f t="shared" si="782"/>
        <v>444</v>
      </c>
      <c r="BD239" s="59">
        <f t="shared" si="782"/>
        <v>551</v>
      </c>
      <c r="BE239" s="139">
        <f t="shared" si="782"/>
        <v>2051</v>
      </c>
      <c r="BF239" s="59">
        <f t="shared" si="782"/>
        <v>404</v>
      </c>
      <c r="BG239" s="59">
        <f t="shared" si="782"/>
        <v>705</v>
      </c>
      <c r="BH239" s="59">
        <f t="shared" si="782"/>
        <v>523</v>
      </c>
      <c r="BI239" s="59">
        <f t="shared" si="782"/>
        <v>540</v>
      </c>
      <c r="BJ239" s="139">
        <f t="shared" si="782"/>
        <v>2172</v>
      </c>
      <c r="BK239" s="59">
        <f t="shared" ref="BK239:BO239" si="783">BK236-BK237</f>
        <v>497</v>
      </c>
      <c r="BL239" s="59">
        <f t="shared" si="783"/>
        <v>547</v>
      </c>
      <c r="BM239" s="59">
        <f t="shared" si="783"/>
        <v>568</v>
      </c>
      <c r="BN239" s="59">
        <f t="shared" si="783"/>
        <v>583</v>
      </c>
      <c r="BO239" s="139">
        <f t="shared" si="783"/>
        <v>2195</v>
      </c>
      <c r="BP239" s="139">
        <f t="shared" ref="BP239" si="784">BP236-BP237</f>
        <v>2195</v>
      </c>
      <c r="BQ239" s="140">
        <f t="shared" ref="BQ239:BT239" si="785">BQ236-BQ237</f>
        <v>636.78898321695578</v>
      </c>
      <c r="BR239" s="59">
        <f t="shared" si="785"/>
        <v>691.76143411695602</v>
      </c>
      <c r="BS239" s="59">
        <f t="shared" si="785"/>
        <v>686.9823148669559</v>
      </c>
      <c r="BT239" s="60">
        <f t="shared" si="785"/>
        <v>775.22088156695611</v>
      </c>
      <c r="BU239" s="139">
        <f>BU236-BU237</f>
        <v>2790.7536137678244</v>
      </c>
      <c r="BV239" s="140"/>
      <c r="BW239" s="59"/>
      <c r="BX239" s="59"/>
      <c r="BY239" s="60"/>
      <c r="BZ239" s="139">
        <f>BZ236-BZ237</f>
        <v>3155.8183518747037</v>
      </c>
      <c r="CA239" s="140"/>
      <c r="CB239" s="59"/>
      <c r="CC239" s="59"/>
      <c r="CD239" s="60"/>
      <c r="CE239" s="139">
        <f>CE236-CE237</f>
        <v>3549.6564257286423</v>
      </c>
      <c r="CF239" s="140"/>
      <c r="CG239" s="59"/>
      <c r="CH239" s="59"/>
      <c r="CI239" s="60"/>
      <c r="CJ239" s="139">
        <f>CJ236-CJ237</f>
        <v>3756.9114536277598</v>
      </c>
      <c r="CK239" s="289"/>
      <c r="CL239" s="657"/>
      <c r="CM239" s="682"/>
      <c r="CN239" s="681"/>
      <c r="CO239" s="658"/>
      <c r="CP239" s="658"/>
      <c r="CQ239" s="657"/>
      <c r="CR239" s="657"/>
      <c r="CS239" s="657"/>
      <c r="CT239" s="289"/>
    </row>
    <row r="240" spans="1:107" s="180" customFormat="1" ht="12.75" customHeight="1">
      <c r="A240" s="174" t="s">
        <v>30</v>
      </c>
      <c r="B240" s="176"/>
      <c r="C240" s="176">
        <v>0</v>
      </c>
      <c r="D240" s="176">
        <v>0</v>
      </c>
      <c r="E240" s="176">
        <v>0</v>
      </c>
      <c r="F240" s="176">
        <v>0</v>
      </c>
      <c r="G240" s="176">
        <v>0</v>
      </c>
      <c r="H240" s="189">
        <v>0</v>
      </c>
      <c r="I240" s="189">
        <v>0</v>
      </c>
      <c r="J240" s="189">
        <v>0</v>
      </c>
      <c r="K240" s="177">
        <v>0</v>
      </c>
      <c r="L240" s="176">
        <v>-26</v>
      </c>
      <c r="M240" s="177">
        <v>-1</v>
      </c>
      <c r="N240" s="189">
        <v>-6</v>
      </c>
      <c r="O240" s="189">
        <v>-10</v>
      </c>
      <c r="P240" s="177">
        <v>-7</v>
      </c>
      <c r="Q240" s="137">
        <f>SUM(M240:P240)</f>
        <v>-24</v>
      </c>
      <c r="R240" s="177">
        <v>-8</v>
      </c>
      <c r="S240" s="189">
        <v>-12</v>
      </c>
      <c r="T240" s="189">
        <v>-8</v>
      </c>
      <c r="U240" s="136">
        <v>-13</v>
      </c>
      <c r="V240" s="137">
        <f>SUM(R240:U240)</f>
        <v>-41</v>
      </c>
      <c r="W240" s="136">
        <v>-8</v>
      </c>
      <c r="X240" s="135">
        <v>-7</v>
      </c>
      <c r="Y240" s="135">
        <v>-9</v>
      </c>
      <c r="Z240" s="177">
        <v>-15</v>
      </c>
      <c r="AA240" s="137">
        <f>SUM(W240:Z240)</f>
        <v>-39</v>
      </c>
      <c r="AB240" s="177">
        <v>-5</v>
      </c>
      <c r="AC240" s="189">
        <v>-7</v>
      </c>
      <c r="AD240" s="189">
        <v>-9</v>
      </c>
      <c r="AE240" s="177">
        <v>-9</v>
      </c>
      <c r="AF240" s="176">
        <f>SUM(AB240:AE240)</f>
        <v>-30</v>
      </c>
      <c r="AG240" s="177">
        <v>-4</v>
      </c>
      <c r="AH240" s="189">
        <v>1</v>
      </c>
      <c r="AI240" s="189">
        <v>-6.5</v>
      </c>
      <c r="AJ240" s="177">
        <v>-2</v>
      </c>
      <c r="AK240" s="176">
        <f>+SUM(AG240:AJ240)</f>
        <v>-11.5</v>
      </c>
      <c r="AL240" s="189">
        <v>-6</v>
      </c>
      <c r="AM240" s="189">
        <v>-5</v>
      </c>
      <c r="AN240" s="189">
        <v>-4</v>
      </c>
      <c r="AO240" s="177">
        <v>-2</v>
      </c>
      <c r="AP240" s="176">
        <f>SUM(AL240:AO240)</f>
        <v>-17</v>
      </c>
      <c r="AQ240" s="189">
        <v>-3.51</v>
      </c>
      <c r="AR240" s="189">
        <v>-2</v>
      </c>
      <c r="AS240" s="189">
        <v>-4</v>
      </c>
      <c r="AT240" s="177">
        <v>-4</v>
      </c>
      <c r="AU240" s="176">
        <f>SUM(AQ240:AT240)</f>
        <v>-13.51</v>
      </c>
      <c r="AV240" s="189"/>
      <c r="AW240" s="189"/>
      <c r="AX240" s="189"/>
      <c r="AY240" s="177"/>
      <c r="AZ240" s="176">
        <v>-14</v>
      </c>
      <c r="BA240" s="189">
        <v>-3</v>
      </c>
      <c r="BB240" s="189">
        <v>2</v>
      </c>
      <c r="BC240" s="674">
        <v>4</v>
      </c>
      <c r="BD240" s="660">
        <v>4</v>
      </c>
      <c r="BE240" s="176">
        <f>SUM(BA240:BD240)</f>
        <v>7</v>
      </c>
      <c r="BF240" s="750">
        <v>23</v>
      </c>
      <c r="BG240" s="749">
        <v>5</v>
      </c>
      <c r="BH240" s="749">
        <v>5</v>
      </c>
      <c r="BI240" s="769">
        <v>3</v>
      </c>
      <c r="BJ240" s="176">
        <f>SUM(BF240:BI240)</f>
        <v>36</v>
      </c>
      <c r="BK240" s="750">
        <v>6</v>
      </c>
      <c r="BL240" s="667">
        <v>6</v>
      </c>
      <c r="BM240" s="749">
        <v>5</v>
      </c>
      <c r="BN240" s="769">
        <v>6</v>
      </c>
      <c r="BO240" s="176">
        <f>SUM(BK240:BN240)</f>
        <v>23</v>
      </c>
      <c r="BP240" s="176">
        <f>BO240</f>
        <v>23</v>
      </c>
      <c r="BQ240" s="272">
        <f>20/4</f>
        <v>5</v>
      </c>
      <c r="BR240" s="270">
        <f t="shared" ref="BR240:BT240" si="786">20/4</f>
        <v>5</v>
      </c>
      <c r="BS240" s="270">
        <f t="shared" si="786"/>
        <v>5</v>
      </c>
      <c r="BT240" s="273">
        <f t="shared" si="786"/>
        <v>5</v>
      </c>
      <c r="BU240" s="176">
        <f>SUM(BQ240:BT240)</f>
        <v>20</v>
      </c>
      <c r="BV240" s="889"/>
      <c r="BW240" s="890"/>
      <c r="BX240" s="890"/>
      <c r="BY240" s="891"/>
      <c r="BZ240" s="888">
        <f>BU240</f>
        <v>20</v>
      </c>
      <c r="CA240" s="889"/>
      <c r="CB240" s="890"/>
      <c r="CC240" s="890"/>
      <c r="CD240" s="891"/>
      <c r="CE240" s="888">
        <f>BZ240</f>
        <v>20</v>
      </c>
      <c r="CF240" s="889"/>
      <c r="CG240" s="890"/>
      <c r="CH240" s="890"/>
      <c r="CI240" s="891"/>
      <c r="CJ240" s="888">
        <f>CE240</f>
        <v>20</v>
      </c>
      <c r="CK240" s="291"/>
      <c r="CL240" s="658"/>
      <c r="CM240" s="657"/>
      <c r="CN240" s="682"/>
      <c r="CO240" s="657"/>
      <c r="CP240" s="657"/>
      <c r="CQ240" s="657"/>
      <c r="CR240" s="657"/>
      <c r="CS240" s="657"/>
      <c r="CT240" s="291"/>
      <c r="CX240"/>
      <c r="CY240"/>
      <c r="CZ240"/>
      <c r="DA240"/>
      <c r="DB240"/>
      <c r="DC240"/>
    </row>
    <row r="241" spans="1:107" ht="12.75" customHeight="1">
      <c r="A241" s="58" t="s">
        <v>64</v>
      </c>
      <c r="B241" s="139">
        <f t="shared" ref="B241:P241" si="787">B239+B240</f>
        <v>2</v>
      </c>
      <c r="C241" s="139">
        <f t="shared" si="787"/>
        <v>756</v>
      </c>
      <c r="D241" s="139">
        <f t="shared" si="787"/>
        <v>535</v>
      </c>
      <c r="E241" s="139">
        <f t="shared" si="787"/>
        <v>374</v>
      </c>
      <c r="F241" s="139">
        <f t="shared" si="787"/>
        <v>898</v>
      </c>
      <c r="G241" s="139">
        <f t="shared" si="787"/>
        <v>1187</v>
      </c>
      <c r="H241" s="59">
        <f t="shared" si="787"/>
        <v>324</v>
      </c>
      <c r="I241" s="59">
        <f t="shared" si="787"/>
        <v>355</v>
      </c>
      <c r="J241" s="59">
        <f t="shared" si="787"/>
        <v>380</v>
      </c>
      <c r="K241" s="59">
        <f t="shared" si="787"/>
        <v>634</v>
      </c>
      <c r="L241" s="139">
        <f t="shared" si="787"/>
        <v>1693</v>
      </c>
      <c r="M241" s="59">
        <f t="shared" si="787"/>
        <v>400</v>
      </c>
      <c r="N241" s="59">
        <f t="shared" si="787"/>
        <v>426</v>
      </c>
      <c r="O241" s="59">
        <f t="shared" si="787"/>
        <v>427</v>
      </c>
      <c r="P241" s="59">
        <f t="shared" si="787"/>
        <v>421</v>
      </c>
      <c r="Q241" s="139">
        <f>Q239+Q240+0.0049</f>
        <v>1674.0048999999999</v>
      </c>
      <c r="R241" s="59">
        <f t="shared" ref="R241:AR241" si="788">R239+R240</f>
        <v>449</v>
      </c>
      <c r="S241" s="59">
        <f t="shared" si="788"/>
        <v>492</v>
      </c>
      <c r="T241" s="59">
        <f t="shared" si="788"/>
        <v>491</v>
      </c>
      <c r="U241" s="59">
        <f t="shared" si="788"/>
        <v>514</v>
      </c>
      <c r="V241" s="139">
        <f t="shared" si="788"/>
        <v>1946</v>
      </c>
      <c r="W241" s="59">
        <f t="shared" si="788"/>
        <v>453</v>
      </c>
      <c r="X241" s="59">
        <f t="shared" si="788"/>
        <v>212</v>
      </c>
      <c r="Y241" s="59">
        <f t="shared" si="788"/>
        <v>640</v>
      </c>
      <c r="Z241" s="59">
        <f t="shared" si="788"/>
        <v>499</v>
      </c>
      <c r="AA241" s="139">
        <f t="shared" si="788"/>
        <v>1804</v>
      </c>
      <c r="AB241" s="59">
        <f t="shared" si="788"/>
        <v>381</v>
      </c>
      <c r="AC241" s="59">
        <f t="shared" si="788"/>
        <v>430</v>
      </c>
      <c r="AD241" s="59">
        <f t="shared" si="788"/>
        <v>498</v>
      </c>
      <c r="AE241" s="59">
        <f t="shared" si="788"/>
        <v>539</v>
      </c>
      <c r="AF241" s="139">
        <f t="shared" si="788"/>
        <v>1848</v>
      </c>
      <c r="AG241" s="59">
        <f t="shared" si="788"/>
        <v>450</v>
      </c>
      <c r="AH241" s="59">
        <f t="shared" si="788"/>
        <v>472</v>
      </c>
      <c r="AI241" s="59">
        <f t="shared" si="788"/>
        <v>501.5</v>
      </c>
      <c r="AJ241" s="59">
        <f t="shared" si="788"/>
        <v>466</v>
      </c>
      <c r="AK241" s="139">
        <f t="shared" si="788"/>
        <v>1889.5</v>
      </c>
      <c r="AL241" s="59">
        <f>AL239+AL240</f>
        <v>490</v>
      </c>
      <c r="AM241" s="59">
        <f t="shared" si="788"/>
        <v>488</v>
      </c>
      <c r="AN241" s="59">
        <f t="shared" si="788"/>
        <v>487</v>
      </c>
      <c r="AO241" s="59">
        <f t="shared" si="788"/>
        <v>467</v>
      </c>
      <c r="AP241" s="139">
        <f t="shared" si="788"/>
        <v>2124</v>
      </c>
      <c r="AQ241" s="59">
        <f>AQ239+AQ240</f>
        <v>588.89</v>
      </c>
      <c r="AR241" s="59">
        <f t="shared" si="788"/>
        <v>498</v>
      </c>
      <c r="AS241" s="59">
        <f t="shared" ref="AS241:BC241" si="789">AS239+AS240</f>
        <v>512</v>
      </c>
      <c r="AT241" s="59">
        <f t="shared" si="789"/>
        <v>576</v>
      </c>
      <c r="AU241" s="139">
        <f t="shared" si="789"/>
        <v>2174.89</v>
      </c>
      <c r="AV241" s="59"/>
      <c r="AW241" s="59"/>
      <c r="AX241" s="59"/>
      <c r="AY241" s="59"/>
      <c r="AZ241" s="139">
        <f t="shared" ref="AZ241" si="790">AZ239+AZ240</f>
        <v>2179</v>
      </c>
      <c r="BA241" s="59">
        <f t="shared" si="789"/>
        <v>551</v>
      </c>
      <c r="BB241" s="59">
        <f t="shared" si="789"/>
        <v>504</v>
      </c>
      <c r="BC241" s="59">
        <f t="shared" si="789"/>
        <v>448</v>
      </c>
      <c r="BD241" s="59">
        <f t="shared" ref="BD241:BJ241" si="791">BD239+BD240</f>
        <v>555</v>
      </c>
      <c r="BE241" s="139">
        <f t="shared" si="791"/>
        <v>2058</v>
      </c>
      <c r="BF241" s="59">
        <f t="shared" si="791"/>
        <v>427</v>
      </c>
      <c r="BG241" s="59">
        <f t="shared" si="791"/>
        <v>710</v>
      </c>
      <c r="BH241" s="59">
        <f t="shared" si="791"/>
        <v>528</v>
      </c>
      <c r="BI241" s="59">
        <f t="shared" si="791"/>
        <v>543</v>
      </c>
      <c r="BJ241" s="139">
        <f t="shared" si="791"/>
        <v>2208</v>
      </c>
      <c r="BK241" s="59">
        <f t="shared" ref="BK241" si="792">BK239+BK240</f>
        <v>503</v>
      </c>
      <c r="BL241" s="59">
        <f t="shared" ref="BL241:BO241" si="793">BL239+BL240</f>
        <v>553</v>
      </c>
      <c r="BM241" s="59">
        <f t="shared" si="793"/>
        <v>573</v>
      </c>
      <c r="BN241" s="59">
        <f t="shared" si="793"/>
        <v>589</v>
      </c>
      <c r="BO241" s="139">
        <f t="shared" si="793"/>
        <v>2218</v>
      </c>
      <c r="BP241" s="139">
        <f t="shared" ref="BP241" si="794">BP239+BP240</f>
        <v>2218</v>
      </c>
      <c r="BQ241" s="140">
        <f t="shared" ref="BQ241:BT241" si="795">BQ239+BQ240</f>
        <v>641.78898321695578</v>
      </c>
      <c r="BR241" s="59">
        <f t="shared" si="795"/>
        <v>696.76143411695602</v>
      </c>
      <c r="BS241" s="59">
        <f t="shared" si="795"/>
        <v>691.9823148669559</v>
      </c>
      <c r="BT241" s="60">
        <f t="shared" si="795"/>
        <v>780.22088156695611</v>
      </c>
      <c r="BU241" s="139">
        <f>BU239+BU240</f>
        <v>2810.7536137678244</v>
      </c>
      <c r="BV241" s="140"/>
      <c r="BW241" s="59"/>
      <c r="BX241" s="59"/>
      <c r="BY241" s="60"/>
      <c r="BZ241" s="139">
        <f>BZ239+BZ240</f>
        <v>3175.8183518747037</v>
      </c>
      <c r="CA241" s="140"/>
      <c r="CB241" s="59"/>
      <c r="CC241" s="59"/>
      <c r="CD241" s="60"/>
      <c r="CE241" s="139">
        <f>CE239+CE240</f>
        <v>3569.6564257286423</v>
      </c>
      <c r="CF241" s="140"/>
      <c r="CG241" s="59"/>
      <c r="CH241" s="59"/>
      <c r="CI241" s="60"/>
      <c r="CJ241" s="139">
        <f>CJ239+CJ240</f>
        <v>3776.9114536277598</v>
      </c>
      <c r="CK241" s="289"/>
      <c r="CL241" s="658"/>
      <c r="CM241" s="658"/>
      <c r="CN241" s="682"/>
      <c r="CO241" s="658"/>
      <c r="CP241" s="658"/>
      <c r="CQ241" s="657"/>
      <c r="CR241" s="657"/>
      <c r="CS241" s="657"/>
      <c r="CT241" s="289"/>
    </row>
    <row r="242" spans="1:107" s="3" customFormat="1">
      <c r="A242" s="592" t="s">
        <v>131</v>
      </c>
      <c r="B242" s="593">
        <f t="shared" ref="B242:AG242" si="796">B241/B267</f>
        <v>5.5352136454086794E-3</v>
      </c>
      <c r="C242" s="593">
        <f t="shared" si="796"/>
        <v>1.8528003999696101</v>
      </c>
      <c r="D242" s="593">
        <f t="shared" si="796"/>
        <v>1.2878253564387658</v>
      </c>
      <c r="E242" s="593">
        <f t="shared" si="796"/>
        <v>0.84576923163900575</v>
      </c>
      <c r="F242" s="593">
        <f t="shared" si="796"/>
        <v>1.9697302039921036</v>
      </c>
      <c r="G242" s="593">
        <f t="shared" si="796"/>
        <v>2.6151134611147833</v>
      </c>
      <c r="H242" s="594">
        <f t="shared" si="796"/>
        <v>0.71444321940463063</v>
      </c>
      <c r="I242" s="594">
        <f t="shared" si="796"/>
        <v>0.79099821746880572</v>
      </c>
      <c r="J242" s="594">
        <f t="shared" si="796"/>
        <v>0.85778781038374718</v>
      </c>
      <c r="K242" s="594">
        <f t="shared" si="796"/>
        <v>1.4514652014652014</v>
      </c>
      <c r="L242" s="593">
        <f t="shared" si="796"/>
        <v>3.7985191833071572</v>
      </c>
      <c r="M242" s="594">
        <f t="shared" si="796"/>
        <v>0.92017483321831151</v>
      </c>
      <c r="N242" s="594">
        <f t="shared" si="796"/>
        <v>0.99069767441860468</v>
      </c>
      <c r="O242" s="594">
        <f t="shared" si="796"/>
        <v>1.0049423393739705</v>
      </c>
      <c r="P242" s="594">
        <f t="shared" si="796"/>
        <v>1.0110470701248799</v>
      </c>
      <c r="Q242" s="593">
        <f t="shared" si="796"/>
        <v>3.9254331681717241</v>
      </c>
      <c r="R242" s="594">
        <f t="shared" si="796"/>
        <v>1.1113861386138615</v>
      </c>
      <c r="S242" s="594">
        <f t="shared" si="796"/>
        <v>1.2383589227284169</v>
      </c>
      <c r="T242" s="594">
        <f t="shared" si="796"/>
        <v>1.2480935434672089</v>
      </c>
      <c r="U242" s="594">
        <f t="shared" si="796"/>
        <v>1.3233779608650875</v>
      </c>
      <c r="V242" s="593">
        <f t="shared" si="796"/>
        <v>4.9178670710133945</v>
      </c>
      <c r="W242" s="594">
        <f t="shared" si="796"/>
        <v>1.1784599375650364</v>
      </c>
      <c r="X242" s="594">
        <f t="shared" si="796"/>
        <v>0.55338031845471158</v>
      </c>
      <c r="Y242" s="594">
        <f t="shared" si="796"/>
        <v>1.7089452603471296</v>
      </c>
      <c r="Z242" s="594">
        <f t="shared" si="796"/>
        <v>1.3633879781420766</v>
      </c>
      <c r="AA242" s="593">
        <f t="shared" si="796"/>
        <v>4.7851458885941645</v>
      </c>
      <c r="AB242" s="594">
        <f t="shared" si="796"/>
        <v>1.0559866962305986</v>
      </c>
      <c r="AC242" s="594">
        <f t="shared" si="796"/>
        <v>1.2041444973396807</v>
      </c>
      <c r="AD242" s="594">
        <f t="shared" si="796"/>
        <v>1.4171883892999433</v>
      </c>
      <c r="AE242" s="594">
        <f t="shared" si="796"/>
        <v>1.561866125760649</v>
      </c>
      <c r="AF242" s="593">
        <f t="shared" si="796"/>
        <v>5.2262443438914028</v>
      </c>
      <c r="AG242" s="594">
        <f t="shared" si="796"/>
        <v>1.3286093888396813</v>
      </c>
      <c r="AH242" s="594">
        <f t="shared" ref="AH242:BJ242" si="797">AH241/AH267</f>
        <v>1.4114832535885169</v>
      </c>
      <c r="AI242" s="594">
        <f t="shared" si="797"/>
        <v>1.5060060060060061</v>
      </c>
      <c r="AJ242" s="594">
        <f t="shared" si="797"/>
        <v>1.4087061668681982</v>
      </c>
      <c r="AK242" s="593">
        <f t="shared" si="797"/>
        <v>5.6538001196888095</v>
      </c>
      <c r="AL242" s="594">
        <f t="shared" si="797"/>
        <v>1.4929920780012189</v>
      </c>
      <c r="AM242" s="594">
        <f t="shared" si="797"/>
        <v>1.4987714987714986</v>
      </c>
      <c r="AN242" s="594">
        <f t="shared" si="797"/>
        <v>1.5063408598824621</v>
      </c>
      <c r="AO242" s="594">
        <f t="shared" si="797"/>
        <v>1.4612015018773465</v>
      </c>
      <c r="AP242" s="593">
        <f t="shared" si="797"/>
        <v>6.5520166576694692</v>
      </c>
      <c r="AQ242" s="594">
        <f t="shared" si="797"/>
        <v>1.8647561747941734</v>
      </c>
      <c r="AR242" s="594">
        <f t="shared" si="797"/>
        <v>1.5885167464114833</v>
      </c>
      <c r="AS242" s="594">
        <f t="shared" si="797"/>
        <v>1.6441875401412975</v>
      </c>
      <c r="AT242" s="594">
        <f t="shared" si="797"/>
        <v>1.8598643848886018</v>
      </c>
      <c r="AU242" s="593">
        <f t="shared" si="797"/>
        <v>6.9574216250799745</v>
      </c>
      <c r="AV242" s="594"/>
      <c r="AW242" s="594"/>
      <c r="AX242" s="594"/>
      <c r="AY242" s="594"/>
      <c r="AZ242" s="593">
        <f t="shared" ref="AZ242" si="798">AZ241/AZ267</f>
        <v>6.9705694177863089</v>
      </c>
      <c r="BA242" s="594">
        <f t="shared" si="797"/>
        <v>1.7854828256642903</v>
      </c>
      <c r="BB242" s="594">
        <f t="shared" si="797"/>
        <v>1.6486751717369972</v>
      </c>
      <c r="BC242" s="594">
        <f t="shared" si="797"/>
        <v>1.4722313506408149</v>
      </c>
      <c r="BD242" s="594">
        <f t="shared" si="797"/>
        <v>1.8371400198609731</v>
      </c>
      <c r="BE242" s="593">
        <f t="shared" si="797"/>
        <v>6.7431192660550465</v>
      </c>
      <c r="BF242" s="594">
        <f t="shared" si="797"/>
        <v>1.4252336448598131</v>
      </c>
      <c r="BG242" s="594">
        <f t="shared" si="797"/>
        <v>2.385752688172043</v>
      </c>
      <c r="BH242" s="594">
        <f t="shared" si="797"/>
        <v>1.7868020304568528</v>
      </c>
      <c r="BI242" s="594">
        <f t="shared" si="797"/>
        <v>1.8438030560271648</v>
      </c>
      <c r="BJ242" s="593">
        <f t="shared" si="797"/>
        <v>7.4393530997304582</v>
      </c>
      <c r="BK242" s="594">
        <f t="shared" ref="BK242" si="799">BK241/BK267</f>
        <v>1.7178961748633879</v>
      </c>
      <c r="BL242" s="594">
        <f t="shared" ref="BL242:BO242" si="800">BL241/BL267</f>
        <v>1.8938356164383561</v>
      </c>
      <c r="BM242" s="594">
        <f t="shared" si="800"/>
        <v>1.9690721649484537</v>
      </c>
      <c r="BN242" s="594">
        <f t="shared" si="800"/>
        <v>2.0307543787063853</v>
      </c>
      <c r="BO242" s="593">
        <f t="shared" si="800"/>
        <v>7.611530542210021</v>
      </c>
      <c r="BP242" s="593">
        <f t="shared" ref="BP242" si="801">BP241/BP267</f>
        <v>7.611530542210021</v>
      </c>
      <c r="BQ242" s="595">
        <f t="shared" ref="BQ242:BT242" si="802">BQ241/BQ267</f>
        <v>2.2210893360685793</v>
      </c>
      <c r="BR242" s="594">
        <f t="shared" si="802"/>
        <v>2.4204133469900713</v>
      </c>
      <c r="BS242" s="594">
        <f t="shared" si="802"/>
        <v>2.4128598431010841</v>
      </c>
      <c r="BT242" s="596">
        <f t="shared" si="802"/>
        <v>2.7307776226518299</v>
      </c>
      <c r="BU242" s="593">
        <f>BU241/BU267</f>
        <v>9.7822827995602122</v>
      </c>
      <c r="BV242" s="595"/>
      <c r="BW242" s="594"/>
      <c r="BX242" s="594"/>
      <c r="BY242" s="596"/>
      <c r="BZ242" s="593">
        <f>BZ241/BZ267</f>
        <v>11.336225451550511</v>
      </c>
      <c r="CA242" s="595"/>
      <c r="CB242" s="594"/>
      <c r="CC242" s="594"/>
      <c r="CD242" s="596"/>
      <c r="CE242" s="593">
        <f>CE241/CE267</f>
        <v>13.068767227209182</v>
      </c>
      <c r="CF242" s="595"/>
      <c r="CG242" s="594"/>
      <c r="CH242" s="594"/>
      <c r="CI242" s="596"/>
      <c r="CJ242" s="593">
        <f>CJ241/CJ267</f>
        <v>14.182095069495595</v>
      </c>
      <c r="CK242" s="597"/>
      <c r="CL242" s="657" t="s">
        <v>362</v>
      </c>
      <c r="CM242" s="658"/>
      <c r="CN242" s="682"/>
      <c r="CO242" s="658"/>
      <c r="CP242" s="658"/>
      <c r="CQ242" s="657"/>
      <c r="CR242" s="657"/>
      <c r="CS242" s="1067"/>
      <c r="CT242" s="597"/>
      <c r="CX242"/>
      <c r="CY242"/>
      <c r="CZ242"/>
      <c r="DA242"/>
      <c r="DB242"/>
      <c r="DC242"/>
    </row>
    <row r="243" spans="1:107">
      <c r="A243" s="218" t="s">
        <v>137</v>
      </c>
      <c r="B243" s="75"/>
      <c r="C243" s="74">
        <f>C242/B242-1</f>
        <v>333.72969945910967</v>
      </c>
      <c r="D243" s="74">
        <f>D242/C242-1</f>
        <v>-0.30493033331605013</v>
      </c>
      <c r="E243" s="74">
        <f>E242/D242-1</f>
        <v>-0.34325782031670937</v>
      </c>
      <c r="F243" s="74">
        <f>F242/E242-1</f>
        <v>1.3289215666724927</v>
      </c>
      <c r="G243" s="74">
        <f>G242/F242-1</f>
        <v>0.32765058677308412</v>
      </c>
      <c r="H243" s="25"/>
      <c r="I243" s="25"/>
      <c r="J243" s="25"/>
      <c r="K243" s="24"/>
      <c r="L243" s="74">
        <f t="shared" ref="L243:AR243" si="803">L242/G242-1</f>
        <v>0.45252557481307365</v>
      </c>
      <c r="M243" s="15">
        <f t="shared" si="803"/>
        <v>0.28796076192748243</v>
      </c>
      <c r="N243" s="22">
        <f t="shared" si="803"/>
        <v>0.25246511627906987</v>
      </c>
      <c r="O243" s="22">
        <f t="shared" si="803"/>
        <v>0.17155120090176035</v>
      </c>
      <c r="P243" s="15">
        <f t="shared" si="803"/>
        <v>-0.30343003118210166</v>
      </c>
      <c r="Q243" s="74">
        <f t="shared" si="803"/>
        <v>3.341143712589334E-2</v>
      </c>
      <c r="R243" s="15">
        <f t="shared" si="803"/>
        <v>0.20779888613861397</v>
      </c>
      <c r="S243" s="22">
        <f t="shared" si="803"/>
        <v>0.24998670604042084</v>
      </c>
      <c r="T243" s="22">
        <f t="shared" si="803"/>
        <v>0.24195537849933713</v>
      </c>
      <c r="U243" s="15">
        <f t="shared" si="803"/>
        <v>0.30891824917867572</v>
      </c>
      <c r="V243" s="74">
        <f t="shared" si="803"/>
        <v>0.25282150028397954</v>
      </c>
      <c r="W243" s="15">
        <f t="shared" si="803"/>
        <v>6.0351480570767668E-2</v>
      </c>
      <c r="X243" s="22">
        <f t="shared" si="803"/>
        <v>-0.55313414528037219</v>
      </c>
      <c r="Y243" s="22">
        <f t="shared" si="803"/>
        <v>0.36924453242476729</v>
      </c>
      <c r="Z243" s="64">
        <f t="shared" si="803"/>
        <v>3.023325040930458E-2</v>
      </c>
      <c r="AA243" s="74">
        <f t="shared" si="803"/>
        <v>-2.698754978586293E-2</v>
      </c>
      <c r="AB243" s="15">
        <f t="shared" si="803"/>
        <v>-0.10392652090277676</v>
      </c>
      <c r="AC243" s="22">
        <f t="shared" si="803"/>
        <v>1.1759799855227908</v>
      </c>
      <c r="AD243" s="22">
        <f t="shared" si="803"/>
        <v>-0.17072335657370508</v>
      </c>
      <c r="AE243" s="15">
        <f t="shared" si="803"/>
        <v>0.14557715837354213</v>
      </c>
      <c r="AF243" s="74">
        <f t="shared" si="803"/>
        <v>9.2180774748924055E-2</v>
      </c>
      <c r="AG243" s="15">
        <f t="shared" si="803"/>
        <v>0.25816868108492663</v>
      </c>
      <c r="AH243" s="22">
        <f t="shared" si="803"/>
        <v>0.17218760431734759</v>
      </c>
      <c r="AI243" s="22">
        <f t="shared" si="803"/>
        <v>6.2671707852430592E-2</v>
      </c>
      <c r="AJ243" s="15">
        <f t="shared" si="803"/>
        <v>-9.8062155498673031E-2</v>
      </c>
      <c r="AK243" s="74">
        <f>AK242/AF242-1</f>
        <v>8.1809373550845832E-2</v>
      </c>
      <c r="AL243" s="22">
        <f t="shared" si="803"/>
        <v>0.12372537070891743</v>
      </c>
      <c r="AM243" s="22">
        <f t="shared" si="803"/>
        <v>6.1841502519468294E-2</v>
      </c>
      <c r="AN243" s="22">
        <f>AN242/AI242-1</f>
        <v>2.2234564478540442E-4</v>
      </c>
      <c r="AO243" s="15">
        <f>AO242/AJ242-1</f>
        <v>3.7264928800485597E-2</v>
      </c>
      <c r="AP243" s="74">
        <f t="shared" si="803"/>
        <v>0.15886952473836269</v>
      </c>
      <c r="AQ243" s="22">
        <f>AQ242/AL242-1</f>
        <v>0.24900607462744428</v>
      </c>
      <c r="AR243" s="22">
        <f t="shared" si="803"/>
        <v>5.9879206212252178E-2</v>
      </c>
      <c r="AS243" s="22">
        <f t="shared" ref="AS243:AU243" si="804">AS242/AN242-1</f>
        <v>9.1510948106122036E-2</v>
      </c>
      <c r="AT243" s="15">
        <f t="shared" si="804"/>
        <v>0.27283224284881635</v>
      </c>
      <c r="AU243" s="74">
        <f t="shared" si="804"/>
        <v>6.1874837716713982E-2</v>
      </c>
      <c r="AV243" s="22"/>
      <c r="AW243" s="22"/>
      <c r="AX243" s="22"/>
      <c r="AY243" s="15"/>
      <c r="AZ243" s="74">
        <f t="shared" ref="AZ243" si="805">AZ242/AU242-1</f>
        <v>1.8897507460147178E-3</v>
      </c>
      <c r="BA243" s="22">
        <f>BA242/AQ242-1</f>
        <v>-4.2511375053434608E-2</v>
      </c>
      <c r="BB243" s="22">
        <f>BB242/AR242-1</f>
        <v>3.7870815942868674E-2</v>
      </c>
      <c r="BC243" s="22">
        <f>BC242/AS242-1</f>
        <v>-0.10458429181728568</v>
      </c>
      <c r="BD243" s="15">
        <f>BD242/AT242-1</f>
        <v>-1.2218291404612169E-2</v>
      </c>
      <c r="BE243" s="74">
        <f>BE242/AZ242-1</f>
        <v>-3.2630067660024187E-2</v>
      </c>
      <c r="BF243" s="22">
        <f>BF242/BA242-1</f>
        <v>-0.20176569364112829</v>
      </c>
      <c r="BG243" s="22">
        <f>BG242/BB242-1</f>
        <v>0.44707261264720932</v>
      </c>
      <c r="BH243" s="22">
        <f t="shared" ref="BH243" si="806">BH242/BC242-1</f>
        <v>0.2136693255982598</v>
      </c>
      <c r="BI243" s="15">
        <f>BI242/BD242-1</f>
        <v>3.6268526591107797E-3</v>
      </c>
      <c r="BJ243" s="74">
        <f>BJ242/BE242-1</f>
        <v>0.10325100390560515</v>
      </c>
      <c r="BK243" s="22">
        <f>BK242/BF242-1</f>
        <v>0.20534354564185242</v>
      </c>
      <c r="BL243" s="22">
        <f>BL242/BG242-1</f>
        <v>-0.20618946556048623</v>
      </c>
      <c r="BM243" s="22">
        <f t="shared" ref="BM243" si="807">BM242/BH242-1</f>
        <v>0.1020091377694472</v>
      </c>
      <c r="BN243" s="15">
        <f>BN242/BI242-1</f>
        <v>0.10139440981405246</v>
      </c>
      <c r="BO243" s="74">
        <f>BO242/BJ242-1</f>
        <v>2.3144141724607881E-2</v>
      </c>
      <c r="BP243" s="74">
        <f t="shared" ref="BP243:BU243" si="808">BP242/BJ242-1</f>
        <v>2.3144141724607881E-2</v>
      </c>
      <c r="BQ243" s="23">
        <f t="shared" si="808"/>
        <v>0.29291244055840959</v>
      </c>
      <c r="BR243" s="15">
        <f t="shared" si="808"/>
        <v>0.27804827725334702</v>
      </c>
      <c r="BS243" s="15">
        <f t="shared" si="808"/>
        <v>0.22537908262201656</v>
      </c>
      <c r="BT243" s="17">
        <f t="shared" si="808"/>
        <v>0.34471093662807606</v>
      </c>
      <c r="BU243" s="74">
        <f t="shared" si="808"/>
        <v>0.28519260946431269</v>
      </c>
      <c r="BV243" s="23"/>
      <c r="BW243" s="15"/>
      <c r="BX243" s="15"/>
      <c r="BY243" s="17"/>
      <c r="BZ243" s="74">
        <f>BZ242/BU242-1</f>
        <v>0.15885276308513196</v>
      </c>
      <c r="CA243" s="23"/>
      <c r="CB243" s="15"/>
      <c r="CC243" s="15"/>
      <c r="CD243" s="17"/>
      <c r="CE243" s="74">
        <f>CE242/BZ242-1</f>
        <v>0.15283233233701288</v>
      </c>
      <c r="CF243" s="23"/>
      <c r="CG243" s="15"/>
      <c r="CH243" s="15"/>
      <c r="CI243" s="17"/>
      <c r="CJ243" s="74">
        <f>CJ242/CE242-1</f>
        <v>8.5189966500318626E-2</v>
      </c>
      <c r="CK243" s="289"/>
      <c r="CL243" s="657"/>
      <c r="CM243" s="658"/>
      <c r="CN243" s="682"/>
      <c r="CO243" s="658"/>
      <c r="CP243" s="658"/>
      <c r="CQ243" s="658"/>
      <c r="CR243" s="658"/>
      <c r="CS243" s="658"/>
      <c r="CT243" s="289"/>
    </row>
    <row r="244" spans="1:107">
      <c r="A244" s="218" t="s">
        <v>233</v>
      </c>
      <c r="B244" s="75"/>
      <c r="C244" s="74"/>
      <c r="D244" s="74"/>
      <c r="E244" s="74"/>
      <c r="F244" s="74"/>
      <c r="G244" s="74"/>
      <c r="H244" s="22">
        <f>H242/L242</f>
        <v>0.1880846679791163</v>
      </c>
      <c r="I244" s="22">
        <f>I242/L242</f>
        <v>0.20823857384869859</v>
      </c>
      <c r="J244" s="22">
        <f>J242/L242</f>
        <v>0.22582163442884592</v>
      </c>
      <c r="K244" s="15">
        <f>K242/L242</f>
        <v>0.38211343195099839</v>
      </c>
      <c r="L244" s="74"/>
      <c r="M244" s="22">
        <f>M242/Q242</f>
        <v>0.23441357776239616</v>
      </c>
      <c r="N244" s="22">
        <f>N242/Q242</f>
        <v>0.25237919790646274</v>
      </c>
      <c r="O244" s="22">
        <f>O242/Q242</f>
        <v>0.25600801142718826</v>
      </c>
      <c r="P244" s="15">
        <f>P242/Q242</f>
        <v>0.25756318521040483</v>
      </c>
      <c r="Q244" s="74"/>
      <c r="R244" s="22">
        <f>R242/V242</f>
        <v>0.22598946302646708</v>
      </c>
      <c r="S244" s="22">
        <f>S242/V242</f>
        <v>0.25180813243763334</v>
      </c>
      <c r="T244" s="22">
        <f>T242/V242</f>
        <v>0.25378757201951413</v>
      </c>
      <c r="U244" s="15">
        <f>U242/V242</f>
        <v>0.26909591938042915</v>
      </c>
      <c r="V244" s="74"/>
      <c r="W244" s="22">
        <f>W242/AA242</f>
        <v>0.24627461001220549</v>
      </c>
      <c r="X244" s="22">
        <f>X242/AA242</f>
        <v>0.11564544349081278</v>
      </c>
      <c r="Y244" s="22">
        <f>Y242/AA242</f>
        <v>0.35713545629205534</v>
      </c>
      <c r="Z244" s="15">
        <f>Z242/AA242</f>
        <v>0.28492088013279537</v>
      </c>
      <c r="AA244" s="74"/>
      <c r="AB244" s="22">
        <f>AB242/AF242</f>
        <v>0.20205459728741323</v>
      </c>
      <c r="AC244" s="22">
        <f>AC242/AF242</f>
        <v>0.2304034059844757</v>
      </c>
      <c r="AD244" s="22">
        <f>AD242/AF242</f>
        <v>0.27116764851540037</v>
      </c>
      <c r="AE244" s="15">
        <f>AE242/AF242</f>
        <v>0.29885057471264365</v>
      </c>
      <c r="AF244" s="74"/>
      <c r="AG244" s="22">
        <f>AG242/AK242</f>
        <v>0.23499405014565836</v>
      </c>
      <c r="AH244" s="22">
        <f>AH242/AK242</f>
        <v>0.24965213196574879</v>
      </c>
      <c r="AI244" s="22">
        <f>AI242/AK242</f>
        <v>0.26637057804033193</v>
      </c>
      <c r="AJ244" s="15">
        <f>AJ242/AK242</f>
        <v>0.24916094256012267</v>
      </c>
      <c r="AK244" s="74"/>
      <c r="AL244" s="22">
        <f>AL242/AP242</f>
        <v>0.22786756444729053</v>
      </c>
      <c r="AM244" s="22">
        <f>AM242/AP242</f>
        <v>0.22874964718185054</v>
      </c>
      <c r="AN244" s="22">
        <f>AN242/AP242</f>
        <v>0.22990491913954667</v>
      </c>
      <c r="AO244" s="15">
        <f>AO242/AP242</f>
        <v>0.22301553525004181</v>
      </c>
      <c r="AP244" s="74"/>
      <c r="AQ244" s="22">
        <f>AQ242/AU242</f>
        <v>0.26802402891210986</v>
      </c>
      <c r="AR244" s="22">
        <f>AR242/AU242</f>
        <v>0.22831974717260628</v>
      </c>
      <c r="AS244" s="22">
        <f>AS242/AU242</f>
        <v>0.23632138869008068</v>
      </c>
      <c r="AT244" s="15">
        <f>AT242/AU242</f>
        <v>0.26732092506571686</v>
      </c>
      <c r="AU244" s="74"/>
      <c r="AV244" s="22"/>
      <c r="AW244" s="22"/>
      <c r="AX244" s="22"/>
      <c r="AY244" s="15"/>
      <c r="AZ244" s="74"/>
      <c r="BA244" s="22">
        <f>BA242/BE242</f>
        <v>0.26478588843184708</v>
      </c>
      <c r="BB244" s="22">
        <f>BB242/BE242</f>
        <v>0.24449740642086079</v>
      </c>
      <c r="BC244" s="22">
        <f>BC242/BE242</f>
        <v>0.21833090778210723</v>
      </c>
      <c r="BD244" s="15">
        <f>BD242/BE242</f>
        <v>0.27244661519026675</v>
      </c>
      <c r="BE244" s="74"/>
      <c r="BF244" s="22">
        <f>BF242/BJ242</f>
        <v>0.19158031965325747</v>
      </c>
      <c r="BG244" s="22">
        <f>BG242/BJ242</f>
        <v>0.32069356786660436</v>
      </c>
      <c r="BH244" s="22">
        <f>BH242/BJ242</f>
        <v>0.24018244684764217</v>
      </c>
      <c r="BI244" s="15">
        <f>BI242/BJ242</f>
        <v>0.24784454122683991</v>
      </c>
      <c r="BJ244" s="74"/>
      <c r="BK244" s="22">
        <f>BK242/BO242</f>
        <v>0.22569654885265608</v>
      </c>
      <c r="BL244" s="22">
        <f>BL242/BO242</f>
        <v>0.24881140605506624</v>
      </c>
      <c r="BM244" s="22">
        <f>BM242/BO242</f>
        <v>0.2586959553047698</v>
      </c>
      <c r="BN244" s="15">
        <f>BN242/BO242</f>
        <v>0.26679974118802552</v>
      </c>
      <c r="BO244" s="74"/>
      <c r="BP244" s="74"/>
      <c r="BQ244" s="23">
        <f>BQ242/BU242</f>
        <v>0.22705225166547363</v>
      </c>
      <c r="BR244" s="15">
        <f>BR242/BU242</f>
        <v>0.2474282738073047</v>
      </c>
      <c r="BS244" s="15">
        <f>BS242/BU242</f>
        <v>0.246656112130551</v>
      </c>
      <c r="BT244" s="17">
        <f t="shared" ref="BT244" si="809">BT242/BU242</f>
        <v>0.27915545671758735</v>
      </c>
      <c r="BU244" s="74"/>
      <c r="BV244" s="23"/>
      <c r="BW244" s="15"/>
      <c r="BX244" s="15"/>
      <c r="BY244" s="17"/>
      <c r="BZ244" s="74"/>
      <c r="CA244" s="23"/>
      <c r="CB244" s="15"/>
      <c r="CC244" s="15"/>
      <c r="CD244" s="17"/>
      <c r="CE244" s="74"/>
      <c r="CF244" s="23"/>
      <c r="CG244" s="15"/>
      <c r="CH244" s="15"/>
      <c r="CI244" s="17"/>
      <c r="CJ244" s="74"/>
      <c r="CK244" s="289"/>
      <c r="CL244" s="657"/>
      <c r="CM244" s="658"/>
      <c r="CN244" s="682"/>
      <c r="CO244" s="658"/>
      <c r="CP244" s="658"/>
      <c r="CQ244" s="658"/>
      <c r="CR244" s="658"/>
      <c r="CS244" s="658"/>
      <c r="CT244" s="289"/>
    </row>
    <row r="245" spans="1:107">
      <c r="A245" s="222" t="s">
        <v>196</v>
      </c>
      <c r="B245" s="143">
        <f t="shared" ref="B245:AG245" si="810">B241/B265</f>
        <v>5.6066854116848929E-3</v>
      </c>
      <c r="C245" s="143">
        <f t="shared" si="810"/>
        <v>1.8832016420721196</v>
      </c>
      <c r="D245" s="143">
        <f t="shared" si="810"/>
        <v>1.2963851451224417</v>
      </c>
      <c r="E245" s="143">
        <f t="shared" si="810"/>
        <v>0.85359090172521224</v>
      </c>
      <c r="F245" s="143">
        <f t="shared" si="810"/>
        <v>2.009137323864882</v>
      </c>
      <c r="G245" s="143">
        <f t="shared" si="810"/>
        <v>2.6870340983947973</v>
      </c>
      <c r="H245" s="142">
        <f t="shared" si="810"/>
        <v>0.73469387755102045</v>
      </c>
      <c r="I245" s="142">
        <f t="shared" si="810"/>
        <v>0.81291504465307995</v>
      </c>
      <c r="J245" s="142">
        <f t="shared" si="810"/>
        <v>0.88126159554730987</v>
      </c>
      <c r="K245" s="142">
        <f t="shared" si="810"/>
        <v>1.498109640831758</v>
      </c>
      <c r="L245" s="143">
        <f t="shared" si="810"/>
        <v>3.9099307159353347</v>
      </c>
      <c r="M245" s="142">
        <f t="shared" si="810"/>
        <v>0.94384143463898063</v>
      </c>
      <c r="N245" s="142">
        <f t="shared" si="810"/>
        <v>1.0150107219442459</v>
      </c>
      <c r="O245" s="142">
        <f t="shared" si="810"/>
        <v>1.026689107958644</v>
      </c>
      <c r="P245" s="142">
        <f t="shared" si="810"/>
        <v>1.0273304050756467</v>
      </c>
      <c r="Q245" s="143">
        <f t="shared" si="810"/>
        <v>4.0124757909875362</v>
      </c>
      <c r="R245" s="142">
        <f t="shared" si="810"/>
        <v>1.1253132832080202</v>
      </c>
      <c r="S245" s="142">
        <f t="shared" si="810"/>
        <v>1.2535031847133757</v>
      </c>
      <c r="T245" s="142">
        <f t="shared" si="810"/>
        <v>1.2651378510693119</v>
      </c>
      <c r="U245" s="142">
        <f t="shared" si="810"/>
        <v>1.3448456305599163</v>
      </c>
      <c r="V245" s="143">
        <f t="shared" si="810"/>
        <v>4.9846311475409841</v>
      </c>
      <c r="W245" s="142">
        <f t="shared" si="810"/>
        <v>1.1996822033898304</v>
      </c>
      <c r="X245" s="142">
        <f t="shared" si="810"/>
        <v>0.560105680317041</v>
      </c>
      <c r="Y245" s="142">
        <f t="shared" si="810"/>
        <v>1.7218186709712133</v>
      </c>
      <c r="Z245" s="142">
        <f t="shared" si="810"/>
        <v>1.373898678414097</v>
      </c>
      <c r="AA245" s="143">
        <f t="shared" si="810"/>
        <v>4.8403541722565064</v>
      </c>
      <c r="AB245" s="142">
        <f t="shared" si="810"/>
        <v>1.0660324566312256</v>
      </c>
      <c r="AC245" s="142">
        <f t="shared" si="810"/>
        <v>1.2112676056338028</v>
      </c>
      <c r="AD245" s="142">
        <f t="shared" si="810"/>
        <v>1.4208273894436518</v>
      </c>
      <c r="AE245" s="142">
        <f t="shared" si="810"/>
        <v>1.5664051147922116</v>
      </c>
      <c r="AF245" s="143">
        <f t="shared" si="810"/>
        <v>5.2537313432835822</v>
      </c>
      <c r="AG245" s="142">
        <f t="shared" si="810"/>
        <v>1.3333333333333333</v>
      </c>
      <c r="AH245" s="142">
        <f t="shared" ref="AH245:BE245" si="811">AH241/AH265</f>
        <v>1.4157168566286744</v>
      </c>
      <c r="AI245" s="142">
        <f t="shared" si="811"/>
        <v>1.5105421686746987</v>
      </c>
      <c r="AJ245" s="142">
        <f t="shared" si="811"/>
        <v>1.412977562158884</v>
      </c>
      <c r="AK245" s="143">
        <f t="shared" si="811"/>
        <v>5.6711938170631049</v>
      </c>
      <c r="AL245" s="142">
        <f t="shared" si="811"/>
        <v>1.4966401954795359</v>
      </c>
      <c r="AM245" s="142">
        <f t="shared" si="811"/>
        <v>1.5020006155740229</v>
      </c>
      <c r="AN245" s="142">
        <f t="shared" si="811"/>
        <v>1.510077519379845</v>
      </c>
      <c r="AO245" s="142">
        <f t="shared" si="811"/>
        <v>1.4648682559598494</v>
      </c>
      <c r="AP245" s="143">
        <f t="shared" si="811"/>
        <v>6.5677179962894252</v>
      </c>
      <c r="AQ245" s="142">
        <f t="shared" si="811"/>
        <v>1.8694920634920635</v>
      </c>
      <c r="AR245" s="142">
        <f t="shared" si="811"/>
        <v>1.5915627996164909</v>
      </c>
      <c r="AS245" s="142">
        <f t="shared" si="811"/>
        <v>1.6468317787069799</v>
      </c>
      <c r="AT245" s="142">
        <f t="shared" si="811"/>
        <v>1.8634746036881267</v>
      </c>
      <c r="AU245" s="143">
        <f t="shared" si="811"/>
        <v>6.9713598846061373</v>
      </c>
      <c r="AV245" s="142"/>
      <c r="AW245" s="142"/>
      <c r="AX245" s="142"/>
      <c r="AY245" s="142"/>
      <c r="AZ245" s="143">
        <f t="shared" ref="AZ245" si="812">AZ241/AZ265</f>
        <v>6.9845340171488095</v>
      </c>
      <c r="BA245" s="142">
        <f t="shared" si="811"/>
        <v>1.7878001297858535</v>
      </c>
      <c r="BB245" s="142">
        <f t="shared" si="811"/>
        <v>1.650294695481336</v>
      </c>
      <c r="BC245" s="142">
        <f t="shared" si="811"/>
        <v>1.4741691345837447</v>
      </c>
      <c r="BD245" s="142">
        <f t="shared" si="811"/>
        <v>1.8401856763925728</v>
      </c>
      <c r="BE245" s="143">
        <f t="shared" si="811"/>
        <v>6.7519685039370074</v>
      </c>
      <c r="BF245" s="142">
        <f t="shared" ref="BF245:BI245" si="813">BF241/BF265</f>
        <v>1.4271390374331552</v>
      </c>
      <c r="BG245" s="142">
        <f t="shared" si="813"/>
        <v>2.3881601076353851</v>
      </c>
      <c r="BH245" s="142">
        <f t="shared" si="813"/>
        <v>1.7886178861788617</v>
      </c>
      <c r="BI245" s="142">
        <f t="shared" si="813"/>
        <v>1.8456832087015635</v>
      </c>
      <c r="BJ245" s="143">
        <f>BJ241/BJ265</f>
        <v>7.4468802698145025</v>
      </c>
      <c r="BK245" s="142">
        <f t="shared" ref="BK245:BN245" si="814">BK241/BK265</f>
        <v>1.7196581196581198</v>
      </c>
      <c r="BL245" s="142">
        <f t="shared" si="814"/>
        <v>1.8957833390469661</v>
      </c>
      <c r="BM245" s="142">
        <f t="shared" si="814"/>
        <v>1.9711042311661509</v>
      </c>
      <c r="BN245" s="142">
        <f t="shared" si="814"/>
        <v>2.0338397790055245</v>
      </c>
      <c r="BO245" s="143">
        <f>BO241/BO265</f>
        <v>7.6187204808930868</v>
      </c>
      <c r="BP245" s="143">
        <f>BP241/BP265</f>
        <v>7.6187204808930868</v>
      </c>
      <c r="BQ245" s="144">
        <f t="shared" ref="BQ245:BT245" si="815">BQ241/BQ265</f>
        <v>2.2245365401468695</v>
      </c>
      <c r="BR245" s="142">
        <f t="shared" si="815"/>
        <v>2.4241840706828457</v>
      </c>
      <c r="BS245" s="142">
        <f t="shared" si="815"/>
        <v>2.4166329705804577</v>
      </c>
      <c r="BT245" s="145">
        <f t="shared" si="815"/>
        <v>2.7350639954511133</v>
      </c>
      <c r="BU245" s="143">
        <f>BU241/BU265</f>
        <v>9.7975510281041256</v>
      </c>
      <c r="BV245" s="144"/>
      <c r="BW245" s="142"/>
      <c r="BX245" s="142"/>
      <c r="BY245" s="145"/>
      <c r="BZ245" s="143">
        <f>BZ241/BZ265</f>
        <v>11.354373489472456</v>
      </c>
      <c r="CA245" s="144"/>
      <c r="CB245" s="142"/>
      <c r="CC245" s="142"/>
      <c r="CD245" s="145"/>
      <c r="CE245" s="143">
        <f>CE241/CE265</f>
        <v>13.09022620538448</v>
      </c>
      <c r="CF245" s="144"/>
      <c r="CG245" s="142"/>
      <c r="CH245" s="142"/>
      <c r="CI245" s="145"/>
      <c r="CJ245" s="143">
        <f>CJ241/CJ265</f>
        <v>14.205980247235678</v>
      </c>
      <c r="CK245" s="289"/>
      <c r="CL245" s="745"/>
      <c r="CM245" s="658"/>
      <c r="CN245" s="682"/>
      <c r="CO245" s="658"/>
      <c r="CP245" s="658"/>
      <c r="CQ245" s="658"/>
      <c r="CR245" s="658"/>
      <c r="CS245" s="658"/>
      <c r="CT245" s="289"/>
    </row>
    <row r="246" spans="1:107">
      <c r="A246" s="218" t="s">
        <v>137</v>
      </c>
      <c r="B246" s="75"/>
      <c r="C246" s="74">
        <f>C245/B245-1</f>
        <v>334.88502007752015</v>
      </c>
      <c r="D246" s="74">
        <f>D245/C245-1</f>
        <v>-0.31160576957865938</v>
      </c>
      <c r="E246" s="74">
        <f>E245/D245-1</f>
        <v>-0.34156071987033465</v>
      </c>
      <c r="F246" s="74">
        <f>F245/E245-1</f>
        <v>1.3537473511071503</v>
      </c>
      <c r="G246" s="74">
        <f>G245/F245-1</f>
        <v>0.33740688925427831</v>
      </c>
      <c r="H246" s="25"/>
      <c r="I246" s="25"/>
      <c r="J246" s="25"/>
      <c r="K246" s="24"/>
      <c r="L246" s="74">
        <f t="shared" ref="L246:AR246" si="816">L245/G245-1</f>
        <v>0.45511019687881205</v>
      </c>
      <c r="M246" s="15">
        <f t="shared" si="816"/>
        <v>0.2846730638141679</v>
      </c>
      <c r="N246" s="22">
        <f t="shared" si="816"/>
        <v>0.24860614724803431</v>
      </c>
      <c r="O246" s="22">
        <f t="shared" si="816"/>
        <v>0.16502195618886129</v>
      </c>
      <c r="P246" s="15">
        <f t="shared" si="816"/>
        <v>-0.31424885263720237</v>
      </c>
      <c r="Q246" s="74">
        <f t="shared" si="816"/>
        <v>2.6226826637686385E-2</v>
      </c>
      <c r="R246" s="15">
        <f t="shared" si="816"/>
        <v>0.19226942355889731</v>
      </c>
      <c r="S246" s="22">
        <f t="shared" si="816"/>
        <v>0.23496546155916387</v>
      </c>
      <c r="T246" s="22">
        <f t="shared" si="816"/>
        <v>0.2322501926457301</v>
      </c>
      <c r="U246" s="15">
        <f t="shared" si="816"/>
        <v>0.30906826461627968</v>
      </c>
      <c r="V246" s="74">
        <f t="shared" si="816"/>
        <v>0.24228317058934445</v>
      </c>
      <c r="W246" s="15">
        <f t="shared" si="816"/>
        <v>6.6087303235060846E-2</v>
      </c>
      <c r="X246" s="22">
        <f t="shared" si="816"/>
        <v>-0.55316772454382401</v>
      </c>
      <c r="Y246" s="22">
        <f t="shared" si="816"/>
        <v>0.36097316945810176</v>
      </c>
      <c r="Z246" s="64">
        <f t="shared" si="816"/>
        <v>2.1603258540598969E-2</v>
      </c>
      <c r="AA246" s="74">
        <f t="shared" si="816"/>
        <v>-2.8944363386978478E-2</v>
      </c>
      <c r="AB246" s="15">
        <f t="shared" si="816"/>
        <v>-0.11140429222085912</v>
      </c>
      <c r="AC246" s="22">
        <f t="shared" si="816"/>
        <v>1.1625697581716712</v>
      </c>
      <c r="AD246" s="22">
        <f t="shared" si="816"/>
        <v>-0.17481009272467907</v>
      </c>
      <c r="AE246" s="15">
        <f t="shared" si="816"/>
        <v>0.14011690920346931</v>
      </c>
      <c r="AF246" s="74">
        <f t="shared" si="816"/>
        <v>8.54022570076447E-2</v>
      </c>
      <c r="AG246" s="15">
        <f t="shared" si="816"/>
        <v>0.25074365704286938</v>
      </c>
      <c r="AH246" s="22">
        <f t="shared" si="816"/>
        <v>0.1687894979143707</v>
      </c>
      <c r="AI246" s="22">
        <f t="shared" si="816"/>
        <v>6.3142630764019936E-2</v>
      </c>
      <c r="AJ246" s="15">
        <f t="shared" si="816"/>
        <v>-9.7948832766471261E-2</v>
      </c>
      <c r="AK246" s="74">
        <f t="shared" si="816"/>
        <v>7.9460186770534236E-2</v>
      </c>
      <c r="AL246" s="22">
        <f t="shared" si="816"/>
        <v>0.1224801466096519</v>
      </c>
      <c r="AM246" s="22">
        <f t="shared" si="816"/>
        <v>6.0947044983854282E-2</v>
      </c>
      <c r="AN246" s="22">
        <f>AN245/AI245-1</f>
        <v>-3.0760431882637107E-4</v>
      </c>
      <c r="AO246" s="15">
        <f t="shared" si="816"/>
        <v>3.6724357973301203E-2</v>
      </c>
      <c r="AP246" s="74">
        <f t="shared" si="816"/>
        <v>0.15808385467781383</v>
      </c>
      <c r="AQ246" s="22">
        <f>AQ245/AL245-1</f>
        <v>0.24912592160673785</v>
      </c>
      <c r="AR246" s="22">
        <f t="shared" si="816"/>
        <v>5.9628593433192378E-2</v>
      </c>
      <c r="AS246" s="22">
        <f t="shared" ref="AS246:AU246" si="817">AS245/AN245-1</f>
        <v>9.0561085488708448E-2</v>
      </c>
      <c r="AT246" s="15">
        <f t="shared" si="817"/>
        <v>0.27211071446632729</v>
      </c>
      <c r="AU246" s="74">
        <f t="shared" si="817"/>
        <v>6.1458468305849667E-2</v>
      </c>
      <c r="AV246" s="22"/>
      <c r="AW246" s="22"/>
      <c r="AX246" s="22"/>
      <c r="AY246" s="15"/>
      <c r="AZ246" s="74">
        <f t="shared" ref="AZ246" si="818">AZ245/AU245-1</f>
        <v>1.8897507460147178E-3</v>
      </c>
      <c r="BA246" s="22">
        <f>BA245/AQ245-1</f>
        <v>-4.3697395298708086E-2</v>
      </c>
      <c r="BB246" s="22">
        <f>BB245/AR245-1</f>
        <v>3.6902028546405674E-2</v>
      </c>
      <c r="BC246" s="22">
        <f>BC245/AS245-1</f>
        <v>-0.10484534386311295</v>
      </c>
      <c r="BD246" s="15">
        <f>BD245/AT245-1</f>
        <v>-1.2497582338638402E-2</v>
      </c>
      <c r="BE246" s="74">
        <f>BE245/AZ245-1</f>
        <v>-3.3297212475563054E-2</v>
      </c>
      <c r="BF246" s="22">
        <f>BF245/BA245-1</f>
        <v>-0.20173457107640946</v>
      </c>
      <c r="BG246" s="22">
        <f>BG245/BB245-1</f>
        <v>0.44711130331715587</v>
      </c>
      <c r="BH246" s="22">
        <f t="shared" ref="BH246" si="819">BH245/BC245-1</f>
        <v>0.21330574912891986</v>
      </c>
      <c r="BI246" s="15">
        <f>BI245/BD245-1</f>
        <v>2.9874878277327266E-3</v>
      </c>
      <c r="BJ246" s="74">
        <f>BJ245/BE245-1</f>
        <v>0.10291987669555902</v>
      </c>
      <c r="BK246" s="22">
        <f>BK245/BF245-1</f>
        <v>0.20496887447707124</v>
      </c>
      <c r="BL246" s="22">
        <f>BL245/BG245-1</f>
        <v>-0.20617410324131968</v>
      </c>
      <c r="BM246" s="22">
        <f t="shared" ref="BM246" si="820">BM245/BH245-1</f>
        <v>0.10202645651562081</v>
      </c>
      <c r="BN246" s="15">
        <f>BN245/BI245-1</f>
        <v>0.10194413072454012</v>
      </c>
      <c r="BO246" s="74">
        <f>BO245/BJ245-1</f>
        <v>2.3075463127174123E-2</v>
      </c>
      <c r="BP246" s="74">
        <f t="shared" ref="BP246:BU246" si="821">BP245/BJ245-1</f>
        <v>2.3075463127174123E-2</v>
      </c>
      <c r="BQ246" s="23">
        <f t="shared" si="821"/>
        <v>0.29359232205359698</v>
      </c>
      <c r="BR246" s="15">
        <f t="shared" si="821"/>
        <v>0.27872421956272353</v>
      </c>
      <c r="BS246" s="15">
        <f t="shared" si="821"/>
        <v>0.22603002538872419</v>
      </c>
      <c r="BT246" s="17">
        <f t="shared" si="821"/>
        <v>0.34477849419803497</v>
      </c>
      <c r="BU246" s="74">
        <f t="shared" si="821"/>
        <v>0.28598378857385653</v>
      </c>
      <c r="BV246" s="23"/>
      <c r="BW246" s="15"/>
      <c r="BX246" s="15"/>
      <c r="BY246" s="17"/>
      <c r="BZ246" s="74">
        <f>BZ245/BU245-1</f>
        <v>0.15889914294935625</v>
      </c>
      <c r="CA246" s="23"/>
      <c r="CB246" s="15"/>
      <c r="CC246" s="15"/>
      <c r="CD246" s="17"/>
      <c r="CE246" s="74">
        <f>CE245/BZ245-1</f>
        <v>0.1528796562418413</v>
      </c>
      <c r="CF246" s="23"/>
      <c r="CG246" s="15"/>
      <c r="CH246" s="15"/>
      <c r="CI246" s="17"/>
      <c r="CJ246" s="74">
        <f>CJ245/CE245-1</f>
        <v>8.5235657837008816E-2</v>
      </c>
      <c r="CK246" s="289"/>
      <c r="CL246" s="658"/>
      <c r="CM246" s="658"/>
      <c r="CN246" s="682"/>
      <c r="CO246" s="658"/>
      <c r="CP246" s="658"/>
      <c r="CQ246" s="658"/>
      <c r="CR246" s="658"/>
      <c r="CS246" s="658"/>
      <c r="CT246" s="289"/>
    </row>
    <row r="247" spans="1:107" s="180" customFormat="1" ht="12.75" customHeight="1">
      <c r="A247" s="576" t="s">
        <v>123</v>
      </c>
      <c r="B247" s="176">
        <f t="shared" ref="B247:K247" si="822">-0.65*B212</f>
        <v>-250.9</v>
      </c>
      <c r="C247" s="176">
        <f t="shared" si="822"/>
        <v>-136.5</v>
      </c>
      <c r="D247" s="176">
        <f t="shared" si="822"/>
        <v>70.850000000000009</v>
      </c>
      <c r="E247" s="176">
        <f t="shared" si="822"/>
        <v>297.05</v>
      </c>
      <c r="F247" s="176">
        <f t="shared" si="822"/>
        <v>291.2</v>
      </c>
      <c r="G247" s="176">
        <f t="shared" si="822"/>
        <v>235.3</v>
      </c>
      <c r="H247" s="135">
        <f t="shared" si="822"/>
        <v>40.300000000000004</v>
      </c>
      <c r="I247" s="135">
        <f t="shared" si="822"/>
        <v>40.950000000000003</v>
      </c>
      <c r="J247" s="135">
        <f t="shared" si="822"/>
        <v>33.15</v>
      </c>
      <c r="K247" s="189">
        <f t="shared" si="822"/>
        <v>43.550000000000004</v>
      </c>
      <c r="L247" s="176">
        <f>SUM(H247:K247)</f>
        <v>157.95000000000002</v>
      </c>
      <c r="M247" s="135">
        <f>-0.65*M212</f>
        <v>21.45</v>
      </c>
      <c r="N247" s="135">
        <f>-0.65*N212</f>
        <v>22.1</v>
      </c>
      <c r="O247" s="135">
        <f>-0.65*O212</f>
        <v>16.900000000000002</v>
      </c>
      <c r="P247" s="189">
        <f>-0.65*P212</f>
        <v>19.5</v>
      </c>
      <c r="Q247" s="176">
        <f>SUM(M247:P247)</f>
        <v>79.95</v>
      </c>
      <c r="R247" s="135">
        <f>-0.65*R212</f>
        <v>-7.15</v>
      </c>
      <c r="S247" s="135">
        <f>-0.65*S212</f>
        <v>-7.15</v>
      </c>
      <c r="T247" s="135">
        <f>-0.65*T212</f>
        <v>0.65</v>
      </c>
      <c r="U247" s="189">
        <f>-0.65*U212</f>
        <v>-3.9000000000000004</v>
      </c>
      <c r="V247" s="176">
        <f>SUM(R247:U247)</f>
        <v>-17.55</v>
      </c>
      <c r="W247" s="135">
        <f>-0.65*W212</f>
        <v>27.3</v>
      </c>
      <c r="X247" s="135">
        <f>-0.65*X212</f>
        <v>28.6</v>
      </c>
      <c r="Y247" s="135">
        <f>-0.65*Y212</f>
        <v>33.800000000000004</v>
      </c>
      <c r="Z247" s="189">
        <f>-0.65*Z212</f>
        <v>31.85</v>
      </c>
      <c r="AA247" s="176">
        <f>SUM(W247:Z247)</f>
        <v>121.55000000000001</v>
      </c>
      <c r="AB247" s="135">
        <f>-0.65*AB212</f>
        <v>57.85</v>
      </c>
      <c r="AC247" s="135">
        <f>-0.65*AC212</f>
        <v>58.5</v>
      </c>
      <c r="AD247" s="135">
        <f>-0.65*AD212</f>
        <v>48.75</v>
      </c>
      <c r="AE247" s="135">
        <f>-0.65*AE212</f>
        <v>53.95</v>
      </c>
      <c r="AF247" s="176">
        <f>SUM(AB247:AE247)</f>
        <v>219.05</v>
      </c>
      <c r="AG247" s="135">
        <f>-0.65*AG212</f>
        <v>45.5</v>
      </c>
      <c r="AH247" s="135">
        <f>-0.65*AH212</f>
        <v>46.15</v>
      </c>
      <c r="AI247" s="135">
        <f>-0.65*AI212</f>
        <v>30.55</v>
      </c>
      <c r="AJ247" s="135">
        <f>-0.65*AJ212</f>
        <v>43.550000000000004</v>
      </c>
      <c r="AK247" s="176">
        <f>SUM(AG247:AJ247)</f>
        <v>165.75</v>
      </c>
      <c r="AL247" s="135">
        <f>-0.65*AL212</f>
        <v>46.15</v>
      </c>
      <c r="AM247" s="135">
        <f>-0.65*AM212</f>
        <v>46.800000000000004</v>
      </c>
      <c r="AN247" s="135">
        <f>-0.65*AN212</f>
        <v>29.900000000000002</v>
      </c>
      <c r="AO247" s="135">
        <f>-0.65*AO212</f>
        <v>39</v>
      </c>
      <c r="AP247" s="176">
        <f>SUM(AL247:AO247)</f>
        <v>161.85000000000002</v>
      </c>
      <c r="AQ247" s="135">
        <f>-0.65*AQ212</f>
        <v>-55.9</v>
      </c>
      <c r="AR247" s="135">
        <f>-0.65*AR212</f>
        <v>-55.9</v>
      </c>
      <c r="AS247" s="135">
        <f>-0.65*AS212</f>
        <v>-25.35</v>
      </c>
      <c r="AT247" s="135">
        <f>-0.65*AT212</f>
        <v>-45.5</v>
      </c>
      <c r="AU247" s="176">
        <f>SUM(AQ247:AT247)</f>
        <v>-182.65</v>
      </c>
      <c r="AV247" s="135"/>
      <c r="AW247" s="135"/>
      <c r="AX247" s="135"/>
      <c r="AY247" s="135"/>
      <c r="AZ247" s="176">
        <f>-0.65*AZ212</f>
        <v>-185.9</v>
      </c>
      <c r="BA247" s="135">
        <f>-0.65*BA212</f>
        <v>-31.85</v>
      </c>
      <c r="BB247" s="135">
        <f>-0.65*BB212</f>
        <v>-31.85</v>
      </c>
      <c r="BC247" s="135">
        <f>-0.65*BC212</f>
        <v>-27.95</v>
      </c>
      <c r="BD247" s="135">
        <f>-0.65*BD212</f>
        <v>-26.650000000000002</v>
      </c>
      <c r="BE247" s="176">
        <f>SUM(BA247:BD247)</f>
        <v>-118.30000000000001</v>
      </c>
      <c r="BF247" s="135">
        <f t="shared" ref="BF247:BL247" si="823">-0.65*BF212</f>
        <v>-68.25</v>
      </c>
      <c r="BG247" s="135">
        <f t="shared" si="823"/>
        <v>-70.850000000000009</v>
      </c>
      <c r="BH247" s="135">
        <f t="shared" si="823"/>
        <v>-67.600000000000009</v>
      </c>
      <c r="BI247" s="135">
        <f t="shared" si="823"/>
        <v>-76.05</v>
      </c>
      <c r="BJ247" s="176">
        <f t="shared" si="823"/>
        <v>-282.75</v>
      </c>
      <c r="BK247" s="135">
        <f t="shared" si="823"/>
        <v>-70.2</v>
      </c>
      <c r="BL247" s="135">
        <f t="shared" si="823"/>
        <v>-70.850000000000009</v>
      </c>
      <c r="BM247" s="135">
        <f t="shared" ref="BM247:BO247" si="824">-0.65*BM212</f>
        <v>-50.7</v>
      </c>
      <c r="BN247" s="135">
        <f t="shared" si="824"/>
        <v>-61.75</v>
      </c>
      <c r="BO247" s="176">
        <f t="shared" si="824"/>
        <v>-253.5</v>
      </c>
      <c r="BP247" s="176">
        <f>-0.65*(BP212-BP218)</f>
        <v>-253.5</v>
      </c>
      <c r="BQ247" s="178">
        <f t="shared" ref="BQ247:BT247" si="825">-0.65*BQ212</f>
        <v>-230.1</v>
      </c>
      <c r="BR247" s="177">
        <f t="shared" si="825"/>
        <v>-230.1</v>
      </c>
      <c r="BS247" s="177">
        <f t="shared" si="825"/>
        <v>-230.1</v>
      </c>
      <c r="BT247" s="179">
        <f t="shared" si="825"/>
        <v>-230.1</v>
      </c>
      <c r="BU247" s="176">
        <f>-0.65*BU212</f>
        <v>-920.4</v>
      </c>
      <c r="BV247" s="178"/>
      <c r="BW247" s="177"/>
      <c r="BX247" s="177"/>
      <c r="BY247" s="179"/>
      <c r="BZ247" s="176">
        <f>-0.65*BZ212</f>
        <v>-926.9</v>
      </c>
      <c r="CA247" s="178"/>
      <c r="CB247" s="177"/>
      <c r="CC247" s="177"/>
      <c r="CD247" s="179"/>
      <c r="CE247" s="176">
        <f>-0.65*CE212</f>
        <v>-916.5</v>
      </c>
      <c r="CF247" s="178"/>
      <c r="CG247" s="177"/>
      <c r="CH247" s="177"/>
      <c r="CI247" s="179"/>
      <c r="CJ247" s="176">
        <f>-0.65*CJ212</f>
        <v>-916.5</v>
      </c>
      <c r="CK247" s="291"/>
      <c r="CL247" s="657"/>
      <c r="CM247" s="657"/>
      <c r="CN247" s="682"/>
      <c r="CO247" s="657"/>
      <c r="CP247" s="657"/>
      <c r="CQ247" s="680"/>
      <c r="CR247" s="657"/>
      <c r="CS247" s="657"/>
      <c r="CT247" s="291"/>
      <c r="CX247"/>
      <c r="CY247"/>
      <c r="CZ247"/>
      <c r="DA247"/>
      <c r="DB247"/>
      <c r="DC247"/>
    </row>
    <row r="248" spans="1:107" s="180" customFormat="1" ht="12" customHeight="1">
      <c r="A248" s="577" t="s">
        <v>120</v>
      </c>
      <c r="B248" s="170">
        <f t="shared" ref="B248:AG248" si="826">B241+B247</f>
        <v>-248.9</v>
      </c>
      <c r="C248" s="170">
        <f t="shared" si="826"/>
        <v>619.5</v>
      </c>
      <c r="D248" s="170">
        <f t="shared" si="826"/>
        <v>605.85</v>
      </c>
      <c r="E248" s="170">
        <f t="shared" si="826"/>
        <v>671.05</v>
      </c>
      <c r="F248" s="170">
        <f t="shared" si="826"/>
        <v>1189.2</v>
      </c>
      <c r="G248" s="170">
        <f t="shared" si="826"/>
        <v>1422.3</v>
      </c>
      <c r="H248" s="575">
        <f t="shared" si="826"/>
        <v>364.3</v>
      </c>
      <c r="I248" s="575">
        <f t="shared" si="826"/>
        <v>395.95</v>
      </c>
      <c r="J248" s="575">
        <f t="shared" si="826"/>
        <v>413.15</v>
      </c>
      <c r="K248" s="174">
        <f t="shared" si="826"/>
        <v>677.55</v>
      </c>
      <c r="L248" s="170">
        <f t="shared" si="826"/>
        <v>1850.95</v>
      </c>
      <c r="M248" s="575">
        <f t="shared" si="826"/>
        <v>421.45</v>
      </c>
      <c r="N248" s="575">
        <f t="shared" si="826"/>
        <v>448.1</v>
      </c>
      <c r="O248" s="575">
        <f t="shared" si="826"/>
        <v>443.9</v>
      </c>
      <c r="P248" s="174">
        <f t="shared" si="826"/>
        <v>440.5</v>
      </c>
      <c r="Q248" s="170">
        <f t="shared" si="826"/>
        <v>1753.9549</v>
      </c>
      <c r="R248" s="575">
        <f t="shared" si="826"/>
        <v>441.85</v>
      </c>
      <c r="S248" s="575">
        <f t="shared" si="826"/>
        <v>484.85</v>
      </c>
      <c r="T248" s="575">
        <f t="shared" si="826"/>
        <v>491.65</v>
      </c>
      <c r="U248" s="174">
        <f t="shared" si="826"/>
        <v>510.1</v>
      </c>
      <c r="V248" s="170">
        <f t="shared" si="826"/>
        <v>1928.45</v>
      </c>
      <c r="W248" s="575">
        <f t="shared" si="826"/>
        <v>480.3</v>
      </c>
      <c r="X248" s="575">
        <f t="shared" si="826"/>
        <v>240.6</v>
      </c>
      <c r="Y248" s="575">
        <f t="shared" si="826"/>
        <v>673.8</v>
      </c>
      <c r="Z248" s="174">
        <f t="shared" si="826"/>
        <v>530.85</v>
      </c>
      <c r="AA248" s="170">
        <f t="shared" si="826"/>
        <v>1925.55</v>
      </c>
      <c r="AB248" s="575">
        <f t="shared" si="826"/>
        <v>438.85</v>
      </c>
      <c r="AC248" s="575">
        <f t="shared" si="826"/>
        <v>488.5</v>
      </c>
      <c r="AD248" s="575">
        <f t="shared" si="826"/>
        <v>546.75</v>
      </c>
      <c r="AE248" s="575">
        <f t="shared" si="826"/>
        <v>592.95000000000005</v>
      </c>
      <c r="AF248" s="170">
        <f t="shared" si="826"/>
        <v>2067.0500000000002</v>
      </c>
      <c r="AG248" s="575">
        <f t="shared" si="826"/>
        <v>495.5</v>
      </c>
      <c r="AH248" s="575">
        <f t="shared" ref="AH248:BE248" si="827">AH241+AH247</f>
        <v>518.15</v>
      </c>
      <c r="AI248" s="575">
        <f t="shared" si="827"/>
        <v>532.04999999999995</v>
      </c>
      <c r="AJ248" s="575">
        <f t="shared" si="827"/>
        <v>509.55</v>
      </c>
      <c r="AK248" s="170">
        <f t="shared" si="827"/>
        <v>2055.25</v>
      </c>
      <c r="AL248" s="575">
        <f t="shared" si="827"/>
        <v>536.15</v>
      </c>
      <c r="AM248" s="575">
        <f t="shared" si="827"/>
        <v>534.79999999999995</v>
      </c>
      <c r="AN248" s="575">
        <f t="shared" si="827"/>
        <v>516.9</v>
      </c>
      <c r="AO248" s="575">
        <f t="shared" si="827"/>
        <v>506</v>
      </c>
      <c r="AP248" s="170">
        <f t="shared" si="827"/>
        <v>2285.85</v>
      </c>
      <c r="AQ248" s="174">
        <f t="shared" si="827"/>
        <v>532.99</v>
      </c>
      <c r="AR248" s="575">
        <f t="shared" si="827"/>
        <v>442.1</v>
      </c>
      <c r="AS248" s="575">
        <f t="shared" si="827"/>
        <v>486.65</v>
      </c>
      <c r="AT248" s="575">
        <f t="shared" si="827"/>
        <v>530.5</v>
      </c>
      <c r="AU248" s="170">
        <f t="shared" si="827"/>
        <v>1992.2399999999998</v>
      </c>
      <c r="AV248" s="174"/>
      <c r="AW248" s="575"/>
      <c r="AX248" s="575"/>
      <c r="AY248" s="575"/>
      <c r="AZ248" s="170">
        <f t="shared" ref="AZ248" si="828">AZ241+AZ247</f>
        <v>1993.1</v>
      </c>
      <c r="BA248" s="174">
        <f t="shared" si="827"/>
        <v>519.15</v>
      </c>
      <c r="BB248" s="575">
        <f t="shared" si="827"/>
        <v>472.15</v>
      </c>
      <c r="BC248" s="575">
        <f t="shared" si="827"/>
        <v>420.05</v>
      </c>
      <c r="BD248" s="575">
        <f t="shared" si="827"/>
        <v>528.35</v>
      </c>
      <c r="BE248" s="170">
        <f t="shared" si="827"/>
        <v>1939.7</v>
      </c>
      <c r="BF248" s="174">
        <f t="shared" ref="BF248" si="829">BF241+BF247</f>
        <v>358.75</v>
      </c>
      <c r="BG248" s="575">
        <f t="shared" ref="BG248" si="830">BG241+BG247</f>
        <v>639.15</v>
      </c>
      <c r="BH248" s="575">
        <f t="shared" ref="BH248" si="831">BH241+BH247</f>
        <v>460.4</v>
      </c>
      <c r="BI248" s="575">
        <f t="shared" ref="BI248" si="832">BI241+BI247</f>
        <v>466.95</v>
      </c>
      <c r="BJ248" s="170">
        <f>BJ241+BJ247</f>
        <v>1925.25</v>
      </c>
      <c r="BK248" s="174">
        <f t="shared" ref="BK248" si="833">BK241+BK247</f>
        <v>432.8</v>
      </c>
      <c r="BL248" s="575">
        <f t="shared" ref="BL248:BN248" si="834">BL241+BL247</f>
        <v>482.15</v>
      </c>
      <c r="BM248" s="575">
        <f t="shared" si="834"/>
        <v>522.29999999999995</v>
      </c>
      <c r="BN248" s="575">
        <f t="shared" si="834"/>
        <v>527.25</v>
      </c>
      <c r="BO248" s="170">
        <f>BO241+BO247</f>
        <v>1964.5</v>
      </c>
      <c r="BP248" s="170">
        <f>BP241+BP247</f>
        <v>1964.5</v>
      </c>
      <c r="BQ248" s="172">
        <f t="shared" ref="BQ248:BT248" si="835">BQ241+BQ247</f>
        <v>411.68898321695576</v>
      </c>
      <c r="BR248" s="171">
        <f t="shared" si="835"/>
        <v>466.661434116956</v>
      </c>
      <c r="BS248" s="171">
        <f t="shared" si="835"/>
        <v>461.88231486695588</v>
      </c>
      <c r="BT248" s="173">
        <f t="shared" si="835"/>
        <v>550.12088156695609</v>
      </c>
      <c r="BU248" s="170">
        <f>BU241+BU247</f>
        <v>1890.3536137678243</v>
      </c>
      <c r="BV248" s="172"/>
      <c r="BW248" s="171"/>
      <c r="BX248" s="171"/>
      <c r="BY248" s="173"/>
      <c r="BZ248" s="170">
        <f>BZ241+BZ247</f>
        <v>2248.9183518747036</v>
      </c>
      <c r="CA248" s="172"/>
      <c r="CB248" s="171"/>
      <c r="CC248" s="171"/>
      <c r="CD248" s="173"/>
      <c r="CE248" s="170">
        <f>CE241+CE247</f>
        <v>2653.1564257286423</v>
      </c>
      <c r="CF248" s="172"/>
      <c r="CG248" s="171"/>
      <c r="CH248" s="171"/>
      <c r="CI248" s="173"/>
      <c r="CJ248" s="170">
        <f>CJ241+CJ247</f>
        <v>2860.4114536277598</v>
      </c>
      <c r="CK248" s="291"/>
      <c r="CL248" s="657"/>
      <c r="CM248" s="657"/>
      <c r="CN248" s="682"/>
      <c r="CO248" s="989"/>
      <c r="CP248" s="657"/>
      <c r="CQ248" s="657"/>
      <c r="CR248" s="657"/>
      <c r="CS248" s="657"/>
      <c r="CT248" s="291"/>
      <c r="CX248"/>
      <c r="CY248"/>
      <c r="CZ248"/>
      <c r="DA248"/>
      <c r="DB248"/>
      <c r="DC248"/>
    </row>
    <row r="249" spans="1:107">
      <c r="A249" s="222" t="s">
        <v>122</v>
      </c>
      <c r="B249" s="143">
        <f t="shared" ref="B249:AR249" si="836">B248/B267</f>
        <v>-0.68885733817111017</v>
      </c>
      <c r="C249" s="143">
        <f t="shared" si="836"/>
        <v>1.5182669944195417</v>
      </c>
      <c r="D249" s="143">
        <f t="shared" si="836"/>
        <v>1.4583719480344417</v>
      </c>
      <c r="E249" s="143">
        <f t="shared" si="836"/>
        <v>1.517522574575815</v>
      </c>
      <c r="F249" s="143">
        <f t="shared" si="836"/>
        <v>2.6084667690282961</v>
      </c>
      <c r="G249" s="143">
        <f t="shared" si="836"/>
        <v>3.1335095836087246</v>
      </c>
      <c r="H249" s="142">
        <f t="shared" si="836"/>
        <v>0.80330760749724373</v>
      </c>
      <c r="I249" s="142">
        <f t="shared" si="836"/>
        <v>0.88224153297682706</v>
      </c>
      <c r="J249" s="142">
        <f t="shared" si="836"/>
        <v>0.93261851015801345</v>
      </c>
      <c r="K249" s="142">
        <f t="shared" si="836"/>
        <v>1.5511675824175823</v>
      </c>
      <c r="L249" s="143">
        <f t="shared" si="836"/>
        <v>4.1529055418442899</v>
      </c>
      <c r="M249" s="142">
        <f t="shared" si="836"/>
        <v>0.96951920864964347</v>
      </c>
      <c r="N249" s="142">
        <f t="shared" si="836"/>
        <v>1.0420930232558141</v>
      </c>
      <c r="O249" s="142">
        <f t="shared" si="836"/>
        <v>1.0447164038597316</v>
      </c>
      <c r="P249" s="142">
        <f t="shared" si="836"/>
        <v>1.0578770413064362</v>
      </c>
      <c r="Q249" s="143">
        <f t="shared" si="836"/>
        <v>4.1129107447279987</v>
      </c>
      <c r="R249" s="142">
        <f t="shared" si="836"/>
        <v>1.0936881188118812</v>
      </c>
      <c r="S249" s="142">
        <f t="shared" si="836"/>
        <v>1.2203624465139693</v>
      </c>
      <c r="T249" s="142">
        <f t="shared" si="836"/>
        <v>1.2497458057956279</v>
      </c>
      <c r="U249" s="142">
        <f t="shared" si="836"/>
        <v>1.3133367662203914</v>
      </c>
      <c r="V249" s="143">
        <f t="shared" si="836"/>
        <v>4.8735152893606273</v>
      </c>
      <c r="W249" s="142">
        <f t="shared" si="836"/>
        <v>1.2494797086368368</v>
      </c>
      <c r="X249" s="142">
        <f t="shared" si="836"/>
        <v>0.62803445575567729</v>
      </c>
      <c r="Y249" s="142">
        <f t="shared" si="836"/>
        <v>1.7991989319092121</v>
      </c>
      <c r="Z249" s="142">
        <f t="shared" si="836"/>
        <v>1.4504098360655739</v>
      </c>
      <c r="AA249" s="143">
        <f t="shared" si="836"/>
        <v>5.1075596816976123</v>
      </c>
      <c r="AB249" s="142">
        <f t="shared" si="836"/>
        <v>1.2163248337028825</v>
      </c>
      <c r="AC249" s="142">
        <f t="shared" si="836"/>
        <v>1.3679641556986837</v>
      </c>
      <c r="AD249" s="142">
        <f t="shared" si="836"/>
        <v>1.5559191804211725</v>
      </c>
      <c r="AE249" s="142">
        <f t="shared" si="836"/>
        <v>1.718197623877137</v>
      </c>
      <c r="AF249" s="143">
        <f t="shared" si="836"/>
        <v>5.8457296380090495</v>
      </c>
      <c r="AG249" s="142">
        <f t="shared" si="836"/>
        <v>1.4629465603779157</v>
      </c>
      <c r="AH249" s="142">
        <f t="shared" si="836"/>
        <v>1.5494916267942584</v>
      </c>
      <c r="AI249" s="142">
        <f t="shared" si="836"/>
        <v>1.5977477477477475</v>
      </c>
      <c r="AJ249" s="142">
        <f t="shared" si="836"/>
        <v>1.5403567110036276</v>
      </c>
      <c r="AK249" s="143">
        <f t="shared" si="836"/>
        <v>6.1497606223818071</v>
      </c>
      <c r="AL249" s="142">
        <f t="shared" si="836"/>
        <v>1.6336075563680683</v>
      </c>
      <c r="AM249" s="142">
        <f t="shared" si="836"/>
        <v>1.6425061425061422</v>
      </c>
      <c r="AN249" s="142">
        <f t="shared" si="836"/>
        <v>1.5988246210949582</v>
      </c>
      <c r="AO249" s="142">
        <f t="shared" si="836"/>
        <v>1.5832290362953692</v>
      </c>
      <c r="AP249" s="143">
        <f t="shared" si="836"/>
        <v>7.051284028688209</v>
      </c>
      <c r="AQ249" s="142">
        <f t="shared" si="836"/>
        <v>1.6877454084863837</v>
      </c>
      <c r="AR249" s="142">
        <f t="shared" si="836"/>
        <v>1.410207336523126</v>
      </c>
      <c r="AS249" s="142">
        <f t="shared" ref="AS249:BE249" si="837">AS248/AS267</f>
        <v>1.5627809890815672</v>
      </c>
      <c r="AT249" s="142">
        <f t="shared" si="837"/>
        <v>1.7129480142072975</v>
      </c>
      <c r="AU249" s="143">
        <f t="shared" si="837"/>
        <v>6.3731285988483686</v>
      </c>
      <c r="AV249" s="142"/>
      <c r="AW249" s="142"/>
      <c r="AX249" s="142"/>
      <c r="AY249" s="142"/>
      <c r="AZ249" s="143">
        <f t="shared" ref="AZ249" si="838">AZ248/AZ267</f>
        <v>6.3758797184900837</v>
      </c>
      <c r="BA249" s="142">
        <f t="shared" si="837"/>
        <v>1.6822747893713543</v>
      </c>
      <c r="BB249" s="142">
        <f t="shared" si="837"/>
        <v>1.5444880601897284</v>
      </c>
      <c r="BC249" s="142">
        <f t="shared" si="837"/>
        <v>1.3803812027604339</v>
      </c>
      <c r="BD249" s="142">
        <f t="shared" si="837"/>
        <v>1.7489241972856668</v>
      </c>
      <c r="BE249" s="143">
        <f t="shared" si="837"/>
        <v>6.3555045871559637</v>
      </c>
      <c r="BF249" s="142">
        <f t="shared" ref="BF249:BI249" si="839">BF248/BF267</f>
        <v>1.1974299065420559</v>
      </c>
      <c r="BG249" s="142">
        <f t="shared" si="839"/>
        <v>2.147681451612903</v>
      </c>
      <c r="BH249" s="142">
        <f t="shared" si="839"/>
        <v>1.5580372250423011</v>
      </c>
      <c r="BI249" s="142">
        <f t="shared" si="839"/>
        <v>1.5855687606112054</v>
      </c>
      <c r="BJ249" s="143">
        <f>BJ248/BJ267</f>
        <v>6.4866913746630726</v>
      </c>
      <c r="BK249" s="142">
        <f t="shared" ref="BK249:BN249" si="840">BK248/BK267</f>
        <v>1.4781420765027322</v>
      </c>
      <c r="BL249" s="142">
        <f t="shared" si="840"/>
        <v>1.6511986301369863</v>
      </c>
      <c r="BM249" s="142">
        <f t="shared" si="840"/>
        <v>1.7948453608247421</v>
      </c>
      <c r="BN249" s="142">
        <f t="shared" si="840"/>
        <v>1.8178527099710384</v>
      </c>
      <c r="BO249" s="143">
        <f>BO248/BO267</f>
        <v>6.7415923129718607</v>
      </c>
      <c r="BP249" s="143">
        <f>BP248/BP267</f>
        <v>6.7415923129718607</v>
      </c>
      <c r="BQ249" s="144">
        <f t="shared" ref="BQ249:BT249" si="841">BQ248/BQ267</f>
        <v>1.4247642672466783</v>
      </c>
      <c r="BR249" s="142">
        <f t="shared" si="841"/>
        <v>1.6210908186870339</v>
      </c>
      <c r="BS249" s="142">
        <f t="shared" si="841"/>
        <v>1.610528572533418</v>
      </c>
      <c r="BT249" s="145">
        <f t="shared" si="841"/>
        <v>1.9254262845663432</v>
      </c>
      <c r="BU249" s="143">
        <f>BU248/BU267</f>
        <v>6.5790091135946005</v>
      </c>
      <c r="BV249" s="144"/>
      <c r="BW249" s="142"/>
      <c r="BX249" s="142"/>
      <c r="BY249" s="145"/>
      <c r="BZ249" s="143">
        <f>BZ248/BZ267</f>
        <v>8.0276145025522769</v>
      </c>
      <c r="CA249" s="144"/>
      <c r="CB249" s="142"/>
      <c r="CC249" s="142"/>
      <c r="CD249" s="145"/>
      <c r="CE249" s="143">
        <f>CE248/CE267</f>
        <v>9.7133952431134443</v>
      </c>
      <c r="CF249" s="144"/>
      <c r="CG249" s="142"/>
      <c r="CH249" s="142"/>
      <c r="CI249" s="145"/>
      <c r="CJ249" s="143">
        <f>CJ248/CJ267</f>
        <v>10.740687906320479</v>
      </c>
      <c r="CK249" s="289"/>
      <c r="CL249" s="745"/>
      <c r="CM249" s="658"/>
      <c r="CN249" s="682"/>
      <c r="CO249" s="658"/>
      <c r="CP249" s="658"/>
      <c r="CQ249" s="658"/>
      <c r="CR249" s="658"/>
      <c r="CS249" s="658"/>
      <c r="CT249" s="289"/>
    </row>
    <row r="250" spans="1:107">
      <c r="A250" s="218" t="s">
        <v>137</v>
      </c>
      <c r="B250" s="75"/>
      <c r="C250" s="74">
        <f>C249/B249-1</f>
        <v>-3.2040369032730092</v>
      </c>
      <c r="D250" s="74">
        <f>D249/C249-1</f>
        <v>-3.9449613674832462E-2</v>
      </c>
      <c r="E250" s="74">
        <f>E249/D249-1</f>
        <v>4.0559355671298425E-2</v>
      </c>
      <c r="F250" s="74">
        <f>F249/E249-1</f>
        <v>0.71889816516069094</v>
      </c>
      <c r="G250" s="74">
        <f>G249/F249-1</f>
        <v>0.20128407262631787</v>
      </c>
      <c r="H250" s="25"/>
      <c r="I250" s="25"/>
      <c r="J250" s="25"/>
      <c r="K250" s="24"/>
      <c r="L250" s="74">
        <f t="shared" ref="L250:AR250" si="842">L249/G249-1</f>
        <v>0.32532083628146169</v>
      </c>
      <c r="M250" s="15">
        <f t="shared" si="842"/>
        <v>0.2069090340999542</v>
      </c>
      <c r="N250" s="22">
        <f t="shared" si="842"/>
        <v>0.18118789957623282</v>
      </c>
      <c r="O250" s="22">
        <f t="shared" si="842"/>
        <v>0.12019694278073612</v>
      </c>
      <c r="P250" s="15">
        <f t="shared" si="842"/>
        <v>-0.31801240994369218</v>
      </c>
      <c r="Q250" s="74">
        <f t="shared" si="842"/>
        <v>-9.6305578620335952E-3</v>
      </c>
      <c r="R250" s="15">
        <f t="shared" si="842"/>
        <v>0.1280726663839713</v>
      </c>
      <c r="S250" s="22">
        <f t="shared" si="842"/>
        <v>0.17106862754074248</v>
      </c>
      <c r="T250" s="22">
        <f t="shared" si="842"/>
        <v>0.19625364470052342</v>
      </c>
      <c r="U250" s="15">
        <f t="shared" si="842"/>
        <v>0.24148338128075131</v>
      </c>
      <c r="V250" s="74">
        <f t="shared" si="842"/>
        <v>0.18493096297010214</v>
      </c>
      <c r="W250" s="15">
        <f>W249/R249-1</f>
        <v>0.14244608416721061</v>
      </c>
      <c r="X250" s="22">
        <f>X249/S249-1</f>
        <v>-0.48537054909408972</v>
      </c>
      <c r="Y250" s="22">
        <f>Y249/T249-1</f>
        <v>0.43965190646411889</v>
      </c>
      <c r="Z250" s="64">
        <f>Z249/U249-1</f>
        <v>0.1043700849399507</v>
      </c>
      <c r="AA250" s="74">
        <f>AA249/V249-1</f>
        <v>4.8023732037514533E-2</v>
      </c>
      <c r="AB250" s="15">
        <f t="shared" si="842"/>
        <v>-2.6534944669190152E-2</v>
      </c>
      <c r="AC250" s="22">
        <f t="shared" si="842"/>
        <v>1.178167365121221</v>
      </c>
      <c r="AD250" s="22">
        <f t="shared" si="842"/>
        <v>-0.13521559354744861</v>
      </c>
      <c r="AE250" s="15">
        <f t="shared" si="842"/>
        <v>0.18462904839226169</v>
      </c>
      <c r="AF250" s="74">
        <f t="shared" si="842"/>
        <v>0.14452497911215589</v>
      </c>
      <c r="AG250" s="15">
        <f t="shared" si="842"/>
        <v>0.20275975614527053</v>
      </c>
      <c r="AH250" s="22">
        <f t="shared" si="842"/>
        <v>0.13269899678245589</v>
      </c>
      <c r="AI250" s="22">
        <f t="shared" si="842"/>
        <v>2.6883509023426511E-2</v>
      </c>
      <c r="AJ250" s="15">
        <f t="shared" si="842"/>
        <v>-0.10350434106189077</v>
      </c>
      <c r="AK250" s="74">
        <f t="shared" si="842"/>
        <v>5.2009073836727149E-2</v>
      </c>
      <c r="AL250" s="22">
        <f t="shared" si="842"/>
        <v>0.1166556596203121</v>
      </c>
      <c r="AM250" s="22">
        <f t="shared" si="842"/>
        <v>6.002905346724674E-2</v>
      </c>
      <c r="AN250" s="22">
        <f>AN249/AI249-1</f>
        <v>6.7399459566042097E-4</v>
      </c>
      <c r="AO250" s="15">
        <f t="shared" si="842"/>
        <v>2.7832725358665655E-2</v>
      </c>
      <c r="AP250" s="74">
        <f t="shared" si="842"/>
        <v>0.14659487769740887</v>
      </c>
      <c r="AQ250" s="22">
        <f>AQ249/AL249-1</f>
        <v>3.3140059806455513E-2</v>
      </c>
      <c r="AR250" s="22">
        <f t="shared" si="842"/>
        <v>-0.14142948995525451</v>
      </c>
      <c r="AS250" s="22">
        <f t="shared" ref="AS250:AU250" si="843">AS249/AN249-1</f>
        <v>-2.254383097297219E-2</v>
      </c>
      <c r="AT250" s="15">
        <f t="shared" si="843"/>
        <v>8.1933172609984783E-2</v>
      </c>
      <c r="AU250" s="74">
        <f t="shared" si="843"/>
        <v>-9.6174743079524116E-2</v>
      </c>
      <c r="AV250" s="22"/>
      <c r="AW250" s="22"/>
      <c r="AX250" s="22"/>
      <c r="AY250" s="15"/>
      <c r="AZ250" s="74">
        <f t="shared" ref="AZ250" si="844">AZ249/AU249-1</f>
        <v>4.3167489860662656E-4</v>
      </c>
      <c r="BA250" s="22">
        <f>BA249/AQ249-1</f>
        <v>-3.241376979917554E-3</v>
      </c>
      <c r="BB250" s="22">
        <f>BB249/AR249-1</f>
        <v>9.5220553878036185E-2</v>
      </c>
      <c r="BC250" s="22">
        <f>BC249/AS249-1</f>
        <v>-0.11671487405815451</v>
      </c>
      <c r="BD250" s="15">
        <f>BD249/AT249-1</f>
        <v>2.100249556903111E-2</v>
      </c>
      <c r="BE250" s="74">
        <f>BE249/AZ249-1</f>
        <v>-3.1956580477878749E-3</v>
      </c>
      <c r="BF250" s="22">
        <f>BF249/BA249-1</f>
        <v>-0.2882078991449899</v>
      </c>
      <c r="BG250" s="22">
        <f>BG249/BB249-1</f>
        <v>0.39054584296953188</v>
      </c>
      <c r="BH250" s="22">
        <f t="shared" ref="BH250" si="845">BH249/BC249-1</f>
        <v>0.12870069653701277</v>
      </c>
      <c r="BI250" s="15">
        <f>BI249/BD249-1</f>
        <v>-9.3403383021396391E-2</v>
      </c>
      <c r="BJ250" s="74">
        <f>BJ249/BE249-1</f>
        <v>2.0641443288740291E-2</v>
      </c>
      <c r="BK250" s="22">
        <f>BK249/BF249-1</f>
        <v>0.2344288951086233</v>
      </c>
      <c r="BL250" s="22">
        <f>BL249/BG249-1</f>
        <v>-0.23117153668345902</v>
      </c>
      <c r="BM250" s="22">
        <f t="shared" ref="BM250" si="846">BM249/BH249-1</f>
        <v>0.15199132085949452</v>
      </c>
      <c r="BN250" s="15">
        <f>BN249/BI249-1</f>
        <v>0.14649881804576692</v>
      </c>
      <c r="BO250" s="74">
        <f>BO249/BJ249-1</f>
        <v>3.9295986749797951E-2</v>
      </c>
      <c r="BP250" s="74">
        <f t="shared" ref="BP250:BU250" si="847">BP249/BJ249-1</f>
        <v>3.9295986749797951E-2</v>
      </c>
      <c r="BQ250" s="23">
        <f t="shared" si="847"/>
        <v>-3.6111419940324851E-2</v>
      </c>
      <c r="BR250" s="15">
        <f t="shared" si="847"/>
        <v>-1.8233912565355448E-2</v>
      </c>
      <c r="BS250" s="15">
        <f t="shared" si="847"/>
        <v>-0.10269229445294914</v>
      </c>
      <c r="BT250" s="17">
        <f t="shared" si="847"/>
        <v>5.9176177478657666E-2</v>
      </c>
      <c r="BU250" s="74">
        <f t="shared" si="847"/>
        <v>-2.4116438940460005E-2</v>
      </c>
      <c r="BV250" s="23"/>
      <c r="BW250" s="15"/>
      <c r="BX250" s="15"/>
      <c r="BY250" s="17"/>
      <c r="BZ250" s="74">
        <f>BZ249/BU249-1</f>
        <v>0.22018595261774854</v>
      </c>
      <c r="CA250" s="23"/>
      <c r="CB250" s="15"/>
      <c r="CC250" s="15"/>
      <c r="CD250" s="17"/>
      <c r="CE250" s="74">
        <f>CE249/BZ249-1</f>
        <v>0.20999771974914783</v>
      </c>
      <c r="CF250" s="23"/>
      <c r="CG250" s="15"/>
      <c r="CH250" s="15"/>
      <c r="CI250" s="17"/>
      <c r="CJ250" s="74">
        <f>CJ249/CE249-1</f>
        <v>0.10576040997975045</v>
      </c>
      <c r="CK250" s="289"/>
      <c r="CL250" s="658"/>
      <c r="CM250" s="658"/>
      <c r="CN250" s="682"/>
      <c r="CO250" s="658"/>
      <c r="CP250" s="658"/>
      <c r="CQ250" s="658"/>
      <c r="CR250" s="658"/>
      <c r="CS250" s="658"/>
      <c r="CT250" s="289"/>
    </row>
    <row r="251" spans="1:107" s="180" customFormat="1" ht="12.75" customHeight="1">
      <c r="A251" s="576" t="s">
        <v>118</v>
      </c>
      <c r="B251" s="176">
        <v>0</v>
      </c>
      <c r="C251" s="176">
        <v>0</v>
      </c>
      <c r="D251" s="176">
        <v>0</v>
      </c>
      <c r="E251" s="176">
        <v>0</v>
      </c>
      <c r="F251" s="176">
        <v>0</v>
      </c>
      <c r="G251" s="176">
        <v>0</v>
      </c>
      <c r="H251" s="135">
        <v>0</v>
      </c>
      <c r="I251" s="189">
        <v>0</v>
      </c>
      <c r="J251" s="189">
        <v>0</v>
      </c>
      <c r="K251" s="177">
        <v>-214</v>
      </c>
      <c r="L251" s="176">
        <f>SUM(H251:K251)</f>
        <v>-214</v>
      </c>
      <c r="M251" s="135">
        <v>0</v>
      </c>
      <c r="N251" s="189">
        <v>0</v>
      </c>
      <c r="O251" s="189">
        <v>0</v>
      </c>
      <c r="P251" s="177">
        <v>0</v>
      </c>
      <c r="Q251" s="176">
        <f>SUM(M251:P251)</f>
        <v>0</v>
      </c>
      <c r="R251" s="135">
        <v>0</v>
      </c>
      <c r="S251" s="189">
        <v>0</v>
      </c>
      <c r="T251" s="189">
        <v>0</v>
      </c>
      <c r="U251" s="177">
        <v>0</v>
      </c>
      <c r="V251" s="176">
        <f>SUM(R251:U251)</f>
        <v>0</v>
      </c>
      <c r="W251" s="135">
        <v>0</v>
      </c>
      <c r="X251" s="189">
        <v>274</v>
      </c>
      <c r="Y251" s="189">
        <v>-170</v>
      </c>
      <c r="Z251" s="177">
        <f>47-10</f>
        <v>37</v>
      </c>
      <c r="AA251" s="176">
        <f>SUM(W251:Z251)</f>
        <v>141</v>
      </c>
      <c r="AB251" s="135">
        <v>56</v>
      </c>
      <c r="AC251" s="189">
        <v>0</v>
      </c>
      <c r="AD251" s="189">
        <v>-60</v>
      </c>
      <c r="AE251" s="177">
        <v>0</v>
      </c>
      <c r="AF251" s="176">
        <f>SUM(AB251:AE251)</f>
        <v>-4</v>
      </c>
      <c r="AG251" s="135">
        <v>6</v>
      </c>
      <c r="AH251" s="189">
        <v>6</v>
      </c>
      <c r="AI251" s="189">
        <v>6</v>
      </c>
      <c r="AJ251" s="177">
        <f>19+7</f>
        <v>26</v>
      </c>
      <c r="AK251" s="176">
        <f>SUM(AG251:AJ251)</f>
        <v>44</v>
      </c>
      <c r="AL251" s="135">
        <v>-25</v>
      </c>
      <c r="AM251" s="189">
        <v>0</v>
      </c>
      <c r="AN251" s="189">
        <v>0</v>
      </c>
      <c r="AO251" s="177">
        <v>0</v>
      </c>
      <c r="AP251" s="176">
        <f>SUM(AL251:AO251)</f>
        <v>-25</v>
      </c>
      <c r="AQ251" s="189">
        <v>-80</v>
      </c>
      <c r="AR251" s="674">
        <v>0</v>
      </c>
      <c r="AS251" s="135">
        <v>0</v>
      </c>
      <c r="AT251" s="660">
        <v>0</v>
      </c>
      <c r="AU251" s="176">
        <f>SUM(AQ251:AT251)</f>
        <v>-80</v>
      </c>
      <c r="AV251" s="189"/>
      <c r="AW251" s="674"/>
      <c r="AX251" s="135"/>
      <c r="AY251" s="660"/>
      <c r="AZ251" s="176">
        <v>-80</v>
      </c>
      <c r="BA251" s="674">
        <v>0</v>
      </c>
      <c r="BB251" s="674">
        <v>0</v>
      </c>
      <c r="BC251" s="674">
        <v>0</v>
      </c>
      <c r="BD251" s="660">
        <v>0</v>
      </c>
      <c r="BE251" s="176">
        <f>SUM(BA251:BD251)</f>
        <v>0</v>
      </c>
      <c r="BF251" s="674">
        <v>0</v>
      </c>
      <c r="BG251" s="674">
        <v>0</v>
      </c>
      <c r="BH251" s="674">
        <v>0</v>
      </c>
      <c r="BI251" s="660">
        <v>0</v>
      </c>
      <c r="BJ251" s="176">
        <f>SUM(BF251:BI251)</f>
        <v>0</v>
      </c>
      <c r="BK251" s="674">
        <v>0</v>
      </c>
      <c r="BL251" s="674">
        <v>0</v>
      </c>
      <c r="BM251" s="674">
        <v>0</v>
      </c>
      <c r="BN251" s="136">
        <v>0</v>
      </c>
      <c r="BO251" s="176">
        <f>SUM(BK251:BN251)</f>
        <v>0</v>
      </c>
      <c r="BP251" s="176">
        <f>BO251</f>
        <v>0</v>
      </c>
      <c r="BQ251" s="272">
        <v>0</v>
      </c>
      <c r="BR251" s="270">
        <v>0</v>
      </c>
      <c r="BS251" s="270">
        <v>0</v>
      </c>
      <c r="BT251" s="273">
        <v>0</v>
      </c>
      <c r="BU251" s="176">
        <f>SUM(BQ251:BT251)</f>
        <v>0</v>
      </c>
      <c r="BV251" s="272"/>
      <c r="BW251" s="270"/>
      <c r="BX251" s="270"/>
      <c r="BY251" s="273"/>
      <c r="BZ251" s="271">
        <v>0</v>
      </c>
      <c r="CA251" s="272"/>
      <c r="CB251" s="270"/>
      <c r="CC251" s="270"/>
      <c r="CD251" s="273"/>
      <c r="CE251" s="271">
        <v>0</v>
      </c>
      <c r="CF251" s="272"/>
      <c r="CG251" s="270"/>
      <c r="CH251" s="270"/>
      <c r="CI251" s="273"/>
      <c r="CJ251" s="271">
        <v>0</v>
      </c>
      <c r="CK251" s="291"/>
      <c r="CL251" s="657"/>
      <c r="CM251" s="657"/>
      <c r="CN251" s="682"/>
      <c r="CO251" s="657"/>
      <c r="CP251" s="657"/>
      <c r="CQ251" s="657"/>
      <c r="CR251" s="657"/>
      <c r="CS251" s="657"/>
      <c r="CT251" s="291"/>
      <c r="CX251"/>
      <c r="CY251"/>
      <c r="CZ251"/>
      <c r="DA251"/>
      <c r="DB251"/>
      <c r="DC251"/>
    </row>
    <row r="252" spans="1:107" s="180" customFormat="1" ht="12" customHeight="1">
      <c r="A252" s="577" t="s">
        <v>119</v>
      </c>
      <c r="B252" s="170">
        <f t="shared" ref="B252:AG252" si="848">B241+B251+B247</f>
        <v>-248.9</v>
      </c>
      <c r="C252" s="170">
        <f t="shared" si="848"/>
        <v>619.5</v>
      </c>
      <c r="D252" s="170">
        <f t="shared" si="848"/>
        <v>605.85</v>
      </c>
      <c r="E252" s="170">
        <f t="shared" si="848"/>
        <v>671.05</v>
      </c>
      <c r="F252" s="170">
        <f t="shared" si="848"/>
        <v>1189.2</v>
      </c>
      <c r="G252" s="170">
        <f t="shared" si="848"/>
        <v>1422.3</v>
      </c>
      <c r="H252" s="575">
        <f t="shared" si="848"/>
        <v>364.3</v>
      </c>
      <c r="I252" s="575">
        <f t="shared" si="848"/>
        <v>395.95</v>
      </c>
      <c r="J252" s="575">
        <f t="shared" si="848"/>
        <v>413.15</v>
      </c>
      <c r="K252" s="174">
        <f t="shared" si="848"/>
        <v>463.55</v>
      </c>
      <c r="L252" s="170">
        <f t="shared" si="848"/>
        <v>1636.95</v>
      </c>
      <c r="M252" s="575">
        <f t="shared" si="848"/>
        <v>421.45</v>
      </c>
      <c r="N252" s="575">
        <f t="shared" si="848"/>
        <v>448.1</v>
      </c>
      <c r="O252" s="575">
        <f t="shared" si="848"/>
        <v>443.9</v>
      </c>
      <c r="P252" s="174">
        <f t="shared" si="848"/>
        <v>440.5</v>
      </c>
      <c r="Q252" s="170">
        <f t="shared" si="848"/>
        <v>1753.9549</v>
      </c>
      <c r="R252" s="575">
        <f t="shared" si="848"/>
        <v>441.85</v>
      </c>
      <c r="S252" s="575">
        <f t="shared" si="848"/>
        <v>484.85</v>
      </c>
      <c r="T252" s="575">
        <f t="shared" si="848"/>
        <v>491.65</v>
      </c>
      <c r="U252" s="174">
        <f t="shared" si="848"/>
        <v>510.1</v>
      </c>
      <c r="V252" s="170">
        <f t="shared" si="848"/>
        <v>1928.45</v>
      </c>
      <c r="W252" s="575">
        <f t="shared" si="848"/>
        <v>480.3</v>
      </c>
      <c r="X252" s="575">
        <f t="shared" si="848"/>
        <v>514.6</v>
      </c>
      <c r="Y252" s="575">
        <f t="shared" si="848"/>
        <v>503.8</v>
      </c>
      <c r="Z252" s="174">
        <f t="shared" si="848"/>
        <v>567.85</v>
      </c>
      <c r="AA252" s="170">
        <f t="shared" si="848"/>
        <v>2066.5500000000002</v>
      </c>
      <c r="AB252" s="575">
        <f t="shared" si="848"/>
        <v>494.85</v>
      </c>
      <c r="AC252" s="575">
        <f t="shared" si="848"/>
        <v>488.5</v>
      </c>
      <c r="AD252" s="575">
        <f t="shared" si="848"/>
        <v>486.75</v>
      </c>
      <c r="AE252" s="575">
        <f t="shared" si="848"/>
        <v>592.95000000000005</v>
      </c>
      <c r="AF252" s="170">
        <f t="shared" si="848"/>
        <v>2063.0500000000002</v>
      </c>
      <c r="AG252" s="575">
        <f t="shared" si="848"/>
        <v>501.5</v>
      </c>
      <c r="AH252" s="575">
        <f t="shared" ref="AH252:BE252" si="849">AH241+AH251+AH247</f>
        <v>524.15</v>
      </c>
      <c r="AI252" s="575">
        <f t="shared" si="849"/>
        <v>538.04999999999995</v>
      </c>
      <c r="AJ252" s="575">
        <f t="shared" si="849"/>
        <v>535.54999999999995</v>
      </c>
      <c r="AK252" s="170">
        <f t="shared" si="849"/>
        <v>2099.25</v>
      </c>
      <c r="AL252" s="575">
        <f t="shared" si="849"/>
        <v>511.15</v>
      </c>
      <c r="AM252" s="174">
        <f t="shared" si="849"/>
        <v>534.79999999999995</v>
      </c>
      <c r="AN252" s="174">
        <f t="shared" si="849"/>
        <v>516.9</v>
      </c>
      <c r="AO252" s="174">
        <f t="shared" si="849"/>
        <v>506</v>
      </c>
      <c r="AP252" s="170">
        <f t="shared" si="849"/>
        <v>2260.85</v>
      </c>
      <c r="AQ252" s="575">
        <f t="shared" si="849"/>
        <v>452.99</v>
      </c>
      <c r="AR252" s="174">
        <f t="shared" si="849"/>
        <v>442.1</v>
      </c>
      <c r="AS252" s="174">
        <f t="shared" si="849"/>
        <v>486.65</v>
      </c>
      <c r="AT252" s="174">
        <f t="shared" si="849"/>
        <v>530.5</v>
      </c>
      <c r="AU252" s="170">
        <f t="shared" si="849"/>
        <v>1912.2399999999998</v>
      </c>
      <c r="AV252" s="575"/>
      <c r="AW252" s="174"/>
      <c r="AX252" s="174"/>
      <c r="AY252" s="174"/>
      <c r="AZ252" s="170">
        <f t="shared" ref="AZ252" si="850">AZ241+AZ251+AZ247</f>
        <v>1913.1</v>
      </c>
      <c r="BA252" s="575">
        <f t="shared" si="849"/>
        <v>519.15</v>
      </c>
      <c r="BB252" s="174">
        <f t="shared" si="849"/>
        <v>472.15</v>
      </c>
      <c r="BC252" s="174">
        <f t="shared" si="849"/>
        <v>420.05</v>
      </c>
      <c r="BD252" s="174">
        <f t="shared" si="849"/>
        <v>528.35</v>
      </c>
      <c r="BE252" s="170">
        <f t="shared" si="849"/>
        <v>1939.7</v>
      </c>
      <c r="BF252" s="575">
        <f t="shared" ref="BF252" si="851">BF241+BF251+BF247</f>
        <v>358.75</v>
      </c>
      <c r="BG252" s="174">
        <f t="shared" ref="BG252" si="852">BG241+BG251+BG247</f>
        <v>639.15</v>
      </c>
      <c r="BH252" s="174">
        <f t="shared" ref="BH252" si="853">BH241+BH251+BH247</f>
        <v>460.4</v>
      </c>
      <c r="BI252" s="174">
        <f t="shared" ref="BI252" si="854">BI241+BI251+BI247</f>
        <v>466.95</v>
      </c>
      <c r="BJ252" s="170">
        <f>BJ241+BJ251+BJ247</f>
        <v>1925.25</v>
      </c>
      <c r="BK252" s="575">
        <f t="shared" ref="BK252" si="855">BK241+BK251+BK247</f>
        <v>432.8</v>
      </c>
      <c r="BL252" s="174">
        <f t="shared" ref="BL252:BN252" si="856">BL241+BL251+BL247</f>
        <v>482.15</v>
      </c>
      <c r="BM252" s="174">
        <f t="shared" si="856"/>
        <v>522.29999999999995</v>
      </c>
      <c r="BN252" s="174">
        <f t="shared" si="856"/>
        <v>527.25</v>
      </c>
      <c r="BO252" s="170">
        <f>BO241+BO251+BO247</f>
        <v>1964.5</v>
      </c>
      <c r="BP252" s="170">
        <f>BP241+BP251+BP247</f>
        <v>1964.5</v>
      </c>
      <c r="BQ252" s="172">
        <f t="shared" ref="BQ252:BT252" si="857">BQ241+BQ251+BQ247</f>
        <v>411.68898321695576</v>
      </c>
      <c r="BR252" s="171">
        <f t="shared" si="857"/>
        <v>466.661434116956</v>
      </c>
      <c r="BS252" s="171">
        <f t="shared" si="857"/>
        <v>461.88231486695588</v>
      </c>
      <c r="BT252" s="173">
        <f t="shared" si="857"/>
        <v>550.12088156695609</v>
      </c>
      <c r="BU252" s="170">
        <f>BU241+BU251+BU247</f>
        <v>1890.3536137678243</v>
      </c>
      <c r="BV252" s="172"/>
      <c r="BW252" s="171"/>
      <c r="BX252" s="171"/>
      <c r="BY252" s="173"/>
      <c r="BZ252" s="170">
        <f>BZ241+BZ251+BZ247</f>
        <v>2248.9183518747036</v>
      </c>
      <c r="CA252" s="172"/>
      <c r="CB252" s="171"/>
      <c r="CC252" s="171"/>
      <c r="CD252" s="173"/>
      <c r="CE252" s="170">
        <f>CE241+CE251+CE247</f>
        <v>2653.1564257286423</v>
      </c>
      <c r="CF252" s="172"/>
      <c r="CG252" s="171"/>
      <c r="CH252" s="171"/>
      <c r="CI252" s="173"/>
      <c r="CJ252" s="170">
        <f>CJ241+CJ251+CJ247</f>
        <v>2860.4114536277598</v>
      </c>
      <c r="CK252" s="291"/>
      <c r="CL252" s="657"/>
      <c r="CM252" s="657"/>
      <c r="CN252" s="682"/>
      <c r="CO252" s="657"/>
      <c r="CP252" s="657"/>
      <c r="CQ252" s="657"/>
      <c r="CR252" s="657"/>
      <c r="CS252" s="657"/>
      <c r="CT252" s="291"/>
      <c r="CX252"/>
      <c r="CY252"/>
      <c r="CZ252"/>
      <c r="DA252"/>
      <c r="DB252"/>
      <c r="DC252"/>
    </row>
    <row r="253" spans="1:107">
      <c r="A253" s="222" t="s">
        <v>0</v>
      </c>
      <c r="B253" s="143">
        <f t="shared" ref="B253:AR253" si="858">B252/B267</f>
        <v>-0.68885733817111017</v>
      </c>
      <c r="C253" s="143">
        <f t="shared" si="858"/>
        <v>1.5182669944195417</v>
      </c>
      <c r="D253" s="143">
        <f t="shared" si="858"/>
        <v>1.4583719480344417</v>
      </c>
      <c r="E253" s="143">
        <f t="shared" si="858"/>
        <v>1.517522574575815</v>
      </c>
      <c r="F253" s="143">
        <f t="shared" si="858"/>
        <v>2.6084667690282961</v>
      </c>
      <c r="G253" s="143">
        <f t="shared" si="858"/>
        <v>3.1335095836087246</v>
      </c>
      <c r="H253" s="142">
        <f t="shared" si="858"/>
        <v>0.80330760749724373</v>
      </c>
      <c r="I253" s="142">
        <f t="shared" si="858"/>
        <v>0.88224153297682706</v>
      </c>
      <c r="J253" s="142">
        <f t="shared" si="858"/>
        <v>0.93261851015801345</v>
      </c>
      <c r="K253" s="142">
        <f t="shared" si="858"/>
        <v>1.0612408424908424</v>
      </c>
      <c r="L253" s="143">
        <f t="shared" si="858"/>
        <v>3.6727619474983175</v>
      </c>
      <c r="M253" s="142">
        <f t="shared" si="858"/>
        <v>0.96951920864964347</v>
      </c>
      <c r="N253" s="142">
        <f t="shared" si="858"/>
        <v>1.0420930232558141</v>
      </c>
      <c r="O253" s="142">
        <f t="shared" si="858"/>
        <v>1.0447164038597316</v>
      </c>
      <c r="P253" s="142">
        <f t="shared" si="858"/>
        <v>1.0578770413064362</v>
      </c>
      <c r="Q253" s="143">
        <f t="shared" si="858"/>
        <v>4.1129107447279987</v>
      </c>
      <c r="R253" s="142">
        <f t="shared" si="858"/>
        <v>1.0936881188118812</v>
      </c>
      <c r="S253" s="142">
        <f t="shared" si="858"/>
        <v>1.2203624465139693</v>
      </c>
      <c r="T253" s="142">
        <f t="shared" si="858"/>
        <v>1.2497458057956279</v>
      </c>
      <c r="U253" s="142">
        <f t="shared" si="858"/>
        <v>1.3133367662203914</v>
      </c>
      <c r="V253" s="143">
        <f t="shared" si="858"/>
        <v>4.8735152893606273</v>
      </c>
      <c r="W253" s="142">
        <f t="shared" si="858"/>
        <v>1.2494797086368368</v>
      </c>
      <c r="X253" s="142">
        <f t="shared" si="858"/>
        <v>1.3432524145131819</v>
      </c>
      <c r="Y253" s="142">
        <f t="shared" si="858"/>
        <v>1.3452603471295059</v>
      </c>
      <c r="Z253" s="142">
        <f t="shared" si="858"/>
        <v>1.5515027322404371</v>
      </c>
      <c r="AA253" s="143">
        <f t="shared" si="858"/>
        <v>5.4815649867374008</v>
      </c>
      <c r="AB253" s="142">
        <f t="shared" si="858"/>
        <v>1.3715354767184036</v>
      </c>
      <c r="AC253" s="142">
        <f t="shared" si="858"/>
        <v>1.3679641556986837</v>
      </c>
      <c r="AD253" s="142">
        <f t="shared" si="858"/>
        <v>1.3851735913488903</v>
      </c>
      <c r="AE253" s="142">
        <f t="shared" si="858"/>
        <v>1.718197623877137</v>
      </c>
      <c r="AF253" s="143">
        <f t="shared" si="858"/>
        <v>5.8344174208144794</v>
      </c>
      <c r="AG253" s="142">
        <f t="shared" si="858"/>
        <v>1.4806613522291114</v>
      </c>
      <c r="AH253" s="142">
        <f t="shared" si="858"/>
        <v>1.5674342105263159</v>
      </c>
      <c r="AI253" s="142">
        <f t="shared" si="858"/>
        <v>1.6157657657657656</v>
      </c>
      <c r="AJ253" s="142">
        <f t="shared" si="858"/>
        <v>1.6189540507859732</v>
      </c>
      <c r="AK253" s="143">
        <f t="shared" si="858"/>
        <v>6.2814183123877916</v>
      </c>
      <c r="AL253" s="142">
        <f>AL252/AL267</f>
        <v>1.5574344911639244</v>
      </c>
      <c r="AM253" s="142">
        <f t="shared" si="858"/>
        <v>1.6425061425061422</v>
      </c>
      <c r="AN253" s="142">
        <f t="shared" si="858"/>
        <v>1.5988246210949582</v>
      </c>
      <c r="AO253" s="142">
        <f t="shared" si="858"/>
        <v>1.5832290362953692</v>
      </c>
      <c r="AP253" s="143">
        <f t="shared" si="858"/>
        <v>6.9741651885555651</v>
      </c>
      <c r="AQ253" s="142">
        <f t="shared" si="858"/>
        <v>1.4344205193160229</v>
      </c>
      <c r="AR253" s="142">
        <f t="shared" si="858"/>
        <v>1.410207336523126</v>
      </c>
      <c r="AS253" s="142">
        <f t="shared" ref="AS253:BC253" si="859">AS252/AS267</f>
        <v>1.5627809890815672</v>
      </c>
      <c r="AT253" s="142">
        <f t="shared" si="859"/>
        <v>1.7129480142072975</v>
      </c>
      <c r="AU253" s="143">
        <f t="shared" si="859"/>
        <v>6.1172104926423545</v>
      </c>
      <c r="AV253" s="142"/>
      <c r="AW253" s="142"/>
      <c r="AX253" s="142"/>
      <c r="AY253" s="142"/>
      <c r="AZ253" s="143">
        <f t="shared" ref="AZ253" si="860">AZ252/AZ267</f>
        <v>6.1199616122840697</v>
      </c>
      <c r="BA253" s="142">
        <f t="shared" si="859"/>
        <v>1.6822747893713543</v>
      </c>
      <c r="BB253" s="142">
        <f t="shared" si="859"/>
        <v>1.5444880601897284</v>
      </c>
      <c r="BC253" s="142">
        <f t="shared" si="859"/>
        <v>1.3803812027604339</v>
      </c>
      <c r="BD253" s="142">
        <f>BD252/BD267</f>
        <v>1.7489241972856668</v>
      </c>
      <c r="BE253" s="143">
        <f>BE252/BE267</f>
        <v>6.3555045871559637</v>
      </c>
      <c r="BF253" s="142">
        <f t="shared" ref="BF253:BH253" si="861">BF252/BF267</f>
        <v>1.1974299065420559</v>
      </c>
      <c r="BG253" s="142">
        <f t="shared" si="861"/>
        <v>2.147681451612903</v>
      </c>
      <c r="BH253" s="142">
        <f t="shared" si="861"/>
        <v>1.5580372250423011</v>
      </c>
      <c r="BI253" s="142">
        <f>BI252/BI267</f>
        <v>1.5855687606112054</v>
      </c>
      <c r="BJ253" s="143">
        <f>BJ252/BJ267</f>
        <v>6.4866913746630726</v>
      </c>
      <c r="BK253" s="142">
        <f t="shared" ref="BK253:BM253" si="862">BK252/BK267</f>
        <v>1.4781420765027322</v>
      </c>
      <c r="BL253" s="142">
        <f t="shared" si="862"/>
        <v>1.6511986301369863</v>
      </c>
      <c r="BM253" s="142">
        <f t="shared" si="862"/>
        <v>1.7948453608247421</v>
      </c>
      <c r="BN253" s="142">
        <f>BN252/BN267</f>
        <v>1.8178527099710384</v>
      </c>
      <c r="BO253" s="143">
        <f>BO252/BO267</f>
        <v>6.7415923129718607</v>
      </c>
      <c r="BP253" s="143">
        <f>BP252/BP267</f>
        <v>6.7415923129718607</v>
      </c>
      <c r="BQ253" s="144">
        <f t="shared" ref="BQ253:BT253" si="863">BQ252/BQ267</f>
        <v>1.4247642672466783</v>
      </c>
      <c r="BR253" s="142">
        <f t="shared" si="863"/>
        <v>1.6210908186870339</v>
      </c>
      <c r="BS253" s="142">
        <f t="shared" si="863"/>
        <v>1.610528572533418</v>
      </c>
      <c r="BT253" s="145">
        <f t="shared" si="863"/>
        <v>1.9254262845663432</v>
      </c>
      <c r="BU253" s="143">
        <f>BU252/BU267</f>
        <v>6.5790091135946005</v>
      </c>
      <c r="BV253" s="144"/>
      <c r="BW253" s="142"/>
      <c r="BX253" s="142"/>
      <c r="BY253" s="145"/>
      <c r="BZ253" s="143">
        <f>BZ252/BZ267</f>
        <v>8.0276145025522769</v>
      </c>
      <c r="CA253" s="144"/>
      <c r="CB253" s="142"/>
      <c r="CC253" s="142"/>
      <c r="CD253" s="145"/>
      <c r="CE253" s="143">
        <f>CE252/CE267</f>
        <v>9.7133952431134443</v>
      </c>
      <c r="CF253" s="144"/>
      <c r="CG253" s="142"/>
      <c r="CH253" s="142"/>
      <c r="CI253" s="145"/>
      <c r="CJ253" s="143">
        <f>CJ252/CJ267</f>
        <v>10.740687906320479</v>
      </c>
      <c r="CK253" s="289"/>
      <c r="CL253" s="658"/>
      <c r="CM253" s="658"/>
      <c r="CN253" s="682"/>
      <c r="CO253" s="658"/>
      <c r="CP253" s="658"/>
      <c r="CQ253" s="658"/>
      <c r="CR253" s="658"/>
      <c r="CS253" s="658"/>
      <c r="CT253" s="289"/>
    </row>
    <row r="254" spans="1:107" ht="12" customHeight="1">
      <c r="A254" s="219" t="s">
        <v>192</v>
      </c>
      <c r="B254" s="153"/>
      <c r="C254" s="153"/>
      <c r="D254" s="153"/>
      <c r="E254" s="153"/>
      <c r="F254" s="153"/>
      <c r="G254" s="153"/>
      <c r="H254" s="46"/>
      <c r="I254" s="46"/>
      <c r="J254" s="46"/>
      <c r="K254" s="52"/>
      <c r="L254" s="153"/>
      <c r="M254" s="46"/>
      <c r="N254" s="46"/>
      <c r="O254" s="46"/>
      <c r="P254" s="52"/>
      <c r="Q254" s="153"/>
      <c r="R254" s="533"/>
      <c r="S254" s="46"/>
      <c r="T254" s="46"/>
      <c r="U254" s="52"/>
      <c r="V254" s="153"/>
      <c r="W254" s="46"/>
      <c r="X254" s="535"/>
      <c r="Y254" s="46"/>
      <c r="Z254" s="47"/>
      <c r="AA254" s="153"/>
      <c r="AB254" s="534"/>
      <c r="AC254" s="535"/>
      <c r="AD254" s="535"/>
      <c r="AE254" s="47"/>
      <c r="AF254" s="531"/>
      <c r="AG254" s="534"/>
      <c r="AH254" s="534"/>
      <c r="AI254" s="534"/>
      <c r="AJ254" s="532"/>
      <c r="AK254" s="531"/>
      <c r="AL254" s="534"/>
      <c r="AM254" s="533"/>
      <c r="AN254" s="46"/>
      <c r="AO254" s="47"/>
      <c r="AP254" s="211"/>
      <c r="AQ254" s="46"/>
      <c r="AR254" s="533"/>
      <c r="AS254" s="46"/>
      <c r="AT254" s="47"/>
      <c r="AU254" s="211"/>
      <c r="AV254" s="46"/>
      <c r="AW254" s="533"/>
      <c r="AX254" s="46"/>
      <c r="AY254" s="47"/>
      <c r="AZ254" s="211"/>
      <c r="BA254" s="46"/>
      <c r="BB254" s="533"/>
      <c r="BC254" s="46"/>
      <c r="BD254" s="47"/>
      <c r="BE254" s="211"/>
      <c r="BF254" s="154"/>
      <c r="BG254" s="52"/>
      <c r="BH254" s="52"/>
      <c r="BI254" s="51"/>
      <c r="BJ254" s="153"/>
      <c r="BK254" s="154"/>
      <c r="BL254" s="52"/>
      <c r="BM254" s="52"/>
      <c r="BN254" s="51"/>
      <c r="BO254" s="153"/>
      <c r="BP254" s="153"/>
      <c r="BQ254" s="154"/>
      <c r="BR254" s="52"/>
      <c r="BS254" s="52"/>
      <c r="BT254" s="51"/>
      <c r="BU254" s="153"/>
      <c r="BV254" s="154"/>
      <c r="BW254" s="52"/>
      <c r="BX254" s="52"/>
      <c r="BY254" s="51"/>
      <c r="BZ254" s="153"/>
      <c r="CA254" s="154"/>
      <c r="CB254" s="52"/>
      <c r="CC254" s="52"/>
      <c r="CD254" s="51"/>
      <c r="CE254" s="153"/>
      <c r="CF254" s="154"/>
      <c r="CG254" s="52"/>
      <c r="CH254" s="52"/>
      <c r="CI254" s="51"/>
      <c r="CJ254" s="153"/>
      <c r="CK254" s="289"/>
      <c r="CL254" s="658"/>
      <c r="CM254" s="658"/>
      <c r="CN254" s="658"/>
      <c r="CO254" s="658"/>
      <c r="CP254" s="658"/>
      <c r="CQ254" s="658"/>
      <c r="CR254" s="658"/>
      <c r="CS254" s="658"/>
      <c r="CT254" s="289"/>
    </row>
    <row r="255" spans="1:107" s="180" customFormat="1" ht="12.75" customHeight="1">
      <c r="A255" s="220" t="s">
        <v>193</v>
      </c>
      <c r="B255" s="176">
        <v>-757</v>
      </c>
      <c r="C255" s="176">
        <f>-887-509</f>
        <v>-1396</v>
      </c>
      <c r="D255" s="176">
        <v>-170</v>
      </c>
      <c r="E255" s="176">
        <f>2+41</f>
        <v>43</v>
      </c>
      <c r="F255" s="176">
        <v>-27</v>
      </c>
      <c r="G255" s="176">
        <v>96</v>
      </c>
      <c r="H255" s="189">
        <v>22</v>
      </c>
      <c r="I255" s="189">
        <v>980</v>
      </c>
      <c r="J255" s="189">
        <v>-81</v>
      </c>
      <c r="K255" s="177">
        <f>-36</f>
        <v>-36</v>
      </c>
      <c r="L255" s="176">
        <f>SUM(H255:K255)</f>
        <v>885</v>
      </c>
      <c r="M255" s="177">
        <v>-2</v>
      </c>
      <c r="N255" s="189">
        <v>0</v>
      </c>
      <c r="O255" s="189">
        <v>0</v>
      </c>
      <c r="P255" s="177">
        <v>0</v>
      </c>
      <c r="Q255" s="176">
        <f>SUM(M255:P255)</f>
        <v>-2</v>
      </c>
      <c r="R255" s="177">
        <v>3</v>
      </c>
      <c r="S255" s="189">
        <v>-3</v>
      </c>
      <c r="T255" s="189">
        <v>-1</v>
      </c>
      <c r="U255" s="177">
        <f>4-14</f>
        <v>-10</v>
      </c>
      <c r="V255" s="176">
        <f>SUM(R255:U255)</f>
        <v>-11</v>
      </c>
      <c r="W255" s="177">
        <v>-8</v>
      </c>
      <c r="X255" s="189">
        <f>-4</f>
        <v>-4</v>
      </c>
      <c r="Y255" s="189">
        <f>88</f>
        <v>88</v>
      </c>
      <c r="Z255" s="177">
        <f>-40</f>
        <v>-40</v>
      </c>
      <c r="AA255" s="176">
        <f>SUM(W255:Z255)</f>
        <v>36</v>
      </c>
      <c r="AB255" s="177">
        <f>3</f>
        <v>3</v>
      </c>
      <c r="AC255" s="189">
        <v>8</v>
      </c>
      <c r="AD255" s="189">
        <f>3</f>
        <v>3</v>
      </c>
      <c r="AE255" s="177">
        <v>4</v>
      </c>
      <c r="AF255" s="176">
        <f>SUM(AB255:AE255)</f>
        <v>18</v>
      </c>
      <c r="AG255" s="177">
        <f>-2</f>
        <v>-2</v>
      </c>
      <c r="AH255" s="189">
        <f>-1</f>
        <v>-1</v>
      </c>
      <c r="AI255" s="189">
        <f>-1</f>
        <v>-1</v>
      </c>
      <c r="AJ255" s="177">
        <f>3</f>
        <v>3</v>
      </c>
      <c r="AK255" s="176">
        <f>+SUM(AG255:AJ255)</f>
        <v>-1</v>
      </c>
      <c r="AL255" s="189">
        <f>-2</f>
        <v>-2</v>
      </c>
      <c r="AM255" s="189">
        <v>0</v>
      </c>
      <c r="AN255" s="189">
        <v>2</v>
      </c>
      <c r="AO255" s="177">
        <v>64</v>
      </c>
      <c r="AP255" s="176">
        <f>+SUM(AL255:AO255)</f>
        <v>64</v>
      </c>
      <c r="AQ255" s="189">
        <v>7</v>
      </c>
      <c r="AR255" s="189">
        <v>52</v>
      </c>
      <c r="AS255" s="189">
        <v>0</v>
      </c>
      <c r="AT255" s="177">
        <v>6</v>
      </c>
      <c r="AU255" s="176">
        <f>+SUM(AQ255:AT255)</f>
        <v>65</v>
      </c>
      <c r="AV255" s="189"/>
      <c r="AW255" s="189"/>
      <c r="AX255" s="189"/>
      <c r="AY255" s="177"/>
      <c r="AZ255" s="176">
        <v>65</v>
      </c>
      <c r="BA255" s="189">
        <v>0</v>
      </c>
      <c r="BB255" s="189">
        <v>1</v>
      </c>
      <c r="BC255" s="674">
        <v>-1</v>
      </c>
      <c r="BD255" s="660">
        <v>13</v>
      </c>
      <c r="BE255" s="176">
        <f>+SUM(BA255:BD255)</f>
        <v>13</v>
      </c>
      <c r="BF255" s="925">
        <v>1</v>
      </c>
      <c r="BG255" s="925">
        <v>-1</v>
      </c>
      <c r="BH255" s="925">
        <v>1</v>
      </c>
      <c r="BI255" s="749">
        <v>0</v>
      </c>
      <c r="BJ255" s="176">
        <f>+SUM(BF255:BI255)</f>
        <v>1</v>
      </c>
      <c r="BK255" s="925">
        <v>3</v>
      </c>
      <c r="BL255" s="925">
        <v>0</v>
      </c>
      <c r="BM255" s="925">
        <v>-1</v>
      </c>
      <c r="BN255" s="749">
        <f>-171+-25</f>
        <v>-196</v>
      </c>
      <c r="BO255" s="176">
        <f>+SUM(BK255:BN255)</f>
        <v>-194</v>
      </c>
      <c r="BP255" s="176">
        <f>BO255</f>
        <v>-194</v>
      </c>
      <c r="BQ255" s="272">
        <v>0</v>
      </c>
      <c r="BR255" s="270">
        <v>0</v>
      </c>
      <c r="BS255" s="270">
        <v>0</v>
      </c>
      <c r="BT255" s="273">
        <v>0</v>
      </c>
      <c r="BU255" s="176">
        <f>+SUM(BQ255:BT255)</f>
        <v>0</v>
      </c>
      <c r="BV255" s="272"/>
      <c r="BW255" s="270"/>
      <c r="BX255" s="270"/>
      <c r="BY255" s="273"/>
      <c r="BZ255" s="271">
        <v>0</v>
      </c>
      <c r="CA255" s="272"/>
      <c r="CB255" s="270"/>
      <c r="CC255" s="270"/>
      <c r="CD255" s="273"/>
      <c r="CE255" s="271">
        <v>0</v>
      </c>
      <c r="CF255" s="272"/>
      <c r="CG255" s="270"/>
      <c r="CH255" s="270"/>
      <c r="CI255" s="273"/>
      <c r="CJ255" s="271">
        <v>0</v>
      </c>
      <c r="CK255" s="291"/>
      <c r="CL255" s="657"/>
      <c r="CM255" s="657"/>
      <c r="CN255" s="658"/>
      <c r="CO255" s="658"/>
      <c r="CP255" s="658"/>
      <c r="CQ255" s="658"/>
      <c r="CR255" s="658"/>
      <c r="CS255" s="658"/>
      <c r="CT255" s="291"/>
      <c r="CX255"/>
      <c r="CY255"/>
      <c r="CZ255"/>
      <c r="DA255"/>
      <c r="DB255"/>
      <c r="DC255"/>
    </row>
    <row r="256" spans="1:107" s="180" customFormat="1" ht="12" customHeight="1">
      <c r="A256" s="229" t="s">
        <v>194</v>
      </c>
      <c r="B256" s="170">
        <f t="shared" ref="B256:AG256" si="864">B241+B255</f>
        <v>-755</v>
      </c>
      <c r="C256" s="170">
        <f t="shared" si="864"/>
        <v>-640</v>
      </c>
      <c r="D256" s="170">
        <f t="shared" si="864"/>
        <v>365</v>
      </c>
      <c r="E256" s="170">
        <f t="shared" si="864"/>
        <v>417</v>
      </c>
      <c r="F256" s="170">
        <f t="shared" si="864"/>
        <v>871</v>
      </c>
      <c r="G256" s="170">
        <f t="shared" si="864"/>
        <v>1283</v>
      </c>
      <c r="H256" s="174">
        <f t="shared" si="864"/>
        <v>346</v>
      </c>
      <c r="I256" s="174">
        <f t="shared" si="864"/>
        <v>1335</v>
      </c>
      <c r="J256" s="174">
        <f t="shared" si="864"/>
        <v>299</v>
      </c>
      <c r="K256" s="174">
        <f t="shared" si="864"/>
        <v>598</v>
      </c>
      <c r="L256" s="170">
        <f t="shared" si="864"/>
        <v>2578</v>
      </c>
      <c r="M256" s="174">
        <f t="shared" si="864"/>
        <v>398</v>
      </c>
      <c r="N256" s="174">
        <f t="shared" si="864"/>
        <v>426</v>
      </c>
      <c r="O256" s="174">
        <f t="shared" si="864"/>
        <v>427</v>
      </c>
      <c r="P256" s="174">
        <f t="shared" si="864"/>
        <v>421</v>
      </c>
      <c r="Q256" s="170">
        <f t="shared" si="864"/>
        <v>1672.0048999999999</v>
      </c>
      <c r="R256" s="174">
        <f t="shared" si="864"/>
        <v>452</v>
      </c>
      <c r="S256" s="174">
        <f t="shared" si="864"/>
        <v>489</v>
      </c>
      <c r="T256" s="174">
        <f t="shared" si="864"/>
        <v>490</v>
      </c>
      <c r="U256" s="174">
        <f t="shared" si="864"/>
        <v>504</v>
      </c>
      <c r="V256" s="170">
        <f t="shared" si="864"/>
        <v>1935</v>
      </c>
      <c r="W256" s="174">
        <f t="shared" si="864"/>
        <v>445</v>
      </c>
      <c r="X256" s="174">
        <f t="shared" si="864"/>
        <v>208</v>
      </c>
      <c r="Y256" s="174">
        <f t="shared" si="864"/>
        <v>728</v>
      </c>
      <c r="Z256" s="174">
        <f t="shared" si="864"/>
        <v>459</v>
      </c>
      <c r="AA256" s="170">
        <f t="shared" si="864"/>
        <v>1840</v>
      </c>
      <c r="AB256" s="174">
        <f t="shared" si="864"/>
        <v>384</v>
      </c>
      <c r="AC256" s="174">
        <f t="shared" si="864"/>
        <v>438</v>
      </c>
      <c r="AD256" s="174">
        <f t="shared" si="864"/>
        <v>501</v>
      </c>
      <c r="AE256" s="174">
        <f t="shared" si="864"/>
        <v>543</v>
      </c>
      <c r="AF256" s="170">
        <f t="shared" si="864"/>
        <v>1866</v>
      </c>
      <c r="AG256" s="174">
        <f t="shared" si="864"/>
        <v>448</v>
      </c>
      <c r="AH256" s="174">
        <f t="shared" ref="AH256:BJ256" si="865">AH241+AH255</f>
        <v>471</v>
      </c>
      <c r="AI256" s="174">
        <f t="shared" si="865"/>
        <v>500.5</v>
      </c>
      <c r="AJ256" s="174">
        <f t="shared" si="865"/>
        <v>469</v>
      </c>
      <c r="AK256" s="170">
        <f t="shared" si="865"/>
        <v>1888.5</v>
      </c>
      <c r="AL256" s="174">
        <f t="shared" si="865"/>
        <v>488</v>
      </c>
      <c r="AM256" s="174">
        <f t="shared" si="865"/>
        <v>488</v>
      </c>
      <c r="AN256" s="174">
        <f t="shared" si="865"/>
        <v>489</v>
      </c>
      <c r="AO256" s="174">
        <f t="shared" si="865"/>
        <v>531</v>
      </c>
      <c r="AP256" s="170">
        <f t="shared" si="865"/>
        <v>2188</v>
      </c>
      <c r="AQ256" s="174">
        <f t="shared" si="865"/>
        <v>595.89</v>
      </c>
      <c r="AR256" s="174">
        <f t="shared" si="865"/>
        <v>550</v>
      </c>
      <c r="AS256" s="174">
        <f t="shared" si="865"/>
        <v>512</v>
      </c>
      <c r="AT256" s="174">
        <f t="shared" si="865"/>
        <v>582</v>
      </c>
      <c r="AU256" s="170">
        <f t="shared" si="865"/>
        <v>2239.89</v>
      </c>
      <c r="AV256" s="174"/>
      <c r="AW256" s="174"/>
      <c r="AX256" s="174"/>
      <c r="AY256" s="174"/>
      <c r="AZ256" s="170">
        <f t="shared" ref="AZ256" si="866">AZ241+AZ255</f>
        <v>2244</v>
      </c>
      <c r="BA256" s="174">
        <f t="shared" si="865"/>
        <v>551</v>
      </c>
      <c r="BB256" s="174">
        <f t="shared" si="865"/>
        <v>505</v>
      </c>
      <c r="BC256" s="174">
        <f t="shared" si="865"/>
        <v>447</v>
      </c>
      <c r="BD256" s="174">
        <f t="shared" si="865"/>
        <v>568</v>
      </c>
      <c r="BE256" s="170">
        <f t="shared" si="865"/>
        <v>2071</v>
      </c>
      <c r="BF256" s="174">
        <f t="shared" ref="BF256" si="867">BF241+BF255</f>
        <v>428</v>
      </c>
      <c r="BG256" s="174">
        <f t="shared" ref="BG256" si="868">BG241+BG255</f>
        <v>709</v>
      </c>
      <c r="BH256" s="174">
        <f t="shared" ref="BH256" si="869">BH241+BH255</f>
        <v>529</v>
      </c>
      <c r="BI256" s="174">
        <f t="shared" ref="BI256" si="870">BI241+BI255</f>
        <v>543</v>
      </c>
      <c r="BJ256" s="170">
        <f t="shared" si="865"/>
        <v>2209</v>
      </c>
      <c r="BK256" s="174">
        <f>BK241+BK255</f>
        <v>506</v>
      </c>
      <c r="BL256" s="174">
        <f t="shared" ref="BL256:BO256" si="871">BL241+BL255</f>
        <v>553</v>
      </c>
      <c r="BM256" s="174">
        <f t="shared" si="871"/>
        <v>572</v>
      </c>
      <c r="BN256" s="174">
        <f t="shared" si="871"/>
        <v>393</v>
      </c>
      <c r="BO256" s="170">
        <f t="shared" si="871"/>
        <v>2024</v>
      </c>
      <c r="BP256" s="170">
        <f t="shared" ref="BP256" si="872">BP241+BP255</f>
        <v>2024</v>
      </c>
      <c r="BQ256" s="172">
        <f t="shared" ref="BQ256:BT256" si="873">BQ241+BQ255</f>
        <v>641.78898321695578</v>
      </c>
      <c r="BR256" s="171">
        <f t="shared" si="873"/>
        <v>696.76143411695602</v>
      </c>
      <c r="BS256" s="171">
        <f t="shared" si="873"/>
        <v>691.9823148669559</v>
      </c>
      <c r="BT256" s="173">
        <f t="shared" si="873"/>
        <v>780.22088156695611</v>
      </c>
      <c r="BU256" s="708">
        <f t="shared" ref="BU256" si="874">BU241+BU255</f>
        <v>2810.7536137678244</v>
      </c>
      <c r="BV256" s="172"/>
      <c r="BW256" s="171"/>
      <c r="BX256" s="171"/>
      <c r="BY256" s="173"/>
      <c r="BZ256" s="170">
        <f t="shared" ref="BZ256" si="875">BZ241+BZ255</f>
        <v>3175.8183518747037</v>
      </c>
      <c r="CA256" s="172"/>
      <c r="CB256" s="171"/>
      <c r="CC256" s="171"/>
      <c r="CD256" s="173"/>
      <c r="CE256" s="170">
        <f t="shared" ref="CE256" si="876">CE241+CE255</f>
        <v>3569.6564257286423</v>
      </c>
      <c r="CF256" s="172"/>
      <c r="CG256" s="171"/>
      <c r="CH256" s="171"/>
      <c r="CI256" s="173"/>
      <c r="CJ256" s="170">
        <f t="shared" ref="CJ256" si="877">CJ241+CJ255</f>
        <v>3776.9114536277598</v>
      </c>
      <c r="CK256" s="291"/>
      <c r="CL256" s="657"/>
      <c r="CM256" s="657"/>
      <c r="CN256" s="658"/>
      <c r="CO256" s="658"/>
      <c r="CP256" s="658"/>
      <c r="CQ256" s="658"/>
      <c r="CR256" s="658"/>
      <c r="CS256" s="658"/>
      <c r="CT256" s="291"/>
      <c r="CX256"/>
      <c r="CY256"/>
      <c r="CZ256"/>
      <c r="DA256"/>
      <c r="DB256"/>
      <c r="DC256"/>
    </row>
    <row r="257" spans="1:107" s="314" customFormat="1" ht="12" customHeight="1">
      <c r="A257" s="221" t="s">
        <v>195</v>
      </c>
      <c r="B257" s="223">
        <f t="shared" ref="B257:AP257" si="878">B255/B267</f>
        <v>-2.0950783647871849</v>
      </c>
      <c r="C257" s="223">
        <f t="shared" si="878"/>
        <v>-3.4213086750761583</v>
      </c>
      <c r="D257" s="223">
        <f t="shared" si="878"/>
        <v>-0.40921553382166392</v>
      </c>
      <c r="E257" s="223">
        <f t="shared" si="878"/>
        <v>9.7240847487907081E-2</v>
      </c>
      <c r="F257" s="223">
        <f t="shared" si="878"/>
        <v>-5.9223513928493093E-2</v>
      </c>
      <c r="G257" s="223">
        <f t="shared" si="878"/>
        <v>0.21150033046926636</v>
      </c>
      <c r="H257" s="224">
        <f t="shared" si="878"/>
        <v>4.8511576626240352E-2</v>
      </c>
      <c r="I257" s="224">
        <f t="shared" si="878"/>
        <v>2.1836007130124777</v>
      </c>
      <c r="J257" s="224">
        <f t="shared" si="878"/>
        <v>-0.18284424379232506</v>
      </c>
      <c r="K257" s="224">
        <f t="shared" si="878"/>
        <v>-8.2417582417582416E-2</v>
      </c>
      <c r="L257" s="223">
        <f t="shared" si="878"/>
        <v>1.9856405654027374</v>
      </c>
      <c r="M257" s="224">
        <f t="shared" si="878"/>
        <v>-4.6008741660915576E-3</v>
      </c>
      <c r="N257" s="224">
        <f t="shared" si="878"/>
        <v>0</v>
      </c>
      <c r="O257" s="224">
        <f t="shared" si="878"/>
        <v>0</v>
      </c>
      <c r="P257" s="224">
        <f t="shared" si="878"/>
        <v>0</v>
      </c>
      <c r="Q257" s="223">
        <f t="shared" si="878"/>
        <v>-4.6898705830212611E-3</v>
      </c>
      <c r="R257" s="224">
        <f t="shared" si="878"/>
        <v>7.4257425742574254E-3</v>
      </c>
      <c r="S257" s="224">
        <f t="shared" si="878"/>
        <v>-7.5509690410269312E-3</v>
      </c>
      <c r="T257" s="224">
        <f t="shared" si="878"/>
        <v>-2.5419420437214034E-3</v>
      </c>
      <c r="U257" s="224">
        <f t="shared" si="878"/>
        <v>-2.5746652935118436E-2</v>
      </c>
      <c r="V257" s="223">
        <f t="shared" si="878"/>
        <v>-2.7798837503158959E-2</v>
      </c>
      <c r="W257" s="224">
        <f t="shared" si="878"/>
        <v>-2.081165452653486E-2</v>
      </c>
      <c r="X257" s="224">
        <f t="shared" si="878"/>
        <v>-1.0441138084051161E-2</v>
      </c>
      <c r="Y257" s="224">
        <f t="shared" si="878"/>
        <v>0.23497997329773029</v>
      </c>
      <c r="Z257" s="224">
        <f t="shared" si="878"/>
        <v>-0.10928961748633879</v>
      </c>
      <c r="AA257" s="223">
        <f t="shared" si="878"/>
        <v>9.5490716180371346E-2</v>
      </c>
      <c r="AB257" s="224">
        <f t="shared" si="878"/>
        <v>8.3148558758314849E-3</v>
      </c>
      <c r="AC257" s="224">
        <f t="shared" si="878"/>
        <v>2.2402688322598712E-2</v>
      </c>
      <c r="AD257" s="224">
        <f t="shared" si="878"/>
        <v>8.5372794536141151E-3</v>
      </c>
      <c r="AE257" s="224">
        <f t="shared" si="878"/>
        <v>1.1590843233845261E-2</v>
      </c>
      <c r="AF257" s="223">
        <f t="shared" si="878"/>
        <v>5.090497737556561E-2</v>
      </c>
      <c r="AG257" s="224">
        <f t="shared" si="878"/>
        <v>-5.9049306170652497E-3</v>
      </c>
      <c r="AH257" s="224">
        <f t="shared" si="878"/>
        <v>-2.9904306220095694E-3</v>
      </c>
      <c r="AI257" s="224">
        <f t="shared" si="878"/>
        <v>-3.003003003003003E-3</v>
      </c>
      <c r="AJ257" s="224">
        <f t="shared" si="878"/>
        <v>9.0689238210399023E-3</v>
      </c>
      <c r="AK257" s="223">
        <f t="shared" si="878"/>
        <v>-2.9922202274087375E-3</v>
      </c>
      <c r="AL257" s="224">
        <f t="shared" si="878"/>
        <v>-6.0938452163315053E-3</v>
      </c>
      <c r="AM257" s="224">
        <f t="shared" si="878"/>
        <v>0</v>
      </c>
      <c r="AN257" s="224">
        <f t="shared" si="878"/>
        <v>6.1862047633776673E-3</v>
      </c>
      <c r="AO257" s="224">
        <f t="shared" si="878"/>
        <v>0.20025031289111389</v>
      </c>
      <c r="AP257" s="223">
        <f t="shared" si="878"/>
        <v>0.19742423073956972</v>
      </c>
      <c r="AQ257" s="224">
        <f t="shared" ref="AQ257:BA257" si="879">AQ255/AQ267</f>
        <v>2.2165927802406584E-2</v>
      </c>
      <c r="AR257" s="224">
        <f t="shared" si="879"/>
        <v>0.16586921850079744</v>
      </c>
      <c r="AS257" s="224">
        <f t="shared" si="879"/>
        <v>0</v>
      </c>
      <c r="AT257" s="224">
        <f t="shared" si="879"/>
        <v>1.9373587342589604E-2</v>
      </c>
      <c r="AU257" s="223">
        <f t="shared" si="879"/>
        <v>0.20793346129238646</v>
      </c>
      <c r="AV257" s="224"/>
      <c r="AW257" s="224"/>
      <c r="AX257" s="224"/>
      <c r="AY257" s="224"/>
      <c r="AZ257" s="223">
        <f t="shared" ref="AZ257" si="880">AZ255/AZ267</f>
        <v>0.20793346129238646</v>
      </c>
      <c r="BA257" s="224">
        <f t="shared" si="879"/>
        <v>0</v>
      </c>
      <c r="BB257" s="224">
        <f>BB255/BB267</f>
        <v>3.2711808963035659E-3</v>
      </c>
      <c r="BC257" s="224">
        <f>BC255/BC267</f>
        <v>-3.2862306933946761E-3</v>
      </c>
      <c r="BD257" s="224">
        <f>BD255/BD267</f>
        <v>4.3032108573320092E-2</v>
      </c>
      <c r="BE257" s="223">
        <f>BE255/BE267</f>
        <v>4.2595019659239841E-2</v>
      </c>
      <c r="BF257" s="224">
        <f t="shared" ref="BF257" si="881">BF255/BF267</f>
        <v>3.337783711615487E-3</v>
      </c>
      <c r="BG257" s="224">
        <f>BG255/BG267</f>
        <v>-3.3602150537634405E-3</v>
      </c>
      <c r="BH257" s="224">
        <f>BH255/BH267</f>
        <v>3.3840947546531302E-3</v>
      </c>
      <c r="BI257" s="224">
        <f>BI255/BI267</f>
        <v>0</v>
      </c>
      <c r="BJ257" s="223">
        <f>BJ255/BJ267</f>
        <v>3.3692722371967652E-3</v>
      </c>
      <c r="BK257" s="224">
        <f t="shared" ref="BK257" si="882">BK255/BK267</f>
        <v>1.0245901639344262E-2</v>
      </c>
      <c r="BL257" s="224">
        <f>BL255/BL267</f>
        <v>0</v>
      </c>
      <c r="BM257" s="224">
        <f>BM255/BM267</f>
        <v>-3.4364261168384879E-3</v>
      </c>
      <c r="BN257" s="224">
        <f>BN255/BN267</f>
        <v>-0.67576885946765963</v>
      </c>
      <c r="BO257" s="223">
        <f>BO255/BO267</f>
        <v>-0.66575154426904604</v>
      </c>
      <c r="BP257" s="223">
        <f>BP255/BP267</f>
        <v>-0.66575154426904604</v>
      </c>
      <c r="BQ257" s="226">
        <f t="shared" ref="BQ257:BT257" si="883">BQ255/BQ267</f>
        <v>0</v>
      </c>
      <c r="BR257" s="225">
        <f t="shared" si="883"/>
        <v>0</v>
      </c>
      <c r="BS257" s="225">
        <f t="shared" si="883"/>
        <v>0</v>
      </c>
      <c r="BT257" s="227">
        <f t="shared" si="883"/>
        <v>0</v>
      </c>
      <c r="BU257" s="223">
        <f>BU255/BU267</f>
        <v>0</v>
      </c>
      <c r="BV257" s="226"/>
      <c r="BW257" s="225"/>
      <c r="BX257" s="225"/>
      <c r="BY257" s="227"/>
      <c r="BZ257" s="223">
        <f>BZ255/BZ267</f>
        <v>0</v>
      </c>
      <c r="CA257" s="226"/>
      <c r="CB257" s="225"/>
      <c r="CC257" s="225"/>
      <c r="CD257" s="227"/>
      <c r="CE257" s="223">
        <f>CE255/CE267</f>
        <v>0</v>
      </c>
      <c r="CF257" s="226"/>
      <c r="CG257" s="225"/>
      <c r="CH257" s="225"/>
      <c r="CI257" s="227"/>
      <c r="CJ257" s="223">
        <f>CJ255/CJ267</f>
        <v>0</v>
      </c>
      <c r="CK257" s="313"/>
      <c r="CL257" s="989"/>
      <c r="CM257" s="989"/>
      <c r="CN257" s="658"/>
      <c r="CO257" s="658"/>
      <c r="CP257" s="658"/>
      <c r="CQ257" s="658"/>
      <c r="CR257" s="658"/>
      <c r="CS257" s="658"/>
      <c r="CT257" s="313"/>
      <c r="CX257"/>
      <c r="CY257"/>
      <c r="CZ257"/>
      <c r="DA257"/>
      <c r="DB257"/>
      <c r="DC257"/>
    </row>
    <row r="258" spans="1:107">
      <c r="A258" s="222" t="s">
        <v>98</v>
      </c>
      <c r="B258" s="143">
        <f t="shared" ref="B258:AP258" si="884">B256/B267</f>
        <v>-2.0895431511417764</v>
      </c>
      <c r="C258" s="143">
        <f t="shared" si="884"/>
        <v>-1.5685082751065482</v>
      </c>
      <c r="D258" s="143">
        <f t="shared" si="884"/>
        <v>0.87860982261710185</v>
      </c>
      <c r="E258" s="143">
        <f t="shared" si="884"/>
        <v>0.94301007912691281</v>
      </c>
      <c r="F258" s="143">
        <f t="shared" si="884"/>
        <v>1.9105066900636105</v>
      </c>
      <c r="G258" s="143">
        <f t="shared" si="884"/>
        <v>2.8266137915840495</v>
      </c>
      <c r="H258" s="142">
        <f t="shared" si="884"/>
        <v>0.76295479603087102</v>
      </c>
      <c r="I258" s="142">
        <f t="shared" si="884"/>
        <v>2.9745989304812834</v>
      </c>
      <c r="J258" s="142">
        <f t="shared" si="884"/>
        <v>0.67494356659142207</v>
      </c>
      <c r="K258" s="142">
        <f t="shared" si="884"/>
        <v>1.3690476190476191</v>
      </c>
      <c r="L258" s="143">
        <f t="shared" si="884"/>
        <v>5.7841597487098948</v>
      </c>
      <c r="M258" s="142">
        <f t="shared" si="884"/>
        <v>0.91557395905221994</v>
      </c>
      <c r="N258" s="142">
        <f t="shared" si="884"/>
        <v>0.99069767441860468</v>
      </c>
      <c r="O258" s="142">
        <f t="shared" si="884"/>
        <v>1.0049423393739705</v>
      </c>
      <c r="P258" s="142">
        <f t="shared" si="884"/>
        <v>1.0110470701248799</v>
      </c>
      <c r="Q258" s="143">
        <f t="shared" si="884"/>
        <v>3.9207432975887024</v>
      </c>
      <c r="R258" s="142">
        <f t="shared" si="884"/>
        <v>1.1188118811881189</v>
      </c>
      <c r="S258" s="142">
        <f t="shared" si="884"/>
        <v>1.2308079536873899</v>
      </c>
      <c r="T258" s="142">
        <f t="shared" si="884"/>
        <v>1.2455516014234875</v>
      </c>
      <c r="U258" s="142">
        <f t="shared" si="884"/>
        <v>1.2976313079299693</v>
      </c>
      <c r="V258" s="143">
        <f t="shared" si="884"/>
        <v>4.8900682335102355</v>
      </c>
      <c r="W258" s="142">
        <f t="shared" si="884"/>
        <v>1.1576482830385015</v>
      </c>
      <c r="X258" s="142">
        <f t="shared" si="884"/>
        <v>0.54293918037066036</v>
      </c>
      <c r="Y258" s="142">
        <f t="shared" si="884"/>
        <v>1.9439252336448598</v>
      </c>
      <c r="Z258" s="142">
        <f t="shared" si="884"/>
        <v>1.2540983606557377</v>
      </c>
      <c r="AA258" s="143">
        <f t="shared" si="884"/>
        <v>4.8806366047745362</v>
      </c>
      <c r="AB258" s="142">
        <f t="shared" si="884"/>
        <v>1.0643015521064301</v>
      </c>
      <c r="AC258" s="142">
        <f t="shared" si="884"/>
        <v>1.2265471856622794</v>
      </c>
      <c r="AD258" s="142">
        <f t="shared" si="884"/>
        <v>1.4257256687535573</v>
      </c>
      <c r="AE258" s="142">
        <f t="shared" si="884"/>
        <v>1.5734569689944942</v>
      </c>
      <c r="AF258" s="143">
        <f t="shared" si="884"/>
        <v>5.2771493212669682</v>
      </c>
      <c r="AG258" s="142">
        <f t="shared" si="884"/>
        <v>1.322704458222616</v>
      </c>
      <c r="AH258" s="142">
        <f t="shared" si="884"/>
        <v>1.4084928229665072</v>
      </c>
      <c r="AI258" s="142">
        <f t="shared" si="884"/>
        <v>1.503003003003003</v>
      </c>
      <c r="AJ258" s="142">
        <f t="shared" si="884"/>
        <v>1.4177750906892381</v>
      </c>
      <c r="AK258" s="143">
        <f t="shared" si="884"/>
        <v>5.6508078994614008</v>
      </c>
      <c r="AL258" s="142">
        <f>AL256/AL267</f>
        <v>1.4868982327848874</v>
      </c>
      <c r="AM258" s="142">
        <f t="shared" si="884"/>
        <v>1.4987714987714986</v>
      </c>
      <c r="AN258" s="142">
        <f t="shared" si="884"/>
        <v>1.5125270646458397</v>
      </c>
      <c r="AO258" s="142">
        <f t="shared" si="884"/>
        <v>1.6614518147684605</v>
      </c>
      <c r="AP258" s="143">
        <f t="shared" si="884"/>
        <v>6.7494408884090396</v>
      </c>
      <c r="AQ258" s="142">
        <f t="shared" ref="AQ258:BA258" si="885">AQ256/AQ267</f>
        <v>1.8869221025965801</v>
      </c>
      <c r="AR258" s="142">
        <f t="shared" si="885"/>
        <v>1.7543859649122806</v>
      </c>
      <c r="AS258" s="142">
        <f t="shared" si="885"/>
        <v>1.6441875401412975</v>
      </c>
      <c r="AT258" s="142">
        <f t="shared" si="885"/>
        <v>1.8792379722311916</v>
      </c>
      <c r="AU258" s="143">
        <f t="shared" si="885"/>
        <v>7.1653550863723616</v>
      </c>
      <c r="AV258" s="142"/>
      <c r="AW258" s="142"/>
      <c r="AX258" s="142"/>
      <c r="AY258" s="142"/>
      <c r="AZ258" s="143">
        <f t="shared" ref="AZ258" si="886">AZ256/AZ267</f>
        <v>7.178502879078696</v>
      </c>
      <c r="BA258" s="142">
        <f t="shared" si="885"/>
        <v>1.7854828256642903</v>
      </c>
      <c r="BB258" s="142">
        <f>BB256/BB267</f>
        <v>1.6519463526333007</v>
      </c>
      <c r="BC258" s="142">
        <f>BC256/BC267</f>
        <v>1.4689451199474202</v>
      </c>
      <c r="BD258" s="142">
        <f>BD256/BD267</f>
        <v>1.8801721284342932</v>
      </c>
      <c r="BE258" s="143">
        <f>BE256/BE267</f>
        <v>6.7857142857142856</v>
      </c>
      <c r="BF258" s="142">
        <f t="shared" ref="BF258" si="887">BF256/BF267</f>
        <v>1.4285714285714284</v>
      </c>
      <c r="BG258" s="142">
        <f>BG256/BG267</f>
        <v>2.3823924731182795</v>
      </c>
      <c r="BH258" s="142">
        <f>BH256/BH267</f>
        <v>1.7901861252115059</v>
      </c>
      <c r="BI258" s="142">
        <f>BI256/BI267</f>
        <v>1.8438030560271648</v>
      </c>
      <c r="BJ258" s="143">
        <f>BJ256/BJ267</f>
        <v>7.4427223719676547</v>
      </c>
      <c r="BK258" s="142">
        <f t="shared" ref="BK258" si="888">BK256/BK267</f>
        <v>1.7281420765027322</v>
      </c>
      <c r="BL258" s="142">
        <f>BL256/BL267</f>
        <v>1.8938356164383561</v>
      </c>
      <c r="BM258" s="142">
        <f>BM256/BM267</f>
        <v>1.965635738831615</v>
      </c>
      <c r="BN258" s="1053">
        <f>BN256/BN267</f>
        <v>1.3549855192387257</v>
      </c>
      <c r="BO258" s="1054">
        <f>BO256/BO267</f>
        <v>6.945778997940975</v>
      </c>
      <c r="BP258" s="1054">
        <f>BP256/BP267</f>
        <v>6.945778997940975</v>
      </c>
      <c r="BQ258" s="144">
        <f t="shared" ref="BQ258:BT258" si="889">BQ256/BQ267</f>
        <v>2.2210893360685793</v>
      </c>
      <c r="BR258" s="142">
        <f t="shared" si="889"/>
        <v>2.4204133469900713</v>
      </c>
      <c r="BS258" s="142">
        <f t="shared" si="889"/>
        <v>2.4128598431010841</v>
      </c>
      <c r="BT258" s="145">
        <f t="shared" si="889"/>
        <v>2.7307776226518299</v>
      </c>
      <c r="BU258" s="143">
        <f>BU256/BU267</f>
        <v>9.7822827995602122</v>
      </c>
      <c r="BV258" s="144"/>
      <c r="BW258" s="142"/>
      <c r="BX258" s="142"/>
      <c r="BY258" s="145"/>
      <c r="BZ258" s="143">
        <f>BZ256/BZ267</f>
        <v>11.336225451550511</v>
      </c>
      <c r="CA258" s="144"/>
      <c r="CB258" s="142"/>
      <c r="CC258" s="142"/>
      <c r="CD258" s="145"/>
      <c r="CE258" s="143">
        <f>CE256/CE267</f>
        <v>13.068767227209182</v>
      </c>
      <c r="CF258" s="144"/>
      <c r="CG258" s="142"/>
      <c r="CH258" s="142"/>
      <c r="CI258" s="145"/>
      <c r="CJ258" s="143">
        <f>CJ256/CJ267</f>
        <v>14.182095069495595</v>
      </c>
      <c r="CK258" s="289"/>
      <c r="CL258" s="745"/>
      <c r="CM258" s="658"/>
      <c r="CN258" s="658"/>
      <c r="CO258" s="658"/>
      <c r="CP258" s="658"/>
      <c r="CQ258" s="658"/>
      <c r="CR258" s="658"/>
      <c r="CS258" s="658"/>
      <c r="CT258" s="289"/>
    </row>
    <row r="259" spans="1:107">
      <c r="A259" s="218" t="s">
        <v>137</v>
      </c>
      <c r="B259" s="75"/>
      <c r="C259" s="74">
        <f>C258/B258-1</f>
        <v>-0.24935348942208835</v>
      </c>
      <c r="D259" s="74">
        <f>D258/C258-1</f>
        <v>-1.5601563195816854</v>
      </c>
      <c r="E259" s="74">
        <f>E258/D258-1</f>
        <v>7.3297901812641841E-2</v>
      </c>
      <c r="F259" s="74">
        <f>F258/E258-1</f>
        <v>1.0259663521650326</v>
      </c>
      <c r="G259" s="74">
        <f>G258/F258-1</f>
        <v>0.47951002018733413</v>
      </c>
      <c r="H259" s="25"/>
      <c r="I259" s="25"/>
      <c r="J259" s="25"/>
      <c r="K259" s="24"/>
      <c r="L259" s="74">
        <f t="shared" ref="L259:AR259" si="890">L258/G258-1</f>
        <v>1.0463212080587851</v>
      </c>
      <c r="M259" s="15">
        <f t="shared" si="890"/>
        <v>0.20003696656121894</v>
      </c>
      <c r="N259" s="22">
        <f t="shared" si="890"/>
        <v>-0.66694747844264435</v>
      </c>
      <c r="O259" s="22">
        <f t="shared" si="890"/>
        <v>0.48892794763434444</v>
      </c>
      <c r="P259" s="15">
        <f t="shared" si="890"/>
        <v>-0.26149605312617463</v>
      </c>
      <c r="Q259" s="74">
        <f t="shared" si="890"/>
        <v>-0.32215853850454435</v>
      </c>
      <c r="R259" s="15">
        <f t="shared" si="890"/>
        <v>0.22197870540822939</v>
      </c>
      <c r="S259" s="22">
        <f t="shared" si="890"/>
        <v>0.24236483588163771</v>
      </c>
      <c r="T259" s="22">
        <f t="shared" si="890"/>
        <v>0.23942593780992927</v>
      </c>
      <c r="U259" s="15">
        <f t="shared" si="890"/>
        <v>0.28345291359154201</v>
      </c>
      <c r="V259" s="74">
        <f t="shared" si="890"/>
        <v>0.24722989044390586</v>
      </c>
      <c r="W259" s="15">
        <f t="shared" si="890"/>
        <v>3.4712182184855278E-2</v>
      </c>
      <c r="X259" s="22">
        <f t="shared" si="890"/>
        <v>-0.55887579476224269</v>
      </c>
      <c r="Y259" s="22">
        <f t="shared" si="890"/>
        <v>0.56069425901201608</v>
      </c>
      <c r="Z259" s="15">
        <f t="shared" si="890"/>
        <v>-3.3548009367681653E-2</v>
      </c>
      <c r="AA259" s="74">
        <f t="shared" si="890"/>
        <v>-1.9287315197499266E-3</v>
      </c>
      <c r="AB259" s="15">
        <f t="shared" si="890"/>
        <v>-8.0634794090535422E-2</v>
      </c>
      <c r="AC259" s="22">
        <f t="shared" si="890"/>
        <v>1.2590876289770159</v>
      </c>
      <c r="AD259" s="22">
        <f t="shared" si="890"/>
        <v>-0.26657381463158347</v>
      </c>
      <c r="AE259" s="15">
        <f t="shared" si="890"/>
        <v>0.25465196220476005</v>
      </c>
      <c r="AF259" s="74">
        <f t="shared" si="890"/>
        <v>8.124200767263412E-2</v>
      </c>
      <c r="AG259" s="15">
        <f t="shared" si="890"/>
        <v>0.24279106387166638</v>
      </c>
      <c r="AH259" s="22">
        <f t="shared" si="890"/>
        <v>0.14833969653273926</v>
      </c>
      <c r="AI259" s="22">
        <f t="shared" si="890"/>
        <v>5.4202106297914554E-2</v>
      </c>
      <c r="AJ259" s="15">
        <f t="shared" si="890"/>
        <v>-9.8942571276508073E-2</v>
      </c>
      <c r="AK259" s="74">
        <f t="shared" si="890"/>
        <v>7.0806898847562305E-2</v>
      </c>
      <c r="AL259" s="22">
        <f t="shared" si="890"/>
        <v>0.12413489161661007</v>
      </c>
      <c r="AM259" s="22">
        <f t="shared" si="890"/>
        <v>6.4095943076834638E-2</v>
      </c>
      <c r="AN259" s="22">
        <f>AN258/AI258-1</f>
        <v>6.3366883657633988E-3</v>
      </c>
      <c r="AO259" s="15">
        <f t="shared" si="890"/>
        <v>0.17187262329511044</v>
      </c>
      <c r="AP259" s="74">
        <f t="shared" si="890"/>
        <v>0.19442051623314849</v>
      </c>
      <c r="AQ259" s="22">
        <f>AQ258/AL258-1</f>
        <v>0.26903244686925731</v>
      </c>
      <c r="AR259" s="22">
        <f t="shared" si="890"/>
        <v>0.17054932412999713</v>
      </c>
      <c r="AS259" s="22">
        <f t="shared" ref="AS259:AU259" si="891">AS258/AN258-1</f>
        <v>8.7046690649655423E-2</v>
      </c>
      <c r="AT259" s="15">
        <f t="shared" si="891"/>
        <v>0.13108183790035577</v>
      </c>
      <c r="AU259" s="74">
        <f t="shared" si="891"/>
        <v>6.1622022451901293E-2</v>
      </c>
      <c r="AV259" s="22"/>
      <c r="AW259" s="22"/>
      <c r="AX259" s="22"/>
      <c r="AY259" s="15"/>
      <c r="AZ259" s="74">
        <f t="shared" ref="AZ259" si="892">AZ258/AU258-1</f>
        <v>1.8349115358344825E-3</v>
      </c>
      <c r="BA259" s="22">
        <f>BA258/AQ258-1</f>
        <v>-5.3759122749529542E-2</v>
      </c>
      <c r="BB259" s="22">
        <f>BB258/AR258-1</f>
        <v>-5.8390578999018561E-2</v>
      </c>
      <c r="BC259" s="22">
        <f>BC258/AS258-1</f>
        <v>-0.10658298759447926</v>
      </c>
      <c r="BD259" s="15">
        <f>BD258/AT258-1</f>
        <v>4.9709308608347769E-4</v>
      </c>
      <c r="BE259" s="74">
        <f>BE258/AZ258-1</f>
        <v>-5.4717341482047543E-2</v>
      </c>
      <c r="BF259" s="22">
        <f>BF258/BA258-1</f>
        <v>-0.19989629245527618</v>
      </c>
      <c r="BG259" s="22">
        <f>BG258/BB258-1</f>
        <v>0.44217302778664958</v>
      </c>
      <c r="BH259" s="22">
        <f t="shared" ref="BH259" si="893">BH258/BC258-1</f>
        <v>0.21868822796836973</v>
      </c>
      <c r="BI259" s="15">
        <f>BI258/BD258-1</f>
        <v>-1.9343480236256094E-2</v>
      </c>
      <c r="BJ259" s="74">
        <f>BJ258/BE258-1</f>
        <v>9.6822244289970216E-2</v>
      </c>
      <c r="BK259" s="22">
        <f>BK258/BF258-1</f>
        <v>0.20969945355191277</v>
      </c>
      <c r="BL259" s="22">
        <f>BL258/BG258-1</f>
        <v>-0.20506984562474639</v>
      </c>
      <c r="BM259" s="22">
        <f t="shared" ref="BM259" si="894">BM258/BH258-1</f>
        <v>9.8006353165864368E-2</v>
      </c>
      <c r="BN259" s="15">
        <f>BN258/BI258-1</f>
        <v>-0.26511374693221967</v>
      </c>
      <c r="BO259" s="74">
        <f>BO258/BJ258-1</f>
        <v>-6.6769032780044646E-2</v>
      </c>
      <c r="BP259" s="74">
        <f t="shared" ref="BP259:BU259" si="895">BP258/BJ258-1</f>
        <v>-6.6769032780044646E-2</v>
      </c>
      <c r="BQ259" s="23">
        <f t="shared" si="895"/>
        <v>0.28524695178039527</v>
      </c>
      <c r="BR259" s="15">
        <f t="shared" si="895"/>
        <v>0.27804827725334702</v>
      </c>
      <c r="BS259" s="15">
        <f t="shared" si="895"/>
        <v>0.22752135374548166</v>
      </c>
      <c r="BT259" s="17">
        <f t="shared" si="895"/>
        <v>1.015355576778465</v>
      </c>
      <c r="BU259" s="74">
        <f t="shared" si="895"/>
        <v>0.4083780670908328</v>
      </c>
      <c r="BV259" s="23"/>
      <c r="BW259" s="15"/>
      <c r="BX259" s="15"/>
      <c r="BY259" s="17"/>
      <c r="BZ259" s="74">
        <f>BZ258/BU258-1</f>
        <v>0.15885276308513196</v>
      </c>
      <c r="CA259" s="23"/>
      <c r="CB259" s="15"/>
      <c r="CC259" s="15"/>
      <c r="CD259" s="17"/>
      <c r="CE259" s="74">
        <f>CE258/BZ258-1</f>
        <v>0.15283233233701288</v>
      </c>
      <c r="CF259" s="23"/>
      <c r="CG259" s="15"/>
      <c r="CH259" s="15"/>
      <c r="CI259" s="17"/>
      <c r="CJ259" s="74">
        <f>CJ258/CE258-1</f>
        <v>8.5189966500318626E-2</v>
      </c>
      <c r="CK259" s="289"/>
      <c r="CL259" s="658"/>
      <c r="CM259" s="658"/>
      <c r="CN259" s="658"/>
      <c r="CO259" s="658"/>
      <c r="CP259" s="658"/>
      <c r="CQ259" s="658"/>
      <c r="CR259" s="658"/>
      <c r="CS259" s="658"/>
      <c r="CT259" s="289"/>
    </row>
    <row r="260" spans="1:107" ht="12" customHeight="1">
      <c r="A260" s="216" t="s">
        <v>183</v>
      </c>
      <c r="B260" s="153"/>
      <c r="C260" s="153"/>
      <c r="D260" s="153"/>
      <c r="E260" s="153"/>
      <c r="F260" s="153"/>
      <c r="G260" s="153"/>
      <c r="H260" s="46"/>
      <c r="I260" s="46"/>
      <c r="J260" s="46"/>
      <c r="K260" s="52"/>
      <c r="L260" s="153"/>
      <c r="M260" s="46"/>
      <c r="N260" s="46"/>
      <c r="O260" s="46"/>
      <c r="P260" s="52"/>
      <c r="Q260" s="153"/>
      <c r="R260" s="46"/>
      <c r="S260" s="46"/>
      <c r="T260" s="46"/>
      <c r="U260" s="52"/>
      <c r="V260" s="153"/>
      <c r="W260" s="46"/>
      <c r="X260" s="46"/>
      <c r="Y260" s="46"/>
      <c r="Z260" s="52"/>
      <c r="AA260" s="153"/>
      <c r="AB260" s="46"/>
      <c r="AC260" s="46"/>
      <c r="AD260" s="46"/>
      <c r="AE260" s="52"/>
      <c r="AF260" s="580"/>
      <c r="AG260" s="46"/>
      <c r="AH260" s="46"/>
      <c r="AI260" s="46"/>
      <c r="AJ260" s="52"/>
      <c r="AK260" s="153"/>
      <c r="AL260" s="514"/>
      <c r="AM260" s="46"/>
      <c r="AN260" s="46"/>
      <c r="AO260" s="52"/>
      <c r="AP260" s="153"/>
      <c r="AQ260" s="46"/>
      <c r="AR260" s="46"/>
      <c r="AS260" s="46"/>
      <c r="AT260" s="52"/>
      <c r="AU260" s="153"/>
      <c r="AV260" s="46"/>
      <c r="AW260" s="46"/>
      <c r="AX260" s="46"/>
      <c r="AY260" s="52"/>
      <c r="AZ260" s="153"/>
      <c r="BA260" s="46"/>
      <c r="BB260" s="46"/>
      <c r="BC260" s="46"/>
      <c r="BD260" s="52"/>
      <c r="BE260" s="153"/>
      <c r="BF260" s="154"/>
      <c r="BG260" s="52"/>
      <c r="BH260" s="52"/>
      <c r="BI260" s="51"/>
      <c r="BJ260" s="153"/>
      <c r="BK260" s="154"/>
      <c r="BL260" s="52"/>
      <c r="BM260" s="52"/>
      <c r="BN260" s="51"/>
      <c r="BO260" s="153"/>
      <c r="BP260" s="153"/>
      <c r="BQ260" s="154"/>
      <c r="BR260" s="52"/>
      <c r="BS260" s="52"/>
      <c r="BT260" s="51"/>
      <c r="BU260" s="153"/>
      <c r="BV260" s="154"/>
      <c r="BW260" s="52"/>
      <c r="BX260" s="52"/>
      <c r="BY260" s="51"/>
      <c r="BZ260" s="153"/>
      <c r="CA260" s="154"/>
      <c r="CB260" s="52"/>
      <c r="CC260" s="52"/>
      <c r="CD260" s="51"/>
      <c r="CE260" s="153"/>
      <c r="CF260" s="154"/>
      <c r="CG260" s="52"/>
      <c r="CH260" s="52"/>
      <c r="CI260" s="51"/>
      <c r="CJ260" s="153"/>
      <c r="CK260" s="289"/>
      <c r="CL260" s="658"/>
      <c r="CM260" s="658"/>
      <c r="CN260" s="658"/>
      <c r="CO260" s="980"/>
      <c r="CP260" s="980"/>
      <c r="CQ260" s="980"/>
      <c r="CR260" s="980"/>
      <c r="CS260" s="658"/>
      <c r="CT260" s="289"/>
    </row>
    <row r="261" spans="1:107">
      <c r="A261" s="245" t="s">
        <v>185</v>
      </c>
      <c r="B261" s="85">
        <v>395.43200000000002</v>
      </c>
      <c r="C261" s="85">
        <v>408.209</v>
      </c>
      <c r="D261" s="85">
        <v>418.13600000000002</v>
      </c>
      <c r="E261" s="85">
        <v>453.096</v>
      </c>
      <c r="F261" s="85">
        <v>446.37299999999999</v>
      </c>
      <c r="G261" s="81">
        <v>445.87</v>
      </c>
      <c r="H261" s="515">
        <v>443.85599999999999</v>
      </c>
      <c r="I261" s="515">
        <v>437.33499999999998</v>
      </c>
      <c r="J261" s="515">
        <v>429.30700000000002</v>
      </c>
      <c r="K261" s="693">
        <v>426.19600000000003</v>
      </c>
      <c r="L261" s="81">
        <v>426.19600000000003</v>
      </c>
      <c r="M261" s="693">
        <v>423.00400000000002</v>
      </c>
      <c r="N261" s="515">
        <v>416.90199999999999</v>
      </c>
      <c r="O261" s="515">
        <v>414.06700000000001</v>
      </c>
      <c r="P261" s="693">
        <v>400.11900000000003</v>
      </c>
      <c r="Q261" s="81">
        <v>400</v>
      </c>
      <c r="R261" s="693">
        <v>394</v>
      </c>
      <c r="S261" s="693">
        <v>389</v>
      </c>
      <c r="T261" s="693">
        <v>383</v>
      </c>
      <c r="U261" s="693">
        <v>378</v>
      </c>
      <c r="V261" s="81">
        <v>378</v>
      </c>
      <c r="W261" s="693">
        <v>378</v>
      </c>
      <c r="X261" s="515">
        <v>374</v>
      </c>
      <c r="Y261" s="34">
        <v>364</v>
      </c>
      <c r="Z261" s="34">
        <v>359</v>
      </c>
      <c r="AA261" s="602">
        <v>359</v>
      </c>
      <c r="AB261" s="694">
        <v>355</v>
      </c>
      <c r="AC261" s="583">
        <v>353</v>
      </c>
      <c r="AD261" s="520">
        <v>346</v>
      </c>
      <c r="AE261" s="520">
        <v>339</v>
      </c>
      <c r="AF261" s="602">
        <v>338.9</v>
      </c>
      <c r="AG261" s="694">
        <v>333</v>
      </c>
      <c r="AH261" s="583">
        <v>332</v>
      </c>
      <c r="AI261" s="520">
        <v>330</v>
      </c>
      <c r="AJ261" s="520">
        <v>329</v>
      </c>
      <c r="AK261" s="602">
        <v>329</v>
      </c>
      <c r="AL261" s="520">
        <v>324</v>
      </c>
      <c r="AM261" s="520">
        <v>322</v>
      </c>
      <c r="AN261" s="520">
        <v>319.47199999999998</v>
      </c>
      <c r="AO261" s="520">
        <v>314.50900000000001</v>
      </c>
      <c r="AP261" s="602">
        <f>AK261+AP262</f>
        <v>314.50900000000001</v>
      </c>
      <c r="AQ261" s="520">
        <v>312.85700000000003</v>
      </c>
      <c r="AR261" s="663">
        <v>310.71899999999999</v>
      </c>
      <c r="AS261" s="53">
        <v>308.36799999999999</v>
      </c>
      <c r="AT261" s="663">
        <v>307.3</v>
      </c>
      <c r="AU261" s="602">
        <f>AP261+AU262</f>
        <v>307.3</v>
      </c>
      <c r="AV261" s="520"/>
      <c r="AW261" s="663"/>
      <c r="AX261" s="53"/>
      <c r="AY261" s="663"/>
      <c r="AZ261" s="602">
        <v>307.3</v>
      </c>
      <c r="BA261" s="663">
        <v>305.89999999999998</v>
      </c>
      <c r="BB261" s="663">
        <v>303.60000000000002</v>
      </c>
      <c r="BC261" s="663">
        <v>301</v>
      </c>
      <c r="BD261" s="663">
        <v>299</v>
      </c>
      <c r="BE261" s="602">
        <f>AZ261+BE262</f>
        <v>299</v>
      </c>
      <c r="BF261" s="663">
        <v>296.89999999999998</v>
      </c>
      <c r="BG261" s="663">
        <v>295.10000000000002</v>
      </c>
      <c r="BH261" s="663">
        <v>293.60000000000002</v>
      </c>
      <c r="BI261" s="663">
        <v>292.8</v>
      </c>
      <c r="BJ261" s="602">
        <f>BE261+BJ262</f>
        <v>292.8</v>
      </c>
      <c r="BK261" s="663">
        <v>291</v>
      </c>
      <c r="BL261" s="663">
        <v>290.10000000000002</v>
      </c>
      <c r="BM261" s="53">
        <v>289</v>
      </c>
      <c r="BN261" s="53">
        <v>288.50599999999997</v>
      </c>
      <c r="BO261" s="602">
        <f>BJ261+BO262</f>
        <v>288.50599999999997</v>
      </c>
      <c r="BP261" s="602">
        <f>BO261</f>
        <v>288.50599999999997</v>
      </c>
      <c r="BQ261" s="603">
        <f>BN261*(1+BQ268/4)</f>
        <v>287.42410249999995</v>
      </c>
      <c r="BR261" s="520">
        <f t="shared" ref="BR261" si="896">BQ261*(1+BR268/4)</f>
        <v>286.34626211562494</v>
      </c>
      <c r="BS261" s="520">
        <f t="shared" ref="BS261" si="897">BR261*(1+BS268/4)</f>
        <v>285.27246363269131</v>
      </c>
      <c r="BT261" s="604">
        <f t="shared" ref="BT261" si="898">BS261*(1+BT268/4)</f>
        <v>284.20269189406872</v>
      </c>
      <c r="BU261" s="602">
        <f>BO261+BU262</f>
        <v>284.20269189406872</v>
      </c>
      <c r="BV261" s="603"/>
      <c r="BW261" s="520"/>
      <c r="BX261" s="520"/>
      <c r="BY261" s="604"/>
      <c r="BZ261" s="602">
        <f>BU261*(1+BZ268)</f>
        <v>277.09762459671697</v>
      </c>
      <c r="CA261" s="603"/>
      <c r="CB261" s="520"/>
      <c r="CC261" s="520"/>
      <c r="CD261" s="604"/>
      <c r="CE261" s="602">
        <f>BZ261*(1+CE268)</f>
        <v>270.17018398179903</v>
      </c>
      <c r="CF261" s="603"/>
      <c r="CG261" s="520"/>
      <c r="CH261" s="520"/>
      <c r="CI261" s="604"/>
      <c r="CJ261" s="602">
        <f>CE261*(1+CJ268)</f>
        <v>263.41592938225403</v>
      </c>
      <c r="CK261" s="66"/>
      <c r="CL261" s="658"/>
      <c r="CM261" s="658"/>
      <c r="CN261" s="658"/>
      <c r="CO261" s="658"/>
      <c r="CP261" s="658"/>
      <c r="CQ261" s="658"/>
      <c r="CR261" s="658"/>
      <c r="CS261" s="658"/>
      <c r="CT261" s="289"/>
    </row>
    <row r="262" spans="1:107" s="521" customFormat="1">
      <c r="A262" s="523" t="s">
        <v>184</v>
      </c>
      <c r="B262" s="81"/>
      <c r="C262" s="81">
        <f t="shared" ref="C262:K262" si="899">C261-B261</f>
        <v>12.776999999999987</v>
      </c>
      <c r="D262" s="81">
        <f t="shared" si="899"/>
        <v>9.9270000000000209</v>
      </c>
      <c r="E262" s="81">
        <f t="shared" si="899"/>
        <v>34.95999999999998</v>
      </c>
      <c r="F262" s="81">
        <f t="shared" si="899"/>
        <v>-6.7230000000000132</v>
      </c>
      <c r="G262" s="81">
        <f t="shared" si="899"/>
        <v>-0.5029999999999859</v>
      </c>
      <c r="H262" s="515">
        <f t="shared" si="899"/>
        <v>-2.01400000000001</v>
      </c>
      <c r="I262" s="515">
        <f t="shared" si="899"/>
        <v>-6.521000000000015</v>
      </c>
      <c r="J262" s="515">
        <f t="shared" si="899"/>
        <v>-8.0279999999999632</v>
      </c>
      <c r="K262" s="515">
        <f t="shared" si="899"/>
        <v>-3.11099999999999</v>
      </c>
      <c r="L262" s="81">
        <f>L261-G261</f>
        <v>-19.673999999999978</v>
      </c>
      <c r="M262" s="515">
        <f>M261-L261</f>
        <v>-3.1920000000000073</v>
      </c>
      <c r="N262" s="515">
        <f>N261-M261</f>
        <v>-6.1020000000000323</v>
      </c>
      <c r="O262" s="515">
        <f>O261-N261</f>
        <v>-2.8349999999999795</v>
      </c>
      <c r="P262" s="515">
        <f>P261-O261</f>
        <v>-13.947999999999979</v>
      </c>
      <c r="Q262" s="81">
        <f>SUM(M262:P262)</f>
        <v>-26.076999999999998</v>
      </c>
      <c r="R262" s="515">
        <f>R261-Q261</f>
        <v>-6</v>
      </c>
      <c r="S262" s="515">
        <f>S261-R261</f>
        <v>-5</v>
      </c>
      <c r="T262" s="515">
        <f>T261-S261</f>
        <v>-6</v>
      </c>
      <c r="U262" s="515">
        <f>U261-T261</f>
        <v>-5</v>
      </c>
      <c r="V262" s="81">
        <f>SUM(R262:U262)</f>
        <v>-22</v>
      </c>
      <c r="W262" s="515">
        <f>W261-V261</f>
        <v>0</v>
      </c>
      <c r="X262" s="515">
        <f>X261-W261</f>
        <v>-4</v>
      </c>
      <c r="Y262" s="515">
        <f>Y261-X261</f>
        <v>-10</v>
      </c>
      <c r="Z262" s="515">
        <f>Z261-Y261</f>
        <v>-5</v>
      </c>
      <c r="AA262" s="81">
        <f>SUM(W262:Z262)</f>
        <v>-19</v>
      </c>
      <c r="AB262" s="515">
        <f>AB261-AA261</f>
        <v>-4</v>
      </c>
      <c r="AC262" s="515">
        <f>AC261-AB261</f>
        <v>-2</v>
      </c>
      <c r="AD262" s="515">
        <f>AD261-AC261</f>
        <v>-7</v>
      </c>
      <c r="AE262" s="515">
        <f>AE261-AD261</f>
        <v>-7</v>
      </c>
      <c r="AF262" s="81">
        <f>SUM(AB262:AE262)</f>
        <v>-20</v>
      </c>
      <c r="AG262" s="515">
        <f>AG261-AF261</f>
        <v>-5.8999999999999773</v>
      </c>
      <c r="AH262" s="515">
        <f>AH261-AG261</f>
        <v>-1</v>
      </c>
      <c r="AI262" s="515">
        <f>AI261-AH261</f>
        <v>-2</v>
      </c>
      <c r="AJ262" s="515">
        <f>AJ261-AI261</f>
        <v>-1</v>
      </c>
      <c r="AK262" s="81">
        <f>SUM(AG262:AJ262)</f>
        <v>-9.8999999999999773</v>
      </c>
      <c r="AL262" s="515">
        <f>AL261-AK261</f>
        <v>-5</v>
      </c>
      <c r="AM262" s="515">
        <f>AM261-AL261</f>
        <v>-2</v>
      </c>
      <c r="AN262" s="515">
        <f>AN261-AM261</f>
        <v>-2.52800000000002</v>
      </c>
      <c r="AO262" s="515">
        <f>AO261-AN261</f>
        <v>-4.9629999999999654</v>
      </c>
      <c r="AP262" s="81">
        <f>SUM(AL262:AO262)</f>
        <v>-14.490999999999985</v>
      </c>
      <c r="AQ262" s="515">
        <f>AQ261-AP261</f>
        <v>-1.6519999999999868</v>
      </c>
      <c r="AR262" s="515">
        <f>AR261-AQ261</f>
        <v>-2.1380000000000337</v>
      </c>
      <c r="AS262" s="515">
        <f>AS261-AR261</f>
        <v>-2.3509999999999991</v>
      </c>
      <c r="AT262" s="515">
        <f>AT261-AS261</f>
        <v>-1.0679999999999836</v>
      </c>
      <c r="AU262" s="81">
        <f>SUM(AQ262:AT262)</f>
        <v>-7.2090000000000032</v>
      </c>
      <c r="AV262" s="515"/>
      <c r="AW262" s="515"/>
      <c r="AX262" s="515"/>
      <c r="AY262" s="515"/>
      <c r="AZ262" s="81">
        <f>+AU262</f>
        <v>-7.2090000000000032</v>
      </c>
      <c r="BA262" s="515">
        <f>BA261-AZ261</f>
        <v>-1.4000000000000341</v>
      </c>
      <c r="BB262" s="515">
        <f>BB261-BA261</f>
        <v>-2.2999999999999545</v>
      </c>
      <c r="BC262" s="515">
        <f>BC261-BB261</f>
        <v>-2.6000000000000227</v>
      </c>
      <c r="BD262" s="515">
        <f>BD261-BC261</f>
        <v>-2</v>
      </c>
      <c r="BE262" s="81">
        <f>SUM(BA262:BD262)</f>
        <v>-8.3000000000000114</v>
      </c>
      <c r="BF262" s="515">
        <f>BF261-BE261</f>
        <v>-2.1000000000000227</v>
      </c>
      <c r="BG262" s="515">
        <f>BG261-BF261</f>
        <v>-1.7999999999999545</v>
      </c>
      <c r="BH262" s="515">
        <f>BH261-BG261</f>
        <v>-1.5</v>
      </c>
      <c r="BI262" s="515">
        <f>BI261-BH261</f>
        <v>-0.80000000000001137</v>
      </c>
      <c r="BJ262" s="81">
        <f>SUM(BF262:BI262)</f>
        <v>-6.1999999999999886</v>
      </c>
      <c r="BK262" s="662">
        <f>BK261-BI261</f>
        <v>-1.8000000000000114</v>
      </c>
      <c r="BL262" s="662">
        <f>BL261-BK261</f>
        <v>-0.89999999999997726</v>
      </c>
      <c r="BM262" s="545">
        <f>BM261-BL261</f>
        <v>-1.1000000000000227</v>
      </c>
      <c r="BN262" s="515">
        <f>BN261-BM261</f>
        <v>-0.49400000000002819</v>
      </c>
      <c r="BO262" s="81">
        <f>SUM(BK262:BN262)</f>
        <v>-4.2940000000000396</v>
      </c>
      <c r="BP262" s="81">
        <f>BO262</f>
        <v>-4.2940000000000396</v>
      </c>
      <c r="BQ262" s="603">
        <f>BQ261-BN261</f>
        <v>-1.081897500000025</v>
      </c>
      <c r="BR262" s="520">
        <f t="shared" ref="BR262:BT262" si="900">BR261-BQ261</f>
        <v>-1.0778403843750084</v>
      </c>
      <c r="BS262" s="520">
        <f t="shared" si="900"/>
        <v>-1.0737984829336256</v>
      </c>
      <c r="BT262" s="604">
        <f t="shared" si="900"/>
        <v>-1.0697717386225918</v>
      </c>
      <c r="BU262" s="81">
        <f>SUM(BQ262:BT262)</f>
        <v>-4.3033081059312508</v>
      </c>
      <c r="BV262" s="603"/>
      <c r="BW262" s="520"/>
      <c r="BX262" s="520"/>
      <c r="BY262" s="604"/>
      <c r="BZ262" s="602">
        <f>BZ261-BU261</f>
        <v>-7.1050672973517521</v>
      </c>
      <c r="CA262" s="603"/>
      <c r="CB262" s="520"/>
      <c r="CC262" s="520"/>
      <c r="CD262" s="604"/>
      <c r="CE262" s="602">
        <f>CE261-BZ261</f>
        <v>-6.9274406149179413</v>
      </c>
      <c r="CF262" s="603"/>
      <c r="CG262" s="520"/>
      <c r="CH262" s="520"/>
      <c r="CI262" s="604"/>
      <c r="CJ262" s="602">
        <f>CJ261-CE261</f>
        <v>-6.7542545995449927</v>
      </c>
      <c r="CK262" s="518"/>
      <c r="CL262" s="990"/>
      <c r="CM262" s="990"/>
      <c r="CN262" s="682"/>
      <c r="CO262" s="990"/>
      <c r="CP262" s="989"/>
      <c r="CQ262" s="990"/>
      <c r="CR262" s="658"/>
      <c r="CS262" s="990"/>
      <c r="CT262" s="519"/>
      <c r="CX262"/>
      <c r="CY262"/>
      <c r="CZ262"/>
      <c r="DA262"/>
      <c r="DB262"/>
      <c r="DC262"/>
    </row>
    <row r="263" spans="1:107" s="521" customFormat="1">
      <c r="A263" s="522" t="s">
        <v>67</v>
      </c>
      <c r="B263" s="81"/>
      <c r="C263" s="81"/>
      <c r="D263" s="81"/>
      <c r="E263" s="81"/>
      <c r="F263" s="81">
        <f>F262+F264</f>
        <v>4.4769999999999861</v>
      </c>
      <c r="G263" s="81">
        <f>G262+G264</f>
        <v>7.3970000000000145</v>
      </c>
      <c r="H263" s="515"/>
      <c r="I263" s="515"/>
      <c r="J263" s="515"/>
      <c r="K263" s="515"/>
      <c r="L263" s="81">
        <f>L262+L264</f>
        <v>9.0260000000000211</v>
      </c>
      <c r="M263" s="515"/>
      <c r="N263" s="515"/>
      <c r="O263" s="515"/>
      <c r="P263" s="515"/>
      <c r="Q263" s="81">
        <f>Q262+Q264</f>
        <v>4.6230000000000011</v>
      </c>
      <c r="R263" s="515"/>
      <c r="S263" s="515"/>
      <c r="T263" s="515"/>
      <c r="U263" s="515"/>
      <c r="V263" s="81">
        <f>V262+V264</f>
        <v>3.8000000000000007</v>
      </c>
      <c r="W263" s="545"/>
      <c r="X263" s="545"/>
      <c r="Y263" s="545"/>
      <c r="Z263" s="545"/>
      <c r="AA263" s="81">
        <f>AA262+AA264</f>
        <v>10</v>
      </c>
      <c r="AB263" s="545"/>
      <c r="AC263" s="545"/>
      <c r="AD263" s="545"/>
      <c r="AE263" s="545"/>
      <c r="AF263" s="81">
        <f>AF262+AF264</f>
        <v>7.1000000000000014</v>
      </c>
      <c r="AG263" s="515">
        <f>AG262+AG264</f>
        <v>2.0000000000000231</v>
      </c>
      <c r="AH263" s="515">
        <f>AH262+AH264</f>
        <v>3</v>
      </c>
      <c r="AI263" s="515">
        <f>AI262+AI264</f>
        <v>0.20000000000000018</v>
      </c>
      <c r="AJ263" s="515">
        <f>AJ262+AJ264</f>
        <v>0.8</v>
      </c>
      <c r="AK263" s="81">
        <f>SUM(AG263:AJ263)</f>
        <v>6.0000000000000231</v>
      </c>
      <c r="AL263" s="515">
        <f>AL262+AL264</f>
        <v>-0.79999999999999982</v>
      </c>
      <c r="AM263" s="515">
        <f>AM262+AM264</f>
        <v>1.4</v>
      </c>
      <c r="AN263" s="515">
        <f>AN262+AN264</f>
        <v>0.3719999999999799</v>
      </c>
      <c r="AO263" s="515">
        <f>AO262+AO264</f>
        <v>-0.26299999999996526</v>
      </c>
      <c r="AP263" s="81">
        <f>SUM(AL263:AO263)</f>
        <v>0.70900000000001473</v>
      </c>
      <c r="AQ263" s="515">
        <f>AQ262+AQ264</f>
        <v>0.64800000000001301</v>
      </c>
      <c r="AR263" s="515">
        <f>AR262+AR264</f>
        <v>1.0619999999999665</v>
      </c>
      <c r="AS263" s="515">
        <f>AS262+AS264</f>
        <v>-0.25099999999999945</v>
      </c>
      <c r="AT263" s="515">
        <f>AT262+AT264</f>
        <v>-0.9679999999999831</v>
      </c>
      <c r="AU263" s="81">
        <f>SUM(AQ263:AT263)</f>
        <v>0.49099999999999699</v>
      </c>
      <c r="AV263" s="515"/>
      <c r="AW263" s="515"/>
      <c r="AX263" s="515"/>
      <c r="AY263" s="515"/>
      <c r="AZ263" s="81">
        <f>+AU263</f>
        <v>0.49099999999999699</v>
      </c>
      <c r="BA263" s="515">
        <f>BA262+BA264</f>
        <v>1.7999999999999661</v>
      </c>
      <c r="BB263" s="515">
        <f>BB262+BB264</f>
        <v>4.5297099404706387E-14</v>
      </c>
      <c r="BC263" s="515">
        <f>BC262+BC264</f>
        <v>-0.20000000000002283</v>
      </c>
      <c r="BD263" s="515">
        <f>BD262+BD264</f>
        <v>-0.90000000000000036</v>
      </c>
      <c r="BE263" s="81">
        <f>SUM(BA263:BD263)</f>
        <v>0.69999999999998819</v>
      </c>
      <c r="BF263" s="515">
        <f>BF262+BF264</f>
        <v>1.3999999999999773</v>
      </c>
      <c r="BG263" s="515">
        <f>BG262+BG264</f>
        <v>0.20000000000004547</v>
      </c>
      <c r="BH263" s="515">
        <f>BH262+BH264</f>
        <v>0</v>
      </c>
      <c r="BI263" s="515">
        <f>BI262+BI264</f>
        <v>-0.90000000000001101</v>
      </c>
      <c r="BJ263" s="81">
        <f>SUM(BF263:BI263)</f>
        <v>0.70000000000001172</v>
      </c>
      <c r="BK263" s="662">
        <f>BK262+BK264</f>
        <v>1.0999999999999885</v>
      </c>
      <c r="BL263" s="966">
        <f>BL262+BL264</f>
        <v>2.9000000000000226</v>
      </c>
      <c r="BM263" s="545">
        <f>BM262+BM264</f>
        <v>-2.2648549702353193E-14</v>
      </c>
      <c r="BN263" s="515">
        <f>BN262+BN264</f>
        <v>-1.3940000000000268</v>
      </c>
      <c r="BO263" s="81">
        <f>SUM(BK263:BN263)</f>
        <v>2.6059999999999612</v>
      </c>
      <c r="BP263" s="81">
        <f>BO263</f>
        <v>2.6059999999999612</v>
      </c>
      <c r="BQ263" s="524">
        <f>BK263</f>
        <v>1.0999999999999885</v>
      </c>
      <c r="BR263" s="525">
        <f>BL263</f>
        <v>2.9000000000000226</v>
      </c>
      <c r="BS263" s="525">
        <f>BM263</f>
        <v>-2.2648549702353193E-14</v>
      </c>
      <c r="BT263" s="526">
        <f>BN263</f>
        <v>-1.3940000000000268</v>
      </c>
      <c r="BU263" s="936">
        <f>+SUM(BQ263:BT263)</f>
        <v>2.6059999999999612</v>
      </c>
      <c r="BV263" s="524"/>
      <c r="BW263" s="525"/>
      <c r="BX263" s="525"/>
      <c r="BY263" s="526"/>
      <c r="BZ263" s="87">
        <f>BU263</f>
        <v>2.6059999999999612</v>
      </c>
      <c r="CA263" s="524"/>
      <c r="CB263" s="525"/>
      <c r="CC263" s="525"/>
      <c r="CD263" s="526"/>
      <c r="CE263" s="87">
        <f>BZ263</f>
        <v>2.6059999999999612</v>
      </c>
      <c r="CF263" s="524"/>
      <c r="CG263" s="525"/>
      <c r="CH263" s="525"/>
      <c r="CI263" s="526"/>
      <c r="CJ263" s="87">
        <f>CE263</f>
        <v>2.6059999999999612</v>
      </c>
      <c r="CK263" s="518"/>
      <c r="CL263" s="990"/>
      <c r="CM263" s="990"/>
      <c r="CN263" s="682"/>
      <c r="CO263" s="990"/>
      <c r="CP263" s="990"/>
      <c r="CQ263" s="990"/>
      <c r="CR263" s="658"/>
      <c r="CS263" s="990"/>
      <c r="CT263" s="519"/>
      <c r="CX263"/>
      <c r="CY263"/>
      <c r="CZ263"/>
      <c r="DA263"/>
      <c r="DB263"/>
      <c r="DC263"/>
    </row>
    <row r="264" spans="1:107" s="521" customFormat="1">
      <c r="A264" s="522" t="s">
        <v>69</v>
      </c>
      <c r="B264" s="81"/>
      <c r="C264" s="81"/>
      <c r="D264" s="81"/>
      <c r="E264" s="81"/>
      <c r="F264" s="81">
        <v>11.2</v>
      </c>
      <c r="G264" s="81">
        <v>7.9</v>
      </c>
      <c r="H264" s="515"/>
      <c r="I264" s="515"/>
      <c r="J264" s="515"/>
      <c r="K264" s="515"/>
      <c r="L264" s="81">
        <v>28.7</v>
      </c>
      <c r="M264" s="515"/>
      <c r="N264" s="515"/>
      <c r="O264" s="515"/>
      <c r="P264" s="515"/>
      <c r="Q264" s="81">
        <v>30.7</v>
      </c>
      <c r="R264" s="515"/>
      <c r="S264" s="515"/>
      <c r="T264" s="515"/>
      <c r="U264" s="515"/>
      <c r="V264" s="81">
        <v>25.8</v>
      </c>
      <c r="W264" s="545"/>
      <c r="X264" s="545"/>
      <c r="Y264" s="545"/>
      <c r="Z264" s="545"/>
      <c r="AA264" s="81">
        <v>29</v>
      </c>
      <c r="AB264" s="545"/>
      <c r="AC264" s="545"/>
      <c r="AD264" s="545"/>
      <c r="AE264" s="545"/>
      <c r="AF264" s="81">
        <v>27.1</v>
      </c>
      <c r="AG264" s="515">
        <v>7.9</v>
      </c>
      <c r="AH264" s="515">
        <v>4</v>
      </c>
      <c r="AI264" s="515">
        <v>2.2000000000000002</v>
      </c>
      <c r="AJ264" s="515">
        <v>1.8</v>
      </c>
      <c r="AK264" s="81">
        <f>SUM(AG264:AJ264)</f>
        <v>15.900000000000002</v>
      </c>
      <c r="AL264" s="515">
        <v>4.2</v>
      </c>
      <c r="AM264" s="515">
        <v>3.4</v>
      </c>
      <c r="AN264" s="515">
        <v>2.9</v>
      </c>
      <c r="AO264" s="515">
        <v>4.7</v>
      </c>
      <c r="AP264" s="81">
        <f>SUM(AL264:AO264)</f>
        <v>15.2</v>
      </c>
      <c r="AQ264" s="583">
        <v>2.2999999999999998</v>
      </c>
      <c r="AR264" s="662">
        <f>5.5-SUM(AQ264)</f>
        <v>3.2</v>
      </c>
      <c r="AS264" s="545">
        <f>7.6-SUM(AQ264:AR264)</f>
        <v>2.0999999999999996</v>
      </c>
      <c r="AT264" s="662">
        <f>7.7-SUM(AQ264:AS264)</f>
        <v>0.10000000000000053</v>
      </c>
      <c r="AU264" s="81">
        <f>SUM(AQ264:AT264)</f>
        <v>7.7</v>
      </c>
      <c r="AV264" s="583"/>
      <c r="AW264" s="662"/>
      <c r="AX264" s="545"/>
      <c r="AY264" s="662"/>
      <c r="AZ264" s="81">
        <f>+AU264</f>
        <v>7.7</v>
      </c>
      <c r="BA264" s="662">
        <v>3.2</v>
      </c>
      <c r="BB264" s="662">
        <v>2.2999999999999998</v>
      </c>
      <c r="BC264" s="662">
        <v>2.4</v>
      </c>
      <c r="BD264" s="662">
        <f>9-SUM(BA264:BC264)</f>
        <v>1.0999999999999996</v>
      </c>
      <c r="BE264" s="81">
        <f>SUM(BA264:BD264)</f>
        <v>9</v>
      </c>
      <c r="BF264" s="662">
        <v>3.5</v>
      </c>
      <c r="BG264" s="662">
        <v>2</v>
      </c>
      <c r="BH264" s="662">
        <v>1.5</v>
      </c>
      <c r="BI264" s="662">
        <f>6.9-SUM(BF264:BH264)</f>
        <v>-9.9999999999999645E-2</v>
      </c>
      <c r="BJ264" s="81">
        <f>SUM(BF264:BI264)</f>
        <v>6.9</v>
      </c>
      <c r="BK264" s="662">
        <v>2.9</v>
      </c>
      <c r="BL264" s="662">
        <v>3.8</v>
      </c>
      <c r="BM264" s="545">
        <v>1.1000000000000001</v>
      </c>
      <c r="BN264" s="662">
        <f>6.9-SUM(BK264:BM264)</f>
        <v>-0.89999999999999858</v>
      </c>
      <c r="BO264" s="81">
        <f>SUM(BK264:BN264)</f>
        <v>6.9</v>
      </c>
      <c r="BP264" s="81">
        <f>BO264</f>
        <v>6.9</v>
      </c>
      <c r="BQ264" s="516">
        <f t="shared" ref="BQ264:BT264" si="901">BQ263-BQ262</f>
        <v>2.1818975000000136</v>
      </c>
      <c r="BR264" s="34">
        <f t="shared" si="901"/>
        <v>3.977840384375031</v>
      </c>
      <c r="BS264" s="34">
        <f t="shared" si="901"/>
        <v>1.0737984829336029</v>
      </c>
      <c r="BT264" s="517">
        <f t="shared" si="901"/>
        <v>-0.32422826137743499</v>
      </c>
      <c r="BU264" s="81">
        <f>SUM(BQ264:BT264)</f>
        <v>6.9093081059312116</v>
      </c>
      <c r="BV264" s="516"/>
      <c r="BW264" s="34"/>
      <c r="BX264" s="34"/>
      <c r="BY264" s="517"/>
      <c r="BZ264" s="82">
        <f>BZ263-BZ262</f>
        <v>9.7110672973517129</v>
      </c>
      <c r="CA264" s="516"/>
      <c r="CB264" s="34"/>
      <c r="CC264" s="34"/>
      <c r="CD264" s="517"/>
      <c r="CE264" s="82">
        <f>CE263-CE262</f>
        <v>9.5334406149179021</v>
      </c>
      <c r="CF264" s="516"/>
      <c r="CG264" s="34"/>
      <c r="CH264" s="34"/>
      <c r="CI264" s="517"/>
      <c r="CJ264" s="82">
        <f>CJ263-CJ262</f>
        <v>9.3602545995449535</v>
      </c>
      <c r="CK264" s="518"/>
      <c r="CL264" s="990"/>
      <c r="CM264" s="990"/>
      <c r="CN264" s="682"/>
      <c r="CO264" s="990"/>
      <c r="CP264" s="989"/>
      <c r="CQ264" s="990"/>
      <c r="CR264" s="658"/>
      <c r="CS264" s="990"/>
      <c r="CT264" s="519"/>
      <c r="CX264"/>
      <c r="CY264"/>
      <c r="CZ264"/>
      <c r="DA264"/>
      <c r="DB264"/>
      <c r="DC264"/>
    </row>
    <row r="265" spans="1:107">
      <c r="A265" s="48" t="s">
        <v>186</v>
      </c>
      <c r="B265" s="85">
        <v>356.71699999999998</v>
      </c>
      <c r="C265" s="85">
        <v>401.44400000000002</v>
      </c>
      <c r="D265" s="85">
        <v>412.68599999999998</v>
      </c>
      <c r="E265" s="85">
        <v>438.149</v>
      </c>
      <c r="F265" s="85">
        <v>446.95800000000003</v>
      </c>
      <c r="G265" s="81">
        <v>441.75099999999998</v>
      </c>
      <c r="H265" s="50">
        <v>441</v>
      </c>
      <c r="I265" s="50">
        <v>436.7</v>
      </c>
      <c r="J265" s="50">
        <v>431.2</v>
      </c>
      <c r="K265" s="34">
        <v>423.2</v>
      </c>
      <c r="L265" s="81">
        <v>433</v>
      </c>
      <c r="M265" s="34">
        <v>423.8</v>
      </c>
      <c r="N265" s="50">
        <v>419.7</v>
      </c>
      <c r="O265" s="50">
        <v>415.9</v>
      </c>
      <c r="P265" s="34">
        <v>409.8</v>
      </c>
      <c r="Q265" s="81">
        <v>417.2</v>
      </c>
      <c r="R265" s="34">
        <v>399</v>
      </c>
      <c r="S265" s="50">
        <v>392.5</v>
      </c>
      <c r="T265" s="34">
        <v>388.1</v>
      </c>
      <c r="U265" s="34">
        <v>382.2</v>
      </c>
      <c r="V265" s="82">
        <v>390.4</v>
      </c>
      <c r="W265" s="34">
        <v>377.6</v>
      </c>
      <c r="X265" s="50">
        <v>378.5</v>
      </c>
      <c r="Y265" s="34">
        <v>371.7</v>
      </c>
      <c r="Z265" s="34">
        <v>363.2</v>
      </c>
      <c r="AA265" s="82">
        <v>372.7</v>
      </c>
      <c r="AB265" s="34">
        <v>357.4</v>
      </c>
      <c r="AC265" s="50">
        <v>355</v>
      </c>
      <c r="AD265" s="50">
        <v>350.5</v>
      </c>
      <c r="AE265" s="53">
        <v>344.1</v>
      </c>
      <c r="AF265" s="81">
        <f>AVERAGE(AB265:AE265)</f>
        <v>351.75</v>
      </c>
      <c r="AG265" s="53">
        <v>337.5</v>
      </c>
      <c r="AH265" s="53">
        <v>333.4</v>
      </c>
      <c r="AI265" s="53">
        <v>332</v>
      </c>
      <c r="AJ265" s="34">
        <v>329.8</v>
      </c>
      <c r="AK265" s="81">
        <f>AVERAGE(AG265:AJ265)</f>
        <v>333.17500000000001</v>
      </c>
      <c r="AL265" s="53">
        <v>327.39999999999998</v>
      </c>
      <c r="AM265" s="53">
        <v>324.89999999999998</v>
      </c>
      <c r="AN265" s="53">
        <v>322.5</v>
      </c>
      <c r="AO265" s="53">
        <v>318.8</v>
      </c>
      <c r="AP265" s="81">
        <f>AVERAGE(AL265:AO265)</f>
        <v>323.39999999999998</v>
      </c>
      <c r="AQ265" s="520">
        <v>315</v>
      </c>
      <c r="AR265" s="663">
        <v>312.89999999999998</v>
      </c>
      <c r="AS265" s="53">
        <v>310.89999999999998</v>
      </c>
      <c r="AT265" s="663">
        <v>309.10000000000002</v>
      </c>
      <c r="AU265" s="81">
        <f>AVERAGE(AQ265:AT265)</f>
        <v>311.97500000000002</v>
      </c>
      <c r="AV265" s="520"/>
      <c r="AW265" s="663"/>
      <c r="AX265" s="53"/>
      <c r="AY265" s="663"/>
      <c r="AZ265" s="81">
        <f>+AU265</f>
        <v>311.97500000000002</v>
      </c>
      <c r="BA265" s="663">
        <v>308.2</v>
      </c>
      <c r="BB265" s="663">
        <v>305.39999999999998</v>
      </c>
      <c r="BC265" s="663">
        <v>303.89999999999998</v>
      </c>
      <c r="BD265" s="663">
        <v>301.60000000000002</v>
      </c>
      <c r="BE265" s="81">
        <v>304.8</v>
      </c>
      <c r="BF265" s="663">
        <v>299.2</v>
      </c>
      <c r="BG265" s="663">
        <v>297.3</v>
      </c>
      <c r="BH265" s="663">
        <v>295.2</v>
      </c>
      <c r="BI265" s="663">
        <v>294.2</v>
      </c>
      <c r="BJ265" s="81">
        <v>296.5</v>
      </c>
      <c r="BK265" s="663">
        <v>292.5</v>
      </c>
      <c r="BL265" s="663">
        <v>291.7</v>
      </c>
      <c r="BM265" s="53">
        <v>290.7</v>
      </c>
      <c r="BN265" s="53">
        <v>289.60000000000002</v>
      </c>
      <c r="BO265" s="81">
        <f>+AVERAGE(BK265:BN265)</f>
        <v>291.125</v>
      </c>
      <c r="BP265" s="81">
        <f>BO265</f>
        <v>291.125</v>
      </c>
      <c r="BQ265" s="695">
        <f t="shared" ref="BQ265:BT265" si="902">BQ267-BQ266</f>
        <v>288.50458135184567</v>
      </c>
      <c r="BR265" s="53">
        <f t="shared" si="902"/>
        <v>287.42101003934567</v>
      </c>
      <c r="BS265" s="53">
        <f t="shared" si="902"/>
        <v>286.34150211926755</v>
      </c>
      <c r="BT265" s="618">
        <f t="shared" si="902"/>
        <v>285.2660423538897</v>
      </c>
      <c r="BU265" s="81">
        <f>+AVERAGE(BQ265:BT265)</f>
        <v>286.88328396608711</v>
      </c>
      <c r="BV265" s="695"/>
      <c r="BW265" s="53"/>
      <c r="BX265" s="53"/>
      <c r="BY265" s="618"/>
      <c r="BZ265" s="81">
        <f>BZ267-BZ266</f>
        <v>279.70000765073104</v>
      </c>
      <c r="CA265" s="695"/>
      <c r="CB265" s="53"/>
      <c r="CC265" s="53"/>
      <c r="CD265" s="618"/>
      <c r="CE265" s="81">
        <f>CE267-CE266</f>
        <v>272.69631324325888</v>
      </c>
      <c r="CF265" s="695"/>
      <c r="CG265" s="53"/>
      <c r="CH265" s="53"/>
      <c r="CI265" s="618"/>
      <c r="CJ265" s="81">
        <f>CJ267-CJ266</f>
        <v>265.86771119597353</v>
      </c>
      <c r="CK265" s="66"/>
      <c r="CL265" s="658"/>
      <c r="CM265" s="658"/>
      <c r="CN265" s="682"/>
      <c r="CO265" s="658"/>
      <c r="CP265" s="990"/>
      <c r="CQ265" s="990"/>
      <c r="CR265" s="658"/>
      <c r="CS265" s="990"/>
      <c r="CT265" s="289"/>
    </row>
    <row r="266" spans="1:107">
      <c r="A266" s="349" t="s">
        <v>187</v>
      </c>
      <c r="B266" s="81">
        <f t="shared" ref="B266:AC266" si="903">B267-B265</f>
        <v>4.6059999999999945</v>
      </c>
      <c r="C266" s="81">
        <f t="shared" si="903"/>
        <v>6.5869999999999891</v>
      </c>
      <c r="D266" s="81">
        <f t="shared" si="903"/>
        <v>2.742999999999995</v>
      </c>
      <c r="E266" s="81">
        <f t="shared" si="903"/>
        <v>4.0520000000000209</v>
      </c>
      <c r="F266" s="81">
        <f t="shared" si="903"/>
        <v>8.9419999999999504</v>
      </c>
      <c r="G266" s="81">
        <f t="shared" si="903"/>
        <v>12.149000000000001</v>
      </c>
      <c r="H266" s="50">
        <f t="shared" si="903"/>
        <v>12.5</v>
      </c>
      <c r="I266" s="50">
        <f t="shared" si="903"/>
        <v>12.100000000000023</v>
      </c>
      <c r="J266" s="50">
        <f t="shared" si="903"/>
        <v>11.800000000000011</v>
      </c>
      <c r="K266" s="34">
        <f t="shared" si="903"/>
        <v>13.600000000000023</v>
      </c>
      <c r="L266" s="81">
        <f t="shared" si="903"/>
        <v>12.699999999999989</v>
      </c>
      <c r="M266" s="34">
        <f t="shared" si="903"/>
        <v>10.899999999999977</v>
      </c>
      <c r="N266" s="50">
        <f t="shared" si="903"/>
        <v>10.300000000000011</v>
      </c>
      <c r="O266" s="50">
        <f t="shared" si="903"/>
        <v>9</v>
      </c>
      <c r="P266" s="34">
        <f t="shared" si="903"/>
        <v>6.5999999999999659</v>
      </c>
      <c r="Q266" s="81">
        <f t="shared" si="903"/>
        <v>9.2510000000000332</v>
      </c>
      <c r="R266" s="34">
        <f t="shared" si="903"/>
        <v>5</v>
      </c>
      <c r="S266" s="50">
        <f t="shared" si="903"/>
        <v>4.8000000000000114</v>
      </c>
      <c r="T266" s="34">
        <f t="shared" si="903"/>
        <v>5.2999999999999545</v>
      </c>
      <c r="U266" s="34">
        <f t="shared" si="903"/>
        <v>6.1999999999999886</v>
      </c>
      <c r="V266" s="82">
        <f t="shared" si="903"/>
        <v>5.3000000000000114</v>
      </c>
      <c r="W266" s="34">
        <f t="shared" si="903"/>
        <v>6.7999999999999545</v>
      </c>
      <c r="X266" s="50">
        <f t="shared" si="903"/>
        <v>4.6000000000000227</v>
      </c>
      <c r="Y266" s="34">
        <f t="shared" si="903"/>
        <v>2.8000000000000114</v>
      </c>
      <c r="Z266" s="34">
        <f t="shared" si="903"/>
        <v>2.8000000000000114</v>
      </c>
      <c r="AA266" s="82">
        <f t="shared" si="903"/>
        <v>4.3000000000000114</v>
      </c>
      <c r="AB266" s="34">
        <f t="shared" si="903"/>
        <v>3.4000000000000341</v>
      </c>
      <c r="AC266" s="50">
        <f t="shared" si="903"/>
        <v>2.1000000000000227</v>
      </c>
      <c r="AD266" s="50">
        <f>AD267-AD265</f>
        <v>0.89999999999997726</v>
      </c>
      <c r="AE266" s="53">
        <f>AE267-AE265</f>
        <v>1</v>
      </c>
      <c r="AF266" s="81">
        <f>AF267-AF265</f>
        <v>1.8500000000000227</v>
      </c>
      <c r="AG266" s="53">
        <f t="shared" ref="AG266:AM266" si="904">AG267-AG265</f>
        <v>1.1999999999999886</v>
      </c>
      <c r="AH266" s="53">
        <f t="shared" si="904"/>
        <v>1</v>
      </c>
      <c r="AI266" s="53">
        <f t="shared" si="904"/>
        <v>1</v>
      </c>
      <c r="AJ266" s="34">
        <f t="shared" si="904"/>
        <v>1</v>
      </c>
      <c r="AK266" s="82">
        <f>AK267-AK265</f>
        <v>1.0249999999999773</v>
      </c>
      <c r="AL266" s="53">
        <f>AL267-AL265</f>
        <v>0.80000000000001137</v>
      </c>
      <c r="AM266" s="53">
        <f t="shared" si="904"/>
        <v>0.70000000000004547</v>
      </c>
      <c r="AN266" s="53">
        <f>AN267-AN265</f>
        <v>0.80000000000001137</v>
      </c>
      <c r="AO266" s="53">
        <f>AO267-AO265</f>
        <v>0.80000000000001137</v>
      </c>
      <c r="AP266" s="82">
        <f>AO266</f>
        <v>0.80000000000001137</v>
      </c>
      <c r="AQ266" s="53">
        <f t="shared" ref="AQ266:BE266" si="905">AQ267-AQ265</f>
        <v>0.80000000000001137</v>
      </c>
      <c r="AR266" s="663">
        <f t="shared" si="905"/>
        <v>0.60000000000002274</v>
      </c>
      <c r="AS266" s="53">
        <f t="shared" si="905"/>
        <v>0.5</v>
      </c>
      <c r="AT266" s="53">
        <f t="shared" si="905"/>
        <v>0.59999999999996589</v>
      </c>
      <c r="AU266" s="82">
        <f t="shared" si="905"/>
        <v>0.62499999999994316</v>
      </c>
      <c r="AV266" s="53"/>
      <c r="AW266" s="663"/>
      <c r="AX266" s="53"/>
      <c r="AY266" s="53"/>
      <c r="AZ266" s="82">
        <f t="shared" ref="AZ266:AZ270" si="906">+AU266</f>
        <v>0.62499999999994316</v>
      </c>
      <c r="BA266" s="53">
        <f t="shared" si="905"/>
        <v>0.40000000000003411</v>
      </c>
      <c r="BB266" s="663">
        <f t="shared" si="905"/>
        <v>0.30000000000001137</v>
      </c>
      <c r="BC266" s="53">
        <f t="shared" si="905"/>
        <v>0.40000000000003411</v>
      </c>
      <c r="BD266" s="663">
        <f t="shared" si="905"/>
        <v>0.5</v>
      </c>
      <c r="BE266" s="82">
        <f t="shared" si="905"/>
        <v>0.39999999999997726</v>
      </c>
      <c r="BF266" s="53">
        <f t="shared" ref="BF266" si="907">BF267-BF265</f>
        <v>0.40000000000003411</v>
      </c>
      <c r="BG266" s="663">
        <f t="shared" ref="BG266" si="908">BG267-BG265</f>
        <v>0.30000000000001137</v>
      </c>
      <c r="BH266" s="53">
        <f t="shared" ref="BH266" si="909">BH267-BH265</f>
        <v>0.30000000000001137</v>
      </c>
      <c r="BI266" s="663">
        <f t="shared" ref="BI266" si="910">BI267-BI265</f>
        <v>0.30000000000001137</v>
      </c>
      <c r="BJ266" s="82">
        <f>BJ267-BJ265</f>
        <v>0.30000000000001137</v>
      </c>
      <c r="BK266" s="663">
        <f t="shared" ref="BK266:BN266" si="911">BK267-BK265</f>
        <v>0.30000000000001137</v>
      </c>
      <c r="BL266" s="967">
        <f t="shared" si="911"/>
        <v>0.30000000000001137</v>
      </c>
      <c r="BM266" s="53">
        <f t="shared" si="911"/>
        <v>0.30000000000001137</v>
      </c>
      <c r="BN266" s="663">
        <f t="shared" si="911"/>
        <v>0.43999999999999773</v>
      </c>
      <c r="BO266" s="82">
        <f>BO267-BO265</f>
        <v>0.27499999999997726</v>
      </c>
      <c r="BP266" s="82">
        <f>BP267-BP265</f>
        <v>0.27499999999997726</v>
      </c>
      <c r="BQ266" s="1019">
        <v>0.44776864815436118</v>
      </c>
      <c r="BR266" s="1020">
        <f>BQ266</f>
        <v>0.44776864815436118</v>
      </c>
      <c r="BS266" s="1020">
        <f>BR266</f>
        <v>0.44776864815436118</v>
      </c>
      <c r="BT266" s="1021">
        <f>BS266</f>
        <v>0.44776864815436118</v>
      </c>
      <c r="BU266" s="82">
        <f>BU267-BU265</f>
        <v>0.44776864815435147</v>
      </c>
      <c r="BV266" s="343"/>
      <c r="BW266" s="49"/>
      <c r="BX266" s="49"/>
      <c r="BY266" s="344"/>
      <c r="BZ266" s="87">
        <f>BU266</f>
        <v>0.44776864815435147</v>
      </c>
      <c r="CA266" s="343"/>
      <c r="CB266" s="49"/>
      <c r="CC266" s="49"/>
      <c r="CD266" s="344"/>
      <c r="CE266" s="87">
        <f>BZ266</f>
        <v>0.44776864815435147</v>
      </c>
      <c r="CF266" s="343"/>
      <c r="CG266" s="49"/>
      <c r="CH266" s="49"/>
      <c r="CI266" s="344"/>
      <c r="CJ266" s="87">
        <f>CE266</f>
        <v>0.44776864815435147</v>
      </c>
      <c r="CK266" s="66"/>
      <c r="CL266" s="658"/>
      <c r="CM266" s="658"/>
      <c r="CN266" s="682"/>
      <c r="CO266" s="658"/>
      <c r="CP266" s="989"/>
      <c r="CQ266" s="990"/>
      <c r="CR266" s="658"/>
      <c r="CS266" s="990"/>
      <c r="CT266" s="289"/>
    </row>
    <row r="267" spans="1:107" s="299" customFormat="1">
      <c r="A267" s="287" t="s">
        <v>115</v>
      </c>
      <c r="B267" s="261">
        <v>361.32299999999998</v>
      </c>
      <c r="C267" s="261">
        <v>408.03100000000001</v>
      </c>
      <c r="D267" s="261">
        <v>415.42899999999997</v>
      </c>
      <c r="E267" s="261">
        <v>442.20100000000002</v>
      </c>
      <c r="F267" s="261">
        <v>455.9</v>
      </c>
      <c r="G267" s="683">
        <v>453.9</v>
      </c>
      <c r="H267" s="684">
        <v>453.5</v>
      </c>
      <c r="I267" s="684">
        <v>448.8</v>
      </c>
      <c r="J267" s="684">
        <v>443</v>
      </c>
      <c r="K267" s="685">
        <v>436.8</v>
      </c>
      <c r="L267" s="686">
        <v>445.7</v>
      </c>
      <c r="M267" s="685">
        <v>434.7</v>
      </c>
      <c r="N267" s="684">
        <v>430</v>
      </c>
      <c r="O267" s="684">
        <v>424.9</v>
      </c>
      <c r="P267" s="687">
        <v>416.4</v>
      </c>
      <c r="Q267" s="688">
        <f>426.5-0.049</f>
        <v>426.45100000000002</v>
      </c>
      <c r="R267" s="685">
        <v>404</v>
      </c>
      <c r="S267" s="684">
        <v>397.3</v>
      </c>
      <c r="T267" s="689">
        <v>393.4</v>
      </c>
      <c r="U267" s="687">
        <v>388.4</v>
      </c>
      <c r="V267" s="688">
        <v>395.7</v>
      </c>
      <c r="W267" s="685">
        <v>384.4</v>
      </c>
      <c r="X267" s="684">
        <v>383.1</v>
      </c>
      <c r="Y267" s="689">
        <v>374.5</v>
      </c>
      <c r="Z267" s="687">
        <v>366</v>
      </c>
      <c r="AA267" s="688">
        <v>377</v>
      </c>
      <c r="AB267" s="687">
        <v>360.8</v>
      </c>
      <c r="AC267" s="684">
        <v>357.1</v>
      </c>
      <c r="AD267" s="689">
        <v>351.4</v>
      </c>
      <c r="AE267" s="687">
        <v>345.1</v>
      </c>
      <c r="AF267" s="688">
        <v>353.6</v>
      </c>
      <c r="AG267" s="687">
        <v>338.7</v>
      </c>
      <c r="AH267" s="684">
        <v>334.4</v>
      </c>
      <c r="AI267" s="689">
        <v>333</v>
      </c>
      <c r="AJ267" s="687">
        <v>330.8</v>
      </c>
      <c r="AK267" s="688">
        <v>334.2</v>
      </c>
      <c r="AL267" s="689">
        <v>328.2</v>
      </c>
      <c r="AM267" s="689">
        <v>325.60000000000002</v>
      </c>
      <c r="AN267" s="689">
        <v>323.3</v>
      </c>
      <c r="AO267" s="689">
        <v>319.60000000000002</v>
      </c>
      <c r="AP267" s="688">
        <f>AVERAGE(AL267:AO267)</f>
        <v>324.17499999999995</v>
      </c>
      <c r="AQ267" s="689">
        <v>315.8</v>
      </c>
      <c r="AR267" s="690">
        <v>313.5</v>
      </c>
      <c r="AS267" s="689">
        <v>311.39999999999998</v>
      </c>
      <c r="AT267" s="689">
        <v>309.7</v>
      </c>
      <c r="AU267" s="688">
        <f>AVERAGE(AQ267:AT267)</f>
        <v>312.59999999999997</v>
      </c>
      <c r="AV267" s="689"/>
      <c r="AW267" s="690"/>
      <c r="AX267" s="689"/>
      <c r="AY267" s="689"/>
      <c r="AZ267" s="688">
        <f t="shared" si="906"/>
        <v>312.59999999999997</v>
      </c>
      <c r="BA267" s="689">
        <v>308.60000000000002</v>
      </c>
      <c r="BB267" s="690">
        <v>305.7</v>
      </c>
      <c r="BC267" s="690">
        <v>304.3</v>
      </c>
      <c r="BD267" s="690">
        <v>302.10000000000002</v>
      </c>
      <c r="BE267" s="688">
        <v>305.2</v>
      </c>
      <c r="BF267" s="690">
        <v>299.60000000000002</v>
      </c>
      <c r="BG267" s="690">
        <v>297.60000000000002</v>
      </c>
      <c r="BH267" s="690">
        <v>295.5</v>
      </c>
      <c r="BI267" s="690">
        <v>294.5</v>
      </c>
      <c r="BJ267" s="686">
        <v>296.8</v>
      </c>
      <c r="BK267" s="690">
        <v>292.8</v>
      </c>
      <c r="BL267" s="690">
        <v>292</v>
      </c>
      <c r="BM267" s="690">
        <v>291</v>
      </c>
      <c r="BN267" s="690">
        <v>290.04000000000002</v>
      </c>
      <c r="BO267" s="688">
        <v>291.39999999999998</v>
      </c>
      <c r="BP267" s="688">
        <f>BO267</f>
        <v>291.39999999999998</v>
      </c>
      <c r="BQ267" s="691">
        <f>+BN267*(1+BQ268/4)</f>
        <v>288.95235000000002</v>
      </c>
      <c r="BR267" s="687">
        <f>+BQ267*(1+BR268/4)</f>
        <v>287.86877868750003</v>
      </c>
      <c r="BS267" s="687">
        <f>+BR267*(1+BS268/4)</f>
        <v>286.7892707674219</v>
      </c>
      <c r="BT267" s="692">
        <f t="shared" ref="BT267" si="912">+BS267*(1+BT268/4)</f>
        <v>285.71381100204405</v>
      </c>
      <c r="BU267" s="686">
        <f>+AVERAGE(BQ267:BT267)</f>
        <v>287.33105261424146</v>
      </c>
      <c r="BV267" s="691"/>
      <c r="BW267" s="687"/>
      <c r="BX267" s="687"/>
      <c r="BY267" s="692"/>
      <c r="BZ267" s="686">
        <f>BU267*(1+BZ268)</f>
        <v>280.14777629888539</v>
      </c>
      <c r="CA267" s="691"/>
      <c r="CB267" s="687"/>
      <c r="CC267" s="687"/>
      <c r="CD267" s="692"/>
      <c r="CE267" s="686">
        <f>BZ267*(1+CE268)</f>
        <v>273.14408189141324</v>
      </c>
      <c r="CF267" s="691"/>
      <c r="CG267" s="687"/>
      <c r="CH267" s="687"/>
      <c r="CI267" s="692"/>
      <c r="CJ267" s="686">
        <f>CE267*(1+CJ268)</f>
        <v>266.31547984412788</v>
      </c>
      <c r="CK267" s="290"/>
      <c r="CL267" s="657" t="s">
        <v>360</v>
      </c>
      <c r="CM267" s="658"/>
      <c r="CN267" s="682"/>
      <c r="CO267" s="658"/>
      <c r="CP267" s="990"/>
      <c r="CQ267" s="990"/>
      <c r="CR267" s="658"/>
      <c r="CS267" s="990"/>
      <c r="CT267" s="290"/>
      <c r="CX267"/>
      <c r="CY267"/>
      <c r="CZ267"/>
      <c r="DA267"/>
      <c r="DB267"/>
      <c r="DC267"/>
    </row>
    <row r="268" spans="1:107" s="233" customFormat="1">
      <c r="A268" s="509" t="s">
        <v>91</v>
      </c>
      <c r="B268" s="254"/>
      <c r="C268" s="257">
        <f>C267/B267-1</f>
        <v>0.12926937947487427</v>
      </c>
      <c r="D268" s="257">
        <f>D267/C267-1</f>
        <v>1.8130975342559585E-2</v>
      </c>
      <c r="E268" s="257">
        <f>E267/D267-1</f>
        <v>6.4444225126315313E-2</v>
      </c>
      <c r="F268" s="257">
        <f>F267/E267-1</f>
        <v>3.0979124877600794E-2</v>
      </c>
      <c r="G268" s="257">
        <f>G267/F267-1</f>
        <v>-4.3869269576661818E-3</v>
      </c>
      <c r="H268" s="342"/>
      <c r="I268" s="342">
        <f>(I267/H267-1)*4</f>
        <v>-4.1455347298787082E-2</v>
      </c>
      <c r="J268" s="342">
        <f>(J267/I267-1)*4</f>
        <v>-5.1693404634581164E-2</v>
      </c>
      <c r="K268" s="342">
        <f>(K267/J267-1)*4</f>
        <v>-5.5981941309255046E-2</v>
      </c>
      <c r="L268" s="257">
        <f>((L267)/G267-1)</f>
        <v>-1.8065653227583134E-2</v>
      </c>
      <c r="M268" s="342">
        <f>(M267/K267-1)*4</f>
        <v>-1.9230769230769607E-2</v>
      </c>
      <c r="N268" s="342">
        <f>(N267/M267-1)*4</f>
        <v>-4.3248217161260705E-2</v>
      </c>
      <c r="O268" s="342">
        <f>(O267/N267-1)*4</f>
        <v>-4.7441860465116559E-2</v>
      </c>
      <c r="P268" s="342">
        <f>(P267/O267-1)*4</f>
        <v>-8.0018827959519978E-2</v>
      </c>
      <c r="Q268" s="257">
        <f>((Q267)/L267-1)</f>
        <v>-4.3188243212923472E-2</v>
      </c>
      <c r="R268" s="342">
        <f>(R267/P267-1)*4</f>
        <v>-0.11911623439000918</v>
      </c>
      <c r="S268" s="342">
        <f>(S267/R267-1)*4</f>
        <v>-6.6336633663366396E-2</v>
      </c>
      <c r="T268" s="342">
        <f>(T267/S267-1)*4</f>
        <v>-3.9265039013340441E-2</v>
      </c>
      <c r="U268" s="342">
        <f>(U267/T267-1)*4</f>
        <v>-5.0838840874428026E-2</v>
      </c>
      <c r="V268" s="257">
        <f>((V267)/Q267-1)</f>
        <v>-7.2109105149243513E-2</v>
      </c>
      <c r="W268" s="342">
        <f>(W267/U267-1)*4</f>
        <v>-4.1194644696189719E-2</v>
      </c>
      <c r="X268" s="342">
        <f>(X267/W267-1)*4</f>
        <v>-1.3527575442247031E-2</v>
      </c>
      <c r="Y268" s="342">
        <f>(Y267/X267-1)*4</f>
        <v>-8.9793787522840063E-2</v>
      </c>
      <c r="Z268" s="342">
        <f>(Z267/Y267-1)*4</f>
        <v>-9.0787716955941455E-2</v>
      </c>
      <c r="AA268" s="257">
        <f>((AA267)/V267-1)</f>
        <v>-4.7258023755370249E-2</v>
      </c>
      <c r="AB268" s="342">
        <f>(AB267/Z267-1)*4</f>
        <v>-5.683060109289606E-2</v>
      </c>
      <c r="AC268" s="342">
        <f>(AC267/AB267-1)*4</f>
        <v>-4.1019955654101992E-2</v>
      </c>
      <c r="AD268" s="342">
        <f>(AD267/AC267-1)*4</f>
        <v>-6.3847661719406812E-2</v>
      </c>
      <c r="AE268" s="342">
        <f>(AE267/AD267-1)*4</f>
        <v>-7.1713147410358058E-2</v>
      </c>
      <c r="AF268" s="257">
        <f>((AF267)/AA267-1)</f>
        <v>-6.2068965517241281E-2</v>
      </c>
      <c r="AG268" s="342">
        <f>(AG267/AE267-1)*4</f>
        <v>-7.4181396696610058E-2</v>
      </c>
      <c r="AH268" s="342">
        <f>(AH267/AG267-1)*4</f>
        <v>-5.0782403306761204E-2</v>
      </c>
      <c r="AI268" s="342">
        <f>(AI267/AH267-1)*4</f>
        <v>-1.6746411483253176E-2</v>
      </c>
      <c r="AJ268" s="342">
        <f>(AJ267/AI267-1)*4</f>
        <v>-2.6426426426426453E-2</v>
      </c>
      <c r="AK268" s="257">
        <f>((AK267)/AF267-1)</f>
        <v>-5.4864253393665297E-2</v>
      </c>
      <c r="AL268" s="342">
        <f>(AL267/AJ267-1)*4</f>
        <v>-3.1438935912938781E-2</v>
      </c>
      <c r="AM268" s="342">
        <f>(AM267/AL267-1)*4</f>
        <v>-3.1687995124923596E-2</v>
      </c>
      <c r="AN268" s="342">
        <f>(AN267/AM267-1)*4</f>
        <v>-2.825552825552835E-2</v>
      </c>
      <c r="AO268" s="342">
        <f>(AO267/AN267-1)*4</f>
        <v>-4.577791524899455E-2</v>
      </c>
      <c r="AP268" s="257">
        <f>((AP267)/AK267-1)</f>
        <v>-2.9997007779772655E-2</v>
      </c>
      <c r="AQ268" s="342">
        <f>(AQ267/AO267-1)*4</f>
        <v>-4.7559449311639579E-2</v>
      </c>
      <c r="AR268" s="664">
        <f>(AR267/AQ267-1)*4</f>
        <v>-2.9132362254591815E-2</v>
      </c>
      <c r="AS268" s="342">
        <f>(AS267/AR267-1)*4</f>
        <v>-2.6794258373206148E-2</v>
      </c>
      <c r="AT268" s="342">
        <f>(AT267/AS267-1)*4</f>
        <v>-2.1836865767501656E-2</v>
      </c>
      <c r="AU268" s="257">
        <f>((AU267)/AP267-1)</f>
        <v>-3.5706022981414343E-2</v>
      </c>
      <c r="AV268" s="342"/>
      <c r="AW268" s="664"/>
      <c r="AX268" s="342"/>
      <c r="AY268" s="342"/>
      <c r="AZ268" s="257">
        <f t="shared" si="906"/>
        <v>-3.5706022981414343E-2</v>
      </c>
      <c r="BA268" s="342">
        <f>(BA267/AT267-1)*4</f>
        <v>-1.4207297384565276E-2</v>
      </c>
      <c r="BB268" s="664">
        <f>(BB267/BA267-1)*4</f>
        <v>-3.7589112119248647E-2</v>
      </c>
      <c r="BC268" s="342">
        <f>(BC267/BB267-1)*4</f>
        <v>-1.8318613019299601E-2</v>
      </c>
      <c r="BD268" s="342">
        <f>(BD267/BC267-1)*4</f>
        <v>-2.8918830101873017E-2</v>
      </c>
      <c r="BE268" s="257">
        <f>((BE267)/AZ267-1)</f>
        <v>-2.3672424824056182E-2</v>
      </c>
      <c r="BF268" s="342">
        <f>(BF267/BD267-1)*4</f>
        <v>-3.3101621979477081E-2</v>
      </c>
      <c r="BG268" s="664">
        <f>(BG267/BF267-1)*4</f>
        <v>-2.6702269692923775E-2</v>
      </c>
      <c r="BH268" s="342">
        <f>(BH267/BG267-1)*4</f>
        <v>-2.8225806451612989E-2</v>
      </c>
      <c r="BI268" s="342">
        <f>(BI267/BH267-1)*4</f>
        <v>-1.353637901861271E-2</v>
      </c>
      <c r="BJ268" s="257">
        <f>((BJ267)/BE267-1)</f>
        <v>-2.752293577981646E-2</v>
      </c>
      <c r="BK268" s="342">
        <f>(BK267/BI267-1)*4</f>
        <v>-2.3089983022070992E-2</v>
      </c>
      <c r="BL268" s="664">
        <f>(BL267/BK267-1)*4</f>
        <v>-1.0928961748633892E-2</v>
      </c>
      <c r="BM268" s="342">
        <f>(BM267/BL267-1)*4</f>
        <v>-1.3698630136986356E-2</v>
      </c>
      <c r="BN268" s="342">
        <f>(BN267/BM267-1)*4</f>
        <v>-1.319587628865948E-2</v>
      </c>
      <c r="BO268" s="257">
        <f>((BO267)/BJ267-1)</f>
        <v>-1.8194070080862601E-2</v>
      </c>
      <c r="BP268" s="257">
        <f>((BP267)/BJ267-1)</f>
        <v>-1.8194070080862601E-2</v>
      </c>
      <c r="BQ268" s="259">
        <v>-1.4999999999999999E-2</v>
      </c>
      <c r="BR268" s="258">
        <v>-1.4999999999999999E-2</v>
      </c>
      <c r="BS268" s="258">
        <v>-1.4999999999999999E-2</v>
      </c>
      <c r="BT268" s="260">
        <v>-1.4999999999999999E-2</v>
      </c>
      <c r="BU268" s="257">
        <f>((BU267)/BP267-1)</f>
        <v>-1.3963443327928982E-2</v>
      </c>
      <c r="BV268" s="259"/>
      <c r="BW268" s="258"/>
      <c r="BX268" s="258"/>
      <c r="BY268" s="260"/>
      <c r="BZ268" s="88">
        <v>-2.5000000000000001E-2</v>
      </c>
      <c r="CA268" s="259"/>
      <c r="CB268" s="258"/>
      <c r="CC268" s="258"/>
      <c r="CD268" s="260"/>
      <c r="CE268" s="88">
        <v>-2.5000000000000001E-2</v>
      </c>
      <c r="CF268" s="259"/>
      <c r="CG268" s="258"/>
      <c r="CH268" s="258"/>
      <c r="CI268" s="260"/>
      <c r="CJ268" s="88">
        <v>-2.5000000000000001E-2</v>
      </c>
      <c r="CK268" s="292"/>
      <c r="CL268" s="657"/>
      <c r="CM268" s="989"/>
      <c r="CN268" s="987"/>
      <c r="CO268" s="680"/>
      <c r="CP268" s="989"/>
      <c r="CQ268" s="990"/>
      <c r="CR268" s="657"/>
      <c r="CS268" s="990"/>
      <c r="CT268" s="292"/>
      <c r="CX268"/>
      <c r="CY268"/>
      <c r="CZ268"/>
      <c r="DA268"/>
      <c r="DB268"/>
      <c r="DC268"/>
    </row>
    <row r="269" spans="1:107" s="314" customFormat="1">
      <c r="A269" s="396" t="s">
        <v>188</v>
      </c>
      <c r="B269" s="386">
        <v>30.529167564516154</v>
      </c>
      <c r="C269" s="386">
        <v>35.412097039682571</v>
      </c>
      <c r="D269" s="386">
        <v>29.749397698412725</v>
      </c>
      <c r="E269" s="386">
        <v>34.235191488095246</v>
      </c>
      <c r="F269" s="386">
        <v>38.431183865079348</v>
      </c>
      <c r="G269" s="386">
        <v>46.2388380836653</v>
      </c>
      <c r="H269" s="389">
        <v>53.067534327868863</v>
      </c>
      <c r="I269" s="389">
        <v>54.739993603174625</v>
      </c>
      <c r="J269" s="389">
        <v>57.82427871428574</v>
      </c>
      <c r="K269" s="389">
        <v>62.954212375000019</v>
      </c>
      <c r="L269" s="388">
        <f>AVERAGE(H269:K269)</f>
        <v>57.146504755082312</v>
      </c>
      <c r="M269" s="389">
        <v>63.965730721311495</v>
      </c>
      <c r="N269" s="389">
        <v>62.765774515624997</v>
      </c>
      <c r="O269" s="389">
        <v>58.316556250000019</v>
      </c>
      <c r="P269" s="389">
        <v>48.661712156250026</v>
      </c>
      <c r="Q269" s="388">
        <f>AVERAGE(M269:P269)</f>
        <v>58.427443410796634</v>
      </c>
      <c r="R269" s="389">
        <v>44.117206016393453</v>
      </c>
      <c r="S269" s="389">
        <v>44.514913380952393</v>
      </c>
      <c r="T269" s="389">
        <v>46.333899718750011</v>
      </c>
      <c r="U269" s="389">
        <v>49.25983643750002</v>
      </c>
      <c r="V269" s="388">
        <f>AVERAGE(R269:U269)</f>
        <v>46.056463888398966</v>
      </c>
      <c r="W269" s="389">
        <v>55.064681296875015</v>
      </c>
      <c r="X269" s="389">
        <v>55.030945730158741</v>
      </c>
      <c r="Y269" s="389">
        <v>46.294056921875004</v>
      </c>
      <c r="Z269" s="389">
        <v>46.416867906250026</v>
      </c>
      <c r="AA269" s="388">
        <f>AVERAGE(W269:Z269)</f>
        <v>50.701637963789693</v>
      </c>
      <c r="AB269" s="389">
        <v>50.687412612903245</v>
      </c>
      <c r="AC269" s="389">
        <v>49.241580079365079</v>
      </c>
      <c r="AD269" s="389">
        <v>43.033274703125016</v>
      </c>
      <c r="AE269" s="389">
        <v>44.329516238095245</v>
      </c>
      <c r="AF269" s="388">
        <f>AVERAGE(AB269:AE269)</f>
        <v>46.822945908372141</v>
      </c>
      <c r="AG269" s="389">
        <v>50.320315951612905</v>
      </c>
      <c r="AH269" s="389">
        <v>52.429835253968257</v>
      </c>
      <c r="AI269" s="389">
        <v>56.43126257142859</v>
      </c>
      <c r="AJ269" s="389">
        <v>56.404187774193559</v>
      </c>
      <c r="AK269" s="388">
        <f>AVERAGE(AG269:AJ269)</f>
        <v>53.896400387800831</v>
      </c>
      <c r="AL269" s="389">
        <v>56.018326566666687</v>
      </c>
      <c r="AM269" s="389">
        <v>63.200305937500012</v>
      </c>
      <c r="AN269" s="389">
        <v>74.587522975308701</v>
      </c>
      <c r="AO269" s="389">
        <v>83.369070200000024</v>
      </c>
      <c r="AP269" s="388">
        <f>AVERAGE(AL269:AO269)</f>
        <v>69.293806419868858</v>
      </c>
      <c r="AQ269" s="584">
        <v>96.429994434782657</v>
      </c>
      <c r="AR269" s="665">
        <v>106.072993878261</v>
      </c>
      <c r="AS269" s="705">
        <v>94.348699999999994</v>
      </c>
      <c r="AT269" s="665">
        <v>103.20984331249998</v>
      </c>
      <c r="AU269" s="388">
        <f>AVERAGE(AQ269:AT269)</f>
        <v>100.01538290638591</v>
      </c>
      <c r="AV269" s="584"/>
      <c r="AW269" s="665"/>
      <c r="AX269" s="705"/>
      <c r="AY269" s="665"/>
      <c r="AZ269" s="388">
        <f t="shared" si="906"/>
        <v>100.01538290638591</v>
      </c>
      <c r="BA269" s="584">
        <v>107.489006</v>
      </c>
      <c r="BB269" s="665">
        <v>104.812861238095</v>
      </c>
      <c r="BC269" s="705">
        <v>104.468596875</v>
      </c>
      <c r="BD269" s="775">
        <v>120.21</v>
      </c>
      <c r="BE269" s="388">
        <f>AVERAGE(BA269:BD269)</f>
        <v>109.24511602827374</v>
      </c>
      <c r="BF269" s="665">
        <v>123.18032741935484</v>
      </c>
      <c r="BG269" s="665">
        <v>130.14477415384616</v>
      </c>
      <c r="BH269" s="878">
        <v>139.02277384615388</v>
      </c>
      <c r="BI269" s="775">
        <v>142.01312984374997</v>
      </c>
      <c r="BJ269" s="388">
        <f>AVERAGE(BF269:BI269)</f>
        <v>133.59025131577621</v>
      </c>
      <c r="BK269" s="665">
        <v>150.46</v>
      </c>
      <c r="BL269" s="775">
        <v>158.39875421874999</v>
      </c>
      <c r="BM269" s="775">
        <v>175.93141109375006</v>
      </c>
      <c r="BN269" s="775">
        <v>175.93141109375006</v>
      </c>
      <c r="BO269" s="388">
        <f>AVERAGE(BK269:BN269)</f>
        <v>165.18039410156251</v>
      </c>
      <c r="BP269" s="388">
        <f>BO269</f>
        <v>165.18039410156251</v>
      </c>
      <c r="BQ269" s="390">
        <f>+BN269*(1+BQ270)</f>
        <v>179.45003931562505</v>
      </c>
      <c r="BR269" s="387">
        <f t="shared" ref="BR269" si="913">+BQ269*(1+BR270)</f>
        <v>183.03904010193756</v>
      </c>
      <c r="BS269" s="387">
        <f t="shared" ref="BS269" si="914">+BR269*(1+BS270)</f>
        <v>186.6998209039763</v>
      </c>
      <c r="BT269" s="391">
        <f t="shared" ref="BT269" si="915">+BS269*(1+BT270)</f>
        <v>190.43381732205583</v>
      </c>
      <c r="BU269" s="388">
        <f>AVERAGE(BQ269:BT269)</f>
        <v>184.90567941089867</v>
      </c>
      <c r="BV269" s="390"/>
      <c r="BW269" s="387"/>
      <c r="BX269" s="387"/>
      <c r="BY269" s="391"/>
      <c r="BZ269" s="388">
        <f>BU269*(1+BZ270)</f>
        <v>207.09436094020654</v>
      </c>
      <c r="CA269" s="390"/>
      <c r="CB269" s="387"/>
      <c r="CC269" s="387"/>
      <c r="CD269" s="391"/>
      <c r="CE269" s="388">
        <f>BZ269*(1+CE270)</f>
        <v>231.94568425303135</v>
      </c>
      <c r="CF269" s="390"/>
      <c r="CG269" s="387"/>
      <c r="CH269" s="387"/>
      <c r="CI269" s="391"/>
      <c r="CJ269" s="388">
        <f>CE269*(1+CJ270)</f>
        <v>259.77916636339512</v>
      </c>
      <c r="CK269" s="313"/>
      <c r="CL269" s="681"/>
      <c r="CM269" s="680"/>
      <c r="CN269" s="682"/>
      <c r="CO269" s="989"/>
      <c r="CP269" s="990"/>
      <c r="CQ269" s="990"/>
      <c r="CR269" s="658"/>
      <c r="CS269" s="990"/>
      <c r="CT269" s="313"/>
      <c r="CX269"/>
      <c r="CY269"/>
      <c r="CZ269"/>
      <c r="DA269"/>
      <c r="DB269"/>
      <c r="DC269"/>
    </row>
    <row r="270" spans="1:107" s="247" customFormat="1">
      <c r="A270" s="397" t="s">
        <v>189</v>
      </c>
      <c r="B270" s="251"/>
      <c r="C270" s="252">
        <f>C269/B269-1</f>
        <v>0.15994309261290884</v>
      </c>
      <c r="D270" s="252">
        <f>D269/C269-1</f>
        <v>-0.15990861357135278</v>
      </c>
      <c r="E270" s="252">
        <f>E269/D269-1</f>
        <v>0.15078603725553275</v>
      </c>
      <c r="F270" s="252">
        <f>F269/E269-1</f>
        <v>0.12256371863563809</v>
      </c>
      <c r="G270" s="252">
        <f>G269/F269-1</f>
        <v>0.20315934700310945</v>
      </c>
      <c r="H270" s="288"/>
      <c r="I270" s="288">
        <f>I269/H269-1</f>
        <v>3.1515677079940296E-2</v>
      </c>
      <c r="J270" s="288">
        <f>J269/I269-1</f>
        <v>5.6344272406569029E-2</v>
      </c>
      <c r="K270" s="288">
        <f>K269/J269-1</f>
        <v>8.8715912671590402E-2</v>
      </c>
      <c r="L270" s="252">
        <f>L269/H269-1</f>
        <v>7.6863763860069545E-2</v>
      </c>
      <c r="M270" s="288">
        <f>M269/K269-1</f>
        <v>1.6067524445960046E-2</v>
      </c>
      <c r="N270" s="288">
        <f>N269/M269-1</f>
        <v>-1.875936055377081E-2</v>
      </c>
      <c r="O270" s="288">
        <f>O269/N269-1</f>
        <v>-7.0886056930873798E-2</v>
      </c>
      <c r="P270" s="288">
        <f>P269/O269-1</f>
        <v>-0.1655592290525556</v>
      </c>
      <c r="Q270" s="252">
        <f>Q269/M269-1</f>
        <v>-8.6582100259970374E-2</v>
      </c>
      <c r="R270" s="288">
        <f>R269/P269-1</f>
        <v>-9.3389770694142782E-2</v>
      </c>
      <c r="S270" s="288">
        <f>S269/R269-1</f>
        <v>9.0147903838506682E-3</v>
      </c>
      <c r="T270" s="288">
        <f>T269/S269-1</f>
        <v>4.0862403173313799E-2</v>
      </c>
      <c r="U270" s="288">
        <f>U269/T269-1</f>
        <v>6.3148941412457082E-2</v>
      </c>
      <c r="V270" s="252">
        <f>V269/R269-1</f>
        <v>4.395695120141796E-2</v>
      </c>
      <c r="W270" s="288">
        <f>W269/U269-1</f>
        <v>0.11784133442546185</v>
      </c>
      <c r="X270" s="288">
        <f>X269/W269-1</f>
        <v>-6.126534453979593E-4</v>
      </c>
      <c r="Y270" s="288">
        <f>Y269/X269-1</f>
        <v>-0.15876319573217224</v>
      </c>
      <c r="Z270" s="288">
        <f>Z269/Y269-1</f>
        <v>2.6528455819345709E-3</v>
      </c>
      <c r="AA270" s="252">
        <f>AA269/W269-1</f>
        <v>-7.9234878516093898E-2</v>
      </c>
      <c r="AB270" s="288">
        <f>AB269/Z269-1</f>
        <v>9.2004154939506089E-2</v>
      </c>
      <c r="AC270" s="288">
        <f>AC269/AB269-1</f>
        <v>-2.8524488803165049E-2</v>
      </c>
      <c r="AD270" s="288">
        <f>AD269/AC269-1</f>
        <v>-0.12607851669734871</v>
      </c>
      <c r="AE270" s="288">
        <f>AE269/AD269-1</f>
        <v>3.0121842781258179E-2</v>
      </c>
      <c r="AF270" s="252">
        <f>AF269/AB269-1</f>
        <v>-7.6241151507254967E-2</v>
      </c>
      <c r="AG270" s="288">
        <f>AG269/AE269-1</f>
        <v>0.13514245635663791</v>
      </c>
      <c r="AH270" s="288">
        <f>AH269/AG269-1</f>
        <v>4.1921821484265376E-2</v>
      </c>
      <c r="AI270" s="288">
        <f>AI269/AH269-1</f>
        <v>7.6319662231963292E-2</v>
      </c>
      <c r="AJ270" s="288">
        <f>AJ269/AI269-1</f>
        <v>-4.7978365185008531E-4</v>
      </c>
      <c r="AK270" s="252">
        <f>AK269/AG269-1</f>
        <v>7.1066414599356253E-2</v>
      </c>
      <c r="AL270" s="288">
        <f>AL269/AJ269-1</f>
        <v>-6.8410028182945837E-3</v>
      </c>
      <c r="AM270" s="288">
        <f>AM269/AL269-1</f>
        <v>0.12820767436324876</v>
      </c>
      <c r="AN270" s="288">
        <f>AN269/AM269-1</f>
        <v>0.18017661257952966</v>
      </c>
      <c r="AO270" s="288">
        <f>AO269/AN269-1</f>
        <v>0.11773480167183381</v>
      </c>
      <c r="AP270" s="252">
        <f>AP269/AK269-1</f>
        <v>0.28568523911205679</v>
      </c>
      <c r="AQ270" s="288">
        <f>AQ269/AO269-1</f>
        <v>0.15666390669165242</v>
      </c>
      <c r="AR270" s="288">
        <f>AR269/AQ269-1</f>
        <v>0.10000000000000075</v>
      </c>
      <c r="AS270" s="288">
        <f>AS269/AR269-1</f>
        <v>-0.11053043238995286</v>
      </c>
      <c r="AT270" s="288">
        <f>AT269/AS269-1</f>
        <v>9.3919082218408834E-2</v>
      </c>
      <c r="AU270" s="252">
        <f>AU269/AP269-1</f>
        <v>0.44335241594850738</v>
      </c>
      <c r="AV270" s="288"/>
      <c r="AW270" s="288"/>
      <c r="AX270" s="288"/>
      <c r="AY270" s="288"/>
      <c r="AZ270" s="252">
        <f t="shared" si="906"/>
        <v>0.44335241594850738</v>
      </c>
      <c r="BA270" s="288">
        <f>BA269/AT269-1</f>
        <v>4.1460800153949595E-2</v>
      </c>
      <c r="BB270" s="288">
        <f>BB269/BA269-1</f>
        <v>-2.4896916080003662E-2</v>
      </c>
      <c r="BC270" s="288">
        <f>BC269/BB269-1</f>
        <v>-3.2845622095265536E-3</v>
      </c>
      <c r="BD270" s="288">
        <f>BD269/BC269-1</f>
        <v>0.15068071742013611</v>
      </c>
      <c r="BE270" s="252">
        <f>BE269/AZ269-1</f>
        <v>9.2283135390551108E-2</v>
      </c>
      <c r="BF270" s="288">
        <f>BF269/BD269-1</f>
        <v>2.4709486892561694E-2</v>
      </c>
      <c r="BG270" s="288">
        <f>BG269/BF269-1</f>
        <v>5.6538628207908337E-2</v>
      </c>
      <c r="BH270" s="288">
        <f>BH269/BG269-1</f>
        <v>6.8216336384071097E-2</v>
      </c>
      <c r="BI270" s="288">
        <f>BI269/BH269-1</f>
        <v>2.1509828317087809E-2</v>
      </c>
      <c r="BJ270" s="252">
        <f>BJ269/BE269-1</f>
        <v>0.22284872928508492</v>
      </c>
      <c r="BK270" s="288">
        <f>BK269/BI269-1</f>
        <v>5.9479501406269453E-2</v>
      </c>
      <c r="BL270" s="288">
        <f>BL269/BK269-1</f>
        <v>5.2763220914196385E-2</v>
      </c>
      <c r="BM270" s="288">
        <f>BM269/BL269-1</f>
        <v>0.1106868356476296</v>
      </c>
      <c r="BN270" s="288">
        <f>BN269/BM269-1</f>
        <v>0</v>
      </c>
      <c r="BO270" s="252">
        <f>BO269/BJ269-1</f>
        <v>0.2364704196200258</v>
      </c>
      <c r="BP270" s="252">
        <f>BP269/BJ269-1</f>
        <v>0.2364704196200258</v>
      </c>
      <c r="BQ270" s="394">
        <v>0.02</v>
      </c>
      <c r="BR270" s="392">
        <v>0.02</v>
      </c>
      <c r="BS270" s="392">
        <v>0.02</v>
      </c>
      <c r="BT270" s="395">
        <v>0.02</v>
      </c>
      <c r="BU270" s="252">
        <f>BU269/BO269-1</f>
        <v>0.11941662578434031</v>
      </c>
      <c r="BV270" s="394"/>
      <c r="BW270" s="392"/>
      <c r="BX270" s="392"/>
      <c r="BY270" s="395"/>
      <c r="BZ270" s="393">
        <v>0.12</v>
      </c>
      <c r="CA270" s="394"/>
      <c r="CB270" s="392"/>
      <c r="CC270" s="392"/>
      <c r="CD270" s="395"/>
      <c r="CE270" s="393">
        <v>0.12</v>
      </c>
      <c r="CF270" s="394"/>
      <c r="CG270" s="392"/>
      <c r="CH270" s="392"/>
      <c r="CI270" s="395"/>
      <c r="CJ270" s="393">
        <v>0.12</v>
      </c>
      <c r="CK270" s="294"/>
      <c r="CL270" s="681"/>
      <c r="CM270" s="680"/>
      <c r="CN270" s="987"/>
      <c r="CO270" s="681"/>
      <c r="CP270" s="989"/>
      <c r="CQ270" s="990"/>
      <c r="CR270" s="658"/>
      <c r="CS270" s="990"/>
      <c r="CT270" s="294"/>
      <c r="CX270"/>
      <c r="CY270"/>
      <c r="CZ270"/>
      <c r="DA270"/>
      <c r="DB270"/>
      <c r="DC270"/>
    </row>
    <row r="271" spans="1:107" ht="12" customHeight="1">
      <c r="A271" s="219" t="s">
        <v>18</v>
      </c>
      <c r="B271" s="153"/>
      <c r="C271" s="153"/>
      <c r="D271" s="153"/>
      <c r="E271" s="153"/>
      <c r="F271" s="153"/>
      <c r="G271" s="153"/>
      <c r="H271" s="46"/>
      <c r="I271" s="46"/>
      <c r="J271" s="46"/>
      <c r="K271" s="52"/>
      <c r="L271" s="153"/>
      <c r="M271" s="46"/>
      <c r="N271" s="46"/>
      <c r="O271" s="46"/>
      <c r="P271" s="52"/>
      <c r="Q271" s="153"/>
      <c r="R271" s="46"/>
      <c r="S271" s="46"/>
      <c r="T271" s="46"/>
      <c r="U271" s="52"/>
      <c r="V271" s="153"/>
      <c r="W271" s="46"/>
      <c r="X271" s="46"/>
      <c r="Y271" s="46"/>
      <c r="Z271" s="52"/>
      <c r="AA271" s="153"/>
      <c r="AB271" s="46"/>
      <c r="AC271" s="46"/>
      <c r="AD271" s="46"/>
      <c r="AE271" s="52"/>
      <c r="AF271" s="153"/>
      <c r="AG271" s="46"/>
      <c r="AH271" s="46"/>
      <c r="AI271" s="46"/>
      <c r="AJ271" s="52"/>
      <c r="AK271" s="153"/>
      <c r="AL271" s="46"/>
      <c r="AM271" s="46"/>
      <c r="AN271" s="46"/>
      <c r="AO271" s="52"/>
      <c r="AP271" s="153"/>
      <c r="AQ271" s="46"/>
      <c r="AR271" s="46"/>
      <c r="AS271" s="46"/>
      <c r="AT271" s="52"/>
      <c r="AU271" s="153"/>
      <c r="AV271" s="46"/>
      <c r="AW271" s="46"/>
      <c r="AX271" s="46"/>
      <c r="AY271" s="52"/>
      <c r="AZ271" s="153"/>
      <c r="BA271" s="46"/>
      <c r="BB271" s="46"/>
      <c r="BC271" s="46"/>
      <c r="BD271" s="52"/>
      <c r="BE271" s="153"/>
      <c r="BF271" s="154"/>
      <c r="BG271" s="52"/>
      <c r="BH271" s="52"/>
      <c r="BI271" s="51"/>
      <c r="BJ271" s="153"/>
      <c r="BK271" s="154"/>
      <c r="BL271" s="52"/>
      <c r="BM271" s="52"/>
      <c r="BN271" s="51"/>
      <c r="BO271" s="153"/>
      <c r="BP271" s="153"/>
      <c r="BQ271" s="154"/>
      <c r="BR271" s="52"/>
      <c r="BS271" s="52"/>
      <c r="BT271" s="51"/>
      <c r="BU271" s="153"/>
      <c r="BV271" s="154"/>
      <c r="BW271" s="52"/>
      <c r="BX271" s="52"/>
      <c r="BY271" s="51"/>
      <c r="BZ271" s="153"/>
      <c r="CA271" s="154"/>
      <c r="CB271" s="52"/>
      <c r="CC271" s="52"/>
      <c r="CD271" s="51"/>
      <c r="CE271" s="153"/>
      <c r="CF271" s="154"/>
      <c r="CG271" s="52"/>
      <c r="CH271" s="52"/>
      <c r="CI271" s="51"/>
      <c r="CJ271" s="153"/>
      <c r="CK271" s="289"/>
      <c r="CL271" s="658"/>
      <c r="CM271" s="658"/>
      <c r="CN271" s="682"/>
      <c r="CO271" s="658"/>
      <c r="CP271" s="990"/>
      <c r="CQ271" s="990"/>
      <c r="CR271" s="658"/>
      <c r="CS271" s="990"/>
      <c r="CT271" s="289"/>
    </row>
    <row r="272" spans="1:107" s="299" customFormat="1">
      <c r="A272" s="217" t="s">
        <v>190</v>
      </c>
      <c r="B272" s="587">
        <v>0.8</v>
      </c>
      <c r="C272" s="587">
        <v>0.8</v>
      </c>
      <c r="D272" s="587">
        <v>0.8</v>
      </c>
      <c r="E272" s="587">
        <v>0.8</v>
      </c>
      <c r="F272" s="587">
        <v>0.88</v>
      </c>
      <c r="G272" s="587">
        <v>0.96</v>
      </c>
      <c r="H272" s="590">
        <v>0.255</v>
      </c>
      <c r="I272" s="591">
        <v>0.255</v>
      </c>
      <c r="J272" s="591">
        <v>0.255</v>
      </c>
      <c r="K272" s="589">
        <v>0.255</v>
      </c>
      <c r="L272" s="589">
        <v>1.02</v>
      </c>
      <c r="M272" s="591">
        <v>0.28000000000000003</v>
      </c>
      <c r="N272" s="585">
        <v>0.28000000000000003</v>
      </c>
      <c r="O272" s="585">
        <v>0.28000000000000003</v>
      </c>
      <c r="P272" s="585">
        <v>0.28000000000000003</v>
      </c>
      <c r="Q272" s="587">
        <v>1.1200000000000001</v>
      </c>
      <c r="R272" s="591">
        <v>0.31</v>
      </c>
      <c r="S272" s="585">
        <v>0.31</v>
      </c>
      <c r="T272" s="585">
        <v>0.31</v>
      </c>
      <c r="U272" s="585">
        <v>0.31</v>
      </c>
      <c r="V272" s="587">
        <f>SUM(R272:U272)</f>
        <v>1.24</v>
      </c>
      <c r="W272" s="591">
        <v>0.375</v>
      </c>
      <c r="X272" s="585">
        <v>0.375</v>
      </c>
      <c r="Y272" s="585">
        <v>0.375</v>
      </c>
      <c r="Z272" s="585">
        <v>0.375</v>
      </c>
      <c r="AA272" s="587">
        <v>1.5</v>
      </c>
      <c r="AB272" s="591">
        <v>0.43</v>
      </c>
      <c r="AC272" s="585">
        <v>0.43</v>
      </c>
      <c r="AD272" s="585">
        <v>0.43</v>
      </c>
      <c r="AE272" s="585">
        <v>0.43</v>
      </c>
      <c r="AF272" s="587">
        <f>+SUM(AB272:AE272)</f>
        <v>1.72</v>
      </c>
      <c r="AG272" s="591">
        <v>0.5</v>
      </c>
      <c r="AH272" s="585">
        <f>1-AG272</f>
        <v>0.5</v>
      </c>
      <c r="AI272" s="585">
        <f>1.5-AH272-AG272</f>
        <v>0.5</v>
      </c>
      <c r="AJ272" s="585">
        <f>$AK272/4</f>
        <v>0.5</v>
      </c>
      <c r="AK272" s="587">
        <v>2</v>
      </c>
      <c r="AL272" s="585">
        <v>0.55000000000000004</v>
      </c>
      <c r="AM272" s="585">
        <v>0.55000000000000004</v>
      </c>
      <c r="AN272" s="585">
        <v>0.55000000000000004</v>
      </c>
      <c r="AO272" s="585">
        <v>0.55000000000000004</v>
      </c>
      <c r="AP272" s="587">
        <f>SUM(AL272:AO272)</f>
        <v>2.2000000000000002</v>
      </c>
      <c r="AQ272" s="585">
        <v>0.60499999999999998</v>
      </c>
      <c r="AR272" s="666">
        <v>0.60499999999999998</v>
      </c>
      <c r="AS272" s="706">
        <v>0.60499999999999998</v>
      </c>
      <c r="AT272" s="585">
        <v>0.60499999999999998</v>
      </c>
      <c r="AU272" s="587">
        <f>SUM(AQ272:AT272)</f>
        <v>2.42</v>
      </c>
      <c r="AV272" s="585"/>
      <c r="AW272" s="666"/>
      <c r="AX272" s="706"/>
      <c r="AY272" s="585"/>
      <c r="AZ272" s="587">
        <v>2.42</v>
      </c>
      <c r="BA272" s="585">
        <v>0.67</v>
      </c>
      <c r="BB272" s="666">
        <v>0.67</v>
      </c>
      <c r="BC272" s="706">
        <v>0.67</v>
      </c>
      <c r="BD272" s="585">
        <v>0.67</v>
      </c>
      <c r="BE272" s="587">
        <f>SUM(BA272:BD272)</f>
        <v>2.68</v>
      </c>
      <c r="BF272" s="588">
        <v>0.73250000000000004</v>
      </c>
      <c r="BG272" s="585">
        <v>0.73250000000000004</v>
      </c>
      <c r="BH272" s="585">
        <v>0.73250000000000004</v>
      </c>
      <c r="BI272" s="589">
        <v>0.73250000000000004</v>
      </c>
      <c r="BJ272" s="587">
        <f>SUM(BF272:BI272)</f>
        <v>2.93</v>
      </c>
      <c r="BK272" s="935">
        <v>0.79749999999999999</v>
      </c>
      <c r="BL272" s="585">
        <f>1.595-BK272</f>
        <v>0.79749999999999999</v>
      </c>
      <c r="BM272" s="585">
        <v>0.79749999999999999</v>
      </c>
      <c r="BN272" s="589">
        <v>0.79749999999999999</v>
      </c>
      <c r="BO272" s="587">
        <f>SUM(BK272:BN272)</f>
        <v>3.19</v>
      </c>
      <c r="BP272" s="587">
        <f>BO272</f>
        <v>3.19</v>
      </c>
      <c r="BQ272" s="1022">
        <f t="shared" ref="BQ272" si="916">+BK272*(1+BQ273)</f>
        <v>0.87725000000000009</v>
      </c>
      <c r="BR272" s="706">
        <f t="shared" ref="BR272" si="917">+BL272*(1+BR273)</f>
        <v>0.87725000000000009</v>
      </c>
      <c r="BS272" s="706">
        <f t="shared" ref="BS272" si="918">+BM272*(1+BS273)</f>
        <v>0.87725000000000009</v>
      </c>
      <c r="BT272" s="1023">
        <f t="shared" ref="BT272" si="919">+BN272*(1+BT273)</f>
        <v>0.87725000000000009</v>
      </c>
      <c r="BU272" s="587">
        <f>SUM(BQ272:BT272)</f>
        <v>3.5090000000000003</v>
      </c>
      <c r="BV272" s="588"/>
      <c r="BW272" s="585"/>
      <c r="BX272" s="585"/>
      <c r="BY272" s="589"/>
      <c r="BZ272" s="587">
        <f>BU272*(1+BZ273)</f>
        <v>4.0353500000000002</v>
      </c>
      <c r="CA272" s="588"/>
      <c r="CB272" s="585"/>
      <c r="CC272" s="585"/>
      <c r="CD272" s="589"/>
      <c r="CE272" s="587">
        <f>BZ272*(1+CE273)</f>
        <v>4.6406524999999998</v>
      </c>
      <c r="CF272" s="588"/>
      <c r="CG272" s="585"/>
      <c r="CH272" s="585"/>
      <c r="CI272" s="589"/>
      <c r="CJ272" s="587">
        <f>CE272*(1+CJ273)</f>
        <v>5.3367503749999994</v>
      </c>
      <c r="CK272" s="290"/>
      <c r="CL272" s="658"/>
      <c r="CM272" s="658"/>
      <c r="CN272" s="682"/>
      <c r="CO272" s="658"/>
      <c r="CP272" s="989"/>
      <c r="CQ272" s="990"/>
      <c r="CR272" s="658"/>
      <c r="CS272" s="990"/>
      <c r="CT272" s="290"/>
      <c r="CX272"/>
      <c r="CY272"/>
      <c r="CZ272"/>
      <c r="DA272"/>
      <c r="DB272"/>
      <c r="DC272"/>
    </row>
    <row r="273" spans="1:107">
      <c r="A273" s="62" t="s">
        <v>137</v>
      </c>
      <c r="B273" s="70"/>
      <c r="C273" s="70">
        <f>C272/B272-1</f>
        <v>0</v>
      </c>
      <c r="D273" s="70">
        <f>D272/C272-1</f>
        <v>0</v>
      </c>
      <c r="E273" s="70">
        <f>E272/D272-1</f>
        <v>0</v>
      </c>
      <c r="F273" s="70">
        <f>F272/E272-1</f>
        <v>9.9999999999999867E-2</v>
      </c>
      <c r="G273" s="70">
        <f>G272/F272-1</f>
        <v>9.0909090909090828E-2</v>
      </c>
      <c r="H273" s="118"/>
      <c r="I273" s="64"/>
      <c r="J273" s="64"/>
      <c r="K273" s="64"/>
      <c r="L273" s="70">
        <f t="shared" ref="L273:AF273" si="920">L272/G272-1</f>
        <v>6.25E-2</v>
      </c>
      <c r="M273" s="64">
        <f t="shared" si="920"/>
        <v>9.8039215686274606E-2</v>
      </c>
      <c r="N273" s="64">
        <f t="shared" si="920"/>
        <v>9.8039215686274606E-2</v>
      </c>
      <c r="O273" s="64">
        <f t="shared" si="920"/>
        <v>9.8039215686274606E-2</v>
      </c>
      <c r="P273" s="64">
        <f t="shared" si="920"/>
        <v>9.8039215686274606E-2</v>
      </c>
      <c r="Q273" s="70">
        <f t="shared" si="920"/>
        <v>9.8039215686274606E-2</v>
      </c>
      <c r="R273" s="64">
        <f t="shared" si="920"/>
        <v>0.10714285714285698</v>
      </c>
      <c r="S273" s="64">
        <f t="shared" si="920"/>
        <v>0.10714285714285698</v>
      </c>
      <c r="T273" s="64">
        <f t="shared" si="920"/>
        <v>0.10714285714285698</v>
      </c>
      <c r="U273" s="64">
        <f t="shared" si="920"/>
        <v>0.10714285714285698</v>
      </c>
      <c r="V273" s="70">
        <f t="shared" si="920"/>
        <v>0.10714285714285698</v>
      </c>
      <c r="W273" s="64">
        <f t="shared" si="920"/>
        <v>0.20967741935483875</v>
      </c>
      <c r="X273" s="64">
        <f t="shared" si="920"/>
        <v>0.20967741935483875</v>
      </c>
      <c r="Y273" s="64">
        <f t="shared" si="920"/>
        <v>0.20967741935483875</v>
      </c>
      <c r="Z273" s="64">
        <f t="shared" si="920"/>
        <v>0.20967741935483875</v>
      </c>
      <c r="AA273" s="70">
        <f t="shared" si="920"/>
        <v>0.20967741935483875</v>
      </c>
      <c r="AB273" s="64">
        <f t="shared" si="920"/>
        <v>0.14666666666666672</v>
      </c>
      <c r="AC273" s="64">
        <f t="shared" si="920"/>
        <v>0.14666666666666672</v>
      </c>
      <c r="AD273" s="64">
        <f t="shared" si="920"/>
        <v>0.14666666666666672</v>
      </c>
      <c r="AE273" s="64">
        <f t="shared" si="920"/>
        <v>0.14666666666666672</v>
      </c>
      <c r="AF273" s="70">
        <f t="shared" si="920"/>
        <v>0.14666666666666672</v>
      </c>
      <c r="AG273" s="64">
        <f t="shared" ref="AG273:AM273" si="921">AG272/AB272 -1</f>
        <v>0.16279069767441867</v>
      </c>
      <c r="AH273" s="64">
        <f t="shared" si="921"/>
        <v>0.16279069767441867</v>
      </c>
      <c r="AI273" s="64">
        <f t="shared" si="921"/>
        <v>0.16279069767441867</v>
      </c>
      <c r="AJ273" s="64">
        <f t="shared" si="921"/>
        <v>0.16279069767441867</v>
      </c>
      <c r="AK273" s="70">
        <f t="shared" si="921"/>
        <v>0.16279069767441867</v>
      </c>
      <c r="AL273" s="64">
        <f t="shared" si="921"/>
        <v>0.10000000000000009</v>
      </c>
      <c r="AM273" s="64">
        <f t="shared" si="921"/>
        <v>0.10000000000000009</v>
      </c>
      <c r="AN273" s="64">
        <f t="shared" ref="AN273:AS273" si="922">AN272/AI272 -1</f>
        <v>0.10000000000000009</v>
      </c>
      <c r="AO273" s="64">
        <f t="shared" si="922"/>
        <v>0.10000000000000009</v>
      </c>
      <c r="AP273" s="70">
        <f t="shared" si="922"/>
        <v>0.10000000000000009</v>
      </c>
      <c r="AQ273" s="64">
        <f t="shared" si="922"/>
        <v>9.9999999999999867E-2</v>
      </c>
      <c r="AR273" s="64">
        <f t="shared" si="922"/>
        <v>9.9999999999999867E-2</v>
      </c>
      <c r="AS273" s="64">
        <f t="shared" si="922"/>
        <v>9.9999999999999867E-2</v>
      </c>
      <c r="AT273" s="64">
        <f t="shared" ref="AT273:AU273" si="923">AT272/AO272 -1</f>
        <v>9.9999999999999867E-2</v>
      </c>
      <c r="AU273" s="70">
        <f t="shared" si="923"/>
        <v>9.9999999999999867E-2</v>
      </c>
      <c r="AV273" s="64"/>
      <c r="AW273" s="64"/>
      <c r="AX273" s="64"/>
      <c r="AY273" s="64"/>
      <c r="AZ273" s="70">
        <f t="shared" ref="AZ273" si="924">AZ272/AU272 -1</f>
        <v>0</v>
      </c>
      <c r="BA273" s="64">
        <f>BA272/AQ272 -1</f>
        <v>0.10743801652892571</v>
      </c>
      <c r="BB273" s="64">
        <f>BB272/AR272 -1</f>
        <v>0.10743801652892571</v>
      </c>
      <c r="BC273" s="64">
        <f>BC272/AS272 -1</f>
        <v>0.10743801652892571</v>
      </c>
      <c r="BD273" s="64">
        <f>BD272/AT272 -1</f>
        <v>0.10743801652892571</v>
      </c>
      <c r="BE273" s="70">
        <f>BE272/AZ272 -1</f>
        <v>0.10743801652892571</v>
      </c>
      <c r="BF273" s="64">
        <f t="shared" ref="BF273" si="925">BF272/BA272 -1</f>
        <v>9.3283582089552342E-2</v>
      </c>
      <c r="BG273" s="64">
        <f t="shared" ref="BG273" si="926">BG272/BB272 -1</f>
        <v>9.3283582089552342E-2</v>
      </c>
      <c r="BH273" s="64">
        <f t="shared" ref="BH273" si="927">BH272/BC272 -1</f>
        <v>9.3283582089552342E-2</v>
      </c>
      <c r="BI273" s="64">
        <f t="shared" ref="BI273" si="928">BI272/BD272 -1</f>
        <v>9.3283582089552342E-2</v>
      </c>
      <c r="BJ273" s="70">
        <f>BJ272/BE272 -1</f>
        <v>9.3283582089552342E-2</v>
      </c>
      <c r="BK273" s="64">
        <f t="shared" ref="BK273:BM273" si="929">BK272/BF272 -1</f>
        <v>8.8737201365187701E-2</v>
      </c>
      <c r="BL273" s="968">
        <f t="shared" si="929"/>
        <v>8.8737201365187701E-2</v>
      </c>
      <c r="BM273" s="64">
        <f t="shared" si="929"/>
        <v>8.8737201365187701E-2</v>
      </c>
      <c r="BN273" s="64">
        <f t="shared" ref="BN273" si="930">BN272/BI272 -1</f>
        <v>8.8737201365187701E-2</v>
      </c>
      <c r="BO273" s="70">
        <f>BO272/BJ272 -1</f>
        <v>8.8737201365187701E-2</v>
      </c>
      <c r="BP273" s="70">
        <f>BP272/BJ272 -1</f>
        <v>8.8737201365187701E-2</v>
      </c>
      <c r="BQ273" s="1008">
        <v>0.1</v>
      </c>
      <c r="BR273" s="619">
        <v>0.1</v>
      </c>
      <c r="BS273" s="619">
        <v>0.1</v>
      </c>
      <c r="BT273" s="620">
        <v>0.1</v>
      </c>
      <c r="BU273" s="70">
        <f>BU272/BO272 -1</f>
        <v>0.10000000000000009</v>
      </c>
      <c r="BV273" s="240"/>
      <c r="BW273" s="238"/>
      <c r="BX273" s="238"/>
      <c r="BY273" s="241"/>
      <c r="BZ273" s="239">
        <v>0.15</v>
      </c>
      <c r="CA273" s="240"/>
      <c r="CB273" s="238"/>
      <c r="CC273" s="238"/>
      <c r="CD273" s="241"/>
      <c r="CE273" s="239">
        <v>0.15</v>
      </c>
      <c r="CF273" s="240"/>
      <c r="CG273" s="238"/>
      <c r="CH273" s="238"/>
      <c r="CI273" s="241"/>
      <c r="CJ273" s="239">
        <v>0.15</v>
      </c>
      <c r="CK273" s="289"/>
      <c r="CL273" s="658"/>
      <c r="CM273" s="658"/>
      <c r="CN273" s="682"/>
      <c r="CO273" s="658"/>
      <c r="CP273" s="990"/>
      <c r="CQ273" s="990"/>
      <c r="CR273" s="658"/>
      <c r="CS273" s="990"/>
      <c r="CT273" s="289"/>
    </row>
    <row r="274" spans="1:107" s="232" customFormat="1">
      <c r="A274" s="337" t="s">
        <v>191</v>
      </c>
      <c r="B274" s="330">
        <f t="shared" ref="B274:AG274" si="931">B272/B242</f>
        <v>144.5292</v>
      </c>
      <c r="C274" s="330">
        <f t="shared" si="931"/>
        <v>0.43177883597883604</v>
      </c>
      <c r="D274" s="330">
        <f t="shared" si="931"/>
        <v>0.62120224299065419</v>
      </c>
      <c r="E274" s="330">
        <f t="shared" si="931"/>
        <v>0.94588449197860969</v>
      </c>
      <c r="F274" s="330">
        <f t="shared" si="931"/>
        <v>0.44676169265033405</v>
      </c>
      <c r="G274" s="330">
        <f t="shared" si="931"/>
        <v>0.3670968828980623</v>
      </c>
      <c r="H274" s="331">
        <f t="shared" si="931"/>
        <v>0.35692129629629632</v>
      </c>
      <c r="I274" s="331">
        <f t="shared" si="931"/>
        <v>0.32237746478873242</v>
      </c>
      <c r="J274" s="331">
        <f t="shared" si="931"/>
        <v>0.29727631578947367</v>
      </c>
      <c r="K274" s="332">
        <f t="shared" si="931"/>
        <v>0.17568454258675079</v>
      </c>
      <c r="L274" s="330">
        <f t="shared" si="931"/>
        <v>0.26852569403425874</v>
      </c>
      <c r="M274" s="332">
        <f t="shared" si="931"/>
        <v>0.30429</v>
      </c>
      <c r="N274" s="331">
        <f t="shared" si="931"/>
        <v>0.28262910798122065</v>
      </c>
      <c r="O274" s="331">
        <f t="shared" si="931"/>
        <v>0.27862295081967214</v>
      </c>
      <c r="P274" s="333">
        <f t="shared" si="931"/>
        <v>0.27694061757719718</v>
      </c>
      <c r="Q274" s="334">
        <f t="shared" si="931"/>
        <v>0.28531883030927813</v>
      </c>
      <c r="R274" s="332">
        <f t="shared" si="931"/>
        <v>0.2789309576837416</v>
      </c>
      <c r="S274" s="331">
        <f t="shared" si="931"/>
        <v>0.25033130081300814</v>
      </c>
      <c r="T274" s="335">
        <f t="shared" si="931"/>
        <v>0.24837881873727088</v>
      </c>
      <c r="U274" s="333">
        <f t="shared" si="931"/>
        <v>0.23424902723735408</v>
      </c>
      <c r="V274" s="334">
        <f t="shared" si="931"/>
        <v>0.25214182939362795</v>
      </c>
      <c r="W274" s="332">
        <f t="shared" si="931"/>
        <v>0.31821192052980135</v>
      </c>
      <c r="X274" s="331">
        <f t="shared" si="931"/>
        <v>0.6776533018867924</v>
      </c>
      <c r="Y274" s="335">
        <f t="shared" si="931"/>
        <v>0.21943359374999999</v>
      </c>
      <c r="Z274" s="333">
        <f t="shared" si="931"/>
        <v>0.27505010020040077</v>
      </c>
      <c r="AA274" s="334">
        <f t="shared" si="931"/>
        <v>0.31347006651884701</v>
      </c>
      <c r="AB274" s="333">
        <f t="shared" si="931"/>
        <v>0.40720209973753285</v>
      </c>
      <c r="AC274" s="331">
        <f t="shared" si="931"/>
        <v>0.35710000000000003</v>
      </c>
      <c r="AD274" s="335">
        <f t="shared" si="931"/>
        <v>0.3034176706827309</v>
      </c>
      <c r="AE274" s="333">
        <f t="shared" si="931"/>
        <v>0.27531168831168834</v>
      </c>
      <c r="AF274" s="334">
        <f t="shared" si="931"/>
        <v>0.32910822510822507</v>
      </c>
      <c r="AG274" s="333">
        <f t="shared" si="931"/>
        <v>0.3763333333333333</v>
      </c>
      <c r="AH274" s="331">
        <f t="shared" ref="AH274:BE274" si="932">AH272/AH242</f>
        <v>0.35423728813559319</v>
      </c>
      <c r="AI274" s="335">
        <f t="shared" si="932"/>
        <v>0.33200398803589232</v>
      </c>
      <c r="AJ274" s="333">
        <f t="shared" si="932"/>
        <v>0.35493562231759662</v>
      </c>
      <c r="AK274" s="334">
        <f t="shared" si="932"/>
        <v>0.35374437681926435</v>
      </c>
      <c r="AL274" s="335">
        <f t="shared" si="932"/>
        <v>0.3683877551020408</v>
      </c>
      <c r="AM274" s="335">
        <f t="shared" si="932"/>
        <v>0.36696721311475416</v>
      </c>
      <c r="AN274" s="335">
        <f t="shared" si="932"/>
        <v>0.36512320328542097</v>
      </c>
      <c r="AO274" s="335">
        <f t="shared" si="932"/>
        <v>0.37640256959314783</v>
      </c>
      <c r="AP274" s="334">
        <f t="shared" si="932"/>
        <v>0.33577448210922789</v>
      </c>
      <c r="AQ274" s="335">
        <f t="shared" si="932"/>
        <v>0.3244391991713223</v>
      </c>
      <c r="AR274" s="335">
        <f t="shared" si="932"/>
        <v>0.38085843373493972</v>
      </c>
      <c r="AS274" s="335">
        <f t="shared" si="932"/>
        <v>0.36796289062499993</v>
      </c>
      <c r="AT274" s="335">
        <f t="shared" si="932"/>
        <v>0.32529253472222219</v>
      </c>
      <c r="AU274" s="334">
        <f t="shared" si="932"/>
        <v>0.34783000519566504</v>
      </c>
      <c r="AV274" s="335"/>
      <c r="AW274" s="335"/>
      <c r="AX274" s="335"/>
      <c r="AY274" s="335"/>
      <c r="AZ274" s="334">
        <f t="shared" ref="AZ274" si="933">AZ272/AZ242</f>
        <v>0.3471739329967875</v>
      </c>
      <c r="BA274" s="335">
        <f t="shared" si="932"/>
        <v>0.37524863883847553</v>
      </c>
      <c r="BB274" s="335">
        <f t="shared" si="932"/>
        <v>0.40638690476190475</v>
      </c>
      <c r="BC274" s="335">
        <f t="shared" si="932"/>
        <v>0.45509151785714291</v>
      </c>
      <c r="BD274" s="335">
        <f t="shared" si="932"/>
        <v>0.36469729729729733</v>
      </c>
      <c r="BE274" s="334">
        <f t="shared" si="932"/>
        <v>0.39744217687074829</v>
      </c>
      <c r="BF274" s="335">
        <f t="shared" ref="BF274:BI274" si="934">BF272/BF242</f>
        <v>0.51395081967213119</v>
      </c>
      <c r="BG274" s="335">
        <f t="shared" si="934"/>
        <v>0.30703098591549299</v>
      </c>
      <c r="BH274" s="335">
        <f t="shared" si="934"/>
        <v>0.40995028409090911</v>
      </c>
      <c r="BI274" s="335">
        <f t="shared" si="934"/>
        <v>0.39727670349907918</v>
      </c>
      <c r="BJ274" s="334">
        <f>BJ272/BJ242</f>
        <v>0.39385144927536236</v>
      </c>
      <c r="BK274" s="335">
        <f t="shared" ref="BK274:BN274" si="935">BK272/BK242</f>
        <v>0.46423061630218693</v>
      </c>
      <c r="BL274" s="335">
        <f t="shared" si="935"/>
        <v>0.42110307414104886</v>
      </c>
      <c r="BM274" s="335">
        <f t="shared" si="935"/>
        <v>0.40501308900523558</v>
      </c>
      <c r="BN274" s="335">
        <f t="shared" si="935"/>
        <v>0.39271120543293719</v>
      </c>
      <c r="BO274" s="334">
        <f>BO272/BO242</f>
        <v>0.41910099188458066</v>
      </c>
      <c r="BP274" s="334">
        <f>BP272/BP242</f>
        <v>0.41910099188458066</v>
      </c>
      <c r="BQ274" s="510">
        <f t="shared" ref="BQ274:BT274" si="936">BQ272/BQ242</f>
        <v>0.39496385208564783</v>
      </c>
      <c r="BR274" s="333">
        <f t="shared" si="936"/>
        <v>0.36243809392759835</v>
      </c>
      <c r="BS274" s="333">
        <f t="shared" si="936"/>
        <v>0.36357271331290031</v>
      </c>
      <c r="BT274" s="511">
        <f t="shared" si="936"/>
        <v>0.32124549165893329</v>
      </c>
      <c r="BU274" s="334">
        <f>BU272/BU242</f>
        <v>0.35870972777006166</v>
      </c>
      <c r="BV274" s="510"/>
      <c r="BW274" s="333"/>
      <c r="BX274" s="333"/>
      <c r="BY274" s="511"/>
      <c r="BZ274" s="334">
        <f>BZ272/BZ242</f>
        <v>0.35596945537529562</v>
      </c>
      <c r="CA274" s="510"/>
      <c r="CB274" s="333"/>
      <c r="CC274" s="333"/>
      <c r="CD274" s="511"/>
      <c r="CE274" s="334">
        <f>CE272/CE242</f>
        <v>0.35509489298563357</v>
      </c>
      <c r="CF274" s="510"/>
      <c r="CG274" s="333"/>
      <c r="CH274" s="333"/>
      <c r="CI274" s="511"/>
      <c r="CJ274" s="334">
        <f>CJ272/CJ242</f>
        <v>0.37630197434502233</v>
      </c>
      <c r="CK274" s="336"/>
      <c r="CL274" s="986"/>
      <c r="CM274" s="680"/>
      <c r="CN274" s="987"/>
      <c r="CO274" s="680"/>
      <c r="CP274" s="989"/>
      <c r="CQ274" s="990"/>
      <c r="CR274" s="658"/>
      <c r="CS274" s="990"/>
      <c r="CT274" s="336"/>
      <c r="CX274"/>
      <c r="CY274"/>
      <c r="CZ274"/>
      <c r="DA274"/>
      <c r="DB274"/>
      <c r="DC274"/>
    </row>
    <row r="275" spans="1:107" s="306" customFormat="1" ht="12" customHeight="1">
      <c r="A275" s="55" t="s">
        <v>165</v>
      </c>
      <c r="B275" s="69"/>
      <c r="C275" s="69"/>
      <c r="D275" s="69"/>
      <c r="E275" s="69"/>
      <c r="F275" s="69"/>
      <c r="G275" s="69"/>
      <c r="H275" s="56"/>
      <c r="I275" s="56"/>
      <c r="J275" s="56"/>
      <c r="K275" s="66"/>
      <c r="L275" s="69"/>
      <c r="M275" s="56"/>
      <c r="N275" s="56"/>
      <c r="O275" s="56"/>
      <c r="P275" s="66"/>
      <c r="Q275" s="69"/>
      <c r="R275" s="56"/>
      <c r="S275" s="56"/>
      <c r="T275" s="56"/>
      <c r="U275" s="66"/>
      <c r="V275" s="69"/>
      <c r="W275" s="56"/>
      <c r="X275" s="56"/>
      <c r="Y275" s="56"/>
      <c r="Z275" s="66"/>
      <c r="AA275" s="69"/>
      <c r="AB275" s="56"/>
      <c r="AC275" s="56"/>
      <c r="AD275" s="56"/>
      <c r="AE275" s="66"/>
      <c r="AF275" s="69"/>
      <c r="AG275" s="207"/>
      <c r="AH275" s="56"/>
      <c r="AI275" s="56"/>
      <c r="AJ275" s="66"/>
      <c r="AK275" s="206"/>
      <c r="AL275" s="56"/>
      <c r="AM275" s="56"/>
      <c r="AN275" s="56"/>
      <c r="AO275" s="66"/>
      <c r="AP275" s="206"/>
      <c r="AQ275" s="56"/>
      <c r="AR275" s="56"/>
      <c r="AS275" s="56"/>
      <c r="AT275" s="66"/>
      <c r="AU275" s="69"/>
      <c r="AV275" s="56"/>
      <c r="AW275" s="56"/>
      <c r="AX275" s="56"/>
      <c r="AY275" s="66"/>
      <c r="AZ275" s="69"/>
      <c r="BA275" s="89"/>
      <c r="BB275" s="66"/>
      <c r="BC275" s="66"/>
      <c r="BD275" s="57"/>
      <c r="BE275" s="69"/>
      <c r="BF275" s="89"/>
      <c r="BG275" s="66"/>
      <c r="BH275" s="66"/>
      <c r="BI275" s="57"/>
      <c r="BJ275" s="69"/>
      <c r="BK275" s="89"/>
      <c r="BL275" s="66"/>
      <c r="BM275" s="66"/>
      <c r="BN275" s="57"/>
      <c r="BO275" s="69"/>
      <c r="BP275" s="69"/>
      <c r="BQ275" s="89"/>
      <c r="BR275" s="66"/>
      <c r="BS275" s="66"/>
      <c r="BT275" s="57"/>
      <c r="BU275" s="69"/>
      <c r="BV275" s="89"/>
      <c r="BW275" s="66"/>
      <c r="BX275" s="66"/>
      <c r="BY275" s="57"/>
      <c r="BZ275" s="69"/>
      <c r="CA275" s="89"/>
      <c r="CB275" s="66"/>
      <c r="CC275" s="66"/>
      <c r="CD275" s="57"/>
      <c r="CE275" s="69"/>
      <c r="CF275" s="89"/>
      <c r="CG275" s="66"/>
      <c r="CH275" s="66"/>
      <c r="CI275" s="57"/>
      <c r="CJ275" s="69"/>
      <c r="CK275" s="66"/>
      <c r="CL275" s="658"/>
      <c r="CM275" s="658"/>
      <c r="CN275" s="682"/>
      <c r="CO275" s="658"/>
      <c r="CP275" s="990"/>
      <c r="CQ275" s="990"/>
      <c r="CR275" s="658"/>
      <c r="CS275" s="990"/>
      <c r="CT275" s="66"/>
      <c r="CX275"/>
      <c r="CY275"/>
      <c r="CZ275"/>
      <c r="DA275"/>
      <c r="DB275"/>
      <c r="DC275"/>
    </row>
    <row r="276" spans="1:107" s="180" customFormat="1">
      <c r="A276" s="237" t="s">
        <v>224</v>
      </c>
      <c r="B276" s="170">
        <f t="shared" ref="B276:K276" si="937">B256-B240</f>
        <v>-755</v>
      </c>
      <c r="C276" s="170">
        <f t="shared" si="937"/>
        <v>-640</v>
      </c>
      <c r="D276" s="170">
        <f t="shared" si="937"/>
        <v>365</v>
      </c>
      <c r="E276" s="170">
        <f t="shared" si="937"/>
        <v>417</v>
      </c>
      <c r="F276" s="170">
        <f t="shared" si="937"/>
        <v>871</v>
      </c>
      <c r="G276" s="170">
        <f t="shared" si="937"/>
        <v>1283</v>
      </c>
      <c r="H276" s="177">
        <f t="shared" si="937"/>
        <v>346</v>
      </c>
      <c r="I276" s="177">
        <f t="shared" si="937"/>
        <v>1335</v>
      </c>
      <c r="J276" s="177">
        <f t="shared" si="937"/>
        <v>299</v>
      </c>
      <c r="K276" s="190">
        <f t="shared" si="937"/>
        <v>598</v>
      </c>
      <c r="L276" s="170">
        <f>L256</f>
        <v>2578</v>
      </c>
      <c r="M276" s="177">
        <f t="shared" ref="M276:BO276" si="938">M256-M240</f>
        <v>399</v>
      </c>
      <c r="N276" s="177">
        <f t="shared" si="938"/>
        <v>432</v>
      </c>
      <c r="O276" s="177">
        <f t="shared" si="938"/>
        <v>437</v>
      </c>
      <c r="P276" s="177">
        <f t="shared" si="938"/>
        <v>428</v>
      </c>
      <c r="Q276" s="170">
        <f t="shared" si="938"/>
        <v>1696.0048999999999</v>
      </c>
      <c r="R276" s="177">
        <f t="shared" si="938"/>
        <v>460</v>
      </c>
      <c r="S276" s="177">
        <f t="shared" si="938"/>
        <v>501</v>
      </c>
      <c r="T276" s="177">
        <f t="shared" si="938"/>
        <v>498</v>
      </c>
      <c r="U276" s="177">
        <f t="shared" si="938"/>
        <v>517</v>
      </c>
      <c r="V276" s="170">
        <f t="shared" si="938"/>
        <v>1976</v>
      </c>
      <c r="W276" s="171">
        <f t="shared" si="938"/>
        <v>453</v>
      </c>
      <c r="X276" s="171">
        <f t="shared" si="938"/>
        <v>215</v>
      </c>
      <c r="Y276" s="171">
        <f t="shared" si="938"/>
        <v>737</v>
      </c>
      <c r="Z276" s="171">
        <f t="shared" si="938"/>
        <v>474</v>
      </c>
      <c r="AA276" s="170">
        <f t="shared" si="938"/>
        <v>1879</v>
      </c>
      <c r="AB276" s="171">
        <f t="shared" si="938"/>
        <v>389</v>
      </c>
      <c r="AC276" s="171">
        <f t="shared" si="938"/>
        <v>445</v>
      </c>
      <c r="AD276" s="171">
        <f t="shared" si="938"/>
        <v>510</v>
      </c>
      <c r="AE276" s="171">
        <f t="shared" si="938"/>
        <v>552</v>
      </c>
      <c r="AF276" s="170">
        <f t="shared" si="938"/>
        <v>1896</v>
      </c>
      <c r="AG276" s="171">
        <f t="shared" si="938"/>
        <v>452</v>
      </c>
      <c r="AH276" s="171">
        <f t="shared" si="938"/>
        <v>470</v>
      </c>
      <c r="AI276" s="171">
        <f t="shared" si="938"/>
        <v>507</v>
      </c>
      <c r="AJ276" s="171">
        <f t="shared" si="938"/>
        <v>471</v>
      </c>
      <c r="AK276" s="170">
        <f t="shared" si="938"/>
        <v>1900</v>
      </c>
      <c r="AL276" s="171">
        <f t="shared" si="938"/>
        <v>494</v>
      </c>
      <c r="AM276" s="171">
        <f t="shared" si="938"/>
        <v>493</v>
      </c>
      <c r="AN276" s="171">
        <f t="shared" si="938"/>
        <v>493</v>
      </c>
      <c r="AO276" s="171">
        <f t="shared" si="938"/>
        <v>533</v>
      </c>
      <c r="AP276" s="170">
        <f t="shared" si="938"/>
        <v>2205</v>
      </c>
      <c r="AQ276" s="171">
        <f t="shared" si="938"/>
        <v>599.4</v>
      </c>
      <c r="AR276" s="171">
        <f t="shared" si="938"/>
        <v>552</v>
      </c>
      <c r="AS276" s="171">
        <f t="shared" si="938"/>
        <v>516</v>
      </c>
      <c r="AT276" s="171">
        <f t="shared" si="938"/>
        <v>586</v>
      </c>
      <c r="AU276" s="170">
        <f t="shared" si="938"/>
        <v>2253.4</v>
      </c>
      <c r="AV276" s="171"/>
      <c r="AW276" s="171"/>
      <c r="AX276" s="171"/>
      <c r="AY276" s="171"/>
      <c r="AZ276" s="170">
        <f>AZ256-AZ240</f>
        <v>2258</v>
      </c>
      <c r="BA276" s="670">
        <f t="shared" si="938"/>
        <v>554</v>
      </c>
      <c r="BB276" s="670">
        <f t="shared" si="938"/>
        <v>503</v>
      </c>
      <c r="BC276" s="747">
        <f t="shared" si="938"/>
        <v>443</v>
      </c>
      <c r="BD276" s="747">
        <f t="shared" si="938"/>
        <v>564</v>
      </c>
      <c r="BE276" s="540">
        <f t="shared" si="938"/>
        <v>2064</v>
      </c>
      <c r="BF276" s="670">
        <f t="shared" si="938"/>
        <v>405</v>
      </c>
      <c r="BG276" s="670">
        <f t="shared" si="938"/>
        <v>704</v>
      </c>
      <c r="BH276" s="747">
        <f t="shared" si="938"/>
        <v>524</v>
      </c>
      <c r="BI276" s="747">
        <f t="shared" si="938"/>
        <v>540</v>
      </c>
      <c r="BJ276" s="708">
        <f t="shared" si="938"/>
        <v>2173</v>
      </c>
      <c r="BK276" s="670">
        <f t="shared" si="938"/>
        <v>500</v>
      </c>
      <c r="BL276" s="670">
        <f t="shared" si="938"/>
        <v>547</v>
      </c>
      <c r="BM276" s="747">
        <f t="shared" si="938"/>
        <v>567</v>
      </c>
      <c r="BN276" s="763">
        <f t="shared" si="938"/>
        <v>387</v>
      </c>
      <c r="BO276" s="170">
        <f t="shared" si="938"/>
        <v>2001</v>
      </c>
      <c r="BP276" s="170">
        <f t="shared" ref="BP276:BP282" si="939">BO276</f>
        <v>2001</v>
      </c>
      <c r="BQ276" s="172">
        <f t="shared" ref="BQ276:BT276" si="940">BQ256-BQ240</f>
        <v>636.78898321695578</v>
      </c>
      <c r="BR276" s="171">
        <f t="shared" si="940"/>
        <v>691.76143411695602</v>
      </c>
      <c r="BS276" s="171">
        <f t="shared" si="940"/>
        <v>686.9823148669559</v>
      </c>
      <c r="BT276" s="173">
        <f t="shared" si="940"/>
        <v>775.22088156695611</v>
      </c>
      <c r="BU276" s="170">
        <f>BU256-BU240</f>
        <v>2790.7536137678244</v>
      </c>
      <c r="BV276" s="172"/>
      <c r="BW276" s="171"/>
      <c r="BX276" s="171"/>
      <c r="BY276" s="173"/>
      <c r="BZ276" s="170">
        <f>BZ256-BZ240</f>
        <v>3155.8183518747037</v>
      </c>
      <c r="CA276" s="172"/>
      <c r="CB276" s="171"/>
      <c r="CC276" s="171"/>
      <c r="CD276" s="173"/>
      <c r="CE276" s="170">
        <f>CE256-CE240</f>
        <v>3549.6564257286423</v>
      </c>
      <c r="CF276" s="172"/>
      <c r="CG276" s="171"/>
      <c r="CH276" s="171"/>
      <c r="CI276" s="173"/>
      <c r="CJ276" s="170">
        <f>CJ256-CJ240</f>
        <v>3756.9114536277598</v>
      </c>
      <c r="CK276" s="291"/>
      <c r="CL276" s="657"/>
      <c r="CM276" s="657"/>
      <c r="CN276" s="682"/>
      <c r="CO276" s="682"/>
      <c r="CP276" s="657"/>
      <c r="CQ276" s="657"/>
      <c r="CR276" s="658"/>
      <c r="CS276" s="657"/>
      <c r="CT276" s="291"/>
      <c r="CX276"/>
      <c r="CY276"/>
      <c r="CZ276"/>
      <c r="DA276"/>
      <c r="DB276"/>
      <c r="DC276"/>
    </row>
    <row r="277" spans="1:107" s="180" customFormat="1">
      <c r="A277" s="237" t="s">
        <v>182</v>
      </c>
      <c r="B277" s="170">
        <f t="shared" ref="B277:J277" si="941">-B255</f>
        <v>757</v>
      </c>
      <c r="C277" s="170">
        <f t="shared" si="941"/>
        <v>1396</v>
      </c>
      <c r="D277" s="170">
        <f t="shared" si="941"/>
        <v>170</v>
      </c>
      <c r="E277" s="170">
        <f t="shared" si="941"/>
        <v>-43</v>
      </c>
      <c r="F277" s="170">
        <f t="shared" si="941"/>
        <v>27</v>
      </c>
      <c r="G277" s="170">
        <f t="shared" si="941"/>
        <v>-96</v>
      </c>
      <c r="H277" s="177">
        <f t="shared" si="941"/>
        <v>-22</v>
      </c>
      <c r="I277" s="177">
        <f t="shared" si="941"/>
        <v>-980</v>
      </c>
      <c r="J277" s="177">
        <f t="shared" si="941"/>
        <v>81</v>
      </c>
      <c r="K277" s="190">
        <f>-K255+214</f>
        <v>250</v>
      </c>
      <c r="L277" s="170">
        <f>-L255+214</f>
        <v>-671</v>
      </c>
      <c r="M277" s="177">
        <f t="shared" ref="M277:W277" si="942">-M255</f>
        <v>2</v>
      </c>
      <c r="N277" s="177">
        <f t="shared" si="942"/>
        <v>0</v>
      </c>
      <c r="O277" s="177">
        <f t="shared" si="942"/>
        <v>0</v>
      </c>
      <c r="P277" s="177">
        <f t="shared" si="942"/>
        <v>0</v>
      </c>
      <c r="Q277" s="170">
        <f t="shared" si="942"/>
        <v>2</v>
      </c>
      <c r="R277" s="177">
        <f t="shared" si="942"/>
        <v>-3</v>
      </c>
      <c r="S277" s="177">
        <f t="shared" si="942"/>
        <v>3</v>
      </c>
      <c r="T277" s="177">
        <f t="shared" si="942"/>
        <v>1</v>
      </c>
      <c r="U277" s="177">
        <f>-U255-14</f>
        <v>-4</v>
      </c>
      <c r="V277" s="170">
        <f>-V255-14</f>
        <v>-3</v>
      </c>
      <c r="W277" s="171">
        <f t="shared" si="942"/>
        <v>8</v>
      </c>
      <c r="X277" s="171">
        <f>-X255</f>
        <v>4</v>
      </c>
      <c r="Y277" s="171">
        <f>-Y255</f>
        <v>-88</v>
      </c>
      <c r="Z277" s="171">
        <f>-Z255</f>
        <v>40</v>
      </c>
      <c r="AA277" s="170">
        <f>-AA255</f>
        <v>-36</v>
      </c>
      <c r="AB277" s="171">
        <f>-AB255-AB251</f>
        <v>-59</v>
      </c>
      <c r="AC277" s="171">
        <f>-AC255-AC251</f>
        <v>-8</v>
      </c>
      <c r="AD277" s="171">
        <f>-AD255</f>
        <v>-3</v>
      </c>
      <c r="AE277" s="171">
        <f>-AE255</f>
        <v>-4</v>
      </c>
      <c r="AF277" s="170">
        <f>+SUM(AB277:AE277)</f>
        <v>-74</v>
      </c>
      <c r="AG277" s="171">
        <f>-AG255</f>
        <v>2</v>
      </c>
      <c r="AH277" s="171">
        <f>-AH255</f>
        <v>1</v>
      </c>
      <c r="AI277" s="171">
        <f>-AI255</f>
        <v>1</v>
      </c>
      <c r="AJ277" s="171">
        <f>-AJ255</f>
        <v>-3</v>
      </c>
      <c r="AK277" s="170">
        <f>SUM(AG277:AJ277)</f>
        <v>1</v>
      </c>
      <c r="AL277" s="171">
        <f>-AL255</f>
        <v>2</v>
      </c>
      <c r="AM277" s="171">
        <f>-AM255</f>
        <v>0</v>
      </c>
      <c r="AN277" s="171">
        <f t="shared" ref="AN277:BB277" si="943">-AN255</f>
        <v>-2</v>
      </c>
      <c r="AO277" s="171">
        <f>-AO255</f>
        <v>-64</v>
      </c>
      <c r="AP277" s="170">
        <f>-AP255</f>
        <v>-64</v>
      </c>
      <c r="AQ277" s="171">
        <f>-AQ255</f>
        <v>-7</v>
      </c>
      <c r="AR277" s="171">
        <f t="shared" si="943"/>
        <v>-52</v>
      </c>
      <c r="AS277" s="171">
        <f t="shared" si="943"/>
        <v>0</v>
      </c>
      <c r="AT277" s="171">
        <f t="shared" si="943"/>
        <v>-6</v>
      </c>
      <c r="AU277" s="170">
        <f>-AU255</f>
        <v>-65</v>
      </c>
      <c r="AV277" s="171"/>
      <c r="AW277" s="171"/>
      <c r="AX277" s="171"/>
      <c r="AY277" s="171"/>
      <c r="AZ277" s="170">
        <f>-AZ255</f>
        <v>-65</v>
      </c>
      <c r="BA277" s="670">
        <f t="shared" si="943"/>
        <v>0</v>
      </c>
      <c r="BB277" s="670">
        <f t="shared" si="943"/>
        <v>-1</v>
      </c>
      <c r="BC277" s="747">
        <f>0-SUM(BA277:BB277)</f>
        <v>1</v>
      </c>
      <c r="BD277" s="747">
        <f t="shared" ref="BD277:BD283" si="944">+BE277-SUM(BA277:BC277)</f>
        <v>-13</v>
      </c>
      <c r="BE277" s="540">
        <v>-13</v>
      </c>
      <c r="BF277" s="670">
        <f t="shared" ref="BF277:BJ277" si="945">-BF255</f>
        <v>-1</v>
      </c>
      <c r="BG277" s="670">
        <f t="shared" si="945"/>
        <v>1</v>
      </c>
      <c r="BH277" s="747">
        <f t="shared" si="945"/>
        <v>-1</v>
      </c>
      <c r="BI277" s="747">
        <f t="shared" si="945"/>
        <v>0</v>
      </c>
      <c r="BJ277" s="708">
        <f t="shared" si="945"/>
        <v>-1</v>
      </c>
      <c r="BK277" s="670">
        <f t="shared" ref="BK277:BM277" si="946">-BK255</f>
        <v>-3</v>
      </c>
      <c r="BL277" s="670">
        <f t="shared" si="946"/>
        <v>0</v>
      </c>
      <c r="BM277" s="747">
        <f t="shared" si="946"/>
        <v>1</v>
      </c>
      <c r="BN277" s="763">
        <f>-2-BM277-BL277-BK277</f>
        <v>0</v>
      </c>
      <c r="BO277" s="696">
        <f t="shared" ref="BO277:BO282" si="947">+SUM(BK277:BN277)</f>
        <v>-2</v>
      </c>
      <c r="BP277" s="696">
        <f t="shared" si="939"/>
        <v>-2</v>
      </c>
      <c r="BQ277" s="172">
        <f t="shared" ref="BQ277:BT277" si="948">-BQ255</f>
        <v>0</v>
      </c>
      <c r="BR277" s="171">
        <f t="shared" si="948"/>
        <v>0</v>
      </c>
      <c r="BS277" s="171">
        <f t="shared" si="948"/>
        <v>0</v>
      </c>
      <c r="BT277" s="173">
        <f t="shared" si="948"/>
        <v>0</v>
      </c>
      <c r="BU277" s="170">
        <f>-BU255</f>
        <v>0</v>
      </c>
      <c r="BV277" s="172"/>
      <c r="BW277" s="171"/>
      <c r="BX277" s="171"/>
      <c r="BY277" s="173"/>
      <c r="BZ277" s="170">
        <f>-BZ255</f>
        <v>0</v>
      </c>
      <c r="CA277" s="172"/>
      <c r="CB277" s="171"/>
      <c r="CC277" s="171"/>
      <c r="CD277" s="173"/>
      <c r="CE277" s="170">
        <f>-CE255</f>
        <v>0</v>
      </c>
      <c r="CF277" s="172"/>
      <c r="CG277" s="171"/>
      <c r="CH277" s="171"/>
      <c r="CI277" s="173"/>
      <c r="CJ277" s="170">
        <f>-CJ255</f>
        <v>0</v>
      </c>
      <c r="CK277" s="291"/>
      <c r="CL277" s="657"/>
      <c r="CM277" s="657"/>
      <c r="CN277" s="682"/>
      <c r="CO277" s="682"/>
      <c r="CP277" s="657"/>
      <c r="CQ277" s="657"/>
      <c r="CR277" s="658"/>
      <c r="CS277" s="657"/>
      <c r="CT277" s="291"/>
      <c r="CX277"/>
      <c r="CY277"/>
      <c r="CZ277"/>
      <c r="DA277"/>
      <c r="DB277"/>
      <c r="DC277"/>
    </row>
    <row r="278" spans="1:107" s="180" customFormat="1">
      <c r="A278" s="237" t="s">
        <v>47</v>
      </c>
      <c r="B278" s="176">
        <v>677</v>
      </c>
      <c r="C278" s="176">
        <v>364</v>
      </c>
      <c r="D278" s="176">
        <v>393</v>
      </c>
      <c r="E278" s="176">
        <v>349</v>
      </c>
      <c r="F278" s="176">
        <v>348</v>
      </c>
      <c r="G278" s="176">
        <v>361</v>
      </c>
      <c r="H278" s="177">
        <v>86</v>
      </c>
      <c r="I278" s="190">
        <f>180-H278</f>
        <v>94</v>
      </c>
      <c r="J278" s="177">
        <f>275-SUM(H278:I278)</f>
        <v>95</v>
      </c>
      <c r="K278" s="177">
        <f>372-H278-I278-J278</f>
        <v>97</v>
      </c>
      <c r="L278" s="176">
        <f>SUM(H278:K278)</f>
        <v>372</v>
      </c>
      <c r="M278" s="177">
        <v>92</v>
      </c>
      <c r="N278" s="190">
        <f>189-M278</f>
        <v>97</v>
      </c>
      <c r="O278" s="177">
        <f>288-SUM(M278:N278)</f>
        <v>99</v>
      </c>
      <c r="P278" s="177">
        <f>390-M278-N278-O278</f>
        <v>102</v>
      </c>
      <c r="Q278" s="176">
        <f>SUM(M278:P278)</f>
        <v>390</v>
      </c>
      <c r="R278" s="177">
        <v>97</v>
      </c>
      <c r="S278" s="190">
        <f>194-R278</f>
        <v>97</v>
      </c>
      <c r="T278" s="190">
        <f>295-S278-R278</f>
        <v>101</v>
      </c>
      <c r="U278" s="177">
        <f>402-R278-S278-T278</f>
        <v>107</v>
      </c>
      <c r="V278" s="176">
        <f>SUM(R278:U278)</f>
        <v>402</v>
      </c>
      <c r="W278" s="177">
        <v>103</v>
      </c>
      <c r="X278" s="190">
        <f>206-W278</f>
        <v>103</v>
      </c>
      <c r="Y278" s="177">
        <v>105</v>
      </c>
      <c r="Z278" s="177">
        <f>414-W278-X278-Y278</f>
        <v>103</v>
      </c>
      <c r="AA278" s="176">
        <f>SUM(W278:Z278)</f>
        <v>414</v>
      </c>
      <c r="AB278" s="177">
        <v>104</v>
      </c>
      <c r="AC278" s="190">
        <f>215-AB278</f>
        <v>111</v>
      </c>
      <c r="AD278" s="190">
        <f>328-AC278-AB278</f>
        <v>113</v>
      </c>
      <c r="AE278" s="190">
        <f>447-AD278-AC278-AB278</f>
        <v>119</v>
      </c>
      <c r="AF278" s="176">
        <f>+SUM(AB278:AE278)</f>
        <v>447</v>
      </c>
      <c r="AG278" s="177">
        <v>112</v>
      </c>
      <c r="AH278" s="190">
        <f>228-AG278</f>
        <v>116</v>
      </c>
      <c r="AI278" s="190">
        <f>341-AH278-AG278</f>
        <v>113</v>
      </c>
      <c r="AJ278" s="177">
        <f>455-AG278-AH278-AI278</f>
        <v>114</v>
      </c>
      <c r="AK278" s="176">
        <f>SUM(AG278:AJ278)</f>
        <v>455</v>
      </c>
      <c r="AL278" s="190">
        <v>108</v>
      </c>
      <c r="AM278" s="190">
        <f>221-AL278</f>
        <v>113</v>
      </c>
      <c r="AN278" s="190">
        <f>332-SUM(AL278:AM278)</f>
        <v>111</v>
      </c>
      <c r="AO278" s="177">
        <f>445-AL278-AM278-AN278</f>
        <v>113</v>
      </c>
      <c r="AP278" s="176">
        <f>SUM(AL278:AO278)</f>
        <v>445</v>
      </c>
      <c r="AQ278" s="177">
        <v>107</v>
      </c>
      <c r="AR278" s="667">
        <v>99</v>
      </c>
      <c r="AS278" s="667">
        <f>327-SUM(AQ278:AR278)</f>
        <v>121</v>
      </c>
      <c r="AT278" s="667">
        <f>439-SUM(AQ278:AS278)</f>
        <v>112</v>
      </c>
      <c r="AU278" s="176">
        <f>SUM(AQ278:AT278)</f>
        <v>439</v>
      </c>
      <c r="AV278" s="177"/>
      <c r="AW278" s="667"/>
      <c r="AX278" s="667"/>
      <c r="AY278" s="667"/>
      <c r="AZ278" s="176">
        <v>439</v>
      </c>
      <c r="BA278" s="720">
        <v>107</v>
      </c>
      <c r="BB278" s="667">
        <f>223-BA278</f>
        <v>116</v>
      </c>
      <c r="BC278" s="749">
        <f>353-SUM(BA278:BB278)</f>
        <v>130</v>
      </c>
      <c r="BD278" s="769">
        <f t="shared" si="944"/>
        <v>136</v>
      </c>
      <c r="BE278" s="137">
        <v>489</v>
      </c>
      <c r="BF278" s="750">
        <v>124</v>
      </c>
      <c r="BG278" s="749">
        <f>247-BF278</f>
        <v>123</v>
      </c>
      <c r="BH278" s="749">
        <f>377-SUM(BF278:BG278)</f>
        <v>130</v>
      </c>
      <c r="BI278" s="769">
        <f t="shared" ref="BI278:BI283" si="949">+BJ278-SUM(BF278:BH278)</f>
        <v>138</v>
      </c>
      <c r="BJ278" s="696">
        <v>515</v>
      </c>
      <c r="BK278" s="750">
        <v>130</v>
      </c>
      <c r="BL278" s="667">
        <f>263-BK278</f>
        <v>133</v>
      </c>
      <c r="BM278" s="667">
        <f>401-BL278-BK278</f>
        <v>138</v>
      </c>
      <c r="BN278" s="667">
        <f>550-BM278-BL278-BK278</f>
        <v>149</v>
      </c>
      <c r="BO278" s="696">
        <f t="shared" si="947"/>
        <v>550</v>
      </c>
      <c r="BP278" s="696">
        <f t="shared" si="939"/>
        <v>550</v>
      </c>
      <c r="BQ278" s="272">
        <f>+BK278*1.06</f>
        <v>137.80000000000001</v>
      </c>
      <c r="BR278" s="270">
        <f>+BL278*1.06</f>
        <v>140.98000000000002</v>
      </c>
      <c r="BS278" s="270">
        <f>+BM278*1.06</f>
        <v>146.28</v>
      </c>
      <c r="BT278" s="273">
        <f>+BN278*1.06</f>
        <v>157.94</v>
      </c>
      <c r="BU278" s="696">
        <f>+SUM(BQ278:BT278)</f>
        <v>583</v>
      </c>
      <c r="BV278" s="272"/>
      <c r="BW278" s="270"/>
      <c r="BX278" s="270"/>
      <c r="BY278" s="273"/>
      <c r="BZ278" s="271">
        <f>BU278*1.06</f>
        <v>617.98</v>
      </c>
      <c r="CA278" s="272"/>
      <c r="CB278" s="270"/>
      <c r="CC278" s="270"/>
      <c r="CD278" s="273"/>
      <c r="CE278" s="271">
        <f>BZ278*1.06</f>
        <v>655.05880000000002</v>
      </c>
      <c r="CF278" s="272"/>
      <c r="CG278" s="270"/>
      <c r="CH278" s="270"/>
      <c r="CI278" s="273"/>
      <c r="CJ278" s="271">
        <f>CE278*1.06</f>
        <v>694.36232800000005</v>
      </c>
      <c r="CK278" s="291"/>
      <c r="CL278" s="657"/>
      <c r="CM278" s="657"/>
      <c r="CN278" s="682"/>
      <c r="CO278" s="682"/>
      <c r="CP278" s="657"/>
      <c r="CQ278" s="657"/>
      <c r="CR278" s="658"/>
      <c r="CS278" s="657"/>
      <c r="CT278" s="291"/>
      <c r="CX278"/>
      <c r="CY278"/>
      <c r="CZ278"/>
      <c r="DA278"/>
      <c r="DB278"/>
      <c r="DC278"/>
    </row>
    <row r="279" spans="1:107" s="180" customFormat="1">
      <c r="A279" s="237" t="s">
        <v>117</v>
      </c>
      <c r="B279" s="176">
        <v>0</v>
      </c>
      <c r="C279" s="176">
        <v>0</v>
      </c>
      <c r="D279" s="176">
        <v>0</v>
      </c>
      <c r="E279" s="176">
        <v>0</v>
      </c>
      <c r="F279" s="176">
        <v>0</v>
      </c>
      <c r="G279" s="176">
        <v>0</v>
      </c>
      <c r="H279" s="177">
        <v>0</v>
      </c>
      <c r="I279" s="190">
        <v>0</v>
      </c>
      <c r="J279" s="177">
        <v>0</v>
      </c>
      <c r="K279" s="177">
        <f>109-H279-I279-J279</f>
        <v>109</v>
      </c>
      <c r="L279" s="176">
        <f>SUM(H279:K279)</f>
        <v>109</v>
      </c>
      <c r="M279" s="177">
        <v>0</v>
      </c>
      <c r="N279" s="190">
        <v>0</v>
      </c>
      <c r="O279" s="177">
        <v>0</v>
      </c>
      <c r="P279" s="177">
        <f>122-M279-N279-O279</f>
        <v>122</v>
      </c>
      <c r="Q279" s="176">
        <f>SUM(M279:P279)</f>
        <v>122</v>
      </c>
      <c r="R279" s="177">
        <v>0</v>
      </c>
      <c r="S279" s="190">
        <v>0</v>
      </c>
      <c r="T279" s="190">
        <f>92-SUM(R279:S279)</f>
        <v>92</v>
      </c>
      <c r="U279" s="177">
        <f>127-R279-S279-T279</f>
        <v>35</v>
      </c>
      <c r="V279" s="176">
        <f>SUM(R279:U279)</f>
        <v>127</v>
      </c>
      <c r="W279" s="177">
        <v>29</v>
      </c>
      <c r="X279" s="190">
        <f>61-W279</f>
        <v>32</v>
      </c>
      <c r="Y279" s="177">
        <v>27</v>
      </c>
      <c r="Z279" s="177">
        <f>128-W279-X279-Y279</f>
        <v>40</v>
      </c>
      <c r="AA279" s="176">
        <f>SUM(W279:Z279)</f>
        <v>128</v>
      </c>
      <c r="AB279" s="177">
        <v>31</v>
      </c>
      <c r="AC279" s="190">
        <f>54-AB279</f>
        <v>23</v>
      </c>
      <c r="AD279" s="177">
        <f>72-AC279-AB279</f>
        <v>18</v>
      </c>
      <c r="AE279" s="177">
        <f>102-AD279-AC279-AB279</f>
        <v>30</v>
      </c>
      <c r="AF279" s="176">
        <f>+SUM(AB279:AE279)</f>
        <v>102</v>
      </c>
      <c r="AG279" s="177">
        <v>27</v>
      </c>
      <c r="AH279" s="190">
        <f>56-AG279</f>
        <v>29</v>
      </c>
      <c r="AI279" s="190">
        <f>84-AH279-AG279</f>
        <v>28</v>
      </c>
      <c r="AJ279" s="177">
        <f>122-AG279-AH279-AI279</f>
        <v>38</v>
      </c>
      <c r="AK279" s="176">
        <f>SUM(AG279:AJ279)</f>
        <v>122</v>
      </c>
      <c r="AL279" s="177">
        <v>31</v>
      </c>
      <c r="AM279" s="177">
        <f>64-AL279</f>
        <v>33</v>
      </c>
      <c r="AN279" s="177">
        <v>96</v>
      </c>
      <c r="AO279" s="177">
        <f>129-AL279-AM279-AN279</f>
        <v>-31</v>
      </c>
      <c r="AP279" s="176">
        <f>SUM(AL279:AO279)</f>
        <v>129</v>
      </c>
      <c r="AQ279" s="177">
        <v>38</v>
      </c>
      <c r="AR279" s="667">
        <v>50</v>
      </c>
      <c r="AS279" s="667">
        <f>118-SUM(AQ279:AR279)</f>
        <v>30</v>
      </c>
      <c r="AT279" s="667">
        <f>148-SUM(AQ279:AS279)</f>
        <v>30</v>
      </c>
      <c r="AU279" s="176">
        <f>SUM(AQ279:AT279)</f>
        <v>148</v>
      </c>
      <c r="AV279" s="177"/>
      <c r="AW279" s="667"/>
      <c r="AX279" s="667"/>
      <c r="AY279" s="667"/>
      <c r="AZ279" s="176">
        <v>148</v>
      </c>
      <c r="BA279" s="720">
        <v>51</v>
      </c>
      <c r="BB279" s="667">
        <f>87-BA279</f>
        <v>36</v>
      </c>
      <c r="BC279" s="749">
        <f>114-SUM(BA279:BB279)</f>
        <v>27</v>
      </c>
      <c r="BD279" s="769">
        <f t="shared" si="944"/>
        <v>26</v>
      </c>
      <c r="BE279" s="137">
        <v>140</v>
      </c>
      <c r="BF279" s="750">
        <v>54</v>
      </c>
      <c r="BG279" s="749">
        <f>89-BF279</f>
        <v>35</v>
      </c>
      <c r="BH279" s="749">
        <f>120-SUM(BF279:BG279)</f>
        <v>31</v>
      </c>
      <c r="BI279" s="769">
        <f t="shared" si="949"/>
        <v>31</v>
      </c>
      <c r="BJ279" s="696">
        <v>151</v>
      </c>
      <c r="BK279" s="750">
        <v>57</v>
      </c>
      <c r="BL279" s="667">
        <f>92-BK279</f>
        <v>35</v>
      </c>
      <c r="BM279" s="667">
        <f>127-BL279-BK279</f>
        <v>35</v>
      </c>
      <c r="BN279" s="667">
        <f>173-BM279-BL279-BK279</f>
        <v>46</v>
      </c>
      <c r="BO279" s="696">
        <f t="shared" si="947"/>
        <v>173</v>
      </c>
      <c r="BP279" s="696">
        <f t="shared" si="939"/>
        <v>173</v>
      </c>
      <c r="BQ279" s="272">
        <f>(+BO279+10)/4</f>
        <v>45.75</v>
      </c>
      <c r="BR279" s="270">
        <f>BQ279</f>
        <v>45.75</v>
      </c>
      <c r="BS279" s="270">
        <f>BR279</f>
        <v>45.75</v>
      </c>
      <c r="BT279" s="273">
        <f>BS279</f>
        <v>45.75</v>
      </c>
      <c r="BU279" s="696">
        <f>+SUM(BQ279:BT279)</f>
        <v>183</v>
      </c>
      <c r="BV279" s="272"/>
      <c r="BW279" s="270"/>
      <c r="BX279" s="270"/>
      <c r="BY279" s="273"/>
      <c r="BZ279" s="271">
        <f>+BU279+10</f>
        <v>193</v>
      </c>
      <c r="CA279" s="272"/>
      <c r="CB279" s="270"/>
      <c r="CC279" s="270"/>
      <c r="CD279" s="273"/>
      <c r="CE279" s="271">
        <f>+BZ279+10</f>
        <v>203</v>
      </c>
      <c r="CF279" s="272"/>
      <c r="CG279" s="270"/>
      <c r="CH279" s="270"/>
      <c r="CI279" s="273"/>
      <c r="CJ279" s="271">
        <f>+CE279+10</f>
        <v>213</v>
      </c>
      <c r="CK279" s="291"/>
      <c r="CL279" s="657"/>
      <c r="CM279" s="657"/>
      <c r="CN279" s="682"/>
      <c r="CO279" s="682"/>
      <c r="CP279" s="657"/>
      <c r="CQ279" s="657"/>
      <c r="CR279" s="658"/>
      <c r="CS279" s="657"/>
      <c r="CT279" s="291"/>
      <c r="CX279"/>
      <c r="CY279"/>
      <c r="CZ279"/>
      <c r="DA279"/>
      <c r="DB279"/>
      <c r="DC279"/>
    </row>
    <row r="280" spans="1:107" s="180" customFormat="1">
      <c r="A280" s="237" t="s">
        <v>61</v>
      </c>
      <c r="B280" s="176">
        <v>7</v>
      </c>
      <c r="C280" s="176">
        <v>264</v>
      </c>
      <c r="D280" s="176">
        <v>94</v>
      </c>
      <c r="E280" s="176">
        <v>-7</v>
      </c>
      <c r="F280" s="176">
        <v>64</v>
      </c>
      <c r="G280" s="176">
        <v>176</v>
      </c>
      <c r="H280" s="177">
        <v>72</v>
      </c>
      <c r="I280" s="190">
        <f>125-H280</f>
        <v>53</v>
      </c>
      <c r="J280" s="190">
        <f>212-SUM(H280:I280)</f>
        <v>87</v>
      </c>
      <c r="K280" s="177">
        <f>182-H280-I280-J280</f>
        <v>-30</v>
      </c>
      <c r="L280" s="176">
        <f>SUM(H280:K280)</f>
        <v>182</v>
      </c>
      <c r="M280" s="177">
        <v>32</v>
      </c>
      <c r="N280" s="190">
        <f>69-M280</f>
        <v>37</v>
      </c>
      <c r="O280" s="190">
        <f>52-SUM(M280:N280)</f>
        <v>-17</v>
      </c>
      <c r="P280" s="177">
        <f>574-M280-N280-O280</f>
        <v>522</v>
      </c>
      <c r="Q280" s="176">
        <f>SUM(M280:P280)</f>
        <v>574</v>
      </c>
      <c r="R280" s="177">
        <v>71</v>
      </c>
      <c r="S280" s="190">
        <f>140-R280</f>
        <v>69</v>
      </c>
      <c r="T280" s="190">
        <f>231-S280-R280</f>
        <v>91</v>
      </c>
      <c r="U280" s="177">
        <f>269-R280-S280-T280</f>
        <v>38</v>
      </c>
      <c r="V280" s="176">
        <f>SUM(R280:U280)</f>
        <v>269</v>
      </c>
      <c r="W280" s="177">
        <v>24</v>
      </c>
      <c r="X280" s="190">
        <f>-109-W280</f>
        <v>-133</v>
      </c>
      <c r="Y280" s="177">
        <v>377</v>
      </c>
      <c r="Z280" s="177">
        <f>345-W280-X280-Y280</f>
        <v>77</v>
      </c>
      <c r="AA280" s="176">
        <f>SUM(W280:Z280)</f>
        <v>345</v>
      </c>
      <c r="AB280" s="177">
        <v>-9</v>
      </c>
      <c r="AC280" s="190">
        <f>-20-AB280</f>
        <v>-11</v>
      </c>
      <c r="AD280" s="177">
        <f>84-AC280-AB280</f>
        <v>104</v>
      </c>
      <c r="AE280" s="177">
        <f>376-AD280-AC280-AB280</f>
        <v>292</v>
      </c>
      <c r="AF280" s="176">
        <f>+SUM(AB280:AE280)</f>
        <v>376</v>
      </c>
      <c r="AG280" s="177">
        <v>11</v>
      </c>
      <c r="AH280" s="190">
        <f>66-AG280</f>
        <v>55</v>
      </c>
      <c r="AI280" s="190">
        <f>7-AH280-AG280</f>
        <v>-59</v>
      </c>
      <c r="AJ280" s="177">
        <f>94-AG280-AH280-AI280</f>
        <v>87</v>
      </c>
      <c r="AK280" s="176">
        <f>SUM(AG280:AJ280)</f>
        <v>94</v>
      </c>
      <c r="AL280" s="177">
        <v>2</v>
      </c>
      <c r="AM280" s="177">
        <f>-78-AL280</f>
        <v>-80</v>
      </c>
      <c r="AN280" s="177">
        <f>-134-SUM(AL280:AM280)</f>
        <v>-56</v>
      </c>
      <c r="AO280" s="177">
        <f>68-AL280-AM280-AN280</f>
        <v>202</v>
      </c>
      <c r="AP280" s="176">
        <f>SUM(AL280:AO280)</f>
        <v>68</v>
      </c>
      <c r="AQ280" s="177">
        <v>-31</v>
      </c>
      <c r="AR280" s="668">
        <f>-66-AQ280</f>
        <v>-35</v>
      </c>
      <c r="AS280" s="668">
        <f>-259-SUM(AQ280:AR280)</f>
        <v>-193</v>
      </c>
      <c r="AT280" s="668">
        <f>-60-SUM(AQ280:AS280)</f>
        <v>199</v>
      </c>
      <c r="AU280" s="137">
        <f>SUM(AQ280:AT280)</f>
        <v>-60</v>
      </c>
      <c r="AV280" s="177"/>
      <c r="AW280" s="668"/>
      <c r="AX280" s="668"/>
      <c r="AY280" s="668"/>
      <c r="AZ280" s="137">
        <v>-60</v>
      </c>
      <c r="BA280" s="721">
        <v>-94</v>
      </c>
      <c r="BB280" s="668">
        <f>-232-BA280</f>
        <v>-138</v>
      </c>
      <c r="BC280" s="749">
        <f>-248-SUM(BA280:BB280)</f>
        <v>-16</v>
      </c>
      <c r="BD280" s="769">
        <f t="shared" si="944"/>
        <v>192</v>
      </c>
      <c r="BE280" s="137">
        <v>-56</v>
      </c>
      <c r="BF280" s="750">
        <v>-30</v>
      </c>
      <c r="BG280" s="749">
        <f>-67-BF280</f>
        <v>-37</v>
      </c>
      <c r="BH280" s="749">
        <f>-102-SUM(BF280:BG280)</f>
        <v>-35</v>
      </c>
      <c r="BI280" s="769">
        <f t="shared" si="949"/>
        <v>211</v>
      </c>
      <c r="BJ280" s="727">
        <v>109</v>
      </c>
      <c r="BK280" s="750">
        <v>-54</v>
      </c>
      <c r="BL280" s="667">
        <f>-105-BK280</f>
        <v>-51</v>
      </c>
      <c r="BM280" s="667">
        <f>-137-BL280-BK280</f>
        <v>-32</v>
      </c>
      <c r="BN280" s="667">
        <f>252-BM280-BL280-BK280</f>
        <v>389</v>
      </c>
      <c r="BO280" s="137">
        <f t="shared" si="947"/>
        <v>252</v>
      </c>
      <c r="BP280" s="137">
        <f t="shared" si="939"/>
        <v>252</v>
      </c>
      <c r="BQ280" s="243">
        <v>0</v>
      </c>
      <c r="BR280" s="242">
        <v>0</v>
      </c>
      <c r="BS280" s="242">
        <v>0</v>
      </c>
      <c r="BT280" s="244">
        <v>0</v>
      </c>
      <c r="BU280" s="137">
        <f>+SUM(BQ280:BT280)</f>
        <v>0</v>
      </c>
      <c r="BV280" s="243"/>
      <c r="BW280" s="242"/>
      <c r="BX280" s="242"/>
      <c r="BY280" s="244"/>
      <c r="BZ280" s="137">
        <v>0</v>
      </c>
      <c r="CA280" s="243"/>
      <c r="CB280" s="242"/>
      <c r="CC280" s="242"/>
      <c r="CD280" s="244"/>
      <c r="CE280" s="137">
        <v>0</v>
      </c>
      <c r="CF280" s="243"/>
      <c r="CG280" s="242"/>
      <c r="CH280" s="242"/>
      <c r="CI280" s="244"/>
      <c r="CJ280" s="137">
        <v>0</v>
      </c>
      <c r="CK280" s="291"/>
      <c r="CL280" s="657"/>
      <c r="CM280" s="657"/>
      <c r="CN280" s="682"/>
      <c r="CO280" s="682"/>
      <c r="CP280" s="657"/>
      <c r="CQ280" s="657"/>
      <c r="CR280" s="658"/>
      <c r="CS280" s="657"/>
      <c r="CT280" s="291"/>
      <c r="CX280"/>
      <c r="CY280"/>
      <c r="CZ280"/>
      <c r="DA280"/>
      <c r="DB280"/>
      <c r="DC280"/>
    </row>
    <row r="281" spans="1:107" s="180" customFormat="1">
      <c r="A281" s="237" t="s">
        <v>87</v>
      </c>
      <c r="B281" s="176"/>
      <c r="C281" s="176">
        <v>0</v>
      </c>
      <c r="D281" s="176">
        <v>0</v>
      </c>
      <c r="E281" s="176">
        <f>268-10+73-29</f>
        <v>302</v>
      </c>
      <c r="F281" s="176">
        <f>151-23</f>
        <v>128</v>
      </c>
      <c r="G281" s="176">
        <f>88-8</f>
        <v>80</v>
      </c>
      <c r="H281" s="177">
        <v>-158</v>
      </c>
      <c r="I281" s="190">
        <f>-103-H281</f>
        <v>55</v>
      </c>
      <c r="J281" s="177">
        <f>-38-SUM(H281:I281)</f>
        <v>65</v>
      </c>
      <c r="K281" s="177">
        <f>-443-H281-I281-J281</f>
        <v>-405</v>
      </c>
      <c r="L281" s="176">
        <f>SUM(H281:K281)</f>
        <v>-443</v>
      </c>
      <c r="M281" s="177">
        <v>91</v>
      </c>
      <c r="N281" s="190">
        <f>108-M281</f>
        <v>17</v>
      </c>
      <c r="O281" s="177">
        <f>15-SUM(M281:N281)</f>
        <v>-93</v>
      </c>
      <c r="P281" s="177">
        <f>-659-M281-N281-O281</f>
        <v>-674</v>
      </c>
      <c r="Q281" s="176">
        <f>SUM(M281:P281)</f>
        <v>-659</v>
      </c>
      <c r="R281" s="177">
        <v>189</v>
      </c>
      <c r="S281" s="190">
        <f>-269-R281</f>
        <v>-458</v>
      </c>
      <c r="T281" s="190">
        <f>-690-S281-R281</f>
        <v>-421</v>
      </c>
      <c r="U281" s="177">
        <f>-510-R281-S281-T281</f>
        <v>180</v>
      </c>
      <c r="V281" s="176">
        <f>SUM(R281:U281)</f>
        <v>-510</v>
      </c>
      <c r="W281" s="177">
        <v>175</v>
      </c>
      <c r="X281" s="190">
        <f>-159-W281</f>
        <v>-334</v>
      </c>
      <c r="Y281" s="190">
        <f>-489-W281-X281</f>
        <v>-330</v>
      </c>
      <c r="Z281" s="177">
        <f>-1048-W281-X281-Y281</f>
        <v>-559</v>
      </c>
      <c r="AA281" s="176">
        <f>SUM(W281:Z281)</f>
        <v>-1048</v>
      </c>
      <c r="AB281" s="177">
        <v>257</v>
      </c>
      <c r="AC281" s="190">
        <f>8-AB281</f>
        <v>-249</v>
      </c>
      <c r="AD281" s="190">
        <f>-260-AC281-AB281</f>
        <v>-268</v>
      </c>
      <c r="AE281" s="177">
        <f>-760-AD281-AC281-AB281</f>
        <v>-500</v>
      </c>
      <c r="AF281" s="176">
        <f>SUM(AB281:AE281)</f>
        <v>-760</v>
      </c>
      <c r="AG281" s="177">
        <v>254</v>
      </c>
      <c r="AH281" s="190">
        <f>-59-AG281</f>
        <v>-313</v>
      </c>
      <c r="AI281" s="190">
        <f>120-AH281-AG281</f>
        <v>179</v>
      </c>
      <c r="AJ281" s="190">
        <f>-131-AG281-AH281-AI281</f>
        <v>-251</v>
      </c>
      <c r="AK281" s="176">
        <f>SUM(AG281:AJ281)</f>
        <v>-131</v>
      </c>
      <c r="AL281" s="190">
        <v>291</v>
      </c>
      <c r="AM281" s="190">
        <f>246-AL281</f>
        <v>-45</v>
      </c>
      <c r="AN281" s="190">
        <f>175-SUM(AL281:AM281)</f>
        <v>-71</v>
      </c>
      <c r="AO281" s="190">
        <f>150-AL281-AM281-AN281</f>
        <v>-25</v>
      </c>
      <c r="AP281" s="191">
        <f>SUM(AL281:AO281)</f>
        <v>150</v>
      </c>
      <c r="AQ281" s="190">
        <v>180</v>
      </c>
      <c r="AR281" s="456">
        <f>-28-AQ281</f>
        <v>-208</v>
      </c>
      <c r="AS281" s="456">
        <f>46-SUM(AQ281:AR281)</f>
        <v>74</v>
      </c>
      <c r="AT281" s="456">
        <f>-367-SUM(AQ281:AS281)</f>
        <v>-413</v>
      </c>
      <c r="AU281" s="457">
        <f>SUM(AQ281:AT281)</f>
        <v>-367</v>
      </c>
      <c r="AV281" s="190"/>
      <c r="AW281" s="456"/>
      <c r="AX281" s="456"/>
      <c r="AY281" s="456"/>
      <c r="AZ281" s="457">
        <v>-367</v>
      </c>
      <c r="BA281" s="456">
        <v>267</v>
      </c>
      <c r="BB281" s="456">
        <f>408-BA281</f>
        <v>141</v>
      </c>
      <c r="BC281" s="904">
        <f>583-SUM(BA281:BB281)</f>
        <v>175</v>
      </c>
      <c r="BD281" s="904">
        <f t="shared" si="944"/>
        <v>54</v>
      </c>
      <c r="BE281" s="457">
        <v>637</v>
      </c>
      <c r="BF281" s="904">
        <v>221</v>
      </c>
      <c r="BG281" s="904">
        <f>445-BF281</f>
        <v>224</v>
      </c>
      <c r="BH281" s="904">
        <f>693-SUM(BF281:BG281)</f>
        <v>248</v>
      </c>
      <c r="BI281" s="904">
        <f t="shared" si="949"/>
        <v>-274</v>
      </c>
      <c r="BJ281" s="770">
        <v>419</v>
      </c>
      <c r="BK281" s="904">
        <v>283</v>
      </c>
      <c r="BL281" s="772">
        <f>564-BK281</f>
        <v>281</v>
      </c>
      <c r="BM281" s="772">
        <f>452-BL281-BK281</f>
        <v>-112</v>
      </c>
      <c r="BN281" s="667">
        <f>250-BM281-BL281-BK281</f>
        <v>-202</v>
      </c>
      <c r="BO281" s="873">
        <f t="shared" si="947"/>
        <v>250</v>
      </c>
      <c r="BP281" s="873">
        <f t="shared" si="939"/>
        <v>250</v>
      </c>
      <c r="BQ281" s="456">
        <v>-123.90622094581249</v>
      </c>
      <c r="BR281" s="671">
        <v>-123.90622094581249</v>
      </c>
      <c r="BS281" s="671">
        <v>-123.90622094581249</v>
      </c>
      <c r="BT281" s="671">
        <v>-123.90622094581249</v>
      </c>
      <c r="BU281" s="873">
        <f>+SUM(BQ281:BT281)</f>
        <v>-495.62488378324997</v>
      </c>
      <c r="BV281" s="671"/>
      <c r="BW281" s="671"/>
      <c r="BX281" s="671"/>
      <c r="BY281" s="671"/>
      <c r="BZ281" s="873">
        <v>158.14877558931175</v>
      </c>
      <c r="CA281" s="671"/>
      <c r="CB281" s="671"/>
      <c r="CC281" s="671"/>
      <c r="CD281" s="671"/>
      <c r="CE281" s="873">
        <v>104.51807227624072</v>
      </c>
      <c r="CF281" s="671"/>
      <c r="CG281" s="671"/>
      <c r="CH281" s="671"/>
      <c r="CI281" s="671"/>
      <c r="CJ281" s="873">
        <v>47.123946025436027</v>
      </c>
      <c r="CK281" s="291"/>
      <c r="CL281" s="657" t="s">
        <v>370</v>
      </c>
      <c r="CM281" s="657"/>
      <c r="CN281" s="1028"/>
      <c r="CO281" s="1028"/>
      <c r="CP281" s="1028"/>
      <c r="CQ281" s="1028"/>
      <c r="CR281" s="1029"/>
      <c r="CS281" s="657"/>
      <c r="CT281" s="291"/>
      <c r="CX281"/>
      <c r="CY281"/>
      <c r="CZ281"/>
      <c r="DA281"/>
      <c r="DB281"/>
      <c r="DC281"/>
    </row>
    <row r="282" spans="1:107" s="180" customFormat="1">
      <c r="A282" s="237" t="s">
        <v>112</v>
      </c>
      <c r="B282" s="170">
        <f t="shared" ref="B282:AO282" si="950">B283-B276-B277-B278-B279-B280-B281</f>
        <v>-531</v>
      </c>
      <c r="C282" s="170">
        <f t="shared" si="950"/>
        <v>-1733</v>
      </c>
      <c r="D282" s="170">
        <f t="shared" si="950"/>
        <v>1012</v>
      </c>
      <c r="E282" s="170">
        <f t="shared" si="950"/>
        <v>1053</v>
      </c>
      <c r="F282" s="170">
        <f t="shared" si="950"/>
        <v>1077</v>
      </c>
      <c r="G282" s="170">
        <f t="shared" si="950"/>
        <v>939</v>
      </c>
      <c r="H282" s="177">
        <f t="shared" si="950"/>
        <v>-740</v>
      </c>
      <c r="I282" s="177">
        <f t="shared" si="950"/>
        <v>-607</v>
      </c>
      <c r="J282" s="177">
        <f t="shared" si="950"/>
        <v>104</v>
      </c>
      <c r="K282" s="190">
        <f t="shared" si="950"/>
        <v>314</v>
      </c>
      <c r="L282" s="170">
        <f t="shared" si="950"/>
        <v>-929</v>
      </c>
      <c r="M282" s="177">
        <f t="shared" si="950"/>
        <v>-559</v>
      </c>
      <c r="N282" s="177">
        <f t="shared" si="950"/>
        <v>178</v>
      </c>
      <c r="O282" s="177">
        <f t="shared" si="950"/>
        <v>327</v>
      </c>
      <c r="P282" s="177">
        <f t="shared" si="950"/>
        <v>-56</v>
      </c>
      <c r="Q282" s="170">
        <f t="shared" si="950"/>
        <v>-110.00489999999991</v>
      </c>
      <c r="R282" s="177">
        <f t="shared" si="950"/>
        <v>-409</v>
      </c>
      <c r="S282" s="177">
        <f t="shared" si="950"/>
        <v>297</v>
      </c>
      <c r="T282" s="177">
        <f t="shared" si="950"/>
        <v>380</v>
      </c>
      <c r="U282" s="177">
        <f t="shared" si="950"/>
        <v>196</v>
      </c>
      <c r="V282" s="170">
        <f t="shared" si="950"/>
        <v>464</v>
      </c>
      <c r="W282" s="171">
        <f t="shared" si="950"/>
        <v>-533</v>
      </c>
      <c r="X282" s="171">
        <f t="shared" si="950"/>
        <v>513</v>
      </c>
      <c r="Y282" s="171">
        <f t="shared" si="950"/>
        <v>-410</v>
      </c>
      <c r="Z282" s="171">
        <f t="shared" si="950"/>
        <v>690</v>
      </c>
      <c r="AA282" s="170">
        <f t="shared" si="950"/>
        <v>260</v>
      </c>
      <c r="AB282" s="171">
        <f t="shared" si="950"/>
        <v>-698</v>
      </c>
      <c r="AC282" s="171">
        <f t="shared" si="950"/>
        <v>-398</v>
      </c>
      <c r="AD282" s="171">
        <f t="shared" si="950"/>
        <v>387</v>
      </c>
      <c r="AE282" s="171">
        <f t="shared" si="950"/>
        <v>829</v>
      </c>
      <c r="AF282" s="170">
        <f t="shared" si="950"/>
        <v>120</v>
      </c>
      <c r="AG282" s="171">
        <f t="shared" si="950"/>
        <v>-743</v>
      </c>
      <c r="AH282" s="171">
        <f t="shared" si="950"/>
        <v>-615</v>
      </c>
      <c r="AI282" s="171">
        <f t="shared" si="950"/>
        <v>342</v>
      </c>
      <c r="AJ282" s="171">
        <f t="shared" si="950"/>
        <v>532</v>
      </c>
      <c r="AK282" s="170">
        <f t="shared" si="950"/>
        <v>-484</v>
      </c>
      <c r="AL282" s="171">
        <f t="shared" si="950"/>
        <v>-505</v>
      </c>
      <c r="AM282" s="171">
        <f t="shared" si="950"/>
        <v>-556</v>
      </c>
      <c r="AN282" s="171">
        <f t="shared" si="950"/>
        <v>325</v>
      </c>
      <c r="AO282" s="171">
        <f t="shared" si="950"/>
        <v>373</v>
      </c>
      <c r="AP282" s="170">
        <f>SUM(AL282:AO282)</f>
        <v>-363</v>
      </c>
      <c r="AQ282" s="171">
        <f>AQ283-AQ276-AQ277-AQ278-AQ279-AQ280-AQ281</f>
        <v>-215.39999999999998</v>
      </c>
      <c r="AR282" s="171">
        <f>AR283-AR276-AR277-AR278-AR279-AR280-AR281</f>
        <v>-231</v>
      </c>
      <c r="AS282" s="171">
        <f>AS283-AS276-AS277-AS278-AS279-AS280-AS281</f>
        <v>-124</v>
      </c>
      <c r="AT282" s="171">
        <f>AT283-AT276-AT277-AT278-AT279-AT280-AT281</f>
        <v>406</v>
      </c>
      <c r="AU282" s="170">
        <f>SUM(AQ282:AT282)</f>
        <v>-164.39999999999998</v>
      </c>
      <c r="AV282" s="171"/>
      <c r="AW282" s="171"/>
      <c r="AX282" s="171"/>
      <c r="AY282" s="171"/>
      <c r="AZ282" s="170">
        <f>AZ283-AZ276-AZ277-AZ278-AZ279-AZ280-AZ281</f>
        <v>-169</v>
      </c>
      <c r="BA282" s="670">
        <f>BA283-BA276-BA277-BA278-BA279-BA280-BA281</f>
        <v>-829</v>
      </c>
      <c r="BB282" s="670">
        <f>BB283-BB276-BB277-BB278-BB279-BB280-BB281</f>
        <v>-281</v>
      </c>
      <c r="BC282" s="747">
        <f>(BB307-BC307)+(BB310-BC310)+(BB308-BC308)+(BB313-BC313)+(BC324-BB324)+(BC326-BB326)+(BC328-BB328)+(BC330-BB330)</f>
        <v>488</v>
      </c>
      <c r="BD282" s="747">
        <f t="shared" si="944"/>
        <v>-280</v>
      </c>
      <c r="BE282" s="540">
        <f>BE283-BE276-BE277-BE278-BE279-BE280-BE281</f>
        <v>-902</v>
      </c>
      <c r="BF282" s="670">
        <f>BF283-BF276-BF277-BF278-BF279-BF280-BF281</f>
        <v>-447</v>
      </c>
      <c r="BG282" s="670">
        <f>BG283-BG276-BG277-BG278-BG279-BG280-BG281</f>
        <v>-305</v>
      </c>
      <c r="BH282" s="747">
        <f>BH283-BH276-BH277-BH278-BH279-BH280-BH281</f>
        <v>-257</v>
      </c>
      <c r="BI282" s="747">
        <f t="shared" si="949"/>
        <v>495</v>
      </c>
      <c r="BJ282" s="708">
        <f>BJ283-BJ276-BJ277-BJ278-BJ279-BJ280-BJ281</f>
        <v>-514</v>
      </c>
      <c r="BK282" s="670">
        <f>BK283-BK276-BK277-BK278-BK279-BK280-BK281</f>
        <v>-954</v>
      </c>
      <c r="BL282" s="670">
        <f>BL283-BL276-BL277-BL278-BL279-BL280-BL281</f>
        <v>-163</v>
      </c>
      <c r="BM282" s="670">
        <f>BM283-BM276-BM277-BM278-BM279-BM280-BM281</f>
        <v>-216</v>
      </c>
      <c r="BN282" s="747">
        <f>BN283-BN276-BN277-BN278-BN279-BN280-BN281</f>
        <v>854</v>
      </c>
      <c r="BO282" s="170">
        <f t="shared" si="947"/>
        <v>-479</v>
      </c>
      <c r="BP282" s="170">
        <f t="shared" si="939"/>
        <v>-479</v>
      </c>
      <c r="BQ282" s="172">
        <f>(BN307-BQ307)+(BN310-BQ310)+(BN308-BQ308)+(BN313-BQ313)+(BN324-BN324)+(BQ326-BN326)+(BQ328-BN328)+(BQ330-BN330)+(BQ322-BN322)</f>
        <v>-1145.1983227533328</v>
      </c>
      <c r="BR282" s="171">
        <f t="shared" ref="BR282:BT282" si="951">(BQ307-BR307)+(BQ310-BR310)+(BQ308-BR308)+(BQ313-BR313)+(BR324-BQ324)+(BR326-BQ326)+(BR328-BQ328)+(BR330-BQ330)+(BR322-BQ322)</f>
        <v>188.08655852470645</v>
      </c>
      <c r="BS282" s="171">
        <f t="shared" si="951"/>
        <v>31.679430852592645</v>
      </c>
      <c r="BT282" s="173">
        <f t="shared" si="951"/>
        <v>963.75734355810698</v>
      </c>
      <c r="BU282" s="170">
        <f>(BO307-BU307)+(BO310-BU310)+(BO308-BU308)+(BO313-BU313)+(BU324-BO324)+(BU326-BO326)+(BU328-BO328)+(BU330-BO330)+(BU322-BO322)</f>
        <v>38.325010182073129</v>
      </c>
      <c r="BV282" s="172"/>
      <c r="BW282" s="171"/>
      <c r="BX282" s="171"/>
      <c r="BY282" s="173"/>
      <c r="BZ282" s="170">
        <f>(BU307-BZ307)+(BU310-BZ310)+(BU308-BZ308)+(BU313-BZ313)+(BZ324-BU324)+(BZ326-BU326)+(BZ328-BU328)+(BZ330-BU330)+(BZ322-BU322)</f>
        <v>-59.819735783190026</v>
      </c>
      <c r="CA282" s="172"/>
      <c r="CB282" s="171"/>
      <c r="CC282" s="171"/>
      <c r="CD282" s="173"/>
      <c r="CE282" s="170">
        <f>(BZ307-CE307)+(BZ310-CE310)+(BZ308-CE308)+(BZ313-CE313)+(CE324-BZ324)+(CE326-BZ326)+(CE328-BZ328)+(CE330-BZ330)+(CE322-BZ322)</f>
        <v>-6.8828733580989478</v>
      </c>
      <c r="CF282" s="172"/>
      <c r="CG282" s="171"/>
      <c r="CH282" s="171"/>
      <c r="CI282" s="173"/>
      <c r="CJ282" s="170">
        <f>(CE307-CJ307)+(CE310-CJ310)+(CE308-CJ308)+(CE313-CJ313)+(CJ324-CE324)+(CJ326-CE326)+(CJ328-CE328)+(CJ330-CE330)+(CJ322-CE322)</f>
        <v>-65.91290323509935</v>
      </c>
      <c r="CK282" s="291"/>
      <c r="CL282" s="657"/>
      <c r="CM282" s="657"/>
      <c r="CN282" s="682"/>
      <c r="CO282" s="682"/>
      <c r="CP282" s="657"/>
      <c r="CQ282" s="657"/>
      <c r="CR282" s="657"/>
      <c r="CS282" s="657"/>
      <c r="CT282" s="291"/>
      <c r="CX282"/>
      <c r="CY282"/>
      <c r="CZ282"/>
      <c r="DA282"/>
      <c r="DB282"/>
      <c r="DC282"/>
    </row>
    <row r="283" spans="1:107" s="180" customFormat="1">
      <c r="A283" s="200" t="s">
        <v>31</v>
      </c>
      <c r="B283" s="201">
        <v>155</v>
      </c>
      <c r="C283" s="201">
        <v>-349</v>
      </c>
      <c r="D283" s="201">
        <v>2034</v>
      </c>
      <c r="E283" s="201">
        <v>2071</v>
      </c>
      <c r="F283" s="201">
        <v>2515</v>
      </c>
      <c r="G283" s="201">
        <v>2743</v>
      </c>
      <c r="H283" s="200">
        <v>-416</v>
      </c>
      <c r="I283" s="200">
        <f>-466-H283</f>
        <v>-50</v>
      </c>
      <c r="J283" s="200">
        <f>265-H283-I283</f>
        <v>731</v>
      </c>
      <c r="K283" s="200">
        <f>1198-H283-I283-J283</f>
        <v>933</v>
      </c>
      <c r="L283" s="201">
        <f>SUM(H283:K283)</f>
        <v>1198</v>
      </c>
      <c r="M283" s="200">
        <v>57</v>
      </c>
      <c r="N283" s="200">
        <v>761</v>
      </c>
      <c r="O283" s="200">
        <v>753</v>
      </c>
      <c r="P283" s="200">
        <v>444</v>
      </c>
      <c r="Q283" s="201">
        <f>SUM(M283:P283)</f>
        <v>2015</v>
      </c>
      <c r="R283" s="200">
        <v>405</v>
      </c>
      <c r="S283" s="200">
        <v>509</v>
      </c>
      <c r="T283" s="200">
        <v>742</v>
      </c>
      <c r="U283" s="200">
        <v>1069</v>
      </c>
      <c r="V283" s="201">
        <f>SUM(R283:U283)</f>
        <v>2725</v>
      </c>
      <c r="W283" s="200">
        <v>259</v>
      </c>
      <c r="X283" s="200">
        <v>400</v>
      </c>
      <c r="Y283" s="200">
        <v>418</v>
      </c>
      <c r="Z283" s="200">
        <v>865</v>
      </c>
      <c r="AA283" s="201">
        <f>SUM(W283:Z283)</f>
        <v>1942</v>
      </c>
      <c r="AB283" s="200">
        <v>15</v>
      </c>
      <c r="AC283" s="200">
        <v>-87</v>
      </c>
      <c r="AD283" s="200">
        <v>861</v>
      </c>
      <c r="AE283" s="200">
        <v>1318</v>
      </c>
      <c r="AF283" s="201">
        <f>SUM(AB283:AE283)</f>
        <v>2107</v>
      </c>
      <c r="AG283" s="200">
        <v>115</v>
      </c>
      <c r="AH283" s="200">
        <v>-257</v>
      </c>
      <c r="AI283" s="200">
        <v>1111</v>
      </c>
      <c r="AJ283" s="200">
        <f>1957-AG283-AH283-AI283</f>
        <v>988</v>
      </c>
      <c r="AK283" s="201">
        <f>SUM(AG283:AJ283)</f>
        <v>1957</v>
      </c>
      <c r="AL283" s="200">
        <v>423</v>
      </c>
      <c r="AM283" s="200">
        <f>381-AL283</f>
        <v>-42</v>
      </c>
      <c r="AN283" s="200">
        <f>1277-SUM(AL283:AM283)</f>
        <v>896</v>
      </c>
      <c r="AO283" s="200">
        <v>1101</v>
      </c>
      <c r="AP283" s="201">
        <v>2378</v>
      </c>
      <c r="AQ283" s="200">
        <v>671</v>
      </c>
      <c r="AR283" s="200">
        <f>846-AQ283</f>
        <v>175</v>
      </c>
      <c r="AS283" s="200">
        <f>1270-SUM(AQ283:AR283)</f>
        <v>424</v>
      </c>
      <c r="AT283" s="200">
        <f>2184-SUM(AQ283:AS283)</f>
        <v>914</v>
      </c>
      <c r="AU283" s="201">
        <f>SUM(AU276,AU277,AU278,AU279,AU280,AU281,AU282)</f>
        <v>2184</v>
      </c>
      <c r="AV283" s="200"/>
      <c r="AW283" s="200"/>
      <c r="AX283" s="200"/>
      <c r="AY283" s="200"/>
      <c r="AZ283" s="201">
        <v>2184</v>
      </c>
      <c r="BA283" s="202">
        <v>56</v>
      </c>
      <c r="BB283" s="200">
        <f>432-BA283</f>
        <v>376</v>
      </c>
      <c r="BC283" s="200">
        <f>1533-SUM(BA283:BB283)</f>
        <v>1101</v>
      </c>
      <c r="BD283" s="203">
        <f t="shared" si="944"/>
        <v>826</v>
      </c>
      <c r="BE283" s="201">
        <f>2346+13</f>
        <v>2359</v>
      </c>
      <c r="BF283" s="202">
        <v>326</v>
      </c>
      <c r="BG283" s="200">
        <f>1071-BF283</f>
        <v>745</v>
      </c>
      <c r="BH283" s="200">
        <f>1711-SUM(BF283:BG283)</f>
        <v>640</v>
      </c>
      <c r="BI283" s="203">
        <f t="shared" si="949"/>
        <v>1141</v>
      </c>
      <c r="BJ283" s="201">
        <v>2852</v>
      </c>
      <c r="BK283" s="202">
        <v>-41</v>
      </c>
      <c r="BL283" s="200">
        <f>741-BK283</f>
        <v>782</v>
      </c>
      <c r="BM283" s="200">
        <f>1122-BL283-BK283</f>
        <v>381</v>
      </c>
      <c r="BN283" s="203">
        <f>2745-BM283-BL283-BK283</f>
        <v>1623</v>
      </c>
      <c r="BO283" s="201">
        <f>SUM(BO276,BO277,BO278,BO279,BO280,BO281,BO282)</f>
        <v>2745</v>
      </c>
      <c r="BP283" s="201">
        <f>SUM(BP276,BP277,BP278,BP279,BP280,BP281,BP282)</f>
        <v>2745</v>
      </c>
      <c r="BQ283" s="202">
        <f t="shared" ref="BQ283:BT283" si="952">SUM(BQ276,BQ277,BQ278,BQ279,BQ280,BQ281,BQ282)</f>
        <v>-448.76556048218958</v>
      </c>
      <c r="BR283" s="200">
        <f t="shared" si="952"/>
        <v>942.67177169585</v>
      </c>
      <c r="BS283" s="200">
        <f t="shared" si="952"/>
        <v>786.78552477373603</v>
      </c>
      <c r="BT283" s="203">
        <f t="shared" si="952"/>
        <v>1818.7620041792507</v>
      </c>
      <c r="BU283" s="201">
        <f>SUM(BU276,BU277,BU278,BU279,BU280,BU281,BU282)</f>
        <v>3099.4537401666475</v>
      </c>
      <c r="BV283" s="202"/>
      <c r="BW283" s="200"/>
      <c r="BX283" s="200"/>
      <c r="BY283" s="203"/>
      <c r="BZ283" s="201">
        <f>SUM(BZ276,BZ277,BZ278,BZ279,BZ280,BZ281,BZ282)</f>
        <v>4065.1273916808254</v>
      </c>
      <c r="CA283" s="202"/>
      <c r="CB283" s="200"/>
      <c r="CC283" s="200"/>
      <c r="CD283" s="203"/>
      <c r="CE283" s="201">
        <f>SUM(CE276,CE277,CE278,CE279,CE280,CE281,CE282)</f>
        <v>4505.3504246467846</v>
      </c>
      <c r="CF283" s="202"/>
      <c r="CG283" s="200"/>
      <c r="CH283" s="200"/>
      <c r="CI283" s="203"/>
      <c r="CJ283" s="201">
        <f>SUM(CJ276,CJ277,CJ278,CJ279,CJ280,CJ281,CJ282)</f>
        <v>4645.4848244180967</v>
      </c>
      <c r="CK283" s="291"/>
      <c r="CL283" s="657" t="s">
        <v>363</v>
      </c>
      <c r="CM283" s="657"/>
      <c r="CN283" s="682"/>
      <c r="CO283" s="682"/>
      <c r="CP283" s="1052"/>
      <c r="CQ283" s="657"/>
      <c r="CR283" s="657"/>
      <c r="CS283" s="657"/>
      <c r="CT283" s="291"/>
      <c r="CX283"/>
      <c r="CY283"/>
      <c r="CZ283"/>
      <c r="DA283"/>
      <c r="DB283"/>
      <c r="DC283"/>
    </row>
    <row r="284" spans="1:107" s="180" customFormat="1">
      <c r="A284" s="237" t="s">
        <v>66</v>
      </c>
      <c r="B284" s="170">
        <v>-596</v>
      </c>
      <c r="C284" s="170">
        <v>-1196</v>
      </c>
      <c r="D284" s="170">
        <v>-533</v>
      </c>
      <c r="E284" s="170">
        <v>382</v>
      </c>
      <c r="F284" s="170">
        <v>163</v>
      </c>
      <c r="G284" s="170">
        <v>266</v>
      </c>
      <c r="H284" s="171">
        <v>-63</v>
      </c>
      <c r="I284" s="171">
        <f>-83-H284</f>
        <v>-20</v>
      </c>
      <c r="J284" s="171">
        <f>-21-SUM(H284:I284)</f>
        <v>62</v>
      </c>
      <c r="K284" s="171">
        <f>L284-SUM(H284:J284)</f>
        <v>-30</v>
      </c>
      <c r="L284" s="170">
        <v>-51</v>
      </c>
      <c r="M284" s="171">
        <v>-10</v>
      </c>
      <c r="N284" s="171">
        <f>-16-M284</f>
        <v>-6</v>
      </c>
      <c r="O284" s="171">
        <f>-21-SUM(M284:N284)</f>
        <v>-5</v>
      </c>
      <c r="P284" s="171">
        <f>Q284-SUM(M284:O284)</f>
        <v>0</v>
      </c>
      <c r="Q284" s="170">
        <v>-21</v>
      </c>
      <c r="R284" s="171">
        <v>-6</v>
      </c>
      <c r="S284" s="171">
        <f>-9-R284</f>
        <v>-3</v>
      </c>
      <c r="T284" s="171">
        <f>-16-SUM(R284:S284)</f>
        <v>-7</v>
      </c>
      <c r="U284" s="171">
        <f>V284-SUM(R284:T284)</f>
        <v>-4</v>
      </c>
      <c r="V284" s="170">
        <v>-20</v>
      </c>
      <c r="W284" s="171">
        <v>2</v>
      </c>
      <c r="X284" s="171">
        <f>2-W284</f>
        <v>0</v>
      </c>
      <c r="Y284" s="171">
        <f>7-SUM(W284:X284)</f>
        <v>5</v>
      </c>
      <c r="Z284" s="171">
        <f>AA284-SUM(W284:Y284)</f>
        <v>4</v>
      </c>
      <c r="AA284" s="170">
        <v>11</v>
      </c>
      <c r="AB284" s="171">
        <v>-45</v>
      </c>
      <c r="AC284" s="171">
        <f>-43-SUM(AB284)</f>
        <v>2</v>
      </c>
      <c r="AD284" s="171">
        <f>-21-SUM(AB284:AC284)</f>
        <v>22</v>
      </c>
      <c r="AE284" s="171">
        <f>AF284-SUM(AB284:AD284)</f>
        <v>26</v>
      </c>
      <c r="AF284" s="170">
        <v>5</v>
      </c>
      <c r="AG284" s="171">
        <v>4</v>
      </c>
      <c r="AH284" s="171">
        <f>6-AG284</f>
        <v>2</v>
      </c>
      <c r="AI284" s="171">
        <f>6-SUM(AG284:AH284)</f>
        <v>0</v>
      </c>
      <c r="AJ284" s="171">
        <v>0</v>
      </c>
      <c r="AK284" s="170">
        <v>6</v>
      </c>
      <c r="AL284" s="171">
        <v>1</v>
      </c>
      <c r="AM284" s="171">
        <f>0-AL284</f>
        <v>-1</v>
      </c>
      <c r="AN284" s="171">
        <f>1-SUM(AL284:AM284)</f>
        <v>1</v>
      </c>
      <c r="AO284" s="171">
        <f>AP284-SUM(AL284:AN284)</f>
        <v>-5</v>
      </c>
      <c r="AP284" s="170">
        <v>-4</v>
      </c>
      <c r="AQ284" s="171">
        <v>12</v>
      </c>
      <c r="AR284" s="669">
        <f>34-AQ284</f>
        <v>22</v>
      </c>
      <c r="AS284" s="669">
        <f>35-SUM(AQ284:AR284)</f>
        <v>1</v>
      </c>
      <c r="AT284" s="669">
        <f>120-SUM(AQ284:AS284)</f>
        <v>85</v>
      </c>
      <c r="AU284" s="170">
        <f>SUM(AQ284:AT284)</f>
        <v>120</v>
      </c>
      <c r="AV284" s="171"/>
      <c r="AW284" s="669"/>
      <c r="AX284" s="669"/>
      <c r="AY284" s="669"/>
      <c r="AZ284" s="170">
        <v>120</v>
      </c>
      <c r="BA284" s="722">
        <v>0</v>
      </c>
      <c r="BB284" s="669">
        <f>-1-BA284</f>
        <v>-1</v>
      </c>
      <c r="BC284" s="747">
        <f>0-SUM(BA284:BB284)</f>
        <v>1</v>
      </c>
      <c r="BD284" s="911">
        <f>+BE284-SUM(BA284:BC284)</f>
        <v>13</v>
      </c>
      <c r="BE284" s="170">
        <v>13</v>
      </c>
      <c r="BF284" s="905">
        <v>1</v>
      </c>
      <c r="BG284" s="747">
        <f>0-BF284</f>
        <v>-1</v>
      </c>
      <c r="BH284" s="747">
        <f>0-SUM(BF284:BG284)</f>
        <v>0</v>
      </c>
      <c r="BI284" s="911">
        <f>+BJ284-SUM(BF284:BH284)</f>
        <v>0</v>
      </c>
      <c r="BJ284" s="701">
        <v>0</v>
      </c>
      <c r="BK284" s="905">
        <v>0</v>
      </c>
      <c r="BL284" s="669">
        <v>0</v>
      </c>
      <c r="BM284" s="669">
        <v>-1</v>
      </c>
      <c r="BN284" s="762">
        <v>-1</v>
      </c>
      <c r="BO284" s="701">
        <f>+SUM(BK284:BN284)</f>
        <v>-2</v>
      </c>
      <c r="BP284" s="701">
        <f>BO284</f>
        <v>-2</v>
      </c>
      <c r="BQ284" s="1024">
        <v>0</v>
      </c>
      <c r="BR284" s="874">
        <v>0</v>
      </c>
      <c r="BS284" s="874">
        <v>0</v>
      </c>
      <c r="BT284" s="875">
        <v>0</v>
      </c>
      <c r="BU284" s="701">
        <f>+SUM(BQ284:BT284)</f>
        <v>0</v>
      </c>
      <c r="BV284" s="172"/>
      <c r="BW284" s="171"/>
      <c r="BX284" s="171"/>
      <c r="BY284" s="173"/>
      <c r="BZ284" s="339">
        <v>0</v>
      </c>
      <c r="CA284" s="172"/>
      <c r="CB284" s="171"/>
      <c r="CC284" s="171"/>
      <c r="CD284" s="173"/>
      <c r="CE284" s="339">
        <v>0</v>
      </c>
      <c r="CF284" s="172"/>
      <c r="CG284" s="171"/>
      <c r="CH284" s="171"/>
      <c r="CI284" s="173"/>
      <c r="CJ284" s="339">
        <v>0</v>
      </c>
      <c r="CK284" s="291"/>
      <c r="CL284" s="657"/>
      <c r="CM284" s="682"/>
      <c r="CN284" s="682"/>
      <c r="CO284" s="682"/>
      <c r="CP284" s="657"/>
      <c r="CQ284" s="657"/>
      <c r="CR284" s="657"/>
      <c r="CS284" s="657"/>
      <c r="CT284" s="291"/>
      <c r="CX284"/>
      <c r="CY284"/>
      <c r="CZ284"/>
      <c r="DA284"/>
      <c r="DB284"/>
      <c r="DC284"/>
    </row>
    <row r="285" spans="1:107" s="180" customFormat="1">
      <c r="A285" s="598" t="s">
        <v>68</v>
      </c>
      <c r="B285" s="599">
        <f>B283-B284</f>
        <v>751</v>
      </c>
      <c r="C285" s="599">
        <f t="shared" ref="C285:BH285" si="953">C283-C284</f>
        <v>847</v>
      </c>
      <c r="D285" s="599">
        <f t="shared" si="953"/>
        <v>2567</v>
      </c>
      <c r="E285" s="599">
        <f t="shared" si="953"/>
        <v>1689</v>
      </c>
      <c r="F285" s="599">
        <f t="shared" si="953"/>
        <v>2352</v>
      </c>
      <c r="G285" s="599">
        <f t="shared" si="953"/>
        <v>2477</v>
      </c>
      <c r="H285" s="598">
        <f t="shared" si="953"/>
        <v>-353</v>
      </c>
      <c r="I285" s="598">
        <f t="shared" si="953"/>
        <v>-30</v>
      </c>
      <c r="J285" s="598">
        <f t="shared" si="953"/>
        <v>669</v>
      </c>
      <c r="K285" s="598">
        <f t="shared" si="953"/>
        <v>963</v>
      </c>
      <c r="L285" s="599">
        <f t="shared" si="953"/>
        <v>1249</v>
      </c>
      <c r="M285" s="598">
        <f t="shared" si="953"/>
        <v>67</v>
      </c>
      <c r="N285" s="598">
        <f t="shared" si="953"/>
        <v>767</v>
      </c>
      <c r="O285" s="598">
        <f t="shared" si="953"/>
        <v>758</v>
      </c>
      <c r="P285" s="598">
        <f t="shared" si="953"/>
        <v>444</v>
      </c>
      <c r="Q285" s="599">
        <f t="shared" si="953"/>
        <v>2036</v>
      </c>
      <c r="R285" s="598">
        <f>R283-R284</f>
        <v>411</v>
      </c>
      <c r="S285" s="598">
        <f t="shared" si="953"/>
        <v>512</v>
      </c>
      <c r="T285" s="598">
        <f t="shared" si="953"/>
        <v>749</v>
      </c>
      <c r="U285" s="598">
        <f t="shared" si="953"/>
        <v>1073</v>
      </c>
      <c r="V285" s="599">
        <f t="shared" si="953"/>
        <v>2745</v>
      </c>
      <c r="W285" s="598">
        <f t="shared" si="953"/>
        <v>257</v>
      </c>
      <c r="X285" s="598">
        <f t="shared" si="953"/>
        <v>400</v>
      </c>
      <c r="Y285" s="598">
        <f t="shared" si="953"/>
        <v>413</v>
      </c>
      <c r="Z285" s="598">
        <f t="shared" si="953"/>
        <v>861</v>
      </c>
      <c r="AA285" s="599">
        <f>AA283-AA284</f>
        <v>1931</v>
      </c>
      <c r="AB285" s="598">
        <f t="shared" si="953"/>
        <v>60</v>
      </c>
      <c r="AC285" s="598">
        <f t="shared" si="953"/>
        <v>-89</v>
      </c>
      <c r="AD285" s="598">
        <f t="shared" si="953"/>
        <v>839</v>
      </c>
      <c r="AE285" s="598">
        <f t="shared" si="953"/>
        <v>1292</v>
      </c>
      <c r="AF285" s="599">
        <f t="shared" si="953"/>
        <v>2102</v>
      </c>
      <c r="AG285" s="598">
        <f t="shared" si="953"/>
        <v>111</v>
      </c>
      <c r="AH285" s="598">
        <f t="shared" si="953"/>
        <v>-259</v>
      </c>
      <c r="AI285" s="598">
        <f t="shared" si="953"/>
        <v>1111</v>
      </c>
      <c r="AJ285" s="598">
        <f t="shared" si="953"/>
        <v>988</v>
      </c>
      <c r="AK285" s="599">
        <f t="shared" si="953"/>
        <v>1951</v>
      </c>
      <c r="AL285" s="598">
        <f>AL283-AL284</f>
        <v>422</v>
      </c>
      <c r="AM285" s="598">
        <f t="shared" si="953"/>
        <v>-41</v>
      </c>
      <c r="AN285" s="598">
        <f t="shared" si="953"/>
        <v>895</v>
      </c>
      <c r="AO285" s="598">
        <f>AO283-AO284</f>
        <v>1106</v>
      </c>
      <c r="AP285" s="599">
        <f t="shared" si="953"/>
        <v>2382</v>
      </c>
      <c r="AQ285" s="598">
        <f>AQ283-AQ284</f>
        <v>659</v>
      </c>
      <c r="AR285" s="598">
        <f>AR283-AR284</f>
        <v>153</v>
      </c>
      <c r="AS285" s="598">
        <f t="shared" si="953"/>
        <v>423</v>
      </c>
      <c r="AT285" s="598">
        <f t="shared" si="953"/>
        <v>829</v>
      </c>
      <c r="AU285" s="599">
        <f>AU283-AU284</f>
        <v>2064</v>
      </c>
      <c r="AV285" s="598"/>
      <c r="AW285" s="598"/>
      <c r="AX285" s="598"/>
      <c r="AY285" s="598"/>
      <c r="AZ285" s="599">
        <f>AZ283-AZ284</f>
        <v>2064</v>
      </c>
      <c r="BA285" s="600">
        <f t="shared" si="953"/>
        <v>56</v>
      </c>
      <c r="BB285" s="598">
        <f t="shared" si="953"/>
        <v>377</v>
      </c>
      <c r="BC285" s="598">
        <f t="shared" si="953"/>
        <v>1100</v>
      </c>
      <c r="BD285" s="601">
        <f t="shared" si="953"/>
        <v>813</v>
      </c>
      <c r="BE285" s="599">
        <f>BE283-BE284</f>
        <v>2346</v>
      </c>
      <c r="BF285" s="600">
        <f t="shared" si="953"/>
        <v>325</v>
      </c>
      <c r="BG285" s="598">
        <f t="shared" si="953"/>
        <v>746</v>
      </c>
      <c r="BH285" s="598">
        <f t="shared" si="953"/>
        <v>640</v>
      </c>
      <c r="BI285" s="601">
        <f>BI283-BI284</f>
        <v>1141</v>
      </c>
      <c r="BJ285" s="599">
        <f>BJ283-BJ284</f>
        <v>2852</v>
      </c>
      <c r="BK285" s="600">
        <f t="shared" ref="BK285:BM285" si="954">BK283-BK284</f>
        <v>-41</v>
      </c>
      <c r="BL285" s="598">
        <f t="shared" si="954"/>
        <v>782</v>
      </c>
      <c r="BM285" s="598">
        <f t="shared" si="954"/>
        <v>382</v>
      </c>
      <c r="BN285" s="601">
        <f>BN283-BN284</f>
        <v>1624</v>
      </c>
      <c r="BO285" s="599">
        <f t="shared" ref="BO285:BZ285" si="955">BO283-BO284</f>
        <v>2747</v>
      </c>
      <c r="BP285" s="599">
        <f t="shared" ref="BP285" si="956">BP283-BP284</f>
        <v>2747</v>
      </c>
      <c r="BQ285" s="600">
        <f t="shared" si="955"/>
        <v>-448.76556048218958</v>
      </c>
      <c r="BR285" s="598">
        <f t="shared" si="955"/>
        <v>942.67177169585</v>
      </c>
      <c r="BS285" s="598">
        <f t="shared" si="955"/>
        <v>786.78552477373603</v>
      </c>
      <c r="BT285" s="601">
        <f t="shared" si="955"/>
        <v>1818.7620041792507</v>
      </c>
      <c r="BU285" s="599">
        <f t="shared" si="955"/>
        <v>3099.4537401666475</v>
      </c>
      <c r="BV285" s="600">
        <f t="shared" si="955"/>
        <v>0</v>
      </c>
      <c r="BW285" s="598">
        <f t="shared" si="955"/>
        <v>0</v>
      </c>
      <c r="BX285" s="598">
        <f t="shared" si="955"/>
        <v>0</v>
      </c>
      <c r="BY285" s="601">
        <f t="shared" si="955"/>
        <v>0</v>
      </c>
      <c r="BZ285" s="599">
        <f t="shared" si="955"/>
        <v>4065.1273916808254</v>
      </c>
      <c r="CA285" s="600">
        <f t="shared" ref="CA285" si="957">CA283-CA284</f>
        <v>0</v>
      </c>
      <c r="CB285" s="598">
        <f t="shared" ref="CB285" si="958">CB283-CB284</f>
        <v>0</v>
      </c>
      <c r="CC285" s="598">
        <f t="shared" ref="CC285" si="959">CC283-CC284</f>
        <v>0</v>
      </c>
      <c r="CD285" s="601">
        <f t="shared" ref="CD285" si="960">CD283-CD284</f>
        <v>0</v>
      </c>
      <c r="CE285" s="599">
        <f t="shared" ref="CE285" si="961">CE283-CE284</f>
        <v>4505.3504246467846</v>
      </c>
      <c r="CF285" s="600">
        <f t="shared" ref="CF285" si="962">CF283-CF284</f>
        <v>0</v>
      </c>
      <c r="CG285" s="598">
        <f t="shared" ref="CG285" si="963">CG283-CG284</f>
        <v>0</v>
      </c>
      <c r="CH285" s="598">
        <f t="shared" ref="CH285" si="964">CH283-CH284</f>
        <v>0</v>
      </c>
      <c r="CI285" s="601">
        <f t="shared" ref="CI285" si="965">CI283-CI284</f>
        <v>0</v>
      </c>
      <c r="CJ285" s="599">
        <f t="shared" ref="CJ285" si="966">CJ283-CJ284</f>
        <v>4645.4848244180967</v>
      </c>
      <c r="CK285" s="291"/>
      <c r="CL285" s="657"/>
      <c r="CM285" s="682"/>
      <c r="CN285" s="682"/>
      <c r="CO285" s="682"/>
      <c r="CP285" s="657"/>
      <c r="CQ285" s="657"/>
      <c r="CR285" s="657"/>
      <c r="CS285" s="657"/>
      <c r="CT285" s="291"/>
      <c r="CX285"/>
      <c r="CY285"/>
      <c r="CZ285"/>
      <c r="DA285"/>
      <c r="DB285"/>
      <c r="DC285"/>
    </row>
    <row r="286" spans="1:107" s="180" customFormat="1">
      <c r="A286" s="237" t="s">
        <v>62</v>
      </c>
      <c r="B286" s="170">
        <v>-461</v>
      </c>
      <c r="C286" s="170">
        <v>-458</v>
      </c>
      <c r="D286" s="170">
        <v>-428</v>
      </c>
      <c r="E286" s="170">
        <v>-317</v>
      </c>
      <c r="F286" s="170">
        <v>-296</v>
      </c>
      <c r="G286" s="170">
        <v>-294</v>
      </c>
      <c r="H286" s="171">
        <v>-38</v>
      </c>
      <c r="I286" s="171">
        <f>-95-H286</f>
        <v>-57</v>
      </c>
      <c r="J286" s="171">
        <f>-160-SUM(H286:I286)</f>
        <v>-65</v>
      </c>
      <c r="K286" s="171">
        <f>-313-H286-I286-J286</f>
        <v>-153</v>
      </c>
      <c r="L286" s="170">
        <f>SUM(H286:K286)</f>
        <v>-313</v>
      </c>
      <c r="M286" s="171">
        <v>-43</v>
      </c>
      <c r="N286" s="171">
        <f>-99-M286</f>
        <v>-56</v>
      </c>
      <c r="O286" s="171">
        <f>-167-SUM(M286:N286)</f>
        <v>-68</v>
      </c>
      <c r="P286" s="171">
        <f>-304-M286-N286-O286</f>
        <v>-137</v>
      </c>
      <c r="Q286" s="170">
        <f>SUM(M286:P286)</f>
        <v>-304</v>
      </c>
      <c r="R286" s="171">
        <v>-33</v>
      </c>
      <c r="S286" s="171">
        <f>-81-R286</f>
        <v>-48</v>
      </c>
      <c r="T286" s="171">
        <f>-138-S286-R286</f>
        <v>-57</v>
      </c>
      <c r="U286" s="171">
        <f>-280-R286-S286-T286</f>
        <v>-142</v>
      </c>
      <c r="V286" s="170">
        <f>SUM(R286:U286)</f>
        <v>-280</v>
      </c>
      <c r="W286" s="171">
        <v>-45</v>
      </c>
      <c r="X286" s="171">
        <f>-109-W286</f>
        <v>-64</v>
      </c>
      <c r="Y286" s="171">
        <v>-75</v>
      </c>
      <c r="Z286" s="171">
        <f>-319-W286-X286-Y286</f>
        <v>-135</v>
      </c>
      <c r="AA286" s="170">
        <f>SUM(W286:Z286)</f>
        <v>-319</v>
      </c>
      <c r="AB286" s="171">
        <v>-50</v>
      </c>
      <c r="AC286" s="171">
        <f>-107-AB286</f>
        <v>-57</v>
      </c>
      <c r="AD286" s="171">
        <f>-197-AC286-AB286</f>
        <v>-90</v>
      </c>
      <c r="AE286" s="171">
        <f>-340-AD286-AC286-AB286</f>
        <v>-143</v>
      </c>
      <c r="AF286" s="170">
        <f>+SUM(AB286:AE286)</f>
        <v>-340</v>
      </c>
      <c r="AG286" s="171">
        <v>-70</v>
      </c>
      <c r="AH286" s="171">
        <f>-137-AG286</f>
        <v>-67</v>
      </c>
      <c r="AI286" s="171">
        <f>-204-AH286-AG286</f>
        <v>-67</v>
      </c>
      <c r="AJ286" s="171">
        <f>-339-AG286-AH286-AI286</f>
        <v>-135</v>
      </c>
      <c r="AK286" s="170">
        <f>SUM(AG286:AJ286)</f>
        <v>-339</v>
      </c>
      <c r="AL286" s="171">
        <v>-49</v>
      </c>
      <c r="AM286" s="171">
        <f>-105-AL286</f>
        <v>-56</v>
      </c>
      <c r="AN286" s="171">
        <f>-165-SUM(AL286:AM286)</f>
        <v>-60</v>
      </c>
      <c r="AO286" s="190">
        <v>-115</v>
      </c>
      <c r="AP286" s="170">
        <f>SUM(AL286:AO286)</f>
        <v>-280</v>
      </c>
      <c r="AQ286" s="171">
        <v>-39</v>
      </c>
      <c r="AR286" s="669">
        <f>-101-AQ286</f>
        <v>-62</v>
      </c>
      <c r="AS286" s="669">
        <f>-173-SUM(AQ286:AR286)</f>
        <v>-72</v>
      </c>
      <c r="AT286" s="710">
        <f>-326-SUM(AQ286:AS286)</f>
        <v>-153</v>
      </c>
      <c r="AU286" s="170">
        <f>SUM(AQ286:AT286)</f>
        <v>-326</v>
      </c>
      <c r="AV286" s="171"/>
      <c r="AW286" s="669"/>
      <c r="AX286" s="669"/>
      <c r="AY286" s="710"/>
      <c r="AZ286" s="170">
        <v>-326</v>
      </c>
      <c r="BA286" s="722">
        <v>-55</v>
      </c>
      <c r="BB286" s="669">
        <f>-143-BA286</f>
        <v>-88</v>
      </c>
      <c r="BC286" s="747">
        <f>-239-SUM(BA286:BB286)</f>
        <v>-96</v>
      </c>
      <c r="BD286" s="911">
        <f>+BE286-SUM(BA286:BC286)</f>
        <v>-167</v>
      </c>
      <c r="BE286" s="540">
        <v>-406</v>
      </c>
      <c r="BF286" s="905">
        <v>-150</v>
      </c>
      <c r="BG286" s="747">
        <f>-237-BF286</f>
        <v>-87</v>
      </c>
      <c r="BH286" s="747">
        <f>-344-SUM(BF286:BG286)</f>
        <v>-107</v>
      </c>
      <c r="BI286" s="911">
        <f>+BJ286-SUM(BF286:BH286)</f>
        <v>-217</v>
      </c>
      <c r="BJ286" s="701">
        <v>-561</v>
      </c>
      <c r="BK286" s="905">
        <v>-86</v>
      </c>
      <c r="BL286" s="669">
        <f>-181-BK286</f>
        <v>-95</v>
      </c>
      <c r="BM286" s="669">
        <f>-323-BL286-BK286</f>
        <v>-142</v>
      </c>
      <c r="BN286" s="762">
        <f>-543-BM286-BL286-BK286</f>
        <v>-220</v>
      </c>
      <c r="BO286" s="701">
        <f>+SUM(BK286:BN286)</f>
        <v>-543</v>
      </c>
      <c r="BP286" s="701">
        <f>BO286</f>
        <v>-543</v>
      </c>
      <c r="BQ286" s="340">
        <f>-930/4</f>
        <v>-232.5</v>
      </c>
      <c r="BR286" s="338">
        <f t="shared" ref="BR286:BT286" si="967">-930/4</f>
        <v>-232.5</v>
      </c>
      <c r="BS286" s="338">
        <f t="shared" si="967"/>
        <v>-232.5</v>
      </c>
      <c r="BT286" s="341">
        <f t="shared" si="967"/>
        <v>-232.5</v>
      </c>
      <c r="BU286" s="701">
        <f>+SUM(BQ286:BT286)</f>
        <v>-930</v>
      </c>
      <c r="BV286" s="340"/>
      <c r="BW286" s="338"/>
      <c r="BX286" s="338"/>
      <c r="BY286" s="341"/>
      <c r="BZ286" s="1066">
        <f>-BZ287*BZ201</f>
        <v>-932.97110521725028</v>
      </c>
      <c r="CA286" s="340"/>
      <c r="CB286" s="338"/>
      <c r="CC286" s="338"/>
      <c r="CD286" s="341"/>
      <c r="CE286" s="1066">
        <f>-CE287*CE201</f>
        <v>-941.24608374903767</v>
      </c>
      <c r="CF286" s="340"/>
      <c r="CG286" s="338"/>
      <c r="CH286" s="338"/>
      <c r="CI286" s="341"/>
      <c r="CJ286" s="1066">
        <f>-CJ287*CJ201</f>
        <v>-947.70710376395436</v>
      </c>
      <c r="CK286" s="291"/>
      <c r="CL286" s="657" t="s">
        <v>367</v>
      </c>
      <c r="CM286" s="682"/>
      <c r="CN286" s="682"/>
      <c r="CO286" s="682"/>
      <c r="CP286" s="1064"/>
      <c r="CQ286" s="1064"/>
      <c r="CR286" s="1064"/>
      <c r="CS286" s="657"/>
      <c r="CT286" s="291"/>
      <c r="CX286"/>
      <c r="CY286"/>
      <c r="CZ286"/>
      <c r="DA286"/>
      <c r="DB286"/>
      <c r="DC286"/>
    </row>
    <row r="287" spans="1:107" s="233" customFormat="1">
      <c r="A287" s="582" t="s">
        <v>198</v>
      </c>
      <c r="B287" s="231">
        <f t="shared" ref="B287:K287" si="968">-B286/B201</f>
        <v>2.8781919210838485E-2</v>
      </c>
      <c r="C287" s="231">
        <f t="shared" si="968"/>
        <v>2.7326968973747017E-2</v>
      </c>
      <c r="D287" s="231">
        <f t="shared" si="968"/>
        <v>2.3634656800485945E-2</v>
      </c>
      <c r="E287" s="231">
        <f t="shared" si="968"/>
        <v>1.7784011220196353E-2</v>
      </c>
      <c r="F287" s="231">
        <f t="shared" si="968"/>
        <v>1.6007787572332486E-2</v>
      </c>
      <c r="G287" s="231">
        <f t="shared" si="968"/>
        <v>1.4918556857969249E-2</v>
      </c>
      <c r="H287" s="233">
        <f t="shared" si="968"/>
        <v>7.9100749375520408E-3</v>
      </c>
      <c r="I287" s="233">
        <f t="shared" si="968"/>
        <v>1.0799545282303903E-2</v>
      </c>
      <c r="J287" s="233">
        <f t="shared" si="968"/>
        <v>1.2454493197930638E-2</v>
      </c>
      <c r="K287" s="233">
        <f t="shared" si="968"/>
        <v>2.5499999999999998E-2</v>
      </c>
      <c r="L287" s="231">
        <f>SUM(H287:K287)</f>
        <v>5.6664113417786578E-2</v>
      </c>
      <c r="M287" s="233">
        <f t="shared" ref="M287:BJ287" si="969">-M286/M201</f>
        <v>8.0313784086664172E-3</v>
      </c>
      <c r="N287" s="233">
        <f t="shared" si="969"/>
        <v>9.5400340715502564E-3</v>
      </c>
      <c r="O287" s="233">
        <f t="shared" si="969"/>
        <v>1.1596180081855388E-2</v>
      </c>
      <c r="P287" s="233">
        <f t="shared" si="969"/>
        <v>2.2510680249753532E-2</v>
      </c>
      <c r="Q287" s="231">
        <f t="shared" si="969"/>
        <v>1.3118149650470355E-2</v>
      </c>
      <c r="R287" s="233">
        <f t="shared" si="969"/>
        <v>5.6084296397008841E-3</v>
      </c>
      <c r="S287" s="233">
        <f t="shared" si="969"/>
        <v>7.8367346938775506E-3</v>
      </c>
      <c r="T287" s="233">
        <f t="shared" si="969"/>
        <v>9.1861402095084616E-3</v>
      </c>
      <c r="U287" s="233">
        <f t="shared" si="969"/>
        <v>2.1298935053247339E-2</v>
      </c>
      <c r="V287" s="231">
        <f t="shared" si="969"/>
        <v>1.125356697881918E-2</v>
      </c>
      <c r="W287" s="233">
        <f t="shared" si="969"/>
        <v>7.4343300842557407E-3</v>
      </c>
      <c r="X287" s="233">
        <f t="shared" si="969"/>
        <v>1.0714883643060438E-2</v>
      </c>
      <c r="Y287" s="233">
        <f t="shared" si="969"/>
        <v>1.1957908163265306E-2</v>
      </c>
      <c r="Z287" s="233">
        <f t="shared" si="969"/>
        <v>1.9607843137254902E-2</v>
      </c>
      <c r="AA287" s="231">
        <f t="shared" si="969"/>
        <v>1.2667275543025056E-2</v>
      </c>
      <c r="AB287" s="233">
        <f t="shared" si="969"/>
        <v>8.2617316589557177E-3</v>
      </c>
      <c r="AC287" s="233">
        <f t="shared" si="969"/>
        <v>9.1920657958393815E-3</v>
      </c>
      <c r="AD287" s="233">
        <f t="shared" si="969"/>
        <v>1.4715500327011119E-2</v>
      </c>
      <c r="AE287" s="233">
        <f t="shared" si="969"/>
        <v>2.2267206477732792E-2</v>
      </c>
      <c r="AF287" s="231">
        <f t="shared" si="969"/>
        <v>1.3714654511717963E-2</v>
      </c>
      <c r="AG287" s="233">
        <f t="shared" si="969"/>
        <v>1.1788480970023578E-2</v>
      </c>
      <c r="AH287" s="233">
        <f t="shared" si="969"/>
        <v>1.1181575433911883E-2</v>
      </c>
      <c r="AI287" s="233">
        <f t="shared" si="969"/>
        <v>1.1083540115798181E-2</v>
      </c>
      <c r="AJ287" s="233">
        <f t="shared" si="969"/>
        <v>2.0965988507532226E-2</v>
      </c>
      <c r="AK287" s="231">
        <f t="shared" si="969"/>
        <v>1.38854755468174E-2</v>
      </c>
      <c r="AL287" s="233">
        <f t="shared" si="969"/>
        <v>8.3347508079605372E-3</v>
      </c>
      <c r="AM287" s="233">
        <f t="shared" si="969"/>
        <v>9.1578086672117736E-3</v>
      </c>
      <c r="AN287" s="233">
        <f t="shared" si="969"/>
        <v>1.0270455323519343E-2</v>
      </c>
      <c r="AO287" s="233">
        <f t="shared" si="969"/>
        <v>1.9591141396933562E-2</v>
      </c>
      <c r="AP287" s="231">
        <f t="shared" si="969"/>
        <v>1.1768167107972934E-2</v>
      </c>
      <c r="AQ287" s="233">
        <f t="shared" si="969"/>
        <v>7.0806100217864921E-3</v>
      </c>
      <c r="AR287" s="233">
        <f t="shared" si="969"/>
        <v>1.0875285037712682E-2</v>
      </c>
      <c r="AS287" s="233">
        <f t="shared" si="969"/>
        <v>1.3153087321885276E-2</v>
      </c>
      <c r="AT287" s="233">
        <f t="shared" si="969"/>
        <v>2.4906397525638939E-2</v>
      </c>
      <c r="AU287" s="231">
        <f t="shared" si="969"/>
        <v>1.4281959169368265E-2</v>
      </c>
      <c r="AZ287" s="231">
        <f t="shared" ref="AZ287" si="970">-AZ286/AZ201</f>
        <v>1.4281959169368265E-2</v>
      </c>
      <c r="BA287" s="723">
        <f t="shared" si="969"/>
        <v>1.040090771558245E-2</v>
      </c>
      <c r="BB287" s="233">
        <f t="shared" si="969"/>
        <v>1.5047879616963064E-2</v>
      </c>
      <c r="BC287" s="723">
        <f t="shared" si="969"/>
        <v>1.660038042538475E-2</v>
      </c>
      <c r="BD287" s="723">
        <f t="shared" si="969"/>
        <v>2.6390644753476612E-2</v>
      </c>
      <c r="BE287" s="231">
        <f t="shared" si="969"/>
        <v>1.7464619090635351E-2</v>
      </c>
      <c r="BF287" s="771">
        <f t="shared" si="969"/>
        <v>2.5853154084798345E-2</v>
      </c>
      <c r="BG287" s="723">
        <f t="shared" si="969"/>
        <v>1.4415907207953604E-2</v>
      </c>
      <c r="BH287" s="723">
        <f t="shared" si="969"/>
        <v>1.7735786507541852E-2</v>
      </c>
      <c r="BI287" s="723">
        <f t="shared" si="969"/>
        <v>3.4988713318284424E-2</v>
      </c>
      <c r="BJ287" s="231">
        <f t="shared" si="969"/>
        <v>2.3305084745762712E-2</v>
      </c>
      <c r="BK287" s="771">
        <f t="shared" ref="BK287" si="971">-BK286/BK201</f>
        <v>1.4333333333333333E-2</v>
      </c>
      <c r="BL287" s="723">
        <f t="shared" ref="BL287" si="972">-BL286/BL201</f>
        <v>1.5124980098710397E-2</v>
      </c>
      <c r="BM287" s="723">
        <f t="shared" ref="BM287" si="973">-BM286/BM201</f>
        <v>2.2597071928707829E-2</v>
      </c>
      <c r="BN287" s="723">
        <f t="shared" ref="BN287" si="974">-BN286/BN201</f>
        <v>3.2434026242075781E-2</v>
      </c>
      <c r="BO287" s="231">
        <f>-BO286/BO201</f>
        <v>2.1421808426700332E-2</v>
      </c>
      <c r="BP287" s="231">
        <f>-BP286/BP201</f>
        <v>2.1421808426700332E-2</v>
      </c>
      <c r="BQ287" s="234">
        <f t="shared" ref="BQ287:BT287" si="975">-BQ286/BQ201</f>
        <v>3.6937844141553065E-2</v>
      </c>
      <c r="BR287" s="233">
        <f t="shared" si="975"/>
        <v>3.4906842195985388E-2</v>
      </c>
      <c r="BS287" s="233">
        <f t="shared" si="975"/>
        <v>3.4984428976118885E-2</v>
      </c>
      <c r="BT287" s="235">
        <f t="shared" si="975"/>
        <v>3.2251232915217136E-2</v>
      </c>
      <c r="BU287" s="231">
        <f>-BU286/BU201</f>
        <v>3.468882930251499E-2</v>
      </c>
      <c r="BV287" s="234"/>
      <c r="BY287" s="235"/>
      <c r="BZ287" s="1065">
        <v>3.3000000000000002E-2</v>
      </c>
      <c r="CA287" s="234"/>
      <c r="CD287" s="235"/>
      <c r="CE287" s="1065">
        <v>3.15E-2</v>
      </c>
      <c r="CF287" s="234"/>
      <c r="CI287" s="235"/>
      <c r="CJ287" s="1065">
        <v>0.03</v>
      </c>
      <c r="CK287" s="292"/>
      <c r="CL287" s="681"/>
      <c r="CM287" s="680" t="s">
        <v>366</v>
      </c>
      <c r="CN287" s="680"/>
      <c r="CO287" s="677"/>
      <c r="CP287" s="1064"/>
      <c r="CQ287" s="1064"/>
      <c r="CR287" s="1064"/>
      <c r="CS287" s="680"/>
      <c r="CT287" s="292"/>
      <c r="CX287"/>
      <c r="CY287"/>
      <c r="CZ287"/>
      <c r="DA287"/>
      <c r="DB287"/>
      <c r="DC287"/>
    </row>
    <row r="288" spans="1:107" s="247" customFormat="1">
      <c r="A288" s="236" t="s">
        <v>199</v>
      </c>
      <c r="B288" s="230"/>
      <c r="C288" s="230">
        <f>-C286/B316</f>
        <v>0.20856102003642987</v>
      </c>
      <c r="D288" s="230">
        <f>-D286/C316</f>
        <v>0.17863105175292154</v>
      </c>
      <c r="E288" s="230">
        <f>-E286/D316</f>
        <v>0.11693102176318701</v>
      </c>
      <c r="F288" s="230">
        <f>-F286/E316</f>
        <v>0.10810810810810811</v>
      </c>
      <c r="G288" s="230">
        <f>-G286/F316</f>
        <v>0.13764044943820225</v>
      </c>
      <c r="L288" s="230">
        <f>SUM(H288:K288)</f>
        <v>0</v>
      </c>
      <c r="M288" s="247">
        <f>-M286/L316*4</f>
        <v>8.3576287657920315E-2</v>
      </c>
      <c r="N288" s="247">
        <f>-N286/M316*4</f>
        <v>0.11007371007371007</v>
      </c>
      <c r="O288" s="247">
        <f>-O286/N316*4</f>
        <v>0.13458683819891143</v>
      </c>
      <c r="P288" s="247">
        <f>-P286/O316*4</f>
        <v>0.27537688442211056</v>
      </c>
      <c r="Q288" s="230">
        <f>-Q286/L316</f>
        <v>0.1477162293488824</v>
      </c>
      <c r="R288" s="247">
        <f>-R286/Q316*4</f>
        <v>6.5217391304347824E-2</v>
      </c>
      <c r="S288" s="247">
        <f>-S286/R316*4</f>
        <v>9.6920747097425541E-2</v>
      </c>
      <c r="T288" s="247">
        <f>-T286/S316*4</f>
        <v>0.11626721060683325</v>
      </c>
      <c r="U288" s="247">
        <f>-U286/T316*4</f>
        <v>0.29203084832904885</v>
      </c>
      <c r="V288" s="230">
        <f>-V286/Q316</f>
        <v>0.13833992094861661</v>
      </c>
      <c r="W288" s="247">
        <f>-W286/V316*4</f>
        <v>8.9955022488755629E-2</v>
      </c>
      <c r="X288" s="247">
        <f>-X286/W316*4</f>
        <v>0.13001523616048755</v>
      </c>
      <c r="Y288" s="247">
        <f>-Y286/X316*4</f>
        <v>0.15360983102918588</v>
      </c>
      <c r="Z288" s="247">
        <f>-Z286/Y316*4</f>
        <v>0.27678113787801129</v>
      </c>
      <c r="AA288" s="230">
        <f>-AA286/V316</f>
        <v>0.15942028985507245</v>
      </c>
      <c r="AB288" s="247">
        <f>-AB286/AA316*4</f>
        <v>9.9850224663005485E-2</v>
      </c>
      <c r="AC288" s="247">
        <f>-AC286/AB316*4</f>
        <v>0.11417125688532799</v>
      </c>
      <c r="AD288" s="247">
        <f>-AD286/AC316*4</f>
        <v>0.18311291963377416</v>
      </c>
      <c r="AE288" s="247">
        <f>-AE286/AD316*4</f>
        <v>0.29213483146067415</v>
      </c>
      <c r="AF288" s="230">
        <f>-AF286/AA316</f>
        <v>0.16974538192710933</v>
      </c>
      <c r="AG288" s="247">
        <f>-AG286/AF316*4</f>
        <v>0.13958125623130607</v>
      </c>
      <c r="AH288" s="247">
        <f>-AH286/AG316*4</f>
        <v>0.13542193026781202</v>
      </c>
      <c r="AI288" s="247">
        <f>-AI286/AH316*4</f>
        <v>0.13793103448275862</v>
      </c>
      <c r="AJ288" s="247">
        <f>-AJ286/AI316*4</f>
        <v>0.27993779160186627</v>
      </c>
      <c r="AK288" s="230">
        <f>-AK286/AF316</f>
        <v>0.16899302093718843</v>
      </c>
      <c r="AL288" s="247">
        <f>-AL286/AK316*4</f>
        <v>9.8690835850956699E-2</v>
      </c>
      <c r="AM288" s="247">
        <f>-AM286/AL316*4</f>
        <v>0.11463664278403275</v>
      </c>
      <c r="AN288" s="247">
        <f>-AN286/AM316*4</f>
        <v>0.12651555086979441</v>
      </c>
      <c r="AO288" s="247">
        <f>-AO286/AN316*4</f>
        <v>0.24121657052962769</v>
      </c>
      <c r="AP288" s="230">
        <f>-AP286/AK316</f>
        <v>0.14098690835850958</v>
      </c>
      <c r="AQ288" s="247">
        <f>-AQ286/AP316*4</f>
        <v>8.0536912751677847E-2</v>
      </c>
      <c r="AR288" s="247">
        <f>-AR286/AQ316*4</f>
        <v>0.13038906414300735</v>
      </c>
      <c r="AS288" s="247">
        <f>-AS286/AR316*4</f>
        <v>0.15335463258785942</v>
      </c>
      <c r="AT288" s="247">
        <f>-AT286/AS316*4</f>
        <v>0.32903225806451614</v>
      </c>
      <c r="AU288" s="230">
        <f>-AU286/AP316</f>
        <v>0.16830149716055756</v>
      </c>
      <c r="AZ288" s="230">
        <f>-AZ286/AU316</f>
        <v>0.16847545219638244</v>
      </c>
      <c r="BA288" s="724">
        <f>-BA286/AU316*4</f>
        <v>0.11369509043927649</v>
      </c>
      <c r="BB288" s="247">
        <f>-BB286/BA316*4</f>
        <v>0.18467995802728226</v>
      </c>
      <c r="BC288" s="724">
        <f>-BC286/BB316*4</f>
        <v>0.19906687402799378</v>
      </c>
      <c r="BD288" s="724">
        <f>-BD286/BC316*4</f>
        <v>0.34539813857290591</v>
      </c>
      <c r="BE288" s="230">
        <f>-BE286/AZ316</f>
        <v>0.20981912144702841</v>
      </c>
      <c r="BF288" s="761">
        <f>-BF286/BE316*4</f>
        <v>0.29925187032418954</v>
      </c>
      <c r="BG288" s="724">
        <f>-BG286/BF316*4</f>
        <v>0.17244796828543113</v>
      </c>
      <c r="BH288" s="724">
        <f>-BH286/BG316*4</f>
        <v>0.21104536489151873</v>
      </c>
      <c r="BI288" s="724">
        <f>-BI286/BH316*4</f>
        <v>0.42279590842669262</v>
      </c>
      <c r="BJ288" s="230">
        <f>-BJ286/BE316</f>
        <v>0.27980049875311719</v>
      </c>
      <c r="BK288" s="761">
        <f>-BK286/BJ316*4</f>
        <v>0.15881809787626963</v>
      </c>
      <c r="BL288" s="724">
        <f>-BL286/BK316*4</f>
        <v>0.17707362534948742</v>
      </c>
      <c r="BM288" s="724">
        <f>-BM286/BL316*4</f>
        <v>0.26151012891344383</v>
      </c>
      <c r="BN288" s="724">
        <f>-BN286/BM316*4</f>
        <v>0.3914590747330961</v>
      </c>
      <c r="BO288" s="230">
        <f>-BO286/BJ316</f>
        <v>0.25069252077562326</v>
      </c>
      <c r="BP288" s="230">
        <f>-BP286/BK316</f>
        <v>0.25302889095992542</v>
      </c>
      <c r="BQ288" s="248">
        <f>-BQ286/BO316*4</f>
        <v>0.38130381303813038</v>
      </c>
      <c r="BR288" s="247">
        <f t="shared" ref="BR288:BT288" si="976">-BR286/BQ316*4</f>
        <v>0.36705213719066981</v>
      </c>
      <c r="BS288" s="247">
        <f t="shared" si="976"/>
        <v>0.35425602425701469</v>
      </c>
      <c r="BT288" s="249">
        <f t="shared" si="976"/>
        <v>0.34299117811937574</v>
      </c>
      <c r="BU288" s="230">
        <f>-BU286/BO316</f>
        <v>0.38130381303813038</v>
      </c>
      <c r="BV288" s="248"/>
      <c r="BY288" s="249"/>
      <c r="BZ288" s="230">
        <f>-BZ286/BU316</f>
        <v>0.33487835793871157</v>
      </c>
      <c r="CA288" s="248"/>
      <c r="CD288" s="249"/>
      <c r="CE288" s="230">
        <f>-CE286/BZ316</f>
        <v>0.30353072672973558</v>
      </c>
      <c r="CF288" s="248"/>
      <c r="CI288" s="249"/>
      <c r="CJ288" s="230">
        <f>-CJ286/CE316</f>
        <v>0.27979249833758518</v>
      </c>
      <c r="CK288" s="294"/>
      <c r="CL288" s="681"/>
      <c r="CM288" s="657"/>
      <c r="CN288" s="681"/>
      <c r="CO288" s="681"/>
      <c r="CP288" s="991"/>
      <c r="CQ288" s="991"/>
      <c r="CR288" s="991"/>
      <c r="CS288" s="681"/>
      <c r="CT288" s="294"/>
      <c r="CX288"/>
      <c r="CY288"/>
      <c r="CZ288"/>
      <c r="DA288"/>
      <c r="DB288"/>
      <c r="DC288"/>
    </row>
    <row r="289" spans="1:107" s="180" customFormat="1">
      <c r="A289" s="549" t="s">
        <v>197</v>
      </c>
      <c r="B289" s="550">
        <f>B283+B286</f>
        <v>-306</v>
      </c>
      <c r="C289" s="550">
        <f t="shared" ref="C289:AM289" si="977">C283+C286</f>
        <v>-807</v>
      </c>
      <c r="D289" s="550">
        <f t="shared" si="977"/>
        <v>1606</v>
      </c>
      <c r="E289" s="550">
        <f t="shared" si="977"/>
        <v>1754</v>
      </c>
      <c r="F289" s="550">
        <f t="shared" si="977"/>
        <v>2219</v>
      </c>
      <c r="G289" s="550">
        <f t="shared" si="977"/>
        <v>2449</v>
      </c>
      <c r="H289" s="551">
        <f t="shared" si="977"/>
        <v>-454</v>
      </c>
      <c r="I289" s="571">
        <f t="shared" si="977"/>
        <v>-107</v>
      </c>
      <c r="J289" s="571">
        <f t="shared" si="977"/>
        <v>666</v>
      </c>
      <c r="K289" s="571">
        <f t="shared" si="977"/>
        <v>780</v>
      </c>
      <c r="L289" s="572">
        <f>SUM(H289:K289)</f>
        <v>885</v>
      </c>
      <c r="M289" s="551">
        <f t="shared" si="977"/>
        <v>14</v>
      </c>
      <c r="N289" s="551">
        <f t="shared" si="977"/>
        <v>705</v>
      </c>
      <c r="O289" s="551">
        <f t="shared" si="977"/>
        <v>685</v>
      </c>
      <c r="P289" s="551">
        <f t="shared" si="977"/>
        <v>307</v>
      </c>
      <c r="Q289" s="572">
        <f t="shared" si="977"/>
        <v>1711</v>
      </c>
      <c r="R289" s="571">
        <f t="shared" si="977"/>
        <v>372</v>
      </c>
      <c r="S289" s="571">
        <f t="shared" si="977"/>
        <v>461</v>
      </c>
      <c r="T289" s="571">
        <f t="shared" si="977"/>
        <v>685</v>
      </c>
      <c r="U289" s="571">
        <f t="shared" si="977"/>
        <v>927</v>
      </c>
      <c r="V289" s="572">
        <f t="shared" si="977"/>
        <v>2445</v>
      </c>
      <c r="W289" s="551">
        <f t="shared" si="977"/>
        <v>214</v>
      </c>
      <c r="X289" s="551">
        <f t="shared" si="977"/>
        <v>336</v>
      </c>
      <c r="Y289" s="551">
        <f t="shared" si="977"/>
        <v>343</v>
      </c>
      <c r="Z289" s="551">
        <f t="shared" si="977"/>
        <v>730</v>
      </c>
      <c r="AA289" s="572">
        <f t="shared" si="977"/>
        <v>1623</v>
      </c>
      <c r="AB289" s="571">
        <f t="shared" si="977"/>
        <v>-35</v>
      </c>
      <c r="AC289" s="571">
        <f t="shared" si="977"/>
        <v>-144</v>
      </c>
      <c r="AD289" s="571">
        <f t="shared" si="977"/>
        <v>771</v>
      </c>
      <c r="AE289" s="551">
        <f t="shared" si="977"/>
        <v>1175</v>
      </c>
      <c r="AF289" s="550">
        <f t="shared" si="977"/>
        <v>1767</v>
      </c>
      <c r="AG289" s="551">
        <f t="shared" si="977"/>
        <v>45</v>
      </c>
      <c r="AH289" s="551">
        <f t="shared" si="977"/>
        <v>-324</v>
      </c>
      <c r="AI289" s="551">
        <f t="shared" si="977"/>
        <v>1044</v>
      </c>
      <c r="AJ289" s="551">
        <f>AJ283+AJ286</f>
        <v>853</v>
      </c>
      <c r="AK289" s="550">
        <f t="shared" si="977"/>
        <v>1618</v>
      </c>
      <c r="AL289" s="551">
        <f t="shared" si="977"/>
        <v>374</v>
      </c>
      <c r="AM289" s="551">
        <f t="shared" si="977"/>
        <v>-98</v>
      </c>
      <c r="AN289" s="571">
        <f t="shared" ref="AN289:BD289" si="978">AN283+AN286</f>
        <v>836</v>
      </c>
      <c r="AO289" s="573">
        <f t="shared" si="978"/>
        <v>986</v>
      </c>
      <c r="AP289" s="572">
        <f t="shared" si="978"/>
        <v>2098</v>
      </c>
      <c r="AQ289" s="551">
        <f t="shared" si="978"/>
        <v>632</v>
      </c>
      <c r="AR289" s="551">
        <f t="shared" si="978"/>
        <v>113</v>
      </c>
      <c r="AS289" s="551">
        <f t="shared" si="978"/>
        <v>352</v>
      </c>
      <c r="AT289" s="552">
        <f t="shared" si="978"/>
        <v>761</v>
      </c>
      <c r="AU289" s="550">
        <f>AU283+AU286</f>
        <v>1858</v>
      </c>
      <c r="AV289" s="551"/>
      <c r="AW289" s="551"/>
      <c r="AX289" s="551"/>
      <c r="AY289" s="552"/>
      <c r="AZ289" s="550">
        <f>AZ283+AZ286</f>
        <v>1858</v>
      </c>
      <c r="BA289" s="553">
        <f t="shared" si="978"/>
        <v>1</v>
      </c>
      <c r="BB289" s="551">
        <f t="shared" si="978"/>
        <v>288</v>
      </c>
      <c r="BC289" s="551">
        <f t="shared" si="978"/>
        <v>1005</v>
      </c>
      <c r="BD289" s="554">
        <f t="shared" si="978"/>
        <v>659</v>
      </c>
      <c r="BE289" s="550">
        <f t="shared" ref="BE289:BJ289" si="979">BE283+BE286</f>
        <v>1953</v>
      </c>
      <c r="BF289" s="553">
        <f t="shared" si="979"/>
        <v>176</v>
      </c>
      <c r="BG289" s="551">
        <f t="shared" si="979"/>
        <v>658</v>
      </c>
      <c r="BH289" s="551">
        <f t="shared" si="979"/>
        <v>533</v>
      </c>
      <c r="BI289" s="554">
        <f t="shared" si="979"/>
        <v>924</v>
      </c>
      <c r="BJ289" s="550">
        <f t="shared" si="979"/>
        <v>2291</v>
      </c>
      <c r="BK289" s="553">
        <f t="shared" ref="BK289:BN289" si="980">BK283+BK286</f>
        <v>-127</v>
      </c>
      <c r="BL289" s="551">
        <f t="shared" si="980"/>
        <v>687</v>
      </c>
      <c r="BM289" s="551">
        <f t="shared" si="980"/>
        <v>239</v>
      </c>
      <c r="BN289" s="554">
        <f t="shared" si="980"/>
        <v>1403</v>
      </c>
      <c r="BO289" s="550">
        <f>BO283+BO286</f>
        <v>2202</v>
      </c>
      <c r="BP289" s="550">
        <f>BP283+BP286</f>
        <v>2202</v>
      </c>
      <c r="BQ289" s="553">
        <f t="shared" ref="BQ289:BT289" si="981">BQ283+BQ286</f>
        <v>-681.26556048218958</v>
      </c>
      <c r="BR289" s="551">
        <f t="shared" si="981"/>
        <v>710.17177169585</v>
      </c>
      <c r="BS289" s="551">
        <f t="shared" si="981"/>
        <v>554.28552477373603</v>
      </c>
      <c r="BT289" s="554">
        <f t="shared" si="981"/>
        <v>1586.2620041792507</v>
      </c>
      <c r="BU289" s="550">
        <f>BU283+BU286</f>
        <v>2169.4537401666475</v>
      </c>
      <c r="BV289" s="553"/>
      <c r="BW289" s="551"/>
      <c r="BX289" s="551"/>
      <c r="BY289" s="554"/>
      <c r="BZ289" s="550">
        <f>BZ283+BZ286</f>
        <v>3132.1562864635753</v>
      </c>
      <c r="CA289" s="553"/>
      <c r="CB289" s="551"/>
      <c r="CC289" s="551"/>
      <c r="CD289" s="554"/>
      <c r="CE289" s="550">
        <f>CE283+CE286</f>
        <v>3564.1043408977471</v>
      </c>
      <c r="CF289" s="553"/>
      <c r="CG289" s="551"/>
      <c r="CH289" s="551"/>
      <c r="CI289" s="554"/>
      <c r="CJ289" s="550">
        <f>CJ283+CJ286</f>
        <v>3697.7777206541423</v>
      </c>
      <c r="CK289" s="291"/>
      <c r="CL289" s="680"/>
      <c r="CM289" s="680"/>
      <c r="CN289" s="682"/>
      <c r="CO289" s="1025"/>
      <c r="CP289" s="1025"/>
      <c r="CQ289" s="1025"/>
      <c r="CR289" s="1025"/>
      <c r="CS289" s="1025"/>
      <c r="CT289" s="291"/>
      <c r="CX289"/>
      <c r="CY289"/>
      <c r="CZ289"/>
      <c r="DA289"/>
      <c r="DB289"/>
      <c r="DC289"/>
    </row>
    <row r="290" spans="1:107" s="250" customFormat="1">
      <c r="A290" s="246" t="s">
        <v>111</v>
      </c>
      <c r="B290" s="555">
        <f t="shared" ref="B290:BD290" si="982">B289/B276</f>
        <v>0.40529801324503312</v>
      </c>
      <c r="C290" s="555">
        <f t="shared" si="982"/>
        <v>1.2609375</v>
      </c>
      <c r="D290" s="555">
        <f t="shared" si="982"/>
        <v>4.4000000000000004</v>
      </c>
      <c r="E290" s="555">
        <f t="shared" si="982"/>
        <v>4.2062350119904073</v>
      </c>
      <c r="F290" s="555">
        <f t="shared" si="982"/>
        <v>2.5476463834672791</v>
      </c>
      <c r="G290" s="555">
        <f t="shared" si="982"/>
        <v>1.9088074824629775</v>
      </c>
      <c r="H290" s="301">
        <f t="shared" si="982"/>
        <v>-1.3121387283236994</v>
      </c>
      <c r="I290" s="301">
        <f t="shared" si="982"/>
        <v>-8.0149812734082393E-2</v>
      </c>
      <c r="J290" s="301">
        <f t="shared" si="982"/>
        <v>2.2274247491638794</v>
      </c>
      <c r="K290" s="301">
        <f t="shared" si="982"/>
        <v>1.3043478260869565</v>
      </c>
      <c r="L290" s="555">
        <f t="shared" si="982"/>
        <v>0.34328937160589607</v>
      </c>
      <c r="M290" s="301">
        <f t="shared" si="982"/>
        <v>3.5087719298245612E-2</v>
      </c>
      <c r="N290" s="301">
        <f t="shared" si="982"/>
        <v>1.6319444444444444</v>
      </c>
      <c r="O290" s="301">
        <f t="shared" si="982"/>
        <v>1.5675057208237986</v>
      </c>
      <c r="P290" s="301">
        <f t="shared" si="982"/>
        <v>0.71728971962616828</v>
      </c>
      <c r="Q290" s="555">
        <f t="shared" si="982"/>
        <v>1.0088414249274871</v>
      </c>
      <c r="R290" s="301">
        <f t="shared" si="982"/>
        <v>0.80869565217391304</v>
      </c>
      <c r="S290" s="301">
        <f t="shared" si="982"/>
        <v>0.92015968063872255</v>
      </c>
      <c r="T290" s="301">
        <f t="shared" si="982"/>
        <v>1.3755020080321285</v>
      </c>
      <c r="U290" s="301">
        <f t="shared" si="982"/>
        <v>1.7930367504835589</v>
      </c>
      <c r="V290" s="555">
        <f t="shared" si="982"/>
        <v>1.2373481781376519</v>
      </c>
      <c r="W290" s="301">
        <f t="shared" si="982"/>
        <v>0.47240618101545256</v>
      </c>
      <c r="X290" s="301">
        <f t="shared" si="982"/>
        <v>1.5627906976744186</v>
      </c>
      <c r="Y290" s="301">
        <f t="shared" si="982"/>
        <v>0.46540027137042062</v>
      </c>
      <c r="Z290" s="301">
        <f t="shared" si="982"/>
        <v>1.5400843881856541</v>
      </c>
      <c r="AA290" s="555">
        <f t="shared" si="982"/>
        <v>0.86375731772219266</v>
      </c>
      <c r="AB290" s="301">
        <f t="shared" si="982"/>
        <v>-8.9974293059125965E-2</v>
      </c>
      <c r="AC290" s="301">
        <f t="shared" si="982"/>
        <v>-0.32359550561797751</v>
      </c>
      <c r="AD290" s="301">
        <f t="shared" si="982"/>
        <v>1.5117647058823529</v>
      </c>
      <c r="AE290" s="301">
        <f t="shared" si="982"/>
        <v>2.1286231884057969</v>
      </c>
      <c r="AF290" s="555">
        <f t="shared" si="982"/>
        <v>0.93196202531645567</v>
      </c>
      <c r="AG290" s="301">
        <f t="shared" si="982"/>
        <v>9.9557522123893807E-2</v>
      </c>
      <c r="AH290" s="301">
        <f t="shared" si="982"/>
        <v>-0.68936170212765957</v>
      </c>
      <c r="AI290" s="301">
        <f t="shared" si="982"/>
        <v>2.059171597633136</v>
      </c>
      <c r="AJ290" s="301">
        <f t="shared" si="982"/>
        <v>1.8110403397027601</v>
      </c>
      <c r="AK290" s="556">
        <f t="shared" si="982"/>
        <v>0.8515789473684211</v>
      </c>
      <c r="AL290" s="557">
        <f t="shared" si="982"/>
        <v>0.75708502024291502</v>
      </c>
      <c r="AM290" s="557">
        <f t="shared" si="982"/>
        <v>-0.19878296146044624</v>
      </c>
      <c r="AN290" s="301">
        <f t="shared" si="982"/>
        <v>1.6957403651115619</v>
      </c>
      <c r="AO290" s="574">
        <f t="shared" si="982"/>
        <v>1.849906191369606</v>
      </c>
      <c r="AP290" s="555">
        <f t="shared" si="982"/>
        <v>0.95147392290249433</v>
      </c>
      <c r="AQ290" s="557">
        <f t="shared" si="982"/>
        <v>1.0543877210543877</v>
      </c>
      <c r="AR290" s="557">
        <f t="shared" si="982"/>
        <v>0.20471014492753623</v>
      </c>
      <c r="AS290" s="557">
        <f t="shared" si="982"/>
        <v>0.68217054263565891</v>
      </c>
      <c r="AT290" s="558">
        <f t="shared" si="982"/>
        <v>1.2986348122866893</v>
      </c>
      <c r="AU290" s="556">
        <f>AU289/AU276</f>
        <v>0.82453181858524893</v>
      </c>
      <c r="AV290" s="557"/>
      <c r="AW290" s="557"/>
      <c r="AX290" s="557"/>
      <c r="AY290" s="558"/>
      <c r="AZ290" s="556">
        <f>AZ289/AZ276</f>
        <v>0.82285208148804256</v>
      </c>
      <c r="BA290" s="559">
        <f t="shared" si="982"/>
        <v>1.8050541516245488E-3</v>
      </c>
      <c r="BB290" s="557">
        <f t="shared" si="982"/>
        <v>0.57256461232604372</v>
      </c>
      <c r="BC290" s="557">
        <f t="shared" si="982"/>
        <v>2.2686230248306996</v>
      </c>
      <c r="BD290" s="560">
        <f t="shared" si="982"/>
        <v>1.1684397163120568</v>
      </c>
      <c r="BE290" s="556">
        <f t="shared" ref="BE290:BJ290" si="983">BE289/BE276</f>
        <v>0.94622093023255816</v>
      </c>
      <c r="BF290" s="559">
        <f t="shared" si="983"/>
        <v>0.4345679012345679</v>
      </c>
      <c r="BG290" s="557">
        <f t="shared" si="983"/>
        <v>0.93465909090909094</v>
      </c>
      <c r="BH290" s="557">
        <f t="shared" si="983"/>
        <v>1.0171755725190839</v>
      </c>
      <c r="BI290" s="560">
        <f t="shared" si="983"/>
        <v>1.711111111111111</v>
      </c>
      <c r="BJ290" s="556">
        <f t="shared" si="983"/>
        <v>1.0543028071790153</v>
      </c>
      <c r="BK290" s="559">
        <f t="shared" ref="BK290" si="984">BK289/BK276</f>
        <v>-0.254</v>
      </c>
      <c r="BL290" s="557">
        <f t="shared" ref="BL290" si="985">BL289/BL276</f>
        <v>1.2559414990859232</v>
      </c>
      <c r="BM290" s="557">
        <f t="shared" ref="BM290" si="986">BM289/BM276</f>
        <v>0.42151675485008816</v>
      </c>
      <c r="BN290" s="560">
        <f t="shared" ref="BN290" si="987">BN289/BN276</f>
        <v>3.6253229974160206</v>
      </c>
      <c r="BO290" s="556">
        <f>BO289/BO276</f>
        <v>1.1004497751124438</v>
      </c>
      <c r="BP290" s="556">
        <f>BP289/BP276</f>
        <v>1.1004497751124438</v>
      </c>
      <c r="BQ290" s="559">
        <f t="shared" ref="BQ290:BT290" si="988">BQ289/BQ276</f>
        <v>-1.0698450796691634</v>
      </c>
      <c r="BR290" s="557">
        <f t="shared" si="988"/>
        <v>1.0266137091068037</v>
      </c>
      <c r="BS290" s="557">
        <f t="shared" si="988"/>
        <v>0.80684103910459681</v>
      </c>
      <c r="BT290" s="560">
        <f t="shared" si="988"/>
        <v>2.0462064966218851</v>
      </c>
      <c r="BU290" s="556">
        <f>BU289/BU276</f>
        <v>0.77737200785620275</v>
      </c>
      <c r="BV290" s="559"/>
      <c r="BW290" s="557"/>
      <c r="BX290" s="557"/>
      <c r="BY290" s="560"/>
      <c r="BZ290" s="556">
        <f>BZ289/BZ276</f>
        <v>0.99250208257485029</v>
      </c>
      <c r="CA290" s="559"/>
      <c r="CB290" s="557"/>
      <c r="CC290" s="557"/>
      <c r="CD290" s="560"/>
      <c r="CE290" s="556">
        <f>CE289/CE276</f>
        <v>1.0040702291817267</v>
      </c>
      <c r="CF290" s="559"/>
      <c r="CG290" s="557"/>
      <c r="CH290" s="557"/>
      <c r="CI290" s="560"/>
      <c r="CJ290" s="556">
        <f>CJ289/CJ276</f>
        <v>0.98426001418891129</v>
      </c>
      <c r="CK290" s="295"/>
      <c r="CL290" s="681"/>
      <c r="CM290" s="681"/>
      <c r="CN290" s="682"/>
      <c r="CO290" s="1064"/>
      <c r="CP290" s="1064"/>
      <c r="CQ290" s="681"/>
      <c r="CR290" s="681"/>
      <c r="CS290" s="681"/>
      <c r="CT290" s="295"/>
      <c r="CX290"/>
      <c r="CY290"/>
      <c r="CZ290"/>
      <c r="DA290"/>
      <c r="DB290"/>
      <c r="DC290"/>
    </row>
    <row r="291" spans="1:107" s="180" customFormat="1" ht="12.75" customHeight="1">
      <c r="A291" s="237" t="s">
        <v>99</v>
      </c>
      <c r="B291" s="176">
        <v>0</v>
      </c>
      <c r="C291" s="176">
        <v>-10</v>
      </c>
      <c r="D291" s="176">
        <v>-60</v>
      </c>
      <c r="E291" s="176">
        <v>-112</v>
      </c>
      <c r="F291" s="176">
        <v>-125</v>
      </c>
      <c r="G291" s="176">
        <v>0</v>
      </c>
      <c r="H291" s="177">
        <v>0</v>
      </c>
      <c r="I291" s="190">
        <f>0-H291</f>
        <v>0</v>
      </c>
      <c r="J291" s="177">
        <f>0-SUM(H291:I291)</f>
        <v>0</v>
      </c>
      <c r="K291" s="177">
        <f>-211-H291-I291-J291</f>
        <v>-211</v>
      </c>
      <c r="L291" s="170">
        <f t="shared" ref="L291:L297" si="989">SUM(H291:K291)</f>
        <v>-211</v>
      </c>
      <c r="M291" s="177">
        <v>0</v>
      </c>
      <c r="N291" s="190">
        <f>-34-M291</f>
        <v>-34</v>
      </c>
      <c r="O291" s="177">
        <f>-54-SUM(M291:N291)</f>
        <v>-20</v>
      </c>
      <c r="P291" s="177">
        <f>-54-M291-N291-O291</f>
        <v>0</v>
      </c>
      <c r="Q291" s="170">
        <f>SUM(M291:P291)</f>
        <v>-54</v>
      </c>
      <c r="R291" s="177">
        <v>0</v>
      </c>
      <c r="S291" s="190">
        <f>0-R291</f>
        <v>0</v>
      </c>
      <c r="T291" s="190">
        <f>0-S291-R291</f>
        <v>0</v>
      </c>
      <c r="U291" s="177">
        <f>-334-R291-S291-T291</f>
        <v>-334</v>
      </c>
      <c r="V291" s="170">
        <f>SUM(R291:U291)</f>
        <v>-334</v>
      </c>
      <c r="W291" s="177">
        <v>-12</v>
      </c>
      <c r="X291" s="190">
        <f>-12-W291</f>
        <v>0</v>
      </c>
      <c r="Y291" s="177">
        <v>0</v>
      </c>
      <c r="Z291" s="177">
        <f>-152-W291-X291-Y291</f>
        <v>-140</v>
      </c>
      <c r="AA291" s="170">
        <f>SUM(W291:Z291)</f>
        <v>-152</v>
      </c>
      <c r="AB291" s="177">
        <v>-500</v>
      </c>
      <c r="AC291" s="190">
        <f>-550-AB291</f>
        <v>-50</v>
      </c>
      <c r="AD291" s="190">
        <f>-551-AC291-AB291</f>
        <v>-1</v>
      </c>
      <c r="AE291" s="177">
        <f>-645-AD291-AC291-AB291</f>
        <v>-94</v>
      </c>
      <c r="AF291" s="176">
        <f>+SUM(AB291:AE291)</f>
        <v>-645</v>
      </c>
      <c r="AG291" s="177">
        <v>0</v>
      </c>
      <c r="AH291" s="190">
        <f>0-AG291</f>
        <v>0</v>
      </c>
      <c r="AI291" s="190">
        <f>-7-AH291-AG291</f>
        <v>-7</v>
      </c>
      <c r="AJ291" s="177">
        <f>-301-AG291-AH291-AI291</f>
        <v>-294</v>
      </c>
      <c r="AK291" s="176">
        <f>SUM(AG291:AJ291)</f>
        <v>-301</v>
      </c>
      <c r="AL291" s="177">
        <v>0</v>
      </c>
      <c r="AM291" s="177">
        <f>-14-AL291</f>
        <v>-14</v>
      </c>
      <c r="AN291" s="177">
        <f>-14-SUM(AL291:AM291)</f>
        <v>0</v>
      </c>
      <c r="AO291" s="177">
        <f>-9-AL291-AM291-AN291</f>
        <v>5</v>
      </c>
      <c r="AP291" s="176">
        <f>SUM(AL291:AO291)</f>
        <v>-9</v>
      </c>
      <c r="AQ291" s="136">
        <v>0</v>
      </c>
      <c r="AR291" s="668">
        <v>0</v>
      </c>
      <c r="AS291" s="668">
        <f>0-SUM(AQ291:AR291)</f>
        <v>0</v>
      </c>
      <c r="AT291" s="668">
        <f>-427-SUM(AQ291:AS291)</f>
        <v>-427</v>
      </c>
      <c r="AU291" s="176">
        <f>SUM(AQ291:AT291)</f>
        <v>-427</v>
      </c>
      <c r="AV291" s="136"/>
      <c r="AW291" s="668"/>
      <c r="AX291" s="668"/>
      <c r="AY291" s="668"/>
      <c r="AZ291" s="176">
        <v>-427</v>
      </c>
      <c r="BA291" s="720">
        <v>-6</v>
      </c>
      <c r="BB291" s="667">
        <f>-1892-BA291</f>
        <v>-1886</v>
      </c>
      <c r="BC291" s="749">
        <f>-1892-SUM(BA291:BB291)</f>
        <v>0</v>
      </c>
      <c r="BD291" s="769">
        <f t="shared" ref="BD291:BD299" si="990">+BE291-SUM(BA291:BC291)</f>
        <v>-62</v>
      </c>
      <c r="BE291" s="137">
        <v>-1954</v>
      </c>
      <c r="BF291" s="750">
        <v>-57</v>
      </c>
      <c r="BG291" s="749">
        <f>-57-BF291</f>
        <v>0</v>
      </c>
      <c r="BH291" s="749">
        <f>-57-SUM(BF291:BG291)</f>
        <v>0</v>
      </c>
      <c r="BI291" s="769">
        <f t="shared" ref="BI291:BI299" si="991">+BJ291-SUM(BF291:BH291)</f>
        <v>0</v>
      </c>
      <c r="BJ291" s="696">
        <v>-57</v>
      </c>
      <c r="BK291" s="750">
        <v>-39</v>
      </c>
      <c r="BL291" s="749">
        <f>-39-BK291</f>
        <v>0</v>
      </c>
      <c r="BM291" s="667">
        <f>-93-BL291-BK291</f>
        <v>-54</v>
      </c>
      <c r="BN291" s="756">
        <v>0</v>
      </c>
      <c r="BO291" s="696">
        <f>+SUM(BK291:BN291)</f>
        <v>-93</v>
      </c>
      <c r="BP291" s="696">
        <f>BO291</f>
        <v>-93</v>
      </c>
      <c r="BQ291" s="272">
        <v>0</v>
      </c>
      <c r="BR291" s="270">
        <v>0</v>
      </c>
      <c r="BS291" s="270">
        <v>0</v>
      </c>
      <c r="BT291" s="273">
        <v>0</v>
      </c>
      <c r="BU291" s="696">
        <f>+SUM(BQ291:BT291)</f>
        <v>0</v>
      </c>
      <c r="BV291" s="272"/>
      <c r="BW291" s="270"/>
      <c r="BX291" s="270"/>
      <c r="BY291" s="273"/>
      <c r="BZ291" s="271">
        <v>0</v>
      </c>
      <c r="CA291" s="272"/>
      <c r="CB291" s="270"/>
      <c r="CC291" s="270"/>
      <c r="CD291" s="273"/>
      <c r="CE291" s="271">
        <v>0</v>
      </c>
      <c r="CF291" s="272"/>
      <c r="CG291" s="270"/>
      <c r="CH291" s="270"/>
      <c r="CI291" s="273"/>
      <c r="CJ291" s="271">
        <v>0</v>
      </c>
      <c r="CK291" s="291"/>
      <c r="CL291" s="657"/>
      <c r="CM291" s="657"/>
      <c r="CN291" s="682"/>
      <c r="CO291" s="681"/>
      <c r="CP291" s="681"/>
      <c r="CQ291" s="681"/>
      <c r="CR291" s="681"/>
      <c r="CS291" s="681"/>
      <c r="CT291" s="291"/>
      <c r="CX291"/>
      <c r="CY291"/>
      <c r="CZ291"/>
      <c r="DA291"/>
      <c r="DB291"/>
      <c r="DC291"/>
    </row>
    <row r="292" spans="1:107" s="180" customFormat="1">
      <c r="A292" s="237" t="s">
        <v>130</v>
      </c>
      <c r="B292" s="176">
        <f t="shared" ref="B292:AI292" si="992">B293-B286-B291</f>
        <v>414</v>
      </c>
      <c r="C292" s="176">
        <f t="shared" si="992"/>
        <v>1137</v>
      </c>
      <c r="D292" s="176">
        <f t="shared" si="992"/>
        <v>-220</v>
      </c>
      <c r="E292" s="176">
        <f t="shared" si="992"/>
        <v>-103</v>
      </c>
      <c r="F292" s="176">
        <f t="shared" si="992"/>
        <v>-15</v>
      </c>
      <c r="G292" s="176">
        <f t="shared" si="992"/>
        <v>-157</v>
      </c>
      <c r="H292" s="177">
        <f t="shared" si="992"/>
        <v>-43</v>
      </c>
      <c r="I292" s="177">
        <f t="shared" si="992"/>
        <v>3098</v>
      </c>
      <c r="J292" s="177">
        <f t="shared" si="992"/>
        <v>-18</v>
      </c>
      <c r="K292" s="177">
        <f t="shared" si="992"/>
        <v>-6</v>
      </c>
      <c r="L292" s="191">
        <f t="shared" si="989"/>
        <v>3031</v>
      </c>
      <c r="M292" s="177">
        <f t="shared" si="992"/>
        <v>-18</v>
      </c>
      <c r="N292" s="177">
        <f t="shared" si="992"/>
        <v>-3</v>
      </c>
      <c r="O292" s="177">
        <f t="shared" si="992"/>
        <v>-21</v>
      </c>
      <c r="P292" s="177">
        <f t="shared" si="992"/>
        <v>-17</v>
      </c>
      <c r="Q292" s="191">
        <f t="shared" si="992"/>
        <v>-59</v>
      </c>
      <c r="R292" s="177">
        <f t="shared" si="992"/>
        <v>-13</v>
      </c>
      <c r="S292" s="177">
        <f t="shared" si="992"/>
        <v>-30</v>
      </c>
      <c r="T292" s="177">
        <f t="shared" si="992"/>
        <v>-15</v>
      </c>
      <c r="U292" s="177">
        <f t="shared" si="992"/>
        <v>-20</v>
      </c>
      <c r="V292" s="191">
        <f t="shared" si="992"/>
        <v>-78</v>
      </c>
      <c r="W292" s="177">
        <f t="shared" si="992"/>
        <v>-12</v>
      </c>
      <c r="X292" s="177">
        <f t="shared" si="992"/>
        <v>-18</v>
      </c>
      <c r="Y292" s="177">
        <f t="shared" si="992"/>
        <v>-14</v>
      </c>
      <c r="Z292" s="177">
        <f t="shared" si="992"/>
        <v>-20</v>
      </c>
      <c r="AA292" s="191">
        <f t="shared" si="992"/>
        <v>-64</v>
      </c>
      <c r="AB292" s="177">
        <f t="shared" si="992"/>
        <v>-26</v>
      </c>
      <c r="AC292" s="177">
        <f t="shared" si="992"/>
        <v>-6</v>
      </c>
      <c r="AD292" s="177">
        <f t="shared" si="992"/>
        <v>-15</v>
      </c>
      <c r="AE292" s="177">
        <f t="shared" si="992"/>
        <v>-19</v>
      </c>
      <c r="AF292" s="191">
        <f t="shared" si="992"/>
        <v>-66</v>
      </c>
      <c r="AG292" s="177">
        <f>AG293-AG286-AG291</f>
        <v>-20</v>
      </c>
      <c r="AH292" s="190">
        <f t="shared" si="992"/>
        <v>-539</v>
      </c>
      <c r="AI292" s="190">
        <f t="shared" si="992"/>
        <v>-63</v>
      </c>
      <c r="AJ292" s="177">
        <f t="shared" ref="AJ292:BC292" si="993">AJ293-AJ286-AJ291</f>
        <v>-261</v>
      </c>
      <c r="AK292" s="191">
        <f t="shared" si="993"/>
        <v>-883</v>
      </c>
      <c r="AL292" s="177">
        <f t="shared" si="993"/>
        <v>-56</v>
      </c>
      <c r="AM292" s="177">
        <f t="shared" si="993"/>
        <v>-116</v>
      </c>
      <c r="AN292" s="177">
        <f t="shared" si="993"/>
        <v>43</v>
      </c>
      <c r="AO292" s="177">
        <f t="shared" si="993"/>
        <v>-55</v>
      </c>
      <c r="AP292" s="191">
        <f>SUM(AL292:AO292)</f>
        <v>-184</v>
      </c>
      <c r="AQ292" s="177">
        <f t="shared" si="993"/>
        <v>-500</v>
      </c>
      <c r="AR292" s="177">
        <f t="shared" si="993"/>
        <v>580</v>
      </c>
      <c r="AS292" s="177">
        <f t="shared" si="993"/>
        <v>-596</v>
      </c>
      <c r="AT292" s="177">
        <f t="shared" si="993"/>
        <v>-53</v>
      </c>
      <c r="AU292" s="191">
        <f>SUM(AQ292:AT292)</f>
        <v>-569</v>
      </c>
      <c r="AV292" s="177"/>
      <c r="AW292" s="177"/>
      <c r="AX292" s="177"/>
      <c r="AY292" s="177"/>
      <c r="AZ292" s="191">
        <f t="shared" si="993"/>
        <v>-569</v>
      </c>
      <c r="BA292" s="177">
        <f t="shared" si="993"/>
        <v>197</v>
      </c>
      <c r="BB292" s="177">
        <f t="shared" si="993"/>
        <v>616</v>
      </c>
      <c r="BC292" s="749">
        <f t="shared" si="993"/>
        <v>76</v>
      </c>
      <c r="BD292" s="934">
        <f t="shared" si="990"/>
        <v>-273</v>
      </c>
      <c r="BE292" s="137">
        <f>BE293-BE286-BE291</f>
        <v>616</v>
      </c>
      <c r="BF292" s="718">
        <f>BF293-BF286-BF291</f>
        <v>116</v>
      </c>
      <c r="BG292" s="660">
        <f>BG293-BG286-BG291</f>
        <v>-8</v>
      </c>
      <c r="BH292" s="660">
        <f>BH293-BH286-BH291</f>
        <v>211</v>
      </c>
      <c r="BI292" s="934">
        <f t="shared" si="991"/>
        <v>352</v>
      </c>
      <c r="BJ292" s="176">
        <f>BJ293-BJ286-BJ291</f>
        <v>671</v>
      </c>
      <c r="BK292" s="660">
        <f>BK293-BK286-BK291</f>
        <v>-305</v>
      </c>
      <c r="BL292" s="667">
        <f>BL293-BL286-BL291</f>
        <v>3</v>
      </c>
      <c r="BM292" s="667">
        <f>BM293-BM286-BM291</f>
        <v>400</v>
      </c>
      <c r="BN292" s="1057">
        <f>BN293-BN286-BN291</f>
        <v>-279</v>
      </c>
      <c r="BO292" s="696">
        <f>+SUM(BK292:BN292)</f>
        <v>-181</v>
      </c>
      <c r="BP292" s="696">
        <f>BO292</f>
        <v>-181</v>
      </c>
      <c r="BQ292" s="351">
        <v>0</v>
      </c>
      <c r="BR292" s="269">
        <v>0</v>
      </c>
      <c r="BS292" s="269">
        <v>0</v>
      </c>
      <c r="BT292" s="352">
        <v>0</v>
      </c>
      <c r="BU292" s="696">
        <f>+SUM(BQ292:BT292)</f>
        <v>0</v>
      </c>
      <c r="BV292" s="351"/>
      <c r="BW292" s="269"/>
      <c r="BX292" s="269"/>
      <c r="BY292" s="352"/>
      <c r="BZ292" s="350">
        <v>0</v>
      </c>
      <c r="CA292" s="351"/>
      <c r="CB292" s="269"/>
      <c r="CC292" s="269"/>
      <c r="CD292" s="352"/>
      <c r="CE292" s="350">
        <v>0</v>
      </c>
      <c r="CF292" s="351"/>
      <c r="CG292" s="269"/>
      <c r="CH292" s="269"/>
      <c r="CI292" s="352"/>
      <c r="CJ292" s="350">
        <v>0</v>
      </c>
      <c r="CK292" s="291"/>
      <c r="CL292" s="657"/>
      <c r="CM292" s="657"/>
      <c r="CN292" s="682"/>
      <c r="CO292" s="657"/>
      <c r="CP292" s="657"/>
      <c r="CQ292" s="657"/>
      <c r="CR292" s="657"/>
      <c r="CS292" s="657"/>
      <c r="CT292" s="291"/>
      <c r="CX292"/>
      <c r="CY292"/>
      <c r="CZ292"/>
      <c r="DA292"/>
      <c r="DB292"/>
      <c r="DC292"/>
    </row>
    <row r="293" spans="1:107" s="180" customFormat="1">
      <c r="A293" s="200" t="s">
        <v>32</v>
      </c>
      <c r="B293" s="201">
        <v>-47</v>
      </c>
      <c r="C293" s="201">
        <v>669</v>
      </c>
      <c r="D293" s="201">
        <v>-708</v>
      </c>
      <c r="E293" s="201">
        <v>-532</v>
      </c>
      <c r="F293" s="201">
        <v>-436</v>
      </c>
      <c r="G293" s="201">
        <v>-451</v>
      </c>
      <c r="H293" s="200">
        <v>-81</v>
      </c>
      <c r="I293" s="200">
        <v>3041</v>
      </c>
      <c r="J293" s="200">
        <v>-83</v>
      </c>
      <c r="K293" s="200">
        <v>-370</v>
      </c>
      <c r="L293" s="201">
        <f t="shared" si="989"/>
        <v>2507</v>
      </c>
      <c r="M293" s="200">
        <v>-61</v>
      </c>
      <c r="N293" s="200">
        <v>-93</v>
      </c>
      <c r="O293" s="200">
        <v>-109</v>
      </c>
      <c r="P293" s="200">
        <v>-154</v>
      </c>
      <c r="Q293" s="201">
        <f>SUM(M293:P293)</f>
        <v>-417</v>
      </c>
      <c r="R293" s="200">
        <v>-46</v>
      </c>
      <c r="S293" s="200">
        <v>-78</v>
      </c>
      <c r="T293" s="200">
        <v>-72</v>
      </c>
      <c r="U293" s="200">
        <v>-496</v>
      </c>
      <c r="V293" s="201">
        <f>SUM(R293:U293)</f>
        <v>-692</v>
      </c>
      <c r="W293" s="200">
        <v>-69</v>
      </c>
      <c r="X293" s="200">
        <v>-82</v>
      </c>
      <c r="Y293" s="200">
        <v>-89</v>
      </c>
      <c r="Z293" s="200">
        <v>-295</v>
      </c>
      <c r="AA293" s="201">
        <f>SUM(W293:Z293)</f>
        <v>-535</v>
      </c>
      <c r="AB293" s="200">
        <v>-576</v>
      </c>
      <c r="AC293" s="200">
        <v>-113</v>
      </c>
      <c r="AD293" s="200">
        <v>-106</v>
      </c>
      <c r="AE293" s="200">
        <v>-256</v>
      </c>
      <c r="AF293" s="201">
        <f>SUM(AB293:AE293)</f>
        <v>-1051</v>
      </c>
      <c r="AG293" s="200">
        <v>-90</v>
      </c>
      <c r="AH293" s="200">
        <v>-606</v>
      </c>
      <c r="AI293" s="200">
        <v>-137</v>
      </c>
      <c r="AJ293" s="200">
        <f>-1523-AG293-AH293-AI293</f>
        <v>-690</v>
      </c>
      <c r="AK293" s="201">
        <f>SUM(AG293:AJ293)</f>
        <v>-1523</v>
      </c>
      <c r="AL293" s="200">
        <v>-105</v>
      </c>
      <c r="AM293" s="200">
        <f>-291-AL293</f>
        <v>-186</v>
      </c>
      <c r="AN293" s="200">
        <f>-308-SUM(AL293:AM293)</f>
        <v>-17</v>
      </c>
      <c r="AO293" s="200">
        <f>-473-AL293-AM293-AN293</f>
        <v>-165</v>
      </c>
      <c r="AP293" s="201">
        <f>AP286+AP291+AP292</f>
        <v>-473</v>
      </c>
      <c r="AQ293" s="200">
        <v>-539</v>
      </c>
      <c r="AR293" s="200">
        <f>-21-AQ293</f>
        <v>518</v>
      </c>
      <c r="AS293" s="200">
        <f>-689-SUM(AQ293:AR293)</f>
        <v>-668</v>
      </c>
      <c r="AT293" s="200">
        <f>-1322-SUM(AQ293:AS293)</f>
        <v>-633</v>
      </c>
      <c r="AU293" s="201">
        <f>AU286+AU291+AU292</f>
        <v>-1322</v>
      </c>
      <c r="AV293" s="200"/>
      <c r="AW293" s="200"/>
      <c r="AX293" s="200"/>
      <c r="AY293" s="200"/>
      <c r="AZ293" s="201">
        <v>-1322</v>
      </c>
      <c r="BA293" s="202">
        <v>136</v>
      </c>
      <c r="BB293" s="200">
        <f>-1222-BA293</f>
        <v>-1358</v>
      </c>
      <c r="BC293" s="200">
        <f>-1242-SUM(BA293:BB293)</f>
        <v>-20</v>
      </c>
      <c r="BD293" s="203">
        <f t="shared" si="990"/>
        <v>-502</v>
      </c>
      <c r="BE293" s="201">
        <v>-1744</v>
      </c>
      <c r="BF293" s="202">
        <v>-91</v>
      </c>
      <c r="BG293" s="200">
        <f>-186-BF293</f>
        <v>-95</v>
      </c>
      <c r="BH293" s="200">
        <f>-82-SUM(BF293:BG293)</f>
        <v>104</v>
      </c>
      <c r="BI293" s="203">
        <f t="shared" si="991"/>
        <v>135</v>
      </c>
      <c r="BJ293" s="201">
        <v>53</v>
      </c>
      <c r="BK293" s="202">
        <v>-430</v>
      </c>
      <c r="BL293" s="200">
        <f>-522-BK293</f>
        <v>-92</v>
      </c>
      <c r="BM293" s="200">
        <f>-318-BL293-BK293</f>
        <v>204</v>
      </c>
      <c r="BN293" s="203">
        <f>-817-BM293-BL293-BK293</f>
        <v>-499</v>
      </c>
      <c r="BO293" s="201">
        <f>BO286+BO291+BO292</f>
        <v>-817</v>
      </c>
      <c r="BP293" s="201">
        <f>BP286+BP291+BP292</f>
        <v>-817</v>
      </c>
      <c r="BQ293" s="202">
        <f t="shared" ref="BQ293:BT293" si="994">BQ286+BQ291+BQ292</f>
        <v>-232.5</v>
      </c>
      <c r="BR293" s="200">
        <f t="shared" si="994"/>
        <v>-232.5</v>
      </c>
      <c r="BS293" s="200">
        <f t="shared" si="994"/>
        <v>-232.5</v>
      </c>
      <c r="BT293" s="203">
        <f t="shared" si="994"/>
        <v>-232.5</v>
      </c>
      <c r="BU293" s="201">
        <f>BU286+BU291+BU292</f>
        <v>-930</v>
      </c>
      <c r="BV293" s="202"/>
      <c r="BW293" s="200"/>
      <c r="BX293" s="200"/>
      <c r="BY293" s="203"/>
      <c r="BZ293" s="201">
        <f>BZ286+BZ291+BZ292</f>
        <v>-932.97110521725028</v>
      </c>
      <c r="CA293" s="202"/>
      <c r="CB293" s="200"/>
      <c r="CC293" s="200"/>
      <c r="CD293" s="203"/>
      <c r="CE293" s="201">
        <f>CE286+CE291+CE292</f>
        <v>-941.24608374903767</v>
      </c>
      <c r="CF293" s="202"/>
      <c r="CG293" s="200"/>
      <c r="CH293" s="200"/>
      <c r="CI293" s="203"/>
      <c r="CJ293" s="201">
        <f>CJ286+CJ291+CJ292</f>
        <v>-947.70710376395436</v>
      </c>
      <c r="CK293" s="291"/>
      <c r="CL293" s="657"/>
      <c r="CM293" s="657"/>
      <c r="CN293" s="682"/>
      <c r="CO293" s="657"/>
      <c r="CP293" s="657"/>
      <c r="CQ293" s="657"/>
      <c r="CR293" s="657"/>
      <c r="CS293" s="657"/>
      <c r="CT293" s="291"/>
      <c r="CX293"/>
      <c r="CY293"/>
      <c r="CZ293"/>
      <c r="DA293"/>
      <c r="DB293"/>
      <c r="DC293"/>
    </row>
    <row r="294" spans="1:107" s="180" customFormat="1">
      <c r="A294" s="237" t="s">
        <v>33</v>
      </c>
      <c r="B294" s="170">
        <v>-281</v>
      </c>
      <c r="C294" s="170">
        <v>-321</v>
      </c>
      <c r="D294" s="170">
        <v>-331</v>
      </c>
      <c r="E294" s="170">
        <v>-349</v>
      </c>
      <c r="F294" s="170">
        <v>-387</v>
      </c>
      <c r="G294" s="170">
        <v>-420</v>
      </c>
      <c r="H294" s="171">
        <v>-107</v>
      </c>
      <c r="I294" s="171">
        <f>-220-H294</f>
        <v>-113</v>
      </c>
      <c r="J294" s="171">
        <f>-331-SUM(H294:I294)</f>
        <v>-111</v>
      </c>
      <c r="K294" s="177">
        <f>-440-H294-I294-J294</f>
        <v>-109</v>
      </c>
      <c r="L294" s="170">
        <f t="shared" si="989"/>
        <v>-440</v>
      </c>
      <c r="M294" s="171">
        <v>-109</v>
      </c>
      <c r="N294" s="171">
        <f>-227-M294</f>
        <v>-118</v>
      </c>
      <c r="O294" s="171">
        <f>-344-SUM(M294:N294)</f>
        <v>-117</v>
      </c>
      <c r="P294" s="177">
        <f>-460-M294-N294-O294</f>
        <v>-116</v>
      </c>
      <c r="Q294" s="170">
        <f>SUM(M294:P294)</f>
        <v>-460</v>
      </c>
      <c r="R294" s="171">
        <v>-112</v>
      </c>
      <c r="S294" s="171">
        <f>-234-R294</f>
        <v>-122</v>
      </c>
      <c r="T294" s="171">
        <f>-355-S294-R294</f>
        <v>-121</v>
      </c>
      <c r="U294" s="177">
        <f>-473-R294-S294-T294</f>
        <v>-118</v>
      </c>
      <c r="V294" s="170">
        <f>SUM(R294:U294)</f>
        <v>-473</v>
      </c>
      <c r="W294" s="171">
        <v>-117</v>
      </c>
      <c r="X294" s="171">
        <f>-260-W294</f>
        <v>-143</v>
      </c>
      <c r="Y294" s="171">
        <v>-141</v>
      </c>
      <c r="Z294" s="177">
        <f>-536-W294-X294-Y294</f>
        <v>-135</v>
      </c>
      <c r="AA294" s="170">
        <f>SUM(W294:Z294)</f>
        <v>-536</v>
      </c>
      <c r="AB294" s="171">
        <v>-135</v>
      </c>
      <c r="AC294" s="171">
        <f>-288-AB294</f>
        <v>-153</v>
      </c>
      <c r="AD294" s="171">
        <f>-440-AC294-AB294</f>
        <v>-152</v>
      </c>
      <c r="AE294" s="177">
        <f>-588-AD294-AC294-AB294</f>
        <v>-148</v>
      </c>
      <c r="AF294" s="170">
        <f>+SUM(AB294:AE294)</f>
        <v>-588</v>
      </c>
      <c r="AG294" s="171">
        <v>-146</v>
      </c>
      <c r="AH294" s="171">
        <f>-313-AG294</f>
        <v>-167</v>
      </c>
      <c r="AI294" s="171">
        <f>-478-AH294-AG294</f>
        <v>-165</v>
      </c>
      <c r="AJ294" s="177">
        <f>-643-AG294-AH294-AI294</f>
        <v>-165</v>
      </c>
      <c r="AK294" s="170">
        <f>SUM(AG294:AJ294)</f>
        <v>-643</v>
      </c>
      <c r="AL294" s="171">
        <v>-164</v>
      </c>
      <c r="AM294" s="171">
        <f>-343-AL294</f>
        <v>-179</v>
      </c>
      <c r="AN294" s="171">
        <f>-520-SUM(AL294:AM294)</f>
        <v>-177</v>
      </c>
      <c r="AO294" s="177">
        <v>-174</v>
      </c>
      <c r="AP294" s="176">
        <f>SUM(AL294:AO294)</f>
        <v>-694</v>
      </c>
      <c r="AQ294" s="171">
        <v>-174</v>
      </c>
      <c r="AR294" s="171">
        <f>-363-AQ294</f>
        <v>-189</v>
      </c>
      <c r="AS294" s="171">
        <f>-551-SUM(AQ294:AR294)</f>
        <v>-188</v>
      </c>
      <c r="AT294" s="177">
        <f>-735-SUM(AQ294:AS294)</f>
        <v>-184</v>
      </c>
      <c r="AU294" s="176">
        <f>SUM(AQ294:AT294)</f>
        <v>-735</v>
      </c>
      <c r="AV294" s="171"/>
      <c r="AW294" s="171"/>
      <c r="AX294" s="171"/>
      <c r="AY294" s="177"/>
      <c r="AZ294" s="176">
        <v>-735</v>
      </c>
      <c r="BA294" s="172">
        <v>-186</v>
      </c>
      <c r="BB294" s="171">
        <f>-391-BA294</f>
        <v>-205</v>
      </c>
      <c r="BC294" s="747">
        <f>-595-SUM(BA294:BB294)</f>
        <v>-204</v>
      </c>
      <c r="BD294" s="911">
        <f t="shared" si="990"/>
        <v>-202</v>
      </c>
      <c r="BE294" s="137">
        <v>-797</v>
      </c>
      <c r="BF294" s="905">
        <v>-201</v>
      </c>
      <c r="BG294" s="747">
        <f>-419-BF294</f>
        <v>-218</v>
      </c>
      <c r="BH294" s="747">
        <f>-635-SUM(BF294:BG294)</f>
        <v>-216</v>
      </c>
      <c r="BI294" s="911">
        <f t="shared" si="991"/>
        <v>-215</v>
      </c>
      <c r="BJ294" s="170">
        <v>-850</v>
      </c>
      <c r="BK294" s="905">
        <v>-215</v>
      </c>
      <c r="BL294" s="669">
        <f>-447-BK294</f>
        <v>-232</v>
      </c>
      <c r="BM294" s="669">
        <f>-679-BL294-BK294</f>
        <v>-232</v>
      </c>
      <c r="BN294" s="762">
        <f>-910-BM294-BL294-BK294</f>
        <v>-231</v>
      </c>
      <c r="BO294" s="170">
        <f>+SUM(BK294:BN294)</f>
        <v>-910</v>
      </c>
      <c r="BP294" s="170">
        <f>BO294</f>
        <v>-910</v>
      </c>
      <c r="BQ294" s="172">
        <f t="shared" ref="BQ294:BT294" si="995">-BQ267*BQ272</f>
        <v>-253.48344903750004</v>
      </c>
      <c r="BR294" s="171">
        <f t="shared" si="995"/>
        <v>-252.53288610360943</v>
      </c>
      <c r="BS294" s="171">
        <f t="shared" si="995"/>
        <v>-251.5858877807209</v>
      </c>
      <c r="BT294" s="173">
        <f t="shared" si="995"/>
        <v>-250.64244070154317</v>
      </c>
      <c r="BU294" s="170">
        <f>+SUM(BQ294:BT294)</f>
        <v>-1008.2446636233735</v>
      </c>
      <c r="BV294" s="172"/>
      <c r="BW294" s="171"/>
      <c r="BX294" s="171"/>
      <c r="BY294" s="173"/>
      <c r="BZ294" s="170">
        <f>-BZ267*BZ272</f>
        <v>-1130.4943290877072</v>
      </c>
      <c r="CA294" s="172"/>
      <c r="CB294" s="171"/>
      <c r="CC294" s="171"/>
      <c r="CD294" s="173"/>
      <c r="CE294" s="170">
        <f>-CE267*CE272</f>
        <v>-1267.5667664895916</v>
      </c>
      <c r="CF294" s="172"/>
      <c r="CG294" s="171"/>
      <c r="CH294" s="171"/>
      <c r="CI294" s="173"/>
      <c r="CJ294" s="170">
        <f>-CJ267*CJ272</f>
        <v>-1421.2592369264542</v>
      </c>
      <c r="CK294" s="291"/>
      <c r="CL294" s="657"/>
      <c r="CM294" s="657"/>
      <c r="CN294" s="682"/>
      <c r="CO294" s="657"/>
      <c r="CP294" s="657"/>
      <c r="CQ294" s="657"/>
      <c r="CR294" s="657"/>
      <c r="CS294" s="657"/>
      <c r="CT294" s="291"/>
      <c r="CX294"/>
      <c r="CY294"/>
      <c r="CZ294"/>
      <c r="DA294"/>
      <c r="DB294"/>
      <c r="DC294"/>
    </row>
    <row r="295" spans="1:107" s="180" customFormat="1">
      <c r="A295" s="237" t="s">
        <v>48</v>
      </c>
      <c r="B295" s="176">
        <v>0</v>
      </c>
      <c r="C295" s="176">
        <v>0</v>
      </c>
      <c r="D295" s="176">
        <v>0</v>
      </c>
      <c r="E295" s="176">
        <v>0</v>
      </c>
      <c r="F295" s="176">
        <v>-436</v>
      </c>
      <c r="G295" s="176">
        <v>-352</v>
      </c>
      <c r="H295" s="177">
        <v>-275</v>
      </c>
      <c r="I295" s="190">
        <f>-801-H295</f>
        <v>-526</v>
      </c>
      <c r="J295" s="177">
        <f>-1301-SUM(H295:I295)</f>
        <v>-500</v>
      </c>
      <c r="K295" s="177">
        <f>-1642-H295-I295-J295</f>
        <v>-341</v>
      </c>
      <c r="L295" s="170">
        <f>SUM(H295:K295)</f>
        <v>-1642</v>
      </c>
      <c r="M295" s="177">
        <v>-340</v>
      </c>
      <c r="N295" s="177">
        <f>-680-M295</f>
        <v>-340</v>
      </c>
      <c r="O295" s="177">
        <f>-1020-SUM(M295:N295)</f>
        <v>-340</v>
      </c>
      <c r="P295" s="177">
        <f>-1700-M295-N295-O295</f>
        <v>-680</v>
      </c>
      <c r="Q295" s="170">
        <f>SUM(M295:P295)</f>
        <v>-1700</v>
      </c>
      <c r="R295" s="177">
        <v>-300</v>
      </c>
      <c r="S295" s="177">
        <f>-600-R295</f>
        <v>-300</v>
      </c>
      <c r="T295" s="177">
        <f>-900-S295-R295</f>
        <v>-300</v>
      </c>
      <c r="U295" s="177">
        <f>-1200-R295-S295-T295</f>
        <v>-300</v>
      </c>
      <c r="V295" s="170">
        <f>SUM(R295:U295)</f>
        <v>-1200</v>
      </c>
      <c r="W295" s="177">
        <v>-300</v>
      </c>
      <c r="X295" s="177">
        <f>-775-W295</f>
        <v>-475</v>
      </c>
      <c r="Y295" s="177">
        <v>-425</v>
      </c>
      <c r="Z295" s="177">
        <f>-1450-W295-X295-Y295</f>
        <v>-250</v>
      </c>
      <c r="AA295" s="170">
        <f>SUM(W295:Z295)</f>
        <v>-1450</v>
      </c>
      <c r="AB295" s="177">
        <v>-312</v>
      </c>
      <c r="AC295" s="177">
        <f>-625-AB295</f>
        <v>-313</v>
      </c>
      <c r="AD295" s="177">
        <f>-937-AC295-AB295</f>
        <v>-312</v>
      </c>
      <c r="AE295" s="177">
        <f>-1250-AD295-AC295-AB295</f>
        <v>-313</v>
      </c>
      <c r="AF295" s="176">
        <f>+SUM(AB295:AE295)</f>
        <v>-1250</v>
      </c>
      <c r="AG295" s="177">
        <v>-400</v>
      </c>
      <c r="AH295" s="177">
        <f>-600-AG295</f>
        <v>-200</v>
      </c>
      <c r="AI295" s="177">
        <f>-725-AH295-AG295</f>
        <v>-125</v>
      </c>
      <c r="AJ295" s="177">
        <f>-825-AG295-AH295-AI295</f>
        <v>-100</v>
      </c>
      <c r="AK295" s="176">
        <f>SUM(AG295:AJ295)</f>
        <v>-825</v>
      </c>
      <c r="AL295" s="177">
        <v>-225</v>
      </c>
      <c r="AM295" s="177">
        <f>-450-AL295</f>
        <v>-225</v>
      </c>
      <c r="AN295" s="177">
        <f>-675-SUM(AL295:AM295)</f>
        <v>-225</v>
      </c>
      <c r="AO295" s="177">
        <f>-1075-AL295-AM295-AN295</f>
        <v>-400</v>
      </c>
      <c r="AP295" s="176">
        <f>SUM(AL295:AO295)</f>
        <v>-1075</v>
      </c>
      <c r="AQ295" s="177">
        <v>-200</v>
      </c>
      <c r="AR295" s="667">
        <f>-450-AQ295</f>
        <v>-250</v>
      </c>
      <c r="AS295" s="177">
        <f>-650-SUM(AQ295:AR295)</f>
        <v>-200</v>
      </c>
      <c r="AT295" s="177">
        <f>-750-SUM(AQ295:AS295)</f>
        <v>-100</v>
      </c>
      <c r="AU295" s="176">
        <f>SUM(AQ295:AT295)</f>
        <v>-750</v>
      </c>
      <c r="AV295" s="177"/>
      <c r="AW295" s="667"/>
      <c r="AX295" s="177"/>
      <c r="AY295" s="177"/>
      <c r="AZ295" s="176">
        <v>-750</v>
      </c>
      <c r="BA295" s="178">
        <v>-300</v>
      </c>
      <c r="BB295" s="177">
        <f>-500-BA295</f>
        <v>-200</v>
      </c>
      <c r="BC295" s="749">
        <f>-750-SUM(BA295:BB295)</f>
        <v>-250</v>
      </c>
      <c r="BD295" s="769">
        <f t="shared" si="990"/>
        <v>-250</v>
      </c>
      <c r="BE295" s="137">
        <v>-1000</v>
      </c>
      <c r="BF295" s="750">
        <v>-400</v>
      </c>
      <c r="BG295" s="749">
        <f>-602-BF295</f>
        <v>-202</v>
      </c>
      <c r="BH295" s="749">
        <f>-801-SUM(BF295:BG295)</f>
        <v>-199</v>
      </c>
      <c r="BI295" s="769">
        <f t="shared" si="991"/>
        <v>-99</v>
      </c>
      <c r="BJ295" s="176">
        <v>-900</v>
      </c>
      <c r="BK295" s="750">
        <v>-400</v>
      </c>
      <c r="BL295" s="667">
        <f>-500-BK295</f>
        <v>-100</v>
      </c>
      <c r="BM295" s="667">
        <f>-700-BL295-BK295</f>
        <v>-200</v>
      </c>
      <c r="BN295" s="756">
        <f>-800-BM295-BL295-BK295</f>
        <v>-100</v>
      </c>
      <c r="BO295" s="176">
        <f>+SUM(BK295:BN295)</f>
        <v>-800</v>
      </c>
      <c r="BP295" s="176">
        <f>BO295</f>
        <v>-800</v>
      </c>
      <c r="BQ295" s="178">
        <f t="shared" ref="BQ295:BT295" si="996">-BQ269*BQ264</f>
        <v>-391.54159215766646</v>
      </c>
      <c r="BR295" s="177">
        <f t="shared" si="996"/>
        <v>-728.10008563472798</v>
      </c>
      <c r="BS295" s="177">
        <f t="shared" si="996"/>
        <v>-200.4779844506651</v>
      </c>
      <c r="BT295" s="179">
        <f t="shared" si="996"/>
        <v>61.744025497798226</v>
      </c>
      <c r="BU295" s="176">
        <f>+SUM(BQ295:BT295)</f>
        <v>-1258.3756367452613</v>
      </c>
      <c r="BV295" s="178"/>
      <c r="BW295" s="177"/>
      <c r="BX295" s="177"/>
      <c r="BY295" s="179"/>
      <c r="BZ295" s="176">
        <f>-BZ269*BZ264</f>
        <v>-2011.1072759923916</v>
      </c>
      <c r="CA295" s="178"/>
      <c r="CB295" s="177"/>
      <c r="CC295" s="177"/>
      <c r="CD295" s="179"/>
      <c r="CE295" s="176">
        <f>-CE269*CE264</f>
        <v>-2211.2404067127727</v>
      </c>
      <c r="CF295" s="178"/>
      <c r="CG295" s="177"/>
      <c r="CH295" s="177"/>
      <c r="CI295" s="179"/>
      <c r="CJ295" s="176">
        <f>-CJ269*CJ264</f>
        <v>-2431.5991368189229</v>
      </c>
      <c r="CK295" s="291"/>
      <c r="CL295" s="657"/>
      <c r="CM295" s="657"/>
      <c r="CN295" s="682"/>
      <c r="CO295" s="1025"/>
      <c r="CP295" s="1025"/>
      <c r="CQ295" s="1025"/>
      <c r="CR295" s="1025"/>
      <c r="CS295" s="1025"/>
      <c r="CT295" s="291"/>
      <c r="CX295"/>
      <c r="CY295"/>
      <c r="CZ295"/>
      <c r="DA295"/>
      <c r="DB295"/>
      <c r="DC295"/>
    </row>
    <row r="296" spans="1:107" s="180" customFormat="1">
      <c r="A296" s="237" t="s">
        <v>100</v>
      </c>
      <c r="B296" s="176">
        <v>25</v>
      </c>
      <c r="C296" s="176">
        <v>75</v>
      </c>
      <c r="D296" s="176">
        <v>13</v>
      </c>
      <c r="E296" s="176">
        <v>92</v>
      </c>
      <c r="F296" s="176">
        <v>68</v>
      </c>
      <c r="G296" s="176">
        <v>169</v>
      </c>
      <c r="H296" s="177">
        <v>61</v>
      </c>
      <c r="I296" s="190">
        <f>117-H296</f>
        <v>56</v>
      </c>
      <c r="J296" s="177">
        <f>198-SUM(H296:I296)</f>
        <v>81</v>
      </c>
      <c r="K296" s="177">
        <f>241-H296-I296-J296</f>
        <v>43</v>
      </c>
      <c r="L296" s="170">
        <f>SUM(H296:K296)</f>
        <v>241</v>
      </c>
      <c r="M296" s="177">
        <v>67</v>
      </c>
      <c r="N296" s="177">
        <f>96-M296</f>
        <v>29</v>
      </c>
      <c r="O296" s="177">
        <f>112-SUM(M296:N296)</f>
        <v>16</v>
      </c>
      <c r="P296" s="177">
        <f>113-M296-N296-O296</f>
        <v>1</v>
      </c>
      <c r="Q296" s="170">
        <f>SUM(M296:P296)</f>
        <v>113</v>
      </c>
      <c r="R296" s="177">
        <v>3</v>
      </c>
      <c r="S296" s="177">
        <f>-16-R296</f>
        <v>-19</v>
      </c>
      <c r="T296" s="177">
        <f>-20-S296-R296</f>
        <v>-4</v>
      </c>
      <c r="U296" s="177">
        <f>1-R296-S296-T296</f>
        <v>21</v>
      </c>
      <c r="V296" s="170">
        <f>SUM(R296:U296)</f>
        <v>1</v>
      </c>
      <c r="W296" s="177">
        <v>163</v>
      </c>
      <c r="X296" s="177">
        <f>12-W296</f>
        <v>-151</v>
      </c>
      <c r="Y296" s="177">
        <v>0</v>
      </c>
      <c r="Z296" s="177">
        <f>22-W296-X296-Y296</f>
        <v>10</v>
      </c>
      <c r="AA296" s="170">
        <f>SUM(W296:Z296)</f>
        <v>22</v>
      </c>
      <c r="AB296" s="177">
        <v>17</v>
      </c>
      <c r="AC296" s="177">
        <f>24-AB296</f>
        <v>7</v>
      </c>
      <c r="AD296" s="177">
        <f>20-AC296-AB296</f>
        <v>-4</v>
      </c>
      <c r="AE296" s="177">
        <f>22-AD296-AC296-AB296</f>
        <v>2</v>
      </c>
      <c r="AF296" s="176">
        <f>+SUM(AB296:AE296)</f>
        <v>22</v>
      </c>
      <c r="AG296" s="177">
        <v>57</v>
      </c>
      <c r="AH296" s="177">
        <f>94-AG296</f>
        <v>37</v>
      </c>
      <c r="AI296" s="177">
        <f>90-AH296-AG296</f>
        <v>-4</v>
      </c>
      <c r="AJ296" s="177">
        <f>94-AG296-AH296-AI296</f>
        <v>4</v>
      </c>
      <c r="AK296" s="176">
        <f>SUM(AG296:AJ296)</f>
        <v>94</v>
      </c>
      <c r="AL296" s="177">
        <v>5</v>
      </c>
      <c r="AM296" s="177">
        <f>-23-AL296</f>
        <v>-28</v>
      </c>
      <c r="AN296" s="177">
        <f>-23-SUM(AL296:AM296)</f>
        <v>0</v>
      </c>
      <c r="AO296" s="177">
        <f>-24-AL296-AM296-AN296</f>
        <v>-1</v>
      </c>
      <c r="AP296" s="176">
        <f>SUM(AL296:AO296)</f>
        <v>-24</v>
      </c>
      <c r="AQ296" s="177">
        <v>1</v>
      </c>
      <c r="AR296" s="667">
        <f>1-AQ296</f>
        <v>0</v>
      </c>
      <c r="AS296" s="667">
        <v>0</v>
      </c>
      <c r="AT296" s="667">
        <f>2-90-SUM(AQ296:AS296)</f>
        <v>-89</v>
      </c>
      <c r="AU296" s="176">
        <f>SUM(AQ296:AT296)</f>
        <v>-88</v>
      </c>
      <c r="AV296" s="177"/>
      <c r="AW296" s="667"/>
      <c r="AX296" s="667"/>
      <c r="AY296" s="667"/>
      <c r="AZ296" s="176">
        <v>-90</v>
      </c>
      <c r="BA296" s="720">
        <v>-40</v>
      </c>
      <c r="BB296" s="667">
        <f>-96-BA296</f>
        <v>-56</v>
      </c>
      <c r="BC296" s="749">
        <f>-98-SUM(BA296:BB296)</f>
        <v>-2</v>
      </c>
      <c r="BD296" s="769">
        <f t="shared" si="990"/>
        <v>-1</v>
      </c>
      <c r="BE296" s="137">
        <v>-99</v>
      </c>
      <c r="BF296" s="750">
        <v>-34</v>
      </c>
      <c r="BG296" s="749">
        <f>-92-BF296</f>
        <v>-58</v>
      </c>
      <c r="BH296" s="749">
        <f>-95-SUM(BF296:BG296)</f>
        <v>-3</v>
      </c>
      <c r="BI296" s="769">
        <f t="shared" si="991"/>
        <v>-1</v>
      </c>
      <c r="BJ296" s="696">
        <v>-96</v>
      </c>
      <c r="BK296" s="750">
        <v>-38</v>
      </c>
      <c r="BL296" s="667">
        <f>-79-BK296</f>
        <v>-41</v>
      </c>
      <c r="BM296" s="667">
        <f>-84-BL296-BK296</f>
        <v>-5</v>
      </c>
      <c r="BN296" s="756">
        <f>-85-BM296-BL296-BK296</f>
        <v>-1</v>
      </c>
      <c r="BO296" s="696">
        <f>+SUM(BK296:BN296)</f>
        <v>-85</v>
      </c>
      <c r="BP296" s="696">
        <f>BO296</f>
        <v>-85</v>
      </c>
      <c r="BQ296" s="272">
        <v>0</v>
      </c>
      <c r="BR296" s="270">
        <v>0</v>
      </c>
      <c r="BS296" s="270">
        <v>0</v>
      </c>
      <c r="BT296" s="273">
        <v>0</v>
      </c>
      <c r="BU296" s="696">
        <f>+SUM(BQ296:BT296)</f>
        <v>0</v>
      </c>
      <c r="BV296" s="272"/>
      <c r="BW296" s="270"/>
      <c r="BX296" s="270"/>
      <c r="BY296" s="273"/>
      <c r="BZ296" s="271">
        <v>0</v>
      </c>
      <c r="CA296" s="272"/>
      <c r="CB296" s="270"/>
      <c r="CC296" s="270"/>
      <c r="CD296" s="273"/>
      <c r="CE296" s="271">
        <v>0</v>
      </c>
      <c r="CF296" s="272"/>
      <c r="CG296" s="270"/>
      <c r="CH296" s="270"/>
      <c r="CI296" s="273"/>
      <c r="CJ296" s="271">
        <v>0</v>
      </c>
      <c r="CK296" s="291"/>
      <c r="CL296" s="657"/>
      <c r="CM296" s="657"/>
      <c r="CN296" s="682"/>
      <c r="CO296" s="681"/>
      <c r="CP296" s="681"/>
      <c r="CQ296" s="681"/>
      <c r="CR296" s="681"/>
      <c r="CS296" s="681"/>
      <c r="CT296" s="291"/>
      <c r="CX296"/>
      <c r="CY296"/>
      <c r="CZ296"/>
      <c r="DA296"/>
      <c r="DB296"/>
      <c r="DC296"/>
    </row>
    <row r="297" spans="1:107" s="180" customFormat="1">
      <c r="A297" s="237" t="s">
        <v>121</v>
      </c>
      <c r="B297" s="176">
        <v>0</v>
      </c>
      <c r="C297" s="176">
        <v>0</v>
      </c>
      <c r="D297" s="176">
        <v>0</v>
      </c>
      <c r="E297" s="176">
        <v>0</v>
      </c>
      <c r="F297" s="176">
        <v>0</v>
      </c>
      <c r="G297" s="176">
        <v>0</v>
      </c>
      <c r="H297" s="177">
        <v>3</v>
      </c>
      <c r="I297" s="177">
        <f>-1309-H297</f>
        <v>-1312</v>
      </c>
      <c r="J297" s="177">
        <f>-1605-H297-I297</f>
        <v>-296</v>
      </c>
      <c r="K297" s="177">
        <f>-1724-H297-I297-J297</f>
        <v>-119</v>
      </c>
      <c r="L297" s="170">
        <f t="shared" si="989"/>
        <v>-1724</v>
      </c>
      <c r="M297" s="177">
        <v>0</v>
      </c>
      <c r="N297" s="177">
        <f>0-M297</f>
        <v>0</v>
      </c>
      <c r="O297" s="177">
        <f>0-SUM(M297:N297)</f>
        <v>0</v>
      </c>
      <c r="P297" s="177">
        <f>0-M297-N297-O297</f>
        <v>0</v>
      </c>
      <c r="Q297" s="170">
        <f>SUM(M297:P297)</f>
        <v>0</v>
      </c>
      <c r="R297" s="177">
        <v>0</v>
      </c>
      <c r="S297" s="177">
        <f>0-R297</f>
        <v>0</v>
      </c>
      <c r="T297" s="177">
        <f>0-SUM(R297:S297)</f>
        <v>0</v>
      </c>
      <c r="U297" s="177">
        <f>22-R297-S297-T297</f>
        <v>22</v>
      </c>
      <c r="V297" s="170">
        <f>SUM(R297:U297)</f>
        <v>22</v>
      </c>
      <c r="W297" s="177">
        <v>0</v>
      </c>
      <c r="X297" s="177">
        <f>0-W297</f>
        <v>0</v>
      </c>
      <c r="Y297" s="177">
        <v>0</v>
      </c>
      <c r="Z297" s="177">
        <f>1975-678-W297-X297-Y297</f>
        <v>1297</v>
      </c>
      <c r="AA297" s="170">
        <f>SUM(W297:Z297)</f>
        <v>1297</v>
      </c>
      <c r="AB297" s="177">
        <v>0</v>
      </c>
      <c r="AC297" s="177">
        <f>0-AB297</f>
        <v>0</v>
      </c>
      <c r="AD297" s="177">
        <v>0</v>
      </c>
      <c r="AE297" s="177">
        <f>992-AD297-AC297-AB297</f>
        <v>992</v>
      </c>
      <c r="AF297" s="176">
        <f>+SUM(AB297:AE297)</f>
        <v>992</v>
      </c>
      <c r="AG297" s="177">
        <v>0</v>
      </c>
      <c r="AH297" s="177">
        <f>0-AG297</f>
        <v>0</v>
      </c>
      <c r="AI297" s="177">
        <f>0-AG297-AH297</f>
        <v>0</v>
      </c>
      <c r="AJ297" s="177">
        <f>(1092-970)-AG297-AH297-AI297</f>
        <v>122</v>
      </c>
      <c r="AK297" s="176">
        <f>SUM(AG297:AJ297)</f>
        <v>122</v>
      </c>
      <c r="AL297" s="177">
        <v>0</v>
      </c>
      <c r="AM297" s="177">
        <f>0-AL297</f>
        <v>0</v>
      </c>
      <c r="AN297" s="177">
        <v>0</v>
      </c>
      <c r="AO297" s="177">
        <f>0-AL297-AM297-AN297</f>
        <v>0</v>
      </c>
      <c r="AP297" s="176">
        <f>SUM(AL297:AO297)</f>
        <v>0</v>
      </c>
      <c r="AQ297" s="177">
        <v>0</v>
      </c>
      <c r="AR297" s="667">
        <f>0-AQ297</f>
        <v>0</v>
      </c>
      <c r="AS297" s="667">
        <v>0</v>
      </c>
      <c r="AT297" s="667">
        <f>592-SUM(AQ297:AS297)</f>
        <v>592</v>
      </c>
      <c r="AU297" s="176">
        <f>SUM(AQ297:AT297)</f>
        <v>592</v>
      </c>
      <c r="AV297" s="177"/>
      <c r="AW297" s="667"/>
      <c r="AX297" s="667"/>
      <c r="AY297" s="667"/>
      <c r="AZ297" s="176">
        <v>592</v>
      </c>
      <c r="BA297" s="720">
        <v>0</v>
      </c>
      <c r="BB297" s="667">
        <v>0</v>
      </c>
      <c r="BC297" s="749">
        <v>0</v>
      </c>
      <c r="BD297" s="769">
        <f t="shared" si="990"/>
        <v>0</v>
      </c>
      <c r="BE297" s="137">
        <v>0</v>
      </c>
      <c r="BF297" s="750">
        <v>0</v>
      </c>
      <c r="BG297" s="749">
        <v>0</v>
      </c>
      <c r="BH297" s="749">
        <v>0</v>
      </c>
      <c r="BI297" s="769">
        <f t="shared" si="991"/>
        <v>0</v>
      </c>
      <c r="BJ297" s="696">
        <v>0</v>
      </c>
      <c r="BK297" s="750">
        <v>0</v>
      </c>
      <c r="BL297" s="667">
        <f>300-591</f>
        <v>-291</v>
      </c>
      <c r="BM297" s="667">
        <v>0</v>
      </c>
      <c r="BN297" s="756">
        <v>0</v>
      </c>
      <c r="BO297" s="696">
        <f>+SUM(BK297:BN297)</f>
        <v>-291</v>
      </c>
      <c r="BP297" s="696">
        <f>BO297</f>
        <v>-291</v>
      </c>
      <c r="BQ297" s="272">
        <v>0</v>
      </c>
      <c r="BR297" s="270">
        <v>0</v>
      </c>
      <c r="BS297" s="270">
        <v>0</v>
      </c>
      <c r="BT297" s="273">
        <v>0</v>
      </c>
      <c r="BU297" s="696">
        <f>+SUM(BQ297:BT297)</f>
        <v>0</v>
      </c>
      <c r="BV297" s="272"/>
      <c r="BW297" s="270"/>
      <c r="BX297" s="270"/>
      <c r="BY297" s="273"/>
      <c r="BZ297" s="271">
        <v>0</v>
      </c>
      <c r="CA297" s="272"/>
      <c r="CB297" s="270"/>
      <c r="CC297" s="270"/>
      <c r="CD297" s="273"/>
      <c r="CE297" s="271">
        <v>0</v>
      </c>
      <c r="CF297" s="272"/>
      <c r="CG297" s="270"/>
      <c r="CH297" s="270"/>
      <c r="CI297" s="273"/>
      <c r="CJ297" s="271">
        <v>0</v>
      </c>
      <c r="CK297" s="291"/>
      <c r="CL297" s="657"/>
      <c r="CM297" s="657"/>
      <c r="CN297" s="682"/>
      <c r="CO297" s="681"/>
      <c r="CP297" s="681"/>
      <c r="CQ297" s="681"/>
      <c r="CR297" s="681"/>
      <c r="CS297" s="681"/>
      <c r="CT297" s="291"/>
      <c r="CX297"/>
      <c r="CY297"/>
      <c r="CZ297"/>
      <c r="DA297"/>
      <c r="DB297"/>
      <c r="DC297"/>
    </row>
    <row r="298" spans="1:107" s="180" customFormat="1">
      <c r="A298" s="237" t="s">
        <v>45</v>
      </c>
      <c r="B298" s="176">
        <f t="shared" ref="B298:AO298" si="997">B299-B294-B297-B295-B296</f>
        <v>491</v>
      </c>
      <c r="C298" s="176">
        <f t="shared" si="997"/>
        <v>-744</v>
      </c>
      <c r="D298" s="176">
        <f t="shared" si="997"/>
        <v>-891</v>
      </c>
      <c r="E298" s="176">
        <f t="shared" si="997"/>
        <v>-1387</v>
      </c>
      <c r="F298" s="176">
        <f t="shared" si="997"/>
        <v>-678</v>
      </c>
      <c r="G298" s="176">
        <f t="shared" si="997"/>
        <v>-431</v>
      </c>
      <c r="H298" s="177">
        <f t="shared" si="997"/>
        <v>15</v>
      </c>
      <c r="I298" s="190">
        <f t="shared" si="997"/>
        <v>289</v>
      </c>
      <c r="J298" s="177">
        <f t="shared" si="997"/>
        <v>-258</v>
      </c>
      <c r="K298" s="190">
        <f t="shared" si="997"/>
        <v>9</v>
      </c>
      <c r="L298" s="176">
        <f t="shared" si="997"/>
        <v>55</v>
      </c>
      <c r="M298" s="177">
        <f t="shared" si="997"/>
        <v>18</v>
      </c>
      <c r="N298" s="177">
        <f t="shared" si="997"/>
        <v>28</v>
      </c>
      <c r="O298" s="177">
        <f t="shared" si="997"/>
        <v>4</v>
      </c>
      <c r="P298" s="190">
        <f t="shared" si="997"/>
        <v>3</v>
      </c>
      <c r="Q298" s="176">
        <f t="shared" si="997"/>
        <v>53</v>
      </c>
      <c r="R298" s="177">
        <f t="shared" si="997"/>
        <v>1</v>
      </c>
      <c r="S298" s="177">
        <f t="shared" si="997"/>
        <v>-1</v>
      </c>
      <c r="T298" s="177">
        <f t="shared" si="997"/>
        <v>-2</v>
      </c>
      <c r="U298" s="190">
        <f t="shared" si="997"/>
        <v>2</v>
      </c>
      <c r="V298" s="176">
        <f t="shared" si="997"/>
        <v>0</v>
      </c>
      <c r="W298" s="177">
        <f t="shared" si="997"/>
        <v>35</v>
      </c>
      <c r="X298" s="177">
        <f t="shared" si="997"/>
        <v>223</v>
      </c>
      <c r="Y298" s="177">
        <f t="shared" si="997"/>
        <v>1</v>
      </c>
      <c r="Z298" s="177">
        <f t="shared" si="997"/>
        <v>-3</v>
      </c>
      <c r="AA298" s="176">
        <f t="shared" si="997"/>
        <v>256</v>
      </c>
      <c r="AB298" s="177">
        <f t="shared" si="997"/>
        <v>13</v>
      </c>
      <c r="AC298" s="177">
        <f t="shared" si="997"/>
        <v>115</v>
      </c>
      <c r="AD298" s="177">
        <f t="shared" si="997"/>
        <v>2</v>
      </c>
      <c r="AE298" s="177">
        <f t="shared" si="997"/>
        <v>0</v>
      </c>
      <c r="AF298" s="176">
        <f t="shared" si="997"/>
        <v>130</v>
      </c>
      <c r="AG298" s="177">
        <f t="shared" si="997"/>
        <v>5</v>
      </c>
      <c r="AH298" s="177">
        <f t="shared" si="997"/>
        <v>2</v>
      </c>
      <c r="AI298" s="177">
        <f t="shared" si="997"/>
        <v>2</v>
      </c>
      <c r="AJ298" s="177">
        <f t="shared" si="997"/>
        <v>-3</v>
      </c>
      <c r="AK298" s="176">
        <f t="shared" si="997"/>
        <v>6</v>
      </c>
      <c r="AL298" s="177">
        <f t="shared" si="997"/>
        <v>3</v>
      </c>
      <c r="AM298" s="177">
        <f t="shared" si="997"/>
        <v>2</v>
      </c>
      <c r="AN298" s="177">
        <f t="shared" si="997"/>
        <v>-2</v>
      </c>
      <c r="AO298" s="177">
        <f t="shared" si="997"/>
        <v>-7</v>
      </c>
      <c r="AP298" s="176">
        <f>SUM(AL298:AO298)</f>
        <v>-4</v>
      </c>
      <c r="AQ298" s="177">
        <f>AQ299-AQ294-AQ297-AQ295-AQ296</f>
        <v>-19</v>
      </c>
      <c r="AR298" s="177">
        <f>AR299-AR294-AR297-AR295-AR296</f>
        <v>-29</v>
      </c>
      <c r="AS298" s="177">
        <f>AS299-AS294-AS297-AS295-AS296</f>
        <v>5</v>
      </c>
      <c r="AT298" s="177">
        <f>AT299-AT294-AT297-AT295-AT296</f>
        <v>88</v>
      </c>
      <c r="AU298" s="176">
        <f>SUM(AQ298:AT298)</f>
        <v>45</v>
      </c>
      <c r="AV298" s="177"/>
      <c r="AW298" s="177"/>
      <c r="AX298" s="177"/>
      <c r="AY298" s="177"/>
      <c r="AZ298" s="176">
        <f>AZ299-AZ294-AZ297-AZ295-AZ296</f>
        <v>47</v>
      </c>
      <c r="BA298" s="177">
        <f>BA299-BA294-BA297-BA295-BA296</f>
        <v>18</v>
      </c>
      <c r="BB298" s="177">
        <f>BB299-BB294-BB297-BB295-BB296</f>
        <v>365</v>
      </c>
      <c r="BC298" s="749">
        <f>BC299-BC294-BC297-BC295-BC296</f>
        <v>0</v>
      </c>
      <c r="BD298" s="769">
        <f t="shared" si="990"/>
        <v>4</v>
      </c>
      <c r="BE298" s="137">
        <f>BE299-BE294-BE297-BE295-BE296</f>
        <v>387</v>
      </c>
      <c r="BF298" s="718">
        <f>BF299-BF294-BF297-BF295-BF296</f>
        <v>6</v>
      </c>
      <c r="BG298" s="660">
        <f>BG299-BG294-BG297-BG295-BG296</f>
        <v>-90</v>
      </c>
      <c r="BH298" s="660">
        <f>BH299-BH294-BH297-BH295-BH296</f>
        <v>0</v>
      </c>
      <c r="BI298" s="769">
        <f t="shared" si="991"/>
        <v>0</v>
      </c>
      <c r="BJ298" s="176">
        <f>BJ299-BJ294-BJ297-BJ295-BJ296</f>
        <v>-84</v>
      </c>
      <c r="BK298" s="718">
        <f>BK299-BK294-BK297-BK295-BK296</f>
        <v>8</v>
      </c>
      <c r="BL298" s="660">
        <f>BL299-BL294-BL297-BL295-BL296</f>
        <v>-38</v>
      </c>
      <c r="BM298" s="660">
        <f>BM299-BM294-BM297-BM295-BM296</f>
        <v>0</v>
      </c>
      <c r="BN298" s="756">
        <f>BN299-BN294-BN297-BN295-BN296</f>
        <v>0</v>
      </c>
      <c r="BO298" s="696">
        <f>+SUM(BK298:BN298)</f>
        <v>-30</v>
      </c>
      <c r="BP298" s="696">
        <f>BO298</f>
        <v>-30</v>
      </c>
      <c r="BQ298" s="272">
        <v>0</v>
      </c>
      <c r="BR298" s="270">
        <v>0</v>
      </c>
      <c r="BS298" s="270">
        <v>0</v>
      </c>
      <c r="BT298" s="273">
        <v>0</v>
      </c>
      <c r="BU298" s="696">
        <f>+SUM(BQ298:BT298)</f>
        <v>0</v>
      </c>
      <c r="BV298" s="272"/>
      <c r="BW298" s="270"/>
      <c r="BX298" s="270"/>
      <c r="BY298" s="273"/>
      <c r="BZ298" s="271">
        <f>(BZ330-BU330)</f>
        <v>0</v>
      </c>
      <c r="CA298" s="272"/>
      <c r="CB298" s="270"/>
      <c r="CC298" s="270"/>
      <c r="CD298" s="273"/>
      <c r="CE298" s="271">
        <f>(CE330-BZ330)</f>
        <v>0</v>
      </c>
      <c r="CF298" s="272"/>
      <c r="CG298" s="270"/>
      <c r="CH298" s="270"/>
      <c r="CI298" s="273"/>
      <c r="CJ298" s="271">
        <f>(CJ330-CE330)</f>
        <v>0</v>
      </c>
      <c r="CK298" s="291"/>
      <c r="CL298" s="657" t="s">
        <v>337</v>
      </c>
      <c r="CM298" s="657"/>
      <c r="CN298" s="682"/>
      <c r="CO298" s="682"/>
      <c r="CP298" s="657"/>
      <c r="CQ298" s="657"/>
      <c r="CR298" s="657"/>
      <c r="CS298" s="657"/>
      <c r="CT298" s="291"/>
      <c r="CX298"/>
      <c r="CY298"/>
      <c r="CZ298"/>
      <c r="DA298"/>
      <c r="DB298"/>
      <c r="DC298"/>
    </row>
    <row r="299" spans="1:107" s="180" customFormat="1">
      <c r="A299" s="200" t="s">
        <v>34</v>
      </c>
      <c r="B299" s="201">
        <v>235</v>
      </c>
      <c r="C299" s="201">
        <v>-990</v>
      </c>
      <c r="D299" s="201">
        <v>-1209</v>
      </c>
      <c r="E299" s="201">
        <v>-1644</v>
      </c>
      <c r="F299" s="201">
        <v>-1433</v>
      </c>
      <c r="G299" s="201">
        <v>-1034</v>
      </c>
      <c r="H299" s="200">
        <v>-303</v>
      </c>
      <c r="I299" s="200">
        <v>-1606</v>
      </c>
      <c r="J299" s="200">
        <v>-1084</v>
      </c>
      <c r="K299" s="200">
        <v>-517</v>
      </c>
      <c r="L299" s="201">
        <f>SUM(H299:K299)</f>
        <v>-3510</v>
      </c>
      <c r="M299" s="200">
        <v>-364</v>
      </c>
      <c r="N299" s="200">
        <v>-401</v>
      </c>
      <c r="O299" s="200">
        <v>-437</v>
      </c>
      <c r="P299" s="200">
        <v>-792</v>
      </c>
      <c r="Q299" s="201">
        <f>SUM(M299:P299)</f>
        <v>-1994</v>
      </c>
      <c r="R299" s="200">
        <v>-408</v>
      </c>
      <c r="S299" s="200">
        <v>-442</v>
      </c>
      <c r="T299" s="200">
        <v>-427</v>
      </c>
      <c r="U299" s="200">
        <v>-373</v>
      </c>
      <c r="V299" s="201">
        <f>SUM(R299:U299)</f>
        <v>-1650</v>
      </c>
      <c r="W299" s="200">
        <v>-219</v>
      </c>
      <c r="X299" s="200">
        <v>-546</v>
      </c>
      <c r="Y299" s="200">
        <v>-565</v>
      </c>
      <c r="Z299" s="200">
        <v>919</v>
      </c>
      <c r="AA299" s="201">
        <f>SUM(W299:Z299)</f>
        <v>-411</v>
      </c>
      <c r="AB299" s="200">
        <v>-417</v>
      </c>
      <c r="AC299" s="200">
        <v>-344</v>
      </c>
      <c r="AD299" s="200">
        <v>-466</v>
      </c>
      <c r="AE299" s="200">
        <v>533</v>
      </c>
      <c r="AF299" s="201">
        <f>SUM(AB299:AE299)</f>
        <v>-694</v>
      </c>
      <c r="AG299" s="200">
        <v>-484</v>
      </c>
      <c r="AH299" s="200">
        <v>-328</v>
      </c>
      <c r="AI299" s="200">
        <v>-292</v>
      </c>
      <c r="AJ299" s="200">
        <f>-1246-AG299-AH299-AI299</f>
        <v>-142</v>
      </c>
      <c r="AK299" s="201">
        <f>SUM(AG299:AJ299)</f>
        <v>-1246</v>
      </c>
      <c r="AL299" s="200">
        <v>-381</v>
      </c>
      <c r="AM299" s="200">
        <f>-811-AL299</f>
        <v>-430</v>
      </c>
      <c r="AN299" s="200">
        <f>-1215-SUM(AL299:AM299)</f>
        <v>-404</v>
      </c>
      <c r="AO299" s="200">
        <f>-1797-AL299-AM299-AN299</f>
        <v>-582</v>
      </c>
      <c r="AP299" s="201">
        <f>SUM(AP294:AP298)</f>
        <v>-1797</v>
      </c>
      <c r="AQ299" s="200">
        <v>-392</v>
      </c>
      <c r="AR299" s="200">
        <f>-860-AQ299</f>
        <v>-468</v>
      </c>
      <c r="AS299" s="200">
        <f>-1243-SUM(AQ299:AR299)</f>
        <v>-383</v>
      </c>
      <c r="AT299" s="200">
        <f>-936-SUM(AQ299:AS299)</f>
        <v>307</v>
      </c>
      <c r="AU299" s="201">
        <f>SUM(AU294:AU298)</f>
        <v>-936</v>
      </c>
      <c r="AV299" s="200"/>
      <c r="AW299" s="200"/>
      <c r="AX299" s="200"/>
      <c r="AY299" s="200"/>
      <c r="AZ299" s="201">
        <v>-936</v>
      </c>
      <c r="BA299" s="202">
        <v>-508</v>
      </c>
      <c r="BB299" s="200">
        <f>-604-BA299</f>
        <v>-96</v>
      </c>
      <c r="BC299" s="200">
        <f>-1060-SUM(BA299:BB299)</f>
        <v>-456</v>
      </c>
      <c r="BD299" s="203">
        <f t="shared" si="990"/>
        <v>-449</v>
      </c>
      <c r="BE299" s="201">
        <v>-1509</v>
      </c>
      <c r="BF299" s="202">
        <v>-629</v>
      </c>
      <c r="BG299" s="200">
        <f>-1197-BF299</f>
        <v>-568</v>
      </c>
      <c r="BH299" s="200">
        <f>-1615-SUM(BF299:BG299)</f>
        <v>-418</v>
      </c>
      <c r="BI299" s="203">
        <f t="shared" si="991"/>
        <v>-315</v>
      </c>
      <c r="BJ299" s="201">
        <v>-1930</v>
      </c>
      <c r="BK299" s="202">
        <v>-645</v>
      </c>
      <c r="BL299" s="200">
        <f>-1347-BK299</f>
        <v>-702</v>
      </c>
      <c r="BM299" s="200">
        <f>-1784-BL299-BK299</f>
        <v>-437</v>
      </c>
      <c r="BN299" s="203">
        <f>-2116-BM299-BL299-BK299</f>
        <v>-332</v>
      </c>
      <c r="BO299" s="201">
        <f>SUM(BO294:BO298)</f>
        <v>-2116</v>
      </c>
      <c r="BP299" s="201">
        <f>SUM(BP294:BP298)</f>
        <v>-2116</v>
      </c>
      <c r="BQ299" s="202">
        <f t="shared" ref="BQ299:BT299" si="998">SUM(BQ294:BQ298)</f>
        <v>-645.02504119516652</v>
      </c>
      <c r="BR299" s="200">
        <f t="shared" si="998"/>
        <v>-980.63297173833735</v>
      </c>
      <c r="BS299" s="200">
        <f t="shared" si="998"/>
        <v>-452.06387223138597</v>
      </c>
      <c r="BT299" s="203">
        <f t="shared" si="998"/>
        <v>-188.89841520374495</v>
      </c>
      <c r="BU299" s="201">
        <f>SUM(BU294:BU298)</f>
        <v>-2266.6203003686351</v>
      </c>
      <c r="BV299" s="202"/>
      <c r="BW299" s="200"/>
      <c r="BX299" s="200"/>
      <c r="BY299" s="203"/>
      <c r="BZ299" s="201">
        <f>SUM(BZ294:BZ298)</f>
        <v>-3141.601605080099</v>
      </c>
      <c r="CA299" s="202"/>
      <c r="CB299" s="200"/>
      <c r="CC299" s="200"/>
      <c r="CD299" s="203"/>
      <c r="CE299" s="201">
        <f>SUM(CE294:CE298)</f>
        <v>-3478.8071732023645</v>
      </c>
      <c r="CF299" s="202"/>
      <c r="CG299" s="200"/>
      <c r="CH299" s="200"/>
      <c r="CI299" s="203"/>
      <c r="CJ299" s="201">
        <f>SUM(CJ294:CJ298)</f>
        <v>-3852.8583737453773</v>
      </c>
      <c r="CK299" s="291"/>
      <c r="CL299" s="657"/>
      <c r="CM299" s="657"/>
      <c r="CN299" s="682"/>
      <c r="CO299" s="682"/>
      <c r="CP299" s="657"/>
      <c r="CQ299" s="657"/>
      <c r="CR299" s="657"/>
      <c r="CS299" s="657"/>
      <c r="CT299" s="291"/>
      <c r="CX299"/>
      <c r="CY299"/>
      <c r="CZ299"/>
      <c r="DA299"/>
      <c r="DB299"/>
      <c r="DC299"/>
    </row>
    <row r="300" spans="1:107" s="180" customFormat="1">
      <c r="A300" s="188" t="s">
        <v>35</v>
      </c>
      <c r="B300" s="170">
        <f t="shared" ref="B300:G300" si="999">SUM(B283,B293,B299,)</f>
        <v>343</v>
      </c>
      <c r="C300" s="170">
        <f t="shared" si="999"/>
        <v>-670</v>
      </c>
      <c r="D300" s="170">
        <f t="shared" si="999"/>
        <v>117</v>
      </c>
      <c r="E300" s="170">
        <f t="shared" si="999"/>
        <v>-105</v>
      </c>
      <c r="F300" s="170">
        <f t="shared" si="999"/>
        <v>646</v>
      </c>
      <c r="G300" s="170">
        <f t="shared" si="999"/>
        <v>1258</v>
      </c>
      <c r="H300" s="171">
        <f t="shared" ref="H300:AM300" si="1000">SUM(H283,H293,H299)</f>
        <v>-800</v>
      </c>
      <c r="I300" s="171">
        <f t="shared" si="1000"/>
        <v>1385</v>
      </c>
      <c r="J300" s="171">
        <f t="shared" si="1000"/>
        <v>-436</v>
      </c>
      <c r="K300" s="171">
        <f t="shared" si="1000"/>
        <v>46</v>
      </c>
      <c r="L300" s="170">
        <f t="shared" si="1000"/>
        <v>195</v>
      </c>
      <c r="M300" s="171">
        <f t="shared" si="1000"/>
        <v>-368</v>
      </c>
      <c r="N300" s="171">
        <f t="shared" si="1000"/>
        <v>267</v>
      </c>
      <c r="O300" s="171">
        <f t="shared" si="1000"/>
        <v>207</v>
      </c>
      <c r="P300" s="171">
        <f t="shared" si="1000"/>
        <v>-502</v>
      </c>
      <c r="Q300" s="170">
        <f t="shared" si="1000"/>
        <v>-396</v>
      </c>
      <c r="R300" s="171">
        <f t="shared" si="1000"/>
        <v>-49</v>
      </c>
      <c r="S300" s="171">
        <f t="shared" si="1000"/>
        <v>-11</v>
      </c>
      <c r="T300" s="171">
        <f t="shared" si="1000"/>
        <v>243</v>
      </c>
      <c r="U300" s="171">
        <f t="shared" si="1000"/>
        <v>200</v>
      </c>
      <c r="V300" s="170">
        <f t="shared" si="1000"/>
        <v>383</v>
      </c>
      <c r="W300" s="171">
        <f t="shared" si="1000"/>
        <v>-29</v>
      </c>
      <c r="X300" s="171">
        <f t="shared" si="1000"/>
        <v>-228</v>
      </c>
      <c r="Y300" s="171">
        <f t="shared" si="1000"/>
        <v>-236</v>
      </c>
      <c r="Z300" s="171">
        <f t="shared" si="1000"/>
        <v>1489</v>
      </c>
      <c r="AA300" s="170">
        <f t="shared" si="1000"/>
        <v>996</v>
      </c>
      <c r="AB300" s="171">
        <f t="shared" si="1000"/>
        <v>-978</v>
      </c>
      <c r="AC300" s="171">
        <f t="shared" si="1000"/>
        <v>-544</v>
      </c>
      <c r="AD300" s="171">
        <f t="shared" si="1000"/>
        <v>289</v>
      </c>
      <c r="AE300" s="171">
        <f t="shared" si="1000"/>
        <v>1595</v>
      </c>
      <c r="AF300" s="170">
        <f t="shared" si="1000"/>
        <v>362</v>
      </c>
      <c r="AG300" s="171">
        <f t="shared" si="1000"/>
        <v>-459</v>
      </c>
      <c r="AH300" s="171">
        <f t="shared" si="1000"/>
        <v>-1191</v>
      </c>
      <c r="AI300" s="171">
        <f t="shared" si="1000"/>
        <v>682</v>
      </c>
      <c r="AJ300" s="171">
        <f t="shared" si="1000"/>
        <v>156</v>
      </c>
      <c r="AK300" s="170">
        <f t="shared" si="1000"/>
        <v>-812</v>
      </c>
      <c r="AL300" s="171">
        <f t="shared" si="1000"/>
        <v>-63</v>
      </c>
      <c r="AM300" s="171">
        <f t="shared" si="1000"/>
        <v>-658</v>
      </c>
      <c r="AN300" s="171">
        <f t="shared" ref="AN300:BJ300" si="1001">SUM(AN283,AN293,AN299)</f>
        <v>475</v>
      </c>
      <c r="AO300" s="171">
        <f t="shared" si="1001"/>
        <v>354</v>
      </c>
      <c r="AP300" s="170">
        <f t="shared" si="1001"/>
        <v>108</v>
      </c>
      <c r="AQ300" s="171">
        <f t="shared" si="1001"/>
        <v>-260</v>
      </c>
      <c r="AR300" s="171">
        <f t="shared" si="1001"/>
        <v>225</v>
      </c>
      <c r="AS300" s="171">
        <f t="shared" si="1001"/>
        <v>-627</v>
      </c>
      <c r="AT300" s="171">
        <f t="shared" si="1001"/>
        <v>588</v>
      </c>
      <c r="AU300" s="170">
        <f t="shared" si="1001"/>
        <v>-74</v>
      </c>
      <c r="AV300" s="171"/>
      <c r="AW300" s="171"/>
      <c r="AX300" s="171"/>
      <c r="AY300" s="171"/>
      <c r="AZ300" s="170">
        <f t="shared" ref="AZ300" si="1002">SUM(AZ283,AZ293,AZ299)</f>
        <v>-74</v>
      </c>
      <c r="BA300" s="172">
        <f t="shared" si="1001"/>
        <v>-316</v>
      </c>
      <c r="BB300" s="171">
        <f t="shared" si="1001"/>
        <v>-1078</v>
      </c>
      <c r="BC300" s="669">
        <f t="shared" si="1001"/>
        <v>625</v>
      </c>
      <c r="BD300" s="173">
        <f t="shared" si="1001"/>
        <v>-125</v>
      </c>
      <c r="BE300" s="170">
        <f t="shared" si="1001"/>
        <v>-894</v>
      </c>
      <c r="BF300" s="172">
        <f t="shared" si="1001"/>
        <v>-394</v>
      </c>
      <c r="BG300" s="171">
        <f t="shared" si="1001"/>
        <v>82</v>
      </c>
      <c r="BH300" s="171">
        <f t="shared" si="1001"/>
        <v>326</v>
      </c>
      <c r="BI300" s="173">
        <f t="shared" si="1001"/>
        <v>961</v>
      </c>
      <c r="BJ300" s="170">
        <f t="shared" si="1001"/>
        <v>975</v>
      </c>
      <c r="BK300" s="172">
        <f t="shared" ref="BK300" si="1003">SUM(BK283,BK293,BK299)</f>
        <v>-1116</v>
      </c>
      <c r="BL300" s="171">
        <f t="shared" ref="BL300" si="1004">SUM(BL283,BL293,BL299)</f>
        <v>-12</v>
      </c>
      <c r="BM300" s="171">
        <f t="shared" ref="BM300" si="1005">SUM(BM283,BM293,BM299)</f>
        <v>148</v>
      </c>
      <c r="BN300" s="173">
        <f>SUM(BN283,BN293,BN299)</f>
        <v>792</v>
      </c>
      <c r="BO300" s="170">
        <f>SUM(BO283,BO293,BO299)</f>
        <v>-188</v>
      </c>
      <c r="BP300" s="170">
        <f>SUM(BP283,BP293,BP299)</f>
        <v>-188</v>
      </c>
      <c r="BQ300" s="172">
        <f t="shared" ref="BQ300:BT300" si="1006">SUM(BQ283,BQ293,BQ299)</f>
        <v>-1326.2906016773561</v>
      </c>
      <c r="BR300" s="171">
        <f t="shared" si="1006"/>
        <v>-270.46120004248735</v>
      </c>
      <c r="BS300" s="171">
        <f t="shared" si="1006"/>
        <v>102.22165254235006</v>
      </c>
      <c r="BT300" s="173">
        <f t="shared" si="1006"/>
        <v>1397.3635889755058</v>
      </c>
      <c r="BU300" s="170">
        <f>SUM(BU283,BU293,BU299)</f>
        <v>-97.166560201987522</v>
      </c>
      <c r="BV300" s="172"/>
      <c r="BW300" s="171"/>
      <c r="BX300" s="171"/>
      <c r="BY300" s="173"/>
      <c r="BZ300" s="170">
        <f>SUM(BZ283,BZ293,BZ299)</f>
        <v>-9.4453186165237639</v>
      </c>
      <c r="CA300" s="172"/>
      <c r="CB300" s="171"/>
      <c r="CC300" s="171"/>
      <c r="CD300" s="173"/>
      <c r="CE300" s="170">
        <f>SUM(CE283,CE293,CE299)</f>
        <v>85.297167695382541</v>
      </c>
      <c r="CF300" s="172"/>
      <c r="CG300" s="171"/>
      <c r="CH300" s="171"/>
      <c r="CI300" s="173"/>
      <c r="CJ300" s="170">
        <f>SUM(CJ283,CJ293,CJ299)</f>
        <v>-155.08065309123504</v>
      </c>
      <c r="CK300" s="291"/>
      <c r="CL300" s="657"/>
      <c r="CM300" s="657"/>
      <c r="CN300" s="682"/>
      <c r="CO300" s="682"/>
      <c r="CP300" s="657"/>
      <c r="CQ300" s="657"/>
      <c r="CR300" s="657"/>
      <c r="CS300" s="657"/>
      <c r="CT300" s="291"/>
      <c r="CX300"/>
      <c r="CY300"/>
      <c r="CZ300"/>
      <c r="DA300"/>
      <c r="DB300"/>
      <c r="DC300"/>
    </row>
    <row r="301" spans="1:107" s="204" customFormat="1">
      <c r="A301" s="192" t="s">
        <v>46</v>
      </c>
      <c r="B301" s="196">
        <v>871</v>
      </c>
      <c r="C301" s="196">
        <f>B302</f>
        <v>1214</v>
      </c>
      <c r="D301" s="196">
        <f>C302</f>
        <v>544</v>
      </c>
      <c r="E301" s="196">
        <f>D302</f>
        <v>661</v>
      </c>
      <c r="F301" s="196">
        <f>E302</f>
        <v>556</v>
      </c>
      <c r="G301" s="196">
        <f>F302</f>
        <v>1202</v>
      </c>
      <c r="H301" s="197">
        <v>2460</v>
      </c>
      <c r="I301" s="197">
        <f>H302</f>
        <v>1660</v>
      </c>
      <c r="J301" s="197">
        <f t="shared" ref="J301:AJ301" si="1007">I302</f>
        <v>3045</v>
      </c>
      <c r="K301" s="197">
        <f t="shared" si="1007"/>
        <v>2609</v>
      </c>
      <c r="L301" s="196">
        <f>G302</f>
        <v>2460</v>
      </c>
      <c r="M301" s="197">
        <f>K302</f>
        <v>2655</v>
      </c>
      <c r="N301" s="197">
        <f t="shared" si="1007"/>
        <v>2287</v>
      </c>
      <c r="O301" s="197">
        <f t="shared" si="1007"/>
        <v>2554</v>
      </c>
      <c r="P301" s="197">
        <f t="shared" si="1007"/>
        <v>2761</v>
      </c>
      <c r="Q301" s="196">
        <f>L302</f>
        <v>2655</v>
      </c>
      <c r="R301" s="197">
        <f>P302</f>
        <v>2259</v>
      </c>
      <c r="S301" s="197">
        <f t="shared" si="1007"/>
        <v>2210</v>
      </c>
      <c r="T301" s="197">
        <f t="shared" si="1007"/>
        <v>2199</v>
      </c>
      <c r="U301" s="197">
        <f t="shared" si="1007"/>
        <v>2442</v>
      </c>
      <c r="V301" s="196">
        <f>Q302</f>
        <v>2259</v>
      </c>
      <c r="W301" s="197">
        <f>U302</f>
        <v>2642</v>
      </c>
      <c r="X301" s="197">
        <f t="shared" si="1007"/>
        <v>2613</v>
      </c>
      <c r="Y301" s="197">
        <f t="shared" si="1007"/>
        <v>2385</v>
      </c>
      <c r="Z301" s="197">
        <f t="shared" si="1007"/>
        <v>2149</v>
      </c>
      <c r="AA301" s="196">
        <f>V302</f>
        <v>2642</v>
      </c>
      <c r="AB301" s="197">
        <f>Z302</f>
        <v>3638</v>
      </c>
      <c r="AC301" s="197">
        <f t="shared" si="1007"/>
        <v>2660</v>
      </c>
      <c r="AD301" s="197">
        <f t="shared" si="1007"/>
        <v>2116</v>
      </c>
      <c r="AE301" s="197">
        <f t="shared" si="1007"/>
        <v>2405</v>
      </c>
      <c r="AF301" s="196">
        <f>AA302</f>
        <v>3638</v>
      </c>
      <c r="AG301" s="197">
        <f>AE302</f>
        <v>4000</v>
      </c>
      <c r="AH301" s="197">
        <f t="shared" si="1007"/>
        <v>3541</v>
      </c>
      <c r="AI301" s="197">
        <f>AH302</f>
        <v>2350</v>
      </c>
      <c r="AJ301" s="197">
        <f t="shared" si="1007"/>
        <v>3032</v>
      </c>
      <c r="AK301" s="196">
        <f>AF302</f>
        <v>4000</v>
      </c>
      <c r="AL301" s="197">
        <f>AJ302</f>
        <v>3188</v>
      </c>
      <c r="AM301" s="197">
        <f>AL302</f>
        <v>3125</v>
      </c>
      <c r="AN301" s="197">
        <f>AM302</f>
        <v>2467</v>
      </c>
      <c r="AO301" s="197">
        <f>AN302</f>
        <v>2942</v>
      </c>
      <c r="AP301" s="196">
        <f>AK302</f>
        <v>3188</v>
      </c>
      <c r="AQ301" s="197">
        <f>AO302</f>
        <v>3296</v>
      </c>
      <c r="AR301" s="197">
        <f>AQ302</f>
        <v>3036</v>
      </c>
      <c r="AS301" s="741">
        <f>AR302</f>
        <v>3261</v>
      </c>
      <c r="AT301" s="197">
        <f>AS302</f>
        <v>2634</v>
      </c>
      <c r="AU301" s="196">
        <f>AP302</f>
        <v>3296</v>
      </c>
      <c r="AV301" s="197"/>
      <c r="AW301" s="197"/>
      <c r="AX301" s="741"/>
      <c r="AY301" s="197"/>
      <c r="AZ301" s="196">
        <f>+AU301</f>
        <v>3296</v>
      </c>
      <c r="BA301" s="197">
        <f>AU302</f>
        <v>3222</v>
      </c>
      <c r="BB301" s="197">
        <f>BA302</f>
        <v>2906</v>
      </c>
      <c r="BC301" s="197">
        <f>BB302</f>
        <v>1828</v>
      </c>
      <c r="BD301" s="197">
        <f>BC302</f>
        <v>2453</v>
      </c>
      <c r="BE301" s="196">
        <f>AZ302</f>
        <v>3222</v>
      </c>
      <c r="BF301" s="197">
        <f>BE302</f>
        <v>2328</v>
      </c>
      <c r="BG301" s="197">
        <f>BF302</f>
        <v>1934</v>
      </c>
      <c r="BH301" s="197">
        <f>BG302</f>
        <v>2016</v>
      </c>
      <c r="BI301" s="197">
        <f>BH302</f>
        <v>2342</v>
      </c>
      <c r="BJ301" s="196">
        <f>BE302</f>
        <v>2328</v>
      </c>
      <c r="BK301" s="197">
        <f>BJ302</f>
        <v>3303</v>
      </c>
      <c r="BL301" s="197">
        <f>BK302</f>
        <v>2187</v>
      </c>
      <c r="BM301" s="197">
        <f>BL302</f>
        <v>2175</v>
      </c>
      <c r="BN301" s="197">
        <f>BM302</f>
        <v>2323</v>
      </c>
      <c r="BO301" s="196">
        <f>BJ302</f>
        <v>3303</v>
      </c>
      <c r="BP301" s="196">
        <f>BJ302</f>
        <v>3303</v>
      </c>
      <c r="BQ301" s="198">
        <f>BO302</f>
        <v>3115</v>
      </c>
      <c r="BR301" s="197">
        <f t="shared" ref="BR301:BT301" si="1008">BQ302</f>
        <v>1788.7093983226439</v>
      </c>
      <c r="BS301" s="197">
        <f t="shared" si="1008"/>
        <v>1518.2481982801564</v>
      </c>
      <c r="BT301" s="199">
        <f t="shared" si="1008"/>
        <v>1620.4698508225065</v>
      </c>
      <c r="BU301" s="196">
        <f>BO302</f>
        <v>3115</v>
      </c>
      <c r="BV301" s="198"/>
      <c r="BW301" s="197"/>
      <c r="BX301" s="197"/>
      <c r="BY301" s="199"/>
      <c r="BZ301" s="196">
        <f>BU302</f>
        <v>3017.8334397980125</v>
      </c>
      <c r="CA301" s="198"/>
      <c r="CB301" s="197"/>
      <c r="CC301" s="197"/>
      <c r="CD301" s="199"/>
      <c r="CE301" s="196">
        <f>BZ302</f>
        <v>3008.3881211814887</v>
      </c>
      <c r="CF301" s="198"/>
      <c r="CG301" s="197"/>
      <c r="CH301" s="197"/>
      <c r="CI301" s="199"/>
      <c r="CJ301" s="196">
        <f>CE302</f>
        <v>3093.6852888768713</v>
      </c>
      <c r="CK301" s="296"/>
      <c r="CL301" s="657"/>
      <c r="CM301" s="657"/>
      <c r="CN301" s="682"/>
      <c r="CO301" s="682"/>
      <c r="CP301" s="657"/>
      <c r="CQ301" s="657"/>
      <c r="CR301" s="657"/>
      <c r="CS301" s="657"/>
      <c r="CT301" s="296"/>
      <c r="CX301"/>
      <c r="CY301"/>
      <c r="CZ301"/>
      <c r="DA301"/>
      <c r="DB301"/>
      <c r="DC301"/>
    </row>
    <row r="302" spans="1:107" s="204" customFormat="1">
      <c r="A302" s="192" t="s">
        <v>36</v>
      </c>
      <c r="B302" s="193">
        <f t="shared" ref="B302:J302" si="1009">B300+B301</f>
        <v>1214</v>
      </c>
      <c r="C302" s="193">
        <f t="shared" si="1009"/>
        <v>544</v>
      </c>
      <c r="D302" s="193">
        <f t="shared" si="1009"/>
        <v>661</v>
      </c>
      <c r="E302" s="193">
        <f t="shared" si="1009"/>
        <v>556</v>
      </c>
      <c r="F302" s="193">
        <f t="shared" si="1009"/>
        <v>1202</v>
      </c>
      <c r="G302" s="193">
        <f t="shared" si="1009"/>
        <v>2460</v>
      </c>
      <c r="H302" s="192">
        <f t="shared" si="1009"/>
        <v>1660</v>
      </c>
      <c r="I302" s="192">
        <f t="shared" si="1009"/>
        <v>3045</v>
      </c>
      <c r="J302" s="192">
        <f t="shared" si="1009"/>
        <v>2609</v>
      </c>
      <c r="K302" s="192">
        <f>K301+K300</f>
        <v>2655</v>
      </c>
      <c r="L302" s="193">
        <f>L300+L301</f>
        <v>2655</v>
      </c>
      <c r="M302" s="192">
        <f>M300+M301</f>
        <v>2287</v>
      </c>
      <c r="N302" s="192">
        <f>N300+N301</f>
        <v>2554</v>
      </c>
      <c r="O302" s="192">
        <f>O300+O301</f>
        <v>2761</v>
      </c>
      <c r="P302" s="192">
        <f>P301+P300</f>
        <v>2259</v>
      </c>
      <c r="Q302" s="193">
        <f t="shared" ref="Q302:AB302" si="1010">Q300+Q301</f>
        <v>2259</v>
      </c>
      <c r="R302" s="192">
        <f t="shared" si="1010"/>
        <v>2210</v>
      </c>
      <c r="S302" s="192">
        <f t="shared" si="1010"/>
        <v>2199</v>
      </c>
      <c r="T302" s="192">
        <f t="shared" si="1010"/>
        <v>2442</v>
      </c>
      <c r="U302" s="192">
        <f t="shared" si="1010"/>
        <v>2642</v>
      </c>
      <c r="V302" s="193">
        <f t="shared" si="1010"/>
        <v>2642</v>
      </c>
      <c r="W302" s="192">
        <f t="shared" si="1010"/>
        <v>2613</v>
      </c>
      <c r="X302" s="192">
        <f t="shared" si="1010"/>
        <v>2385</v>
      </c>
      <c r="Y302" s="192">
        <f t="shared" si="1010"/>
        <v>2149</v>
      </c>
      <c r="Z302" s="192">
        <f t="shared" si="1010"/>
        <v>3638</v>
      </c>
      <c r="AA302" s="193">
        <f t="shared" si="1010"/>
        <v>3638</v>
      </c>
      <c r="AB302" s="192">
        <f t="shared" si="1010"/>
        <v>2660</v>
      </c>
      <c r="AC302" s="192">
        <f>+AC300+AC301</f>
        <v>2116</v>
      </c>
      <c r="AD302" s="192">
        <f>+AD300+AD301</f>
        <v>2405</v>
      </c>
      <c r="AE302" s="192">
        <f>+AE300+AE301</f>
        <v>4000</v>
      </c>
      <c r="AF302" s="193">
        <f>AF300+AF301</f>
        <v>4000</v>
      </c>
      <c r="AG302" s="192">
        <f>+AG300+AG301</f>
        <v>3541</v>
      </c>
      <c r="AH302" s="192">
        <f>+AH300+AH301</f>
        <v>2350</v>
      </c>
      <c r="AI302" s="192">
        <f>+AI300+AI301</f>
        <v>3032</v>
      </c>
      <c r="AJ302" s="192">
        <f>+AJ300+AJ301</f>
        <v>3188</v>
      </c>
      <c r="AK302" s="193">
        <f>AK300+AK301</f>
        <v>3188</v>
      </c>
      <c r="AL302" s="192">
        <f>+AL300+AL301</f>
        <v>3125</v>
      </c>
      <c r="AM302" s="192">
        <f>+AM300+AM301</f>
        <v>2467</v>
      </c>
      <c r="AN302" s="192">
        <f>+AN300+AN301</f>
        <v>2942</v>
      </c>
      <c r="AO302" s="192">
        <f>+AO300+AO301</f>
        <v>3296</v>
      </c>
      <c r="AP302" s="193">
        <f>AP300+AP301</f>
        <v>3296</v>
      </c>
      <c r="AQ302" s="192">
        <f>+AQ300+AQ301</f>
        <v>3036</v>
      </c>
      <c r="AR302" s="192">
        <f>+AR300+AR301</f>
        <v>3261</v>
      </c>
      <c r="AS302" s="742">
        <f>+AS300+AS301</f>
        <v>2634</v>
      </c>
      <c r="AT302" s="192">
        <f>+AT300+AT301</f>
        <v>3222</v>
      </c>
      <c r="AU302" s="193">
        <f>AU300+AU301</f>
        <v>3222</v>
      </c>
      <c r="AV302" s="192"/>
      <c r="AW302" s="192"/>
      <c r="AX302" s="742"/>
      <c r="AY302" s="192"/>
      <c r="AZ302" s="193">
        <f>AZ300+AZ301</f>
        <v>3222</v>
      </c>
      <c r="BA302" s="192">
        <f>+BA300+BA301</f>
        <v>2906</v>
      </c>
      <c r="BB302" s="192">
        <f>+BB300+BB301</f>
        <v>1828</v>
      </c>
      <c r="BC302" s="192">
        <f>+BC300+BC301</f>
        <v>2453</v>
      </c>
      <c r="BD302" s="192">
        <f>+BD300+BD301</f>
        <v>2328</v>
      </c>
      <c r="BE302" s="193">
        <f>BE300+BE301</f>
        <v>2328</v>
      </c>
      <c r="BF302" s="192">
        <f>+BF300+BF301</f>
        <v>1934</v>
      </c>
      <c r="BG302" s="192">
        <f>+BG300+BG301</f>
        <v>2016</v>
      </c>
      <c r="BH302" s="192">
        <f>+BH300+BH301</f>
        <v>2342</v>
      </c>
      <c r="BI302" s="192">
        <f>+BI300+BI301</f>
        <v>3303</v>
      </c>
      <c r="BJ302" s="193">
        <f>BJ300+BJ301</f>
        <v>3303</v>
      </c>
      <c r="BK302" s="192">
        <f>+BK300+BK301</f>
        <v>2187</v>
      </c>
      <c r="BL302" s="192">
        <f>+BL300+BL301</f>
        <v>2175</v>
      </c>
      <c r="BM302" s="192">
        <f>+BM300+BM301</f>
        <v>2323</v>
      </c>
      <c r="BN302" s="192">
        <f>+BN300+BN301</f>
        <v>3115</v>
      </c>
      <c r="BO302" s="193">
        <f>BO300+BO301</f>
        <v>3115</v>
      </c>
      <c r="BP302" s="193">
        <f>BP300+BP301</f>
        <v>3115</v>
      </c>
      <c r="BQ302" s="194">
        <f t="shared" ref="BQ302:BT302" si="1011">+BQ300+BQ301</f>
        <v>1788.7093983226439</v>
      </c>
      <c r="BR302" s="192">
        <f t="shared" si="1011"/>
        <v>1518.2481982801564</v>
      </c>
      <c r="BS302" s="192">
        <f t="shared" si="1011"/>
        <v>1620.4698508225065</v>
      </c>
      <c r="BT302" s="195">
        <f t="shared" si="1011"/>
        <v>3017.8334397980125</v>
      </c>
      <c r="BU302" s="193">
        <f>BU300+BU301</f>
        <v>3017.8334397980125</v>
      </c>
      <c r="BV302" s="194"/>
      <c r="BW302" s="192"/>
      <c r="BX302" s="192"/>
      <c r="BY302" s="195"/>
      <c r="BZ302" s="193">
        <f>BZ300+BZ301</f>
        <v>3008.3881211814887</v>
      </c>
      <c r="CA302" s="194"/>
      <c r="CB302" s="192"/>
      <c r="CC302" s="192"/>
      <c r="CD302" s="195"/>
      <c r="CE302" s="193">
        <f>CE300+CE301</f>
        <v>3093.6852888768713</v>
      </c>
      <c r="CF302" s="194"/>
      <c r="CG302" s="192"/>
      <c r="CH302" s="192"/>
      <c r="CI302" s="195"/>
      <c r="CJ302" s="193">
        <f>CJ300+CJ301</f>
        <v>2938.6046357856362</v>
      </c>
      <c r="CK302" s="296"/>
      <c r="CL302" s="657"/>
      <c r="CM302" s="657"/>
      <c r="CN302" s="682"/>
      <c r="CO302" s="682"/>
      <c r="CP302" s="657"/>
      <c r="CQ302" s="657"/>
      <c r="CR302" s="657"/>
      <c r="CS302" s="657"/>
      <c r="CT302" s="296"/>
      <c r="CX302"/>
      <c r="CY302"/>
      <c r="CZ302"/>
      <c r="DA302"/>
      <c r="DB302"/>
      <c r="DC302"/>
    </row>
    <row r="303" spans="1:107" s="180" customFormat="1">
      <c r="A303" s="192"/>
      <c r="B303" s="193"/>
      <c r="C303" s="193"/>
      <c r="D303" s="193"/>
      <c r="E303" s="193"/>
      <c r="F303" s="193"/>
      <c r="G303" s="193"/>
      <c r="H303" s="192"/>
      <c r="I303" s="192"/>
      <c r="J303" s="192"/>
      <c r="K303" s="192"/>
      <c r="L303" s="193"/>
      <c r="M303" s="228"/>
      <c r="N303" s="228"/>
      <c r="O303" s="228"/>
      <c r="P303" s="228"/>
      <c r="Q303" s="193"/>
      <c r="R303" s="192"/>
      <c r="S303" s="192"/>
      <c r="T303" s="192"/>
      <c r="U303" s="192"/>
      <c r="V303" s="193"/>
      <c r="W303" s="192"/>
      <c r="X303" s="192"/>
      <c r="Y303" s="192"/>
      <c r="Z303" s="192"/>
      <c r="AA303" s="193"/>
      <c r="AB303" s="192"/>
      <c r="AC303" s="192"/>
      <c r="AD303" s="192"/>
      <c r="AE303" s="192"/>
      <c r="AF303" s="193"/>
      <c r="AG303" s="192"/>
      <c r="AH303" s="192"/>
      <c r="AI303" s="192"/>
      <c r="AJ303" s="192"/>
      <c r="AK303" s="193"/>
      <c r="AL303" s="192"/>
      <c r="AM303" s="192"/>
      <c r="AN303" s="192"/>
      <c r="AO303" s="192"/>
      <c r="AP303" s="193"/>
      <c r="AQ303" s="192"/>
      <c r="AR303" s="192"/>
      <c r="AS303" s="192"/>
      <c r="AT303" s="192"/>
      <c r="AU303" s="193"/>
      <c r="AV303" s="192"/>
      <c r="AW303" s="192"/>
      <c r="AX303" s="192"/>
      <c r="AY303" s="192"/>
      <c r="AZ303" s="193"/>
      <c r="BA303" s="194"/>
      <c r="BB303" s="192"/>
      <c r="BC303" s="192"/>
      <c r="BD303" s="195"/>
      <c r="BE303" s="193"/>
      <c r="BF303" s="194"/>
      <c r="BG303" s="192"/>
      <c r="BH303" s="192"/>
      <c r="BI303" s="195"/>
      <c r="BJ303" s="193"/>
      <c r="BK303" s="194"/>
      <c r="BL303" s="192"/>
      <c r="BM303" s="192"/>
      <c r="BN303" s="195"/>
      <c r="BO303" s="193"/>
      <c r="BP303" s="193"/>
      <c r="BQ303" s="194"/>
      <c r="BR303" s="192"/>
      <c r="BS303" s="192"/>
      <c r="BT303" s="195"/>
      <c r="BU303" s="193"/>
      <c r="BV303" s="194"/>
      <c r="BW303" s="192"/>
      <c r="BX303" s="192"/>
      <c r="BY303" s="195"/>
      <c r="BZ303" s="193"/>
      <c r="CA303" s="194"/>
      <c r="CB303" s="192"/>
      <c r="CC303" s="192"/>
      <c r="CD303" s="195"/>
      <c r="CE303" s="193"/>
      <c r="CF303" s="194"/>
      <c r="CG303" s="192"/>
      <c r="CH303" s="192"/>
      <c r="CI303" s="195"/>
      <c r="CJ303" s="193"/>
      <c r="CK303" s="291"/>
      <c r="CL303" s="657"/>
      <c r="CM303" s="657"/>
      <c r="CN303" s="682"/>
      <c r="CO303" s="657"/>
      <c r="CP303" s="657"/>
      <c r="CQ303" s="657"/>
      <c r="CR303" s="657"/>
      <c r="CS303" s="657"/>
      <c r="CT303" s="291"/>
      <c r="CX303"/>
      <c r="CY303"/>
      <c r="CZ303"/>
      <c r="DA303"/>
      <c r="DB303"/>
      <c r="DC303"/>
    </row>
    <row r="304" spans="1:107" s="315" customFormat="1" ht="12" customHeight="1">
      <c r="A304" s="205" t="s">
        <v>181</v>
      </c>
      <c r="B304" s="206"/>
      <c r="C304" s="206"/>
      <c r="D304" s="206"/>
      <c r="E304" s="206"/>
      <c r="F304" s="206"/>
      <c r="G304" s="206"/>
      <c r="H304" s="207"/>
      <c r="I304" s="207"/>
      <c r="J304" s="207"/>
      <c r="K304" s="208"/>
      <c r="L304" s="206"/>
      <c r="M304" s="207"/>
      <c r="N304" s="207"/>
      <c r="O304" s="207"/>
      <c r="P304" s="208"/>
      <c r="Q304" s="206"/>
      <c r="R304" s="207"/>
      <c r="S304" s="207"/>
      <c r="T304" s="207"/>
      <c r="U304" s="208"/>
      <c r="V304" s="206"/>
      <c r="W304" s="207"/>
      <c r="X304" s="207"/>
      <c r="Y304" s="207"/>
      <c r="Z304" s="208"/>
      <c r="AA304" s="206"/>
      <c r="AB304" s="207"/>
      <c r="AC304" s="207"/>
      <c r="AD304" s="207"/>
      <c r="AE304" s="208"/>
      <c r="AF304" s="206"/>
      <c r="AG304" s="207"/>
      <c r="AH304" s="207"/>
      <c r="AI304" s="207"/>
      <c r="AJ304" s="208"/>
      <c r="AK304" s="206"/>
      <c r="AL304" s="207"/>
      <c r="AM304" s="207"/>
      <c r="AN304" s="207"/>
      <c r="AO304" s="208"/>
      <c r="AP304" s="206"/>
      <c r="AQ304" s="586"/>
      <c r="AR304" s="207"/>
      <c r="AS304" s="207"/>
      <c r="AT304" s="208"/>
      <c r="AU304" s="206"/>
      <c r="AV304" s="586"/>
      <c r="AW304" s="207"/>
      <c r="AX304" s="207"/>
      <c r="AY304" s="208"/>
      <c r="AZ304" s="206"/>
      <c r="BA304" s="209"/>
      <c r="BB304" s="208"/>
      <c r="BC304" s="208"/>
      <c r="BD304" s="210"/>
      <c r="BE304" s="206"/>
      <c r="BF304" s="209"/>
      <c r="BG304" s="208"/>
      <c r="BH304" s="208"/>
      <c r="BI304" s="210"/>
      <c r="BJ304" s="206"/>
      <c r="BK304" s="209"/>
      <c r="BL304" s="208"/>
      <c r="BM304" s="208"/>
      <c r="BN304" s="210"/>
      <c r="BO304" s="206"/>
      <c r="BP304" s="206"/>
      <c r="BQ304" s="209"/>
      <c r="BR304" s="208"/>
      <c r="BS304" s="208"/>
      <c r="BT304" s="210"/>
      <c r="BU304" s="206"/>
      <c r="BV304" s="209"/>
      <c r="BW304" s="208"/>
      <c r="BX304" s="208"/>
      <c r="BY304" s="210"/>
      <c r="BZ304" s="206"/>
      <c r="CA304" s="209"/>
      <c r="CB304" s="208"/>
      <c r="CC304" s="208"/>
      <c r="CD304" s="210"/>
      <c r="CE304" s="206"/>
      <c r="CF304" s="209"/>
      <c r="CG304" s="208"/>
      <c r="CH304" s="208"/>
      <c r="CI304" s="210"/>
      <c r="CJ304" s="206"/>
      <c r="CK304" s="208"/>
      <c r="CL304" s="657"/>
      <c r="CM304" s="657"/>
      <c r="CN304" s="682"/>
      <c r="CO304" s="657"/>
      <c r="CP304" s="657"/>
      <c r="CQ304" s="657"/>
      <c r="CR304" s="657"/>
      <c r="CS304" s="657"/>
      <c r="CT304" s="208"/>
      <c r="CX304"/>
      <c r="CY304"/>
      <c r="CZ304"/>
      <c r="DA304"/>
      <c r="DB304"/>
      <c r="DC304"/>
    </row>
    <row r="305" spans="1:107" s="180" customFormat="1" ht="12" customHeight="1">
      <c r="A305" s="129" t="s">
        <v>127</v>
      </c>
      <c r="B305" s="211"/>
      <c r="C305" s="211"/>
      <c r="D305" s="211"/>
      <c r="E305" s="211"/>
      <c r="F305" s="211"/>
      <c r="G305" s="211"/>
      <c r="H305" s="212"/>
      <c r="I305" s="212"/>
      <c r="J305" s="212"/>
      <c r="K305" s="212"/>
      <c r="L305" s="211"/>
      <c r="M305" s="212"/>
      <c r="N305" s="212"/>
      <c r="O305" s="212"/>
      <c r="P305" s="212"/>
      <c r="Q305" s="211"/>
      <c r="R305" s="212"/>
      <c r="S305" s="212"/>
      <c r="T305" s="212"/>
      <c r="U305" s="212"/>
      <c r="V305" s="211"/>
      <c r="W305" s="212"/>
      <c r="X305" s="212"/>
      <c r="Y305" s="212"/>
      <c r="Z305" s="212"/>
      <c r="AA305" s="211"/>
      <c r="AB305" s="212"/>
      <c r="AC305" s="212"/>
      <c r="AD305" s="212"/>
      <c r="AE305" s="212"/>
      <c r="AF305" s="211"/>
      <c r="AG305" s="212"/>
      <c r="AH305" s="212"/>
      <c r="AI305" s="212"/>
      <c r="AJ305" s="212"/>
      <c r="AK305" s="211"/>
      <c r="AL305" s="212"/>
      <c r="AM305" s="212"/>
      <c r="AN305" s="212"/>
      <c r="AO305" s="212"/>
      <c r="AP305" s="211"/>
      <c r="AQ305" s="212"/>
      <c r="AR305" s="212"/>
      <c r="AS305" s="212"/>
      <c r="AT305" s="212"/>
      <c r="AU305" s="211"/>
      <c r="AV305" s="212"/>
      <c r="AW305" s="212"/>
      <c r="AX305" s="212"/>
      <c r="AY305" s="212"/>
      <c r="AZ305" s="211"/>
      <c r="BA305" s="213"/>
      <c r="BB305" s="212"/>
      <c r="BC305" s="212"/>
      <c r="BD305" s="214"/>
      <c r="BE305" s="211"/>
      <c r="BF305" s="213"/>
      <c r="BG305" s="212"/>
      <c r="BH305" s="212"/>
      <c r="BI305" s="214"/>
      <c r="BJ305" s="211"/>
      <c r="BK305" s="213"/>
      <c r="BL305" s="212"/>
      <c r="BM305" s="212"/>
      <c r="BN305" s="214"/>
      <c r="BO305" s="211"/>
      <c r="BP305" s="211"/>
      <c r="BQ305" s="213"/>
      <c r="BR305" s="212"/>
      <c r="BS305" s="212"/>
      <c r="BT305" s="214"/>
      <c r="BU305" s="211"/>
      <c r="BV305" s="213"/>
      <c r="BW305" s="212"/>
      <c r="BX305" s="212"/>
      <c r="BY305" s="214"/>
      <c r="BZ305" s="211"/>
      <c r="CA305" s="213"/>
      <c r="CB305" s="212"/>
      <c r="CC305" s="212"/>
      <c r="CD305" s="214"/>
      <c r="CE305" s="211"/>
      <c r="CF305" s="213"/>
      <c r="CG305" s="212"/>
      <c r="CH305" s="212"/>
      <c r="CI305" s="214"/>
      <c r="CJ305" s="211"/>
      <c r="CK305" s="291"/>
      <c r="CL305" s="657"/>
      <c r="CM305" s="657"/>
      <c r="CN305" s="682"/>
      <c r="CO305" s="657"/>
      <c r="CP305" s="657"/>
      <c r="CQ305" s="657"/>
      <c r="CR305" s="657"/>
      <c r="CS305" s="657"/>
      <c r="CT305" s="291"/>
      <c r="CX305"/>
      <c r="CY305"/>
      <c r="CZ305"/>
      <c r="DA305"/>
      <c r="DB305"/>
      <c r="DC305"/>
    </row>
    <row r="306" spans="1:107" s="180" customFormat="1">
      <c r="A306" s="171" t="s">
        <v>37</v>
      </c>
      <c r="B306" s="170">
        <f t="shared" ref="B306:AL306" si="1012">B302</f>
        <v>1214</v>
      </c>
      <c r="C306" s="170">
        <f t="shared" si="1012"/>
        <v>544</v>
      </c>
      <c r="D306" s="170">
        <f t="shared" si="1012"/>
        <v>661</v>
      </c>
      <c r="E306" s="170">
        <f t="shared" si="1012"/>
        <v>556</v>
      </c>
      <c r="F306" s="170">
        <f t="shared" si="1012"/>
        <v>1202</v>
      </c>
      <c r="G306" s="170">
        <f t="shared" si="1012"/>
        <v>2460</v>
      </c>
      <c r="H306" s="171">
        <f t="shared" si="1012"/>
        <v>1660</v>
      </c>
      <c r="I306" s="171">
        <f t="shared" si="1012"/>
        <v>3045</v>
      </c>
      <c r="J306" s="171">
        <f t="shared" si="1012"/>
        <v>2609</v>
      </c>
      <c r="K306" s="171">
        <f t="shared" si="1012"/>
        <v>2655</v>
      </c>
      <c r="L306" s="170">
        <f t="shared" si="1012"/>
        <v>2655</v>
      </c>
      <c r="M306" s="171">
        <f t="shared" si="1012"/>
        <v>2287</v>
      </c>
      <c r="N306" s="171">
        <f t="shared" si="1012"/>
        <v>2554</v>
      </c>
      <c r="O306" s="171">
        <f t="shared" si="1012"/>
        <v>2761</v>
      </c>
      <c r="P306" s="171">
        <f t="shared" si="1012"/>
        <v>2259</v>
      </c>
      <c r="Q306" s="170">
        <f t="shared" si="1012"/>
        <v>2259</v>
      </c>
      <c r="R306" s="171">
        <f t="shared" si="1012"/>
        <v>2210</v>
      </c>
      <c r="S306" s="171">
        <f t="shared" si="1012"/>
        <v>2199</v>
      </c>
      <c r="T306" s="171">
        <f t="shared" si="1012"/>
        <v>2442</v>
      </c>
      <c r="U306" s="171">
        <f t="shared" si="1012"/>
        <v>2642</v>
      </c>
      <c r="V306" s="170">
        <f t="shared" si="1012"/>
        <v>2642</v>
      </c>
      <c r="W306" s="171">
        <f t="shared" si="1012"/>
        <v>2613</v>
      </c>
      <c r="X306" s="171">
        <f t="shared" si="1012"/>
        <v>2385</v>
      </c>
      <c r="Y306" s="171">
        <f t="shared" si="1012"/>
        <v>2149</v>
      </c>
      <c r="Z306" s="171">
        <f t="shared" si="1012"/>
        <v>3638</v>
      </c>
      <c r="AA306" s="170">
        <f t="shared" si="1012"/>
        <v>3638</v>
      </c>
      <c r="AB306" s="171">
        <f t="shared" si="1012"/>
        <v>2660</v>
      </c>
      <c r="AC306" s="171">
        <f t="shared" si="1012"/>
        <v>2116</v>
      </c>
      <c r="AD306" s="171">
        <f t="shared" si="1012"/>
        <v>2405</v>
      </c>
      <c r="AE306" s="171">
        <f t="shared" si="1012"/>
        <v>4000</v>
      </c>
      <c r="AF306" s="170">
        <f t="shared" si="1012"/>
        <v>4000</v>
      </c>
      <c r="AG306" s="171">
        <f t="shared" si="1012"/>
        <v>3541</v>
      </c>
      <c r="AH306" s="171">
        <f t="shared" si="1012"/>
        <v>2350</v>
      </c>
      <c r="AI306" s="171">
        <f t="shared" si="1012"/>
        <v>3032</v>
      </c>
      <c r="AJ306" s="171">
        <f t="shared" si="1012"/>
        <v>3188</v>
      </c>
      <c r="AK306" s="170">
        <f t="shared" si="1012"/>
        <v>3188</v>
      </c>
      <c r="AL306" s="171">
        <f t="shared" si="1012"/>
        <v>3125</v>
      </c>
      <c r="AM306" s="171">
        <f t="shared" ref="AM306:BD306" si="1013">AM302</f>
        <v>2467</v>
      </c>
      <c r="AN306" s="171">
        <f t="shared" si="1013"/>
        <v>2942</v>
      </c>
      <c r="AO306" s="171">
        <f t="shared" si="1013"/>
        <v>3296</v>
      </c>
      <c r="AP306" s="170">
        <f>AP302</f>
        <v>3296</v>
      </c>
      <c r="AQ306" s="171">
        <f>AQ302</f>
        <v>3036</v>
      </c>
      <c r="AR306" s="171">
        <f>AR302</f>
        <v>3261</v>
      </c>
      <c r="AS306" s="171">
        <f t="shared" si="1013"/>
        <v>2634</v>
      </c>
      <c r="AT306" s="171">
        <f t="shared" si="1013"/>
        <v>3222</v>
      </c>
      <c r="AU306" s="170">
        <f>AU302</f>
        <v>3222</v>
      </c>
      <c r="AV306" s="171"/>
      <c r="AW306" s="171"/>
      <c r="AX306" s="171"/>
      <c r="AY306" s="171"/>
      <c r="AZ306" s="170">
        <f>AZ302</f>
        <v>3222</v>
      </c>
      <c r="BA306" s="171">
        <f>BA302</f>
        <v>2906</v>
      </c>
      <c r="BB306" s="171">
        <f>BB302</f>
        <v>1828</v>
      </c>
      <c r="BC306" s="670">
        <f t="shared" si="1013"/>
        <v>2453</v>
      </c>
      <c r="BD306" s="670">
        <f t="shared" si="1013"/>
        <v>2328</v>
      </c>
      <c r="BE306" s="540">
        <f t="shared" ref="BE306:BJ306" si="1014">BE302</f>
        <v>2328</v>
      </c>
      <c r="BF306" s="670">
        <f t="shared" si="1014"/>
        <v>1934</v>
      </c>
      <c r="BG306" s="670">
        <f t="shared" si="1014"/>
        <v>2016</v>
      </c>
      <c r="BH306" s="670">
        <f t="shared" si="1014"/>
        <v>2342</v>
      </c>
      <c r="BI306" s="670">
        <f t="shared" si="1014"/>
        <v>3303</v>
      </c>
      <c r="BJ306" s="170">
        <f t="shared" si="1014"/>
        <v>3303</v>
      </c>
      <c r="BK306" s="670">
        <v>2186</v>
      </c>
      <c r="BL306" s="171">
        <v>2167</v>
      </c>
      <c r="BM306" s="171">
        <v>2311</v>
      </c>
      <c r="BN306" s="171">
        <v>3103</v>
      </c>
      <c r="BO306" s="170">
        <f>BN306</f>
        <v>3103</v>
      </c>
      <c r="BP306" s="170">
        <f>BO306</f>
        <v>3103</v>
      </c>
      <c r="BQ306" s="172">
        <f>BO306+BQ300</f>
        <v>1776.7093983226439</v>
      </c>
      <c r="BR306" s="171">
        <f t="shared" ref="BR306:BT306" si="1015">BQ306+BR300</f>
        <v>1506.2481982801564</v>
      </c>
      <c r="BS306" s="171">
        <f t="shared" si="1015"/>
        <v>1608.4698508225065</v>
      </c>
      <c r="BT306" s="173">
        <f t="shared" si="1015"/>
        <v>3005.8334397980125</v>
      </c>
      <c r="BU306" s="170">
        <f>BT306</f>
        <v>3005.8334397980125</v>
      </c>
      <c r="BV306" s="172"/>
      <c r="BW306" s="171"/>
      <c r="BX306" s="171"/>
      <c r="BY306" s="173"/>
      <c r="BZ306" s="170">
        <f>BU306+BZ300</f>
        <v>2996.3881211814887</v>
      </c>
      <c r="CA306" s="172"/>
      <c r="CB306" s="171"/>
      <c r="CC306" s="171"/>
      <c r="CD306" s="173"/>
      <c r="CE306" s="170">
        <f>BZ306+CE300</f>
        <v>3081.6852888768713</v>
      </c>
      <c r="CF306" s="172"/>
      <c r="CG306" s="171"/>
      <c r="CH306" s="171"/>
      <c r="CI306" s="173"/>
      <c r="CJ306" s="170">
        <f>CE306+CJ300</f>
        <v>2926.6046357856362</v>
      </c>
      <c r="CK306" s="291"/>
      <c r="CL306" s="679"/>
      <c r="CM306" s="657"/>
      <c r="CN306" s="682"/>
      <c r="CO306" s="657"/>
      <c r="CP306" s="657"/>
      <c r="CQ306" s="657"/>
      <c r="CR306" s="657"/>
      <c r="CS306" s="657"/>
      <c r="CT306" s="291"/>
      <c r="CX306"/>
      <c r="CY306"/>
      <c r="CZ306"/>
      <c r="DA306"/>
      <c r="DB306"/>
      <c r="DC306"/>
    </row>
    <row r="307" spans="1:107" s="180" customFormat="1">
      <c r="A307" s="171" t="s">
        <v>126</v>
      </c>
      <c r="B307" s="176">
        <v>480</v>
      </c>
      <c r="C307" s="176">
        <v>675</v>
      </c>
      <c r="D307" s="176">
        <v>485</v>
      </c>
      <c r="E307" s="176">
        <v>478</v>
      </c>
      <c r="F307" s="176">
        <v>227</v>
      </c>
      <c r="G307" s="176">
        <v>178</v>
      </c>
      <c r="H307" s="177">
        <v>174</v>
      </c>
      <c r="I307" s="177">
        <v>152</v>
      </c>
      <c r="J307" s="177">
        <v>155</v>
      </c>
      <c r="K307" s="177">
        <v>126</v>
      </c>
      <c r="L307" s="176">
        <f>K307</f>
        <v>126</v>
      </c>
      <c r="M307" s="177">
        <v>128</v>
      </c>
      <c r="N307" s="177">
        <v>113</v>
      </c>
      <c r="O307" s="177">
        <v>120</v>
      </c>
      <c r="P307" s="177">
        <v>105</v>
      </c>
      <c r="Q307" s="176">
        <f>P307</f>
        <v>105</v>
      </c>
      <c r="R307" s="177">
        <v>106</v>
      </c>
      <c r="S307" s="177">
        <v>115</v>
      </c>
      <c r="T307" s="177">
        <v>105</v>
      </c>
      <c r="U307" s="177">
        <v>120</v>
      </c>
      <c r="V307" s="176">
        <f>U307</f>
        <v>120</v>
      </c>
      <c r="W307" s="177">
        <v>113</v>
      </c>
      <c r="X307" s="177">
        <v>131</v>
      </c>
      <c r="Y307" s="177">
        <v>108</v>
      </c>
      <c r="Z307" s="177">
        <v>0</v>
      </c>
      <c r="AA307" s="176">
        <f>Z307</f>
        <v>0</v>
      </c>
      <c r="AB307" s="177">
        <v>0</v>
      </c>
      <c r="AC307" s="177">
        <v>0</v>
      </c>
      <c r="AD307" s="177">
        <v>0</v>
      </c>
      <c r="AE307" s="177">
        <v>0</v>
      </c>
      <c r="AF307" s="176">
        <f>AE307</f>
        <v>0</v>
      </c>
      <c r="AG307" s="177">
        <v>0</v>
      </c>
      <c r="AH307" s="177">
        <f>AG307</f>
        <v>0</v>
      </c>
      <c r="AI307" s="177">
        <f>AH307</f>
        <v>0</v>
      </c>
      <c r="AJ307" s="177">
        <v>0</v>
      </c>
      <c r="AK307" s="176">
        <f>AJ307</f>
        <v>0</v>
      </c>
      <c r="AL307" s="177">
        <v>0</v>
      </c>
      <c r="AM307" s="177">
        <v>0</v>
      </c>
      <c r="AN307" s="177">
        <v>0</v>
      </c>
      <c r="AO307" s="177">
        <v>0</v>
      </c>
      <c r="AP307" s="176">
        <f>AO307</f>
        <v>0</v>
      </c>
      <c r="AQ307" s="177">
        <v>0</v>
      </c>
      <c r="AR307" s="177">
        <v>0</v>
      </c>
      <c r="AS307" s="667">
        <v>0</v>
      </c>
      <c r="AT307" s="667">
        <v>0</v>
      </c>
      <c r="AU307" s="176">
        <f>AT307</f>
        <v>0</v>
      </c>
      <c r="AV307" s="177"/>
      <c r="AW307" s="177"/>
      <c r="AX307" s="667"/>
      <c r="AY307" s="667"/>
      <c r="AZ307" s="176">
        <v>0</v>
      </c>
      <c r="BA307" s="177">
        <v>0</v>
      </c>
      <c r="BB307" s="177">
        <v>0</v>
      </c>
      <c r="BC307" s="749">
        <v>0</v>
      </c>
      <c r="BD307" s="769">
        <v>0</v>
      </c>
      <c r="BE307" s="727">
        <f>BD307</f>
        <v>0</v>
      </c>
      <c r="BF307" s="750">
        <v>0</v>
      </c>
      <c r="BG307" s="749">
        <v>0</v>
      </c>
      <c r="BH307" s="749">
        <v>0</v>
      </c>
      <c r="BI307" s="769">
        <v>1163</v>
      </c>
      <c r="BJ307" s="696">
        <f>BI307</f>
        <v>1163</v>
      </c>
      <c r="BK307" s="750">
        <v>1319</v>
      </c>
      <c r="BL307" s="667">
        <v>1560</v>
      </c>
      <c r="BM307" s="667">
        <v>1393</v>
      </c>
      <c r="BN307" s="756">
        <v>1324</v>
      </c>
      <c r="BO307" s="696">
        <f>+BN307</f>
        <v>1324</v>
      </c>
      <c r="BP307" s="696">
        <f>+BO307</f>
        <v>1324</v>
      </c>
      <c r="BQ307" s="272">
        <f>+BO307</f>
        <v>1324</v>
      </c>
      <c r="BR307" s="270">
        <f t="shared" ref="BR307:BT307" si="1016">+BQ307</f>
        <v>1324</v>
      </c>
      <c r="BS307" s="270">
        <f t="shared" si="1016"/>
        <v>1324</v>
      </c>
      <c r="BT307" s="273">
        <f t="shared" si="1016"/>
        <v>1324</v>
      </c>
      <c r="BU307" s="696">
        <f>+BT307</f>
        <v>1324</v>
      </c>
      <c r="BV307" s="720"/>
      <c r="BW307" s="667"/>
      <c r="BX307" s="667"/>
      <c r="BY307" s="756"/>
      <c r="BZ307" s="696">
        <f>BU307</f>
        <v>1324</v>
      </c>
      <c r="CA307" s="720"/>
      <c r="CB307" s="667"/>
      <c r="CC307" s="667"/>
      <c r="CD307" s="756"/>
      <c r="CE307" s="696">
        <f>BZ307</f>
        <v>1324</v>
      </c>
      <c r="CF307" s="720"/>
      <c r="CG307" s="667"/>
      <c r="CH307" s="667"/>
      <c r="CI307" s="756"/>
      <c r="CJ307" s="696">
        <f>CE307</f>
        <v>1324</v>
      </c>
      <c r="CK307" s="291"/>
      <c r="CL307" s="679"/>
      <c r="CM307" s="657"/>
      <c r="CN307" s="682"/>
      <c r="CO307" s="657"/>
      <c r="CP307" s="657"/>
      <c r="CQ307" s="657"/>
      <c r="CR307" s="657"/>
      <c r="CS307" s="657"/>
      <c r="CT307" s="291"/>
      <c r="CX307"/>
      <c r="CY307"/>
      <c r="CZ307"/>
      <c r="DA307"/>
      <c r="DB307"/>
      <c r="DC307"/>
    </row>
    <row r="308" spans="1:107" s="180" customFormat="1">
      <c r="A308" s="171" t="s">
        <v>5</v>
      </c>
      <c r="B308" s="176">
        <v>3204</v>
      </c>
      <c r="C308" s="176">
        <v>3016</v>
      </c>
      <c r="D308" s="176">
        <v>3302</v>
      </c>
      <c r="E308" s="176">
        <v>3514</v>
      </c>
      <c r="F308" s="176">
        <v>3441</v>
      </c>
      <c r="G308" s="176">
        <v>3600</v>
      </c>
      <c r="H308" s="177">
        <v>3895</v>
      </c>
      <c r="I308" s="177">
        <v>3945</v>
      </c>
      <c r="J308" s="177">
        <v>3894</v>
      </c>
      <c r="K308" s="177">
        <v>3821</v>
      </c>
      <c r="L308" s="176">
        <f>K308</f>
        <v>3821</v>
      </c>
      <c r="M308" s="177">
        <v>4068</v>
      </c>
      <c r="N308" s="177">
        <v>4366</v>
      </c>
      <c r="O308" s="177">
        <v>4366</v>
      </c>
      <c r="P308" s="177">
        <v>3793</v>
      </c>
      <c r="Q308" s="176">
        <f>P308</f>
        <v>3793</v>
      </c>
      <c r="R308" s="177">
        <v>4257</v>
      </c>
      <c r="S308" s="177">
        <v>4493</v>
      </c>
      <c r="T308" s="177">
        <v>4207</v>
      </c>
      <c r="U308" s="177">
        <v>4373</v>
      </c>
      <c r="V308" s="176">
        <f>U308</f>
        <v>4373</v>
      </c>
      <c r="W308" s="177">
        <v>4742</v>
      </c>
      <c r="X308" s="177">
        <v>4461</v>
      </c>
      <c r="Y308" s="177">
        <v>4498</v>
      </c>
      <c r="Z308" s="177">
        <v>4414</v>
      </c>
      <c r="AA308" s="176">
        <f>Z308</f>
        <v>4414</v>
      </c>
      <c r="AB308" s="177">
        <v>4933</v>
      </c>
      <c r="AC308" s="177">
        <v>4964</v>
      </c>
      <c r="AD308" s="177">
        <v>4987</v>
      </c>
      <c r="AE308" s="177">
        <v>4526</v>
      </c>
      <c r="AF308" s="176">
        <f>AE308</f>
        <v>4526</v>
      </c>
      <c r="AG308" s="177">
        <v>4838</v>
      </c>
      <c r="AH308" s="177">
        <v>5054</v>
      </c>
      <c r="AI308" s="177">
        <v>4789</v>
      </c>
      <c r="AJ308" s="177">
        <v>4543</v>
      </c>
      <c r="AK308" s="176">
        <f>AJ308</f>
        <v>4543</v>
      </c>
      <c r="AL308" s="177">
        <v>4808</v>
      </c>
      <c r="AM308" s="177">
        <v>5156</v>
      </c>
      <c r="AN308" s="136">
        <v>5248</v>
      </c>
      <c r="AO308" s="136">
        <v>4870</v>
      </c>
      <c r="AP308" s="137">
        <f>AO308</f>
        <v>4870</v>
      </c>
      <c r="AQ308" s="177">
        <v>5211</v>
      </c>
      <c r="AR308" s="177">
        <v>5366</v>
      </c>
      <c r="AS308" s="136">
        <v>5340</v>
      </c>
      <c r="AT308" s="136">
        <v>4985</v>
      </c>
      <c r="AU308" s="137">
        <f>AT308</f>
        <v>4985</v>
      </c>
      <c r="AV308" s="177"/>
      <c r="AW308" s="177"/>
      <c r="AX308" s="136"/>
      <c r="AY308" s="136"/>
      <c r="AZ308" s="137">
        <v>4985</v>
      </c>
      <c r="BA308" s="455">
        <v>5223</v>
      </c>
      <c r="BB308" s="136">
        <v>5514</v>
      </c>
      <c r="BC308" s="749">
        <v>5649</v>
      </c>
      <c r="BD308" s="769">
        <v>5564</v>
      </c>
      <c r="BE308" s="727">
        <f>BD308</f>
        <v>5564</v>
      </c>
      <c r="BF308" s="750">
        <v>5882</v>
      </c>
      <c r="BG308" s="749">
        <v>6249</v>
      </c>
      <c r="BH308" s="749">
        <v>6469</v>
      </c>
      <c r="BI308" s="769">
        <v>5041</v>
      </c>
      <c r="BJ308" s="727">
        <f>BI308</f>
        <v>5041</v>
      </c>
      <c r="BK308" s="750">
        <v>5555</v>
      </c>
      <c r="BL308" s="668">
        <v>5728</v>
      </c>
      <c r="BM308" s="668">
        <v>5892</v>
      </c>
      <c r="BN308" s="757">
        <v>5247</v>
      </c>
      <c r="BO308" s="137">
        <f>+BN308</f>
        <v>5247</v>
      </c>
      <c r="BP308" s="137">
        <f>+BO308</f>
        <v>5247</v>
      </c>
      <c r="BQ308" s="455">
        <f t="shared" ref="BQ308:BT308" si="1017">BQ309*BQ77/(360/4)</f>
        <v>5827.526077999999</v>
      </c>
      <c r="BR308" s="136">
        <f t="shared" si="1017"/>
        <v>6074.1653555803223</v>
      </c>
      <c r="BS308" s="136">
        <f t="shared" si="1017"/>
        <v>6231.2435968013997</v>
      </c>
      <c r="BT308" s="138">
        <f t="shared" si="1017"/>
        <v>5576.5536231866427</v>
      </c>
      <c r="BU308" s="137">
        <f>+BT308</f>
        <v>5576.5536231866427</v>
      </c>
      <c r="BV308" s="455"/>
      <c r="BW308" s="136"/>
      <c r="BX308" s="136"/>
      <c r="BY308" s="138"/>
      <c r="BZ308" s="137">
        <f>BZ309*BZ77/(360)</f>
        <v>5880.6702960031253</v>
      </c>
      <c r="CA308" s="455"/>
      <c r="CB308" s="136"/>
      <c r="CC308" s="136"/>
      <c r="CD308" s="138"/>
      <c r="CE308" s="137">
        <f>CE309*CE77/(360)</f>
        <v>6215.3445057991412</v>
      </c>
      <c r="CF308" s="455"/>
      <c r="CG308" s="136"/>
      <c r="CH308" s="136"/>
      <c r="CI308" s="138"/>
      <c r="CJ308" s="137">
        <f>CJ309*CJ77/(360)</f>
        <v>6570.9090898692839</v>
      </c>
      <c r="CK308" s="291"/>
      <c r="CL308" s="679"/>
      <c r="CM308" s="657"/>
      <c r="CN308" s="682"/>
      <c r="CO308" s="657"/>
      <c r="CP308" s="657"/>
      <c r="CQ308" s="657"/>
      <c r="CR308" s="657"/>
      <c r="CS308" s="657"/>
      <c r="CT308" s="291"/>
      <c r="CX308"/>
      <c r="CY308"/>
      <c r="CZ308"/>
      <c r="DA308"/>
      <c r="DB308"/>
      <c r="DC308"/>
    </row>
    <row r="309" spans="1:107" s="468" customFormat="1">
      <c r="A309" s="458" t="s">
        <v>6</v>
      </c>
      <c r="B309" s="459">
        <f t="shared" ref="B309:G309" si="1018">B308/B77*(360)</f>
        <v>72.013485671474058</v>
      </c>
      <c r="C309" s="459">
        <f t="shared" si="1018"/>
        <v>64.782816229116946</v>
      </c>
      <c r="D309" s="459">
        <f t="shared" si="1018"/>
        <v>65.642498205312279</v>
      </c>
      <c r="E309" s="459">
        <f t="shared" si="1018"/>
        <v>70.96998597475455</v>
      </c>
      <c r="F309" s="459">
        <f t="shared" si="1018"/>
        <v>66.992590990211454</v>
      </c>
      <c r="G309" s="459">
        <f t="shared" si="1018"/>
        <v>65.763434312680772</v>
      </c>
      <c r="H309" s="460">
        <f>H308/H77*(360/4)</f>
        <v>72.970441298917578</v>
      </c>
      <c r="I309" s="461">
        <f>I308/I77*(360/4)</f>
        <v>67.269799166350893</v>
      </c>
      <c r="J309" s="461">
        <f>J308/J77*(360/4)</f>
        <v>67.150795171488795</v>
      </c>
      <c r="K309" s="462">
        <f>K308/K77*(360/4)</f>
        <v>57.315000000000005</v>
      </c>
      <c r="L309" s="459">
        <f>L308/L77*(360)</f>
        <v>64.57724989437115</v>
      </c>
      <c r="M309" s="460">
        <f>M308/M77*(360/4)</f>
        <v>68.382517743742994</v>
      </c>
      <c r="N309" s="461">
        <f>N308/N77*(360/4)</f>
        <v>66.940374787052818</v>
      </c>
      <c r="O309" s="461">
        <f>O308/O77*(360/4)</f>
        <v>67.008867667121422</v>
      </c>
      <c r="P309" s="462">
        <f>P308/P77*(360/4)</f>
        <v>56.091028590207031</v>
      </c>
      <c r="Q309" s="459">
        <f>Q308/Q77*(360)</f>
        <v>58.922930870803491</v>
      </c>
      <c r="R309" s="460">
        <f>R308/R77*(360/4)</f>
        <v>65.113868116927264</v>
      </c>
      <c r="S309" s="461">
        <f>S308/S77*(360/4)</f>
        <v>66.019591836734691</v>
      </c>
      <c r="T309" s="461">
        <f>T308/T77*(360/4)</f>
        <v>61.020145044319101</v>
      </c>
      <c r="U309" s="462">
        <f>U308/U77*(360/4)</f>
        <v>59.032548372581374</v>
      </c>
      <c r="V309" s="459">
        <f>V308/V77*(360)</f>
        <v>63.272376512198058</v>
      </c>
      <c r="W309" s="460">
        <f>W308/W77*(360/4)</f>
        <v>70.507186519081444</v>
      </c>
      <c r="X309" s="461">
        <f>X308/X77*(360/4)</f>
        <v>67.217478653942749</v>
      </c>
      <c r="Y309" s="461">
        <f>Y308/Y77*(360/4)</f>
        <v>64.544005102040813</v>
      </c>
      <c r="Z309" s="462">
        <f>Z308/Z77*(360/4)</f>
        <v>57.699346405228759</v>
      </c>
      <c r="AA309" s="459">
        <f>AA308/AA77*(360)</f>
        <v>63.099710121907634</v>
      </c>
      <c r="AB309" s="460">
        <f>AB308/AB77*(360/4)</f>
        <v>73.359220092531388</v>
      </c>
      <c r="AC309" s="461">
        <f>AC308/AC77*(360/4)</f>
        <v>72.046444121915826</v>
      </c>
      <c r="AD309" s="461">
        <f>AD308/AD77*(360/4)</f>
        <v>73.386200130804454</v>
      </c>
      <c r="AE309" s="462">
        <f>AE308/AE77*(360/4)</f>
        <v>63.428838368109624</v>
      </c>
      <c r="AF309" s="459">
        <f>AF308/AF77*(360)</f>
        <v>65.723851397684641</v>
      </c>
      <c r="AG309" s="460">
        <f>AG308/AG77*(360/4)</f>
        <v>73.327719770966652</v>
      </c>
      <c r="AH309" s="461">
        <f>AH308/AH77*(360/4)</f>
        <v>75.911214953271028</v>
      </c>
      <c r="AI309" s="461">
        <f>AI308/AI77*(360/4)</f>
        <v>71.300248138957812</v>
      </c>
      <c r="AJ309" s="462">
        <f>AJ308/AJ77*(360/4)</f>
        <v>63.498990526479268</v>
      </c>
      <c r="AK309" s="459">
        <f>AK308/AK77*(360)</f>
        <v>66.989432292946674</v>
      </c>
      <c r="AL309" s="460">
        <f>AL308/AL77*(360/4)</f>
        <v>73.604354482054774</v>
      </c>
      <c r="AM309" s="461">
        <f>AM308/AM77*(360/4)</f>
        <v>75.885527391659849</v>
      </c>
      <c r="AN309" s="461">
        <f>AN308/AN77*(360/4)</f>
        <v>80.849024306744269</v>
      </c>
      <c r="AO309" s="461">
        <f>AO308/AO77*(360/4)</f>
        <v>74.667802385008514</v>
      </c>
      <c r="AP309" s="459">
        <f>AP308/AP77*(360)</f>
        <v>73.685537763207662</v>
      </c>
      <c r="AQ309" s="461">
        <f>AQ308/AQ77*(360/4)</f>
        <v>85.147058823529406</v>
      </c>
      <c r="AR309" s="461">
        <f>AR308/AR77*(360/4)</f>
        <v>84.711454130854236</v>
      </c>
      <c r="AS309" s="461">
        <f>AS308/AS77*(360/4)</f>
        <v>87.796857873584216</v>
      </c>
      <c r="AT309" s="461">
        <f>AT308/AT77*(360/4)</f>
        <v>73.034348038417704</v>
      </c>
      <c r="AU309" s="459">
        <f>AU308/AU77*(360)</f>
        <v>78.620870936651187</v>
      </c>
      <c r="AV309" s="461"/>
      <c r="AW309" s="461"/>
      <c r="AX309" s="461"/>
      <c r="AY309" s="461"/>
      <c r="AZ309" s="459">
        <f>AZ308/AZ77*(360)</f>
        <v>78.620870936651187</v>
      </c>
      <c r="BA309" s="461">
        <f>BA308/BA77*(360/4)</f>
        <v>88.893721633888049</v>
      </c>
      <c r="BB309" s="461">
        <f>BB308/BB77*(360/4)</f>
        <v>84.859781121751027</v>
      </c>
      <c r="BC309" s="919">
        <f>BC308/BC77*(360/4)</f>
        <v>87.914577209061036</v>
      </c>
      <c r="BD309" s="906">
        <f>BD308/BD77*(360/4)</f>
        <v>79.134007585335013</v>
      </c>
      <c r="BE309" s="946">
        <f>BE308/BE77*(360)</f>
        <v>86.163375919473481</v>
      </c>
      <c r="BF309" s="907">
        <f>BF308/BF77*(360/4)</f>
        <v>91.240951396070315</v>
      </c>
      <c r="BG309" s="919">
        <f>BG308/BG77*(360/4)</f>
        <v>93.191383595691789</v>
      </c>
      <c r="BH309" s="919">
        <f>BH308/BH77*(360/4)</f>
        <v>96.504226752859267</v>
      </c>
      <c r="BI309" s="906">
        <f>BI308/BI77*(360/4)</f>
        <v>73.152208964850047</v>
      </c>
      <c r="BJ309" s="758">
        <f>BJ308/BJ77*(360)</f>
        <v>75.388833499501501</v>
      </c>
      <c r="BK309" s="907">
        <f>BK308/BK77*(360/4)</f>
        <v>83.324999999999989</v>
      </c>
      <c r="BL309" s="969">
        <f>BL308/BL77*(360/4)</f>
        <v>82.076102531444036</v>
      </c>
      <c r="BM309" s="969">
        <f>BM308/BM77*(360/4)</f>
        <v>84.385741565881602</v>
      </c>
      <c r="BN309" s="1058">
        <f>BN308/BN77*(360/4)</f>
        <v>69.619637328615653</v>
      </c>
      <c r="BO309" s="759">
        <f>BO308/BO77*(360)</f>
        <v>74.519488717058536</v>
      </c>
      <c r="BP309" s="759">
        <f>BP308/BP77*(360)</f>
        <v>74.519488717058536</v>
      </c>
      <c r="BQ309" s="465">
        <f>BK309</f>
        <v>83.324999999999989</v>
      </c>
      <c r="BR309" s="464">
        <f t="shared" ref="BR309:BT309" si="1019">BL309</f>
        <v>82.076102531444036</v>
      </c>
      <c r="BS309" s="464">
        <f t="shared" si="1019"/>
        <v>84.385741565881602</v>
      </c>
      <c r="BT309" s="466">
        <f t="shared" si="1019"/>
        <v>69.619637328615653</v>
      </c>
      <c r="BU309" s="759">
        <f>BU308/BU77*(360)</f>
        <v>74.881593573306944</v>
      </c>
      <c r="BV309" s="465"/>
      <c r="BW309" s="464"/>
      <c r="BX309" s="464"/>
      <c r="BY309" s="466"/>
      <c r="BZ309" s="463">
        <f>BU309</f>
        <v>74.881593573306944</v>
      </c>
      <c r="CA309" s="465"/>
      <c r="CB309" s="464"/>
      <c r="CC309" s="464"/>
      <c r="CD309" s="466"/>
      <c r="CE309" s="463">
        <f>BZ309</f>
        <v>74.881593573306944</v>
      </c>
      <c r="CF309" s="465"/>
      <c r="CG309" s="464"/>
      <c r="CH309" s="464"/>
      <c r="CI309" s="466"/>
      <c r="CJ309" s="463">
        <f>CE309</f>
        <v>74.881593573306944</v>
      </c>
      <c r="CK309" s="467"/>
      <c r="CL309" s="746"/>
      <c r="CM309" s="992"/>
      <c r="CN309" s="682"/>
      <c r="CO309" s="992"/>
      <c r="CP309" s="992"/>
      <c r="CQ309" s="992"/>
      <c r="CR309" s="992"/>
      <c r="CS309" s="992"/>
      <c r="CT309" s="467"/>
      <c r="CX309"/>
      <c r="CY309"/>
      <c r="CZ309"/>
      <c r="DA309"/>
      <c r="DB309"/>
      <c r="DC309"/>
    </row>
    <row r="310" spans="1:107" s="180" customFormat="1">
      <c r="A310" s="171" t="s">
        <v>125</v>
      </c>
      <c r="B310" s="176">
        <v>2177</v>
      </c>
      <c r="C310" s="176">
        <v>2032</v>
      </c>
      <c r="D310" s="176">
        <v>1998</v>
      </c>
      <c r="E310" s="176">
        <v>1745</v>
      </c>
      <c r="F310" s="176">
        <v>460</v>
      </c>
      <c r="G310" s="176">
        <v>487</v>
      </c>
      <c r="H310" s="177">
        <v>499</v>
      </c>
      <c r="I310" s="177">
        <v>537</v>
      </c>
      <c r="J310" s="177">
        <v>543</v>
      </c>
      <c r="K310" s="177">
        <v>386</v>
      </c>
      <c r="L310" s="176">
        <f>K310</f>
        <v>386</v>
      </c>
      <c r="M310" s="177">
        <v>385</v>
      </c>
      <c r="N310" s="177">
        <v>379</v>
      </c>
      <c r="O310" s="177">
        <v>356</v>
      </c>
      <c r="P310" s="177">
        <v>325</v>
      </c>
      <c r="Q310" s="176">
        <f>P310</f>
        <v>325</v>
      </c>
      <c r="R310" s="177">
        <v>275</v>
      </c>
      <c r="S310" s="177">
        <v>294</v>
      </c>
      <c r="T310" s="177">
        <v>317</v>
      </c>
      <c r="U310" s="177">
        <v>344</v>
      </c>
      <c r="V310" s="176">
        <f>U310</f>
        <v>344</v>
      </c>
      <c r="W310" s="177">
        <v>329</v>
      </c>
      <c r="X310" s="177">
        <v>330</v>
      </c>
      <c r="Y310" s="177">
        <v>324</v>
      </c>
      <c r="Z310" s="177">
        <v>363</v>
      </c>
      <c r="AA310" s="176">
        <f>Z310</f>
        <v>363</v>
      </c>
      <c r="AB310" s="177">
        <v>422</v>
      </c>
      <c r="AC310" s="177">
        <v>430</v>
      </c>
      <c r="AD310" s="177">
        <v>423</v>
      </c>
      <c r="AE310" s="177">
        <v>336</v>
      </c>
      <c r="AF310" s="176">
        <f>AE310</f>
        <v>336</v>
      </c>
      <c r="AG310" s="177">
        <v>395</v>
      </c>
      <c r="AH310" s="177">
        <v>448</v>
      </c>
      <c r="AI310" s="177">
        <v>482</v>
      </c>
      <c r="AJ310" s="177">
        <v>381</v>
      </c>
      <c r="AK310" s="176">
        <f>AJ310</f>
        <v>381</v>
      </c>
      <c r="AL310" s="177">
        <v>442</v>
      </c>
      <c r="AM310" s="177">
        <v>454</v>
      </c>
      <c r="AN310" s="177">
        <v>405</v>
      </c>
      <c r="AO310" s="177">
        <v>363</v>
      </c>
      <c r="AP310" s="176">
        <f>AO310</f>
        <v>363</v>
      </c>
      <c r="AQ310" s="177">
        <v>363</v>
      </c>
      <c r="AR310" s="177">
        <v>430</v>
      </c>
      <c r="AS310" s="177">
        <v>522</v>
      </c>
      <c r="AT310" s="177">
        <v>414</v>
      </c>
      <c r="AU310" s="176">
        <f>AT310</f>
        <v>414</v>
      </c>
      <c r="AV310" s="177"/>
      <c r="AW310" s="177"/>
      <c r="AX310" s="177"/>
      <c r="AY310" s="177"/>
      <c r="AZ310" s="176">
        <v>414</v>
      </c>
      <c r="BA310" s="178">
        <v>506</v>
      </c>
      <c r="BB310" s="177">
        <v>519</v>
      </c>
      <c r="BC310" s="749">
        <v>619</v>
      </c>
      <c r="BD310" s="769">
        <v>635</v>
      </c>
      <c r="BE310" s="727">
        <f>BD310</f>
        <v>635</v>
      </c>
      <c r="BF310" s="750">
        <v>637</v>
      </c>
      <c r="BG310" s="749">
        <v>671</v>
      </c>
      <c r="BH310" s="749">
        <v>651</v>
      </c>
      <c r="BI310" s="769">
        <v>608</v>
      </c>
      <c r="BJ310" s="696">
        <f>BI310</f>
        <v>608</v>
      </c>
      <c r="BK310" s="750">
        <v>599</v>
      </c>
      <c r="BL310" s="667">
        <v>581</v>
      </c>
      <c r="BM310" s="667">
        <v>693</v>
      </c>
      <c r="BN310" s="756">
        <v>594</v>
      </c>
      <c r="BO310" s="696">
        <f>BN310</f>
        <v>594</v>
      </c>
      <c r="BP310" s="696">
        <f>BO310</f>
        <v>594</v>
      </c>
      <c r="BQ310" s="178">
        <f t="shared" ref="BQ310:BT310" si="1020">BQ311*BQ203*4</f>
        <v>522.10280395333325</v>
      </c>
      <c r="BR310" s="177">
        <f t="shared" si="1020"/>
        <v>511.39480508199335</v>
      </c>
      <c r="BS310" s="177">
        <f t="shared" si="1020"/>
        <v>608.70340335534695</v>
      </c>
      <c r="BT310" s="179">
        <f t="shared" si="1020"/>
        <v>523.2032491685095</v>
      </c>
      <c r="BU310" s="696">
        <f>BT310</f>
        <v>523.2032491685095</v>
      </c>
      <c r="BV310" s="178"/>
      <c r="BW310" s="177"/>
      <c r="BX310" s="177"/>
      <c r="BY310" s="179"/>
      <c r="BZ310" s="176">
        <f>BZ311*BZ203</f>
        <v>457.26068920821808</v>
      </c>
      <c r="CA310" s="178"/>
      <c r="CB310" s="177"/>
      <c r="CC310" s="177"/>
      <c r="CD310" s="179"/>
      <c r="CE310" s="176">
        <f>CE311*CE203</f>
        <v>483.73831561895253</v>
      </c>
      <c r="CF310" s="178"/>
      <c r="CG310" s="177"/>
      <c r="CH310" s="177"/>
      <c r="CI310" s="179"/>
      <c r="CJ310" s="176">
        <f>CJ311*CJ203</f>
        <v>512.14370678236833</v>
      </c>
      <c r="CK310" s="291"/>
      <c r="CL310" s="679"/>
      <c r="CM310" s="657"/>
      <c r="CN310" s="682"/>
      <c r="CO310" s="657"/>
      <c r="CP310" s="657"/>
      <c r="CQ310" s="657"/>
      <c r="CR310" s="657"/>
      <c r="CS310" s="657"/>
      <c r="CT310" s="291"/>
      <c r="CX310"/>
      <c r="CY310"/>
      <c r="CZ310"/>
      <c r="DA310"/>
      <c r="DB310"/>
      <c r="DC310"/>
    </row>
    <row r="311" spans="1:107" s="247" customFormat="1">
      <c r="A311" s="275" t="s">
        <v>227</v>
      </c>
      <c r="B311" s="230">
        <f t="shared" ref="B311:G311" si="1021">B310/B77</f>
        <v>0.13591808703252795</v>
      </c>
      <c r="C311" s="230">
        <f t="shared" si="1021"/>
        <v>0.12124105011933174</v>
      </c>
      <c r="D311" s="230">
        <f t="shared" si="1021"/>
        <v>0.11033187917610028</v>
      </c>
      <c r="E311" s="230">
        <f t="shared" si="1021"/>
        <v>9.7896213183730721E-2</v>
      </c>
      <c r="F311" s="230">
        <f t="shared" si="1021"/>
        <v>2.4876967173219404E-2</v>
      </c>
      <c r="G311" s="230">
        <f t="shared" si="1021"/>
        <v>2.4712031257928656E-2</v>
      </c>
      <c r="H311" s="247">
        <f>H310/H77/4</f>
        <v>2.5967943380516237E-2</v>
      </c>
      <c r="I311" s="247">
        <f>I310/I77/4</f>
        <v>2.5435771125426297E-2</v>
      </c>
      <c r="J311" s="247">
        <f>J310/J77/4</f>
        <v>2.6010730024908987E-2</v>
      </c>
      <c r="K311" s="247">
        <f>K310/K77/4</f>
        <v>1.6083333333333335E-2</v>
      </c>
      <c r="L311" s="230">
        <f>L310/L77</f>
        <v>1.8121214966433499E-2</v>
      </c>
      <c r="M311" s="247">
        <f>M310/M77/4</f>
        <v>1.7977213298468436E-2</v>
      </c>
      <c r="N311" s="247">
        <f>N310/N77/4</f>
        <v>1.6141396933560478E-2</v>
      </c>
      <c r="O311" s="247">
        <f>O310/O77/4</f>
        <v>1.5177353342428377E-2</v>
      </c>
      <c r="P311" s="247">
        <f>P310/P77/4</f>
        <v>1.3350312191915872E-2</v>
      </c>
      <c r="Q311" s="230">
        <f>Q310/Q77</f>
        <v>1.4024337619746268E-2</v>
      </c>
      <c r="R311" s="247">
        <f>R310/R77/4</f>
        <v>1.1684228416043508E-2</v>
      </c>
      <c r="S311" s="247">
        <f>S310/S77/4</f>
        <v>1.2E-2</v>
      </c>
      <c r="T311" s="247">
        <f>T310/T77/4</f>
        <v>1.2771958098307817E-2</v>
      </c>
      <c r="U311" s="247">
        <f>U310/U77/4</f>
        <v>1.2899355032248387E-2</v>
      </c>
      <c r="V311" s="230">
        <f>V310/V77</f>
        <v>1.3825810859692134E-2</v>
      </c>
      <c r="W311" s="247">
        <f>W310/W77/4</f>
        <v>1.3588303320667438E-2</v>
      </c>
      <c r="X311" s="247">
        <f>X310/X77/4</f>
        <v>1.3812154696132596E-2</v>
      </c>
      <c r="Y311" s="247">
        <f>Y310/Y77/4</f>
        <v>1.2914540816326531E-2</v>
      </c>
      <c r="Z311" s="247">
        <f>Z310/Z77/4</f>
        <v>1.3180827886710239E-2</v>
      </c>
      <c r="AA311" s="230">
        <f>AA310/AA77</f>
        <v>1.4414485962752651E-2</v>
      </c>
      <c r="AB311" s="247">
        <f>AB310/AB77/4</f>
        <v>1.7432253800396563E-2</v>
      </c>
      <c r="AC311" s="247">
        <f>AC310/AC77/4</f>
        <v>1.7335913562328657E-2</v>
      </c>
      <c r="AD311" s="247">
        <f>AD310/AD77/4</f>
        <v>1.7290712884238064E-2</v>
      </c>
      <c r="AE311" s="247">
        <f>AE310/AE77/4</f>
        <v>1.3080037371535347E-2</v>
      </c>
      <c r="AF311" s="230">
        <f>AF310/AF77</f>
        <v>1.3553305635109515E-2</v>
      </c>
      <c r="AG311" s="247">
        <f>AG310/AG77/4</f>
        <v>1.6630178511283261E-2</v>
      </c>
      <c r="AH311" s="247">
        <f>AH310/AH77/4</f>
        <v>1.8691588785046728E-2</v>
      </c>
      <c r="AI311" s="247">
        <f>AI310/AI77/4</f>
        <v>1.9933829611248965E-2</v>
      </c>
      <c r="AJ311" s="247">
        <f>AJ310/AJ77/4</f>
        <v>1.4792669669203293E-2</v>
      </c>
      <c r="AK311" s="230">
        <f>AK310/AK77</f>
        <v>1.5605799950847874E-2</v>
      </c>
      <c r="AL311" s="247">
        <f>AL310/AL77/4</f>
        <v>1.8795713556727333E-2</v>
      </c>
      <c r="AM311" s="247">
        <f>AM310/AM77/4</f>
        <v>1.8560915780866723E-2</v>
      </c>
      <c r="AN311" s="247">
        <f>AN310/AN77/4</f>
        <v>1.733139335843889E-2</v>
      </c>
      <c r="AO311" s="247">
        <f>AO310/AO77/4</f>
        <v>1.5459965928449745E-2</v>
      </c>
      <c r="AP311" s="230">
        <f>AP310/AP77</f>
        <v>1.5256588072122053E-2</v>
      </c>
      <c r="AQ311" s="247">
        <f>AQ310/AQ77/4</f>
        <v>1.6476034858387799E-2</v>
      </c>
      <c r="AR311" s="247">
        <f>AR310/AR77/4</f>
        <v>1.8856340992808279E-2</v>
      </c>
      <c r="AS311" s="247">
        <f>AS310/AS77/4</f>
        <v>2.3839970770917061E-2</v>
      </c>
      <c r="AT311" s="247">
        <f>AT310/AT77/4</f>
        <v>1.6848445384991046E-2</v>
      </c>
      <c r="AU311" s="230">
        <f>AU310/AU77</f>
        <v>1.8137211951283625E-2</v>
      </c>
      <c r="AZ311" s="230">
        <f>AZ310/AZ77</f>
        <v>1.8137211951283625E-2</v>
      </c>
      <c r="BA311" s="247">
        <f>BA310/BA77/4</f>
        <v>2.3922087745839638E-2</v>
      </c>
      <c r="BB311" s="247">
        <f>BB310/BB77/4</f>
        <v>2.2187072503419971E-2</v>
      </c>
      <c r="BC311" s="920">
        <f>BC310/BC77/4</f>
        <v>2.6759467404461352E-2</v>
      </c>
      <c r="BD311" s="909">
        <f>BD310/BD77/4</f>
        <v>2.508691529709229E-2</v>
      </c>
      <c r="BE311" s="947">
        <f>BE310/BE77</f>
        <v>2.7315352518604553E-2</v>
      </c>
      <c r="BF311" s="908">
        <f>BF310/BF77/4</f>
        <v>2.7447431920027576E-2</v>
      </c>
      <c r="BG311" s="920">
        <f>BG310/BG77/4</f>
        <v>2.7796188898094449E-2</v>
      </c>
      <c r="BH311" s="920">
        <f>BH310/BH77/4</f>
        <v>2.6976628543013425E-2</v>
      </c>
      <c r="BI311" s="909">
        <f>BI310/BI77/4</f>
        <v>2.4508223153821347E-2</v>
      </c>
      <c r="BJ311" s="760">
        <f>BJ310/BJ77</f>
        <v>2.5257560651379195E-2</v>
      </c>
      <c r="BK311" s="920">
        <f>BK310/BK77/4</f>
        <v>2.4958333333333332E-2</v>
      </c>
      <c r="BL311" s="724">
        <f>BL310/BL77/4</f>
        <v>2.3125298519344053E-2</v>
      </c>
      <c r="BM311" s="724">
        <f>BM310/BM77/4</f>
        <v>2.7570019096117122E-2</v>
      </c>
      <c r="BN311" s="1059">
        <f>BN310/BN77/4</f>
        <v>2.189296771340115E-2</v>
      </c>
      <c r="BO311" s="760">
        <f>BO310/BO77</f>
        <v>2.3433801483351745E-2</v>
      </c>
      <c r="BP311" s="760">
        <f>BP310/BP77</f>
        <v>2.3433801483351745E-2</v>
      </c>
      <c r="BQ311" s="277">
        <f>BK311</f>
        <v>2.4958333333333332E-2</v>
      </c>
      <c r="BR311" s="278">
        <f>BL311</f>
        <v>2.3125298519344053E-2</v>
      </c>
      <c r="BS311" s="278">
        <f>BM311</f>
        <v>2.7570019096117122E-2</v>
      </c>
      <c r="BT311" s="279">
        <f>BN311</f>
        <v>2.189296771340115E-2</v>
      </c>
      <c r="BU311" s="760">
        <f>BU310/BU77</f>
        <v>1.9515385162287787E-2</v>
      </c>
      <c r="BV311" s="277"/>
      <c r="BW311" s="278"/>
      <c r="BX311" s="278"/>
      <c r="BY311" s="279"/>
      <c r="BZ311" s="276">
        <f>+BU311</f>
        <v>1.9515385162287787E-2</v>
      </c>
      <c r="CA311" s="277" t="e">
        <f>CA310/CA77</f>
        <v>#DIV/0!</v>
      </c>
      <c r="CB311" s="278" t="e">
        <f>CB310/CB77</f>
        <v>#DIV/0!</v>
      </c>
      <c r="CC311" s="278" t="e">
        <f>CC310/CC77</f>
        <v>#DIV/0!</v>
      </c>
      <c r="CD311" s="279" t="e">
        <f>CD310/CD77</f>
        <v>#DIV/0!</v>
      </c>
      <c r="CE311" s="276">
        <f>+BZ311</f>
        <v>1.9515385162287787E-2</v>
      </c>
      <c r="CF311" s="277" t="e">
        <f>CF310/CF77</f>
        <v>#DIV/0!</v>
      </c>
      <c r="CG311" s="278" t="e">
        <f>CG310/CG77</f>
        <v>#DIV/0!</v>
      </c>
      <c r="CH311" s="278" t="e">
        <f>CH310/CH77</f>
        <v>#DIV/0!</v>
      </c>
      <c r="CI311" s="279" t="e">
        <f>CI310/CI77</f>
        <v>#DIV/0!</v>
      </c>
      <c r="CJ311" s="276">
        <f>+CE311</f>
        <v>1.9515385162287787E-2</v>
      </c>
      <c r="CK311" s="294"/>
      <c r="CL311" s="681"/>
      <c r="CM311" s="681"/>
      <c r="CN311" s="987"/>
      <c r="CO311" s="681"/>
      <c r="CP311" s="681"/>
      <c r="CQ311" s="681"/>
      <c r="CR311" s="681"/>
      <c r="CS311" s="681"/>
      <c r="CT311" s="294"/>
      <c r="CX311"/>
      <c r="CY311"/>
      <c r="CZ311"/>
      <c r="DA311"/>
      <c r="DB311"/>
      <c r="DC311"/>
    </row>
    <row r="312" spans="1:107" s="180" customFormat="1">
      <c r="A312" s="171" t="s">
        <v>51</v>
      </c>
      <c r="B312" s="176">
        <v>620</v>
      </c>
      <c r="C312" s="176">
        <v>601</v>
      </c>
      <c r="D312" s="176">
        <v>466</v>
      </c>
      <c r="E312" s="176">
        <v>469</v>
      </c>
      <c r="F312" s="176">
        <v>355</v>
      </c>
      <c r="G312" s="176">
        <v>257</v>
      </c>
      <c r="H312" s="177">
        <v>240</v>
      </c>
      <c r="I312" s="177">
        <v>227</v>
      </c>
      <c r="J312" s="177">
        <v>215</v>
      </c>
      <c r="K312" s="177">
        <v>432</v>
      </c>
      <c r="L312" s="176">
        <f>K312</f>
        <v>432</v>
      </c>
      <c r="M312" s="177">
        <v>436</v>
      </c>
      <c r="N312" s="177">
        <v>440</v>
      </c>
      <c r="O312" s="177">
        <v>452</v>
      </c>
      <c r="P312" s="177">
        <v>395</v>
      </c>
      <c r="Q312" s="176">
        <f>P312</f>
        <v>395</v>
      </c>
      <c r="R312" s="177">
        <v>390</v>
      </c>
      <c r="S312" s="177">
        <v>387</v>
      </c>
      <c r="T312" s="177">
        <v>382</v>
      </c>
      <c r="U312" s="177">
        <v>273</v>
      </c>
      <c r="V312" s="176">
        <f>U312</f>
        <v>273</v>
      </c>
      <c r="W312" s="177">
        <v>266</v>
      </c>
      <c r="X312" s="177">
        <v>301</v>
      </c>
      <c r="Y312" s="177">
        <v>328</v>
      </c>
      <c r="Z312" s="177">
        <v>266</v>
      </c>
      <c r="AA312" s="176">
        <f>Z312</f>
        <v>266</v>
      </c>
      <c r="AB312" s="177">
        <v>287</v>
      </c>
      <c r="AC312" s="177">
        <v>301</v>
      </c>
      <c r="AD312" s="177">
        <v>148</v>
      </c>
      <c r="AE312" s="177">
        <v>221</v>
      </c>
      <c r="AF312" s="176">
        <f>AE312</f>
        <v>221</v>
      </c>
      <c r="AG312" s="177">
        <v>229</v>
      </c>
      <c r="AH312" s="177">
        <v>177</v>
      </c>
      <c r="AI312" s="177">
        <v>83</v>
      </c>
      <c r="AJ312" s="177">
        <v>96</v>
      </c>
      <c r="AK312" s="176">
        <f>AJ312</f>
        <v>96</v>
      </c>
      <c r="AL312" s="177">
        <v>102</v>
      </c>
      <c r="AM312" s="177">
        <v>90</v>
      </c>
      <c r="AN312" s="136">
        <v>75</v>
      </c>
      <c r="AO312" s="136">
        <v>24</v>
      </c>
      <c r="AP312" s="137">
        <f>AO312</f>
        <v>24</v>
      </c>
      <c r="AQ312" s="177">
        <v>0</v>
      </c>
      <c r="AR312" s="177">
        <v>0</v>
      </c>
      <c r="AS312" s="177">
        <v>0</v>
      </c>
      <c r="AT312" s="668">
        <v>0</v>
      </c>
      <c r="AU312" s="137">
        <f>AT312</f>
        <v>0</v>
      </c>
      <c r="AV312" s="177"/>
      <c r="AW312" s="177"/>
      <c r="AX312" s="177"/>
      <c r="AY312" s="668"/>
      <c r="AZ312" s="137">
        <v>0</v>
      </c>
      <c r="BA312" s="721">
        <v>0</v>
      </c>
      <c r="BB312" s="668">
        <v>0</v>
      </c>
      <c r="BC312" s="749">
        <v>0</v>
      </c>
      <c r="BD312" s="769">
        <v>0</v>
      </c>
      <c r="BE312" s="727">
        <f>BD312</f>
        <v>0</v>
      </c>
      <c r="BF312" s="750">
        <v>0</v>
      </c>
      <c r="BG312" s="749">
        <v>0</v>
      </c>
      <c r="BH312" s="749">
        <v>0</v>
      </c>
      <c r="BI312" s="769">
        <v>0</v>
      </c>
      <c r="BJ312" s="727">
        <f>BI312</f>
        <v>0</v>
      </c>
      <c r="BK312" s="750">
        <v>0</v>
      </c>
      <c r="BL312" s="668">
        <v>0</v>
      </c>
      <c r="BM312" s="668">
        <v>0</v>
      </c>
      <c r="BN312" s="757">
        <v>0</v>
      </c>
      <c r="BO312" s="137">
        <f>BJ312</f>
        <v>0</v>
      </c>
      <c r="BP312" s="137">
        <f>BO312</f>
        <v>0</v>
      </c>
      <c r="BQ312" s="455">
        <v>0</v>
      </c>
      <c r="BR312" s="136">
        <v>0</v>
      </c>
      <c r="BS312" s="136">
        <v>0</v>
      </c>
      <c r="BT312" s="138">
        <v>0</v>
      </c>
      <c r="BU312" s="137">
        <f>BO312</f>
        <v>0</v>
      </c>
      <c r="BV312" s="455"/>
      <c r="BW312" s="136"/>
      <c r="BX312" s="136"/>
      <c r="BY312" s="138"/>
      <c r="BZ312" s="137">
        <f>BU312</f>
        <v>0</v>
      </c>
      <c r="CA312" s="455"/>
      <c r="CB312" s="136"/>
      <c r="CC312" s="136"/>
      <c r="CD312" s="138"/>
      <c r="CE312" s="137">
        <f>BZ312</f>
        <v>0</v>
      </c>
      <c r="CF312" s="455"/>
      <c r="CG312" s="136"/>
      <c r="CH312" s="136"/>
      <c r="CI312" s="138"/>
      <c r="CJ312" s="137">
        <f>CE312</f>
        <v>0</v>
      </c>
      <c r="CK312" s="291"/>
      <c r="CL312" s="679"/>
      <c r="CM312" s="657"/>
      <c r="CN312" s="682"/>
      <c r="CO312" s="657"/>
      <c r="CP312" s="657"/>
      <c r="CQ312" s="657"/>
      <c r="CR312" s="657"/>
      <c r="CS312" s="657"/>
      <c r="CT312" s="291"/>
      <c r="CX312"/>
      <c r="CY312"/>
      <c r="CZ312"/>
      <c r="DA312"/>
      <c r="DB312"/>
      <c r="DC312"/>
    </row>
    <row r="313" spans="1:107" s="180" customFormat="1">
      <c r="A313" s="171" t="s">
        <v>52</v>
      </c>
      <c r="B313" s="176">
        <f t="shared" ref="B313:AO313" si="1022">B315-B306-B307-B310-B312-B308</f>
        <v>1952</v>
      </c>
      <c r="C313" s="176">
        <f t="shared" si="1022"/>
        <v>322</v>
      </c>
      <c r="D313" s="176">
        <f t="shared" si="1022"/>
        <v>213</v>
      </c>
      <c r="E313" s="176">
        <f t="shared" si="1022"/>
        <v>362</v>
      </c>
      <c r="F313" s="176">
        <f t="shared" si="1022"/>
        <v>2628</v>
      </c>
      <c r="G313" s="176">
        <f t="shared" si="1022"/>
        <v>2535</v>
      </c>
      <c r="H313" s="177">
        <f t="shared" si="1022"/>
        <v>2631</v>
      </c>
      <c r="I313" s="177">
        <f t="shared" si="1022"/>
        <v>244</v>
      </c>
      <c r="J313" s="177">
        <f t="shared" si="1022"/>
        <v>391</v>
      </c>
      <c r="K313" s="177">
        <f t="shared" si="1022"/>
        <v>196</v>
      </c>
      <c r="L313" s="176">
        <f t="shared" si="1022"/>
        <v>196</v>
      </c>
      <c r="M313" s="177">
        <f t="shared" si="1022"/>
        <v>193</v>
      </c>
      <c r="N313" s="177">
        <f t="shared" si="1022"/>
        <v>129</v>
      </c>
      <c r="O313" s="177">
        <f t="shared" si="1022"/>
        <v>113</v>
      </c>
      <c r="P313" s="177">
        <f t="shared" si="1022"/>
        <v>540</v>
      </c>
      <c r="Q313" s="176">
        <f t="shared" si="1022"/>
        <v>540</v>
      </c>
      <c r="R313" s="177">
        <f t="shared" si="1022"/>
        <v>101</v>
      </c>
      <c r="S313" s="177">
        <f t="shared" si="1022"/>
        <v>106</v>
      </c>
      <c r="T313" s="177">
        <f t="shared" si="1022"/>
        <v>96</v>
      </c>
      <c r="U313" s="177">
        <f t="shared" si="1022"/>
        <v>116</v>
      </c>
      <c r="V313" s="176">
        <f t="shared" si="1022"/>
        <v>116</v>
      </c>
      <c r="W313" s="177">
        <f t="shared" si="1022"/>
        <v>116</v>
      </c>
      <c r="X313" s="177">
        <f t="shared" si="1022"/>
        <v>112</v>
      </c>
      <c r="Y313" s="177">
        <f t="shared" si="1022"/>
        <v>118</v>
      </c>
      <c r="Z313" s="177">
        <f t="shared" si="1022"/>
        <v>141</v>
      </c>
      <c r="AA313" s="176">
        <f t="shared" si="1022"/>
        <v>141</v>
      </c>
      <c r="AB313" s="177">
        <f t="shared" si="1022"/>
        <v>242</v>
      </c>
      <c r="AC313" s="177">
        <f t="shared" si="1022"/>
        <v>266</v>
      </c>
      <c r="AD313" s="177">
        <f t="shared" si="1022"/>
        <v>149</v>
      </c>
      <c r="AE313" s="177">
        <f t="shared" si="1022"/>
        <v>226</v>
      </c>
      <c r="AF313" s="176">
        <f t="shared" si="1022"/>
        <v>226</v>
      </c>
      <c r="AG313" s="177">
        <f t="shared" si="1022"/>
        <v>182</v>
      </c>
      <c r="AH313" s="177">
        <f t="shared" si="1022"/>
        <v>750</v>
      </c>
      <c r="AI313" s="177">
        <f t="shared" si="1022"/>
        <v>874</v>
      </c>
      <c r="AJ313" s="177">
        <f t="shared" si="1022"/>
        <v>1038</v>
      </c>
      <c r="AK313" s="176">
        <f t="shared" si="1022"/>
        <v>1038</v>
      </c>
      <c r="AL313" s="177">
        <f t="shared" si="1022"/>
        <v>981</v>
      </c>
      <c r="AM313" s="177">
        <f t="shared" si="1022"/>
        <v>1109</v>
      </c>
      <c r="AN313" s="177">
        <f t="shared" si="1022"/>
        <v>1082</v>
      </c>
      <c r="AO313" s="177">
        <f t="shared" si="1022"/>
        <v>1263</v>
      </c>
      <c r="AP313" s="176">
        <f>AO313</f>
        <v>1263</v>
      </c>
      <c r="AQ313" s="177">
        <f>AQ315-AQ306-AQ307-AQ310-AQ312-AQ308</f>
        <v>1829</v>
      </c>
      <c r="AR313" s="177">
        <f>AR315-AR306-AR307-AR310-AR312-AR308</f>
        <v>1242</v>
      </c>
      <c r="AS313" s="177">
        <f>AS315-AS306-AS307-AS310-AS312-AS308</f>
        <v>1789</v>
      </c>
      <c r="AT313" s="177">
        <f>AT315-AT306-AT307-AT310-AT312-AT308</f>
        <v>1671</v>
      </c>
      <c r="AU313" s="176">
        <f>AT313</f>
        <v>1671</v>
      </c>
      <c r="AV313" s="177"/>
      <c r="AW313" s="177"/>
      <c r="AX313" s="177"/>
      <c r="AY313" s="177"/>
      <c r="AZ313" s="176">
        <f>AZ315-AZ306-AZ307-AZ310-AZ312-AZ308</f>
        <v>1671</v>
      </c>
      <c r="BA313" s="177">
        <f>BA315-BA306-BA307-BA310-BA312-BA308</f>
        <v>1606</v>
      </c>
      <c r="BB313" s="177">
        <f>BB315-BB306-BB307-BB310-BB312-BB308</f>
        <v>843</v>
      </c>
      <c r="BC313" s="749">
        <f>BC315-BC306-BC307-BC310-BC312-BC308</f>
        <v>807</v>
      </c>
      <c r="BD313" s="749">
        <f>BD315-BD306-BD307-BD310-BD312-BD308</f>
        <v>1285</v>
      </c>
      <c r="BE313" s="727">
        <f>BD313</f>
        <v>1285</v>
      </c>
      <c r="BF313" s="750">
        <f>BF315-BF306-BF307-BF310-BF312-BF308</f>
        <v>906</v>
      </c>
      <c r="BG313" s="749">
        <f>BG315-BG306-BG307-BG310-BG312-BG308</f>
        <v>914</v>
      </c>
      <c r="BH313" s="749">
        <f>BH315-BH306-BH307-BH310-BH312-BH308</f>
        <v>693</v>
      </c>
      <c r="BI313" s="769">
        <f>BI315-BI306-BI307-BI310-BI312-BI308</f>
        <v>770</v>
      </c>
      <c r="BJ313" s="696">
        <f>BI313</f>
        <v>770</v>
      </c>
      <c r="BK313" s="749">
        <f>BK315-BK306-BK307-BK310-BK312-BK308</f>
        <v>856</v>
      </c>
      <c r="BL313" s="667">
        <f>BL315-BL306-BL307-BL310-BL312-BL308</f>
        <v>901</v>
      </c>
      <c r="BM313" s="667">
        <f>BM315-BM306-BM307-BM310-BM312-BM308</f>
        <v>489</v>
      </c>
      <c r="BN313" s="756">
        <f>BN315-BN306-BN307-BN310-BN312-BN308</f>
        <v>1058</v>
      </c>
      <c r="BO313" s="176">
        <f>+BN313</f>
        <v>1058</v>
      </c>
      <c r="BP313" s="176">
        <f>+BO313</f>
        <v>1058</v>
      </c>
      <c r="BQ313" s="178">
        <f t="shared" ref="BQ313:BT313" si="1023">BQ314*BQ201*4</f>
        <v>897.99501759999987</v>
      </c>
      <c r="BR313" s="177">
        <f t="shared" si="1023"/>
        <v>955.45094018468399</v>
      </c>
      <c r="BS313" s="177">
        <f t="shared" si="1023"/>
        <v>517.15514576304895</v>
      </c>
      <c r="BT313" s="179">
        <f t="shared" si="1023"/>
        <v>1124.4508735146692</v>
      </c>
      <c r="BU313" s="176">
        <f>+BT313</f>
        <v>1124.4508735146692</v>
      </c>
      <c r="BV313" s="178"/>
      <c r="BW313" s="177"/>
      <c r="BX313" s="177"/>
      <c r="BY313" s="179"/>
      <c r="BZ313" s="176">
        <f>BZ314*BZ201</f>
        <v>1327.1319233502993</v>
      </c>
      <c r="CA313" s="178"/>
      <c r="CB313" s="177"/>
      <c r="CC313" s="177"/>
      <c r="CD313" s="179"/>
      <c r="CE313" s="176">
        <f>CE314*CE201</f>
        <v>1344.6372624986252</v>
      </c>
      <c r="CF313" s="178"/>
      <c r="CG313" s="177"/>
      <c r="CH313" s="177"/>
      <c r="CI313" s="179"/>
      <c r="CJ313" s="176">
        <f>CJ314*CJ201</f>
        <v>1421.5606556459315</v>
      </c>
      <c r="CK313" s="291"/>
      <c r="CL313" s="679"/>
      <c r="CM313" s="657"/>
      <c r="CN313" s="682"/>
      <c r="CO313" s="657"/>
      <c r="CP313" s="657"/>
      <c r="CQ313" s="657"/>
      <c r="CR313" s="657"/>
      <c r="CS313" s="657"/>
      <c r="CT313" s="291"/>
      <c r="CX313"/>
      <c r="CY313"/>
      <c r="CZ313"/>
      <c r="DA313"/>
      <c r="DB313"/>
      <c r="DC313"/>
    </row>
    <row r="314" spans="1:107" s="247" customFormat="1">
      <c r="A314" s="275" t="s">
        <v>113</v>
      </c>
      <c r="B314" s="230">
        <f t="shared" ref="B314:G314" si="1024">B313/B201</f>
        <v>0.12187051258038334</v>
      </c>
      <c r="C314" s="230">
        <f t="shared" si="1024"/>
        <v>1.9212410501193319E-2</v>
      </c>
      <c r="D314" s="230">
        <f t="shared" si="1024"/>
        <v>1.1762107239494174E-2</v>
      </c>
      <c r="E314" s="230">
        <f t="shared" si="1024"/>
        <v>2.0308555399719496E-2</v>
      </c>
      <c r="F314" s="230">
        <f t="shared" si="1024"/>
        <v>0.14212319506787086</v>
      </c>
      <c r="G314" s="230">
        <f t="shared" si="1024"/>
        <v>0.12863449535697977</v>
      </c>
      <c r="H314" s="247">
        <f>H313/H201/4</f>
        <v>0.13691715237302249</v>
      </c>
      <c r="I314" s="247">
        <f>I313/I201/4</f>
        <v>1.1557408109132247E-2</v>
      </c>
      <c r="J314" s="247">
        <f>J313/J201/4</f>
        <v>1.8729641693811076E-2</v>
      </c>
      <c r="K314" s="247">
        <f>K313/K201/4</f>
        <v>8.1666666666666658E-3</v>
      </c>
      <c r="L314" s="230">
        <f>L313/L201</f>
        <v>9.2014459415050934E-3</v>
      </c>
      <c r="M314" s="247">
        <f>M313/M201/4</f>
        <v>9.0119536794919693E-3</v>
      </c>
      <c r="N314" s="247">
        <f>N313/N201/4</f>
        <v>5.4940374787052814E-3</v>
      </c>
      <c r="O314" s="247">
        <f>O313/O201/4</f>
        <v>4.8175306957708051E-3</v>
      </c>
      <c r="P314" s="247">
        <f>P313/P201/4</f>
        <v>2.2182057180414064E-2</v>
      </c>
      <c r="Q314" s="230">
        <f>Q313/Q201</f>
        <v>2.3301976352809183E-2</v>
      </c>
      <c r="R314" s="247">
        <f>R313/R201/4</f>
        <v>4.2912984364377972E-3</v>
      </c>
      <c r="S314" s="247">
        <f>S313/S201/4</f>
        <v>4.3265306122448983E-3</v>
      </c>
      <c r="T314" s="247">
        <f>T313/T201/4</f>
        <v>3.8678485092667205E-3</v>
      </c>
      <c r="U314" s="247">
        <f>U313/U201/4</f>
        <v>4.3497825108744564E-3</v>
      </c>
      <c r="V314" s="230">
        <f>V313/V201</f>
        <v>4.6621920340822317E-3</v>
      </c>
      <c r="W314" s="247">
        <f>W313/W201/4</f>
        <v>4.7910127209648112E-3</v>
      </c>
      <c r="X314" s="247">
        <f>X313/X201/4</f>
        <v>4.6877615938389419E-3</v>
      </c>
      <c r="Y314" s="247">
        <f>Y313/Y201/4</f>
        <v>4.7034438775510204E-3</v>
      </c>
      <c r="Z314" s="247">
        <f>Z313/Z201/4</f>
        <v>5.1198257080610019E-3</v>
      </c>
      <c r="AA314" s="230">
        <f>AA313/AA201</f>
        <v>5.5990152086725174E-3</v>
      </c>
      <c r="AB314" s="247">
        <f>AB313/AB201/4</f>
        <v>9.9966953073364184E-3</v>
      </c>
      <c r="AC314" s="247">
        <f>AC313/AC201/4</f>
        <v>1.072407676181261E-2</v>
      </c>
      <c r="AD314" s="247">
        <f>AD313/AD201/4</f>
        <v>6.0905820797907129E-3</v>
      </c>
      <c r="AE314" s="247">
        <f>AE313/AE201/4</f>
        <v>8.7978822796636567E-3</v>
      </c>
      <c r="AF314" s="230">
        <f>AF313/AF201</f>
        <v>9.1162115283772334E-3</v>
      </c>
      <c r="AG314" s="247">
        <f>AG313/AG201/4</f>
        <v>7.6625126305153246E-3</v>
      </c>
      <c r="AH314" s="247">
        <f>AH313/AH201/4</f>
        <v>3.1291722296395194E-2</v>
      </c>
      <c r="AI314" s="247">
        <f>AI313/AI201/4</f>
        <v>3.6145574855252272E-2</v>
      </c>
      <c r="AJ314" s="247">
        <f>AJ313/AJ201/4</f>
        <v>4.0301289020034166E-2</v>
      </c>
      <c r="AK314" s="230">
        <f>AK313/AK201</f>
        <v>4.2516588842467437E-2</v>
      </c>
      <c r="AL314" s="247">
        <f>AL313/AL201/4</f>
        <v>4.1716278278618811E-2</v>
      </c>
      <c r="AM314" s="247">
        <f>AM313/AM201/4</f>
        <v>4.533932951757972E-2</v>
      </c>
      <c r="AN314" s="247">
        <f>AN313/AN201/4</f>
        <v>4.6302636083533036E-2</v>
      </c>
      <c r="AO314" s="247">
        <f>AO313/AO201/4</f>
        <v>5.3790459965928447E-2</v>
      </c>
      <c r="AP314" s="230">
        <f>AP313/AP201</f>
        <v>5.3082839490606479E-2</v>
      </c>
      <c r="AQ314" s="247">
        <f>AQ313/AQ201/4</f>
        <v>8.3015613652868553E-2</v>
      </c>
      <c r="AR314" s="247">
        <f>AR313/AR201/4</f>
        <v>5.4464129100157868E-2</v>
      </c>
      <c r="AS314" s="247">
        <f>AS313/AS201/4</f>
        <v>8.1704420898794303E-2</v>
      </c>
      <c r="AT314" s="247">
        <f>AT313/AT201/4</f>
        <v>6.800423245971024E-2</v>
      </c>
      <c r="AU314" s="230">
        <f>AU313/AU201</f>
        <v>7.3205993165688252E-2</v>
      </c>
      <c r="AZ314" s="230">
        <f>AZ313/AZ201</f>
        <v>7.3205993165688252E-2</v>
      </c>
      <c r="BA314" s="247">
        <f>BA313/BA201/4</f>
        <v>7.5926626323751897E-2</v>
      </c>
      <c r="BB314" s="247">
        <f>BB313/BB201/4</f>
        <v>3.6037961696306429E-2</v>
      </c>
      <c r="BC314" s="920">
        <f>BC313/BC201/4</f>
        <v>3.4886736987722634E-2</v>
      </c>
      <c r="BD314" s="909">
        <f>BD313/BD201/4</f>
        <v>5.0766434892541089E-2</v>
      </c>
      <c r="BE314" s="947">
        <f>BE313/BE201</f>
        <v>5.5275949584892674E-2</v>
      </c>
      <c r="BF314" s="908">
        <f>BF313/BF201/4</f>
        <v>3.9038262668045505E-2</v>
      </c>
      <c r="BG314" s="920">
        <f>BG313/BG201/4</f>
        <v>3.7862468931234468E-2</v>
      </c>
      <c r="BH314" s="920">
        <f>BH313/BH201/4</f>
        <v>2.8717056190949775E-2</v>
      </c>
      <c r="BI314" s="909">
        <f>BI313/BI201/4</f>
        <v>3.1038374717832957E-2</v>
      </c>
      <c r="BJ314" s="760">
        <f>BJ313/BJ201</f>
        <v>3.1987371219674307E-2</v>
      </c>
      <c r="BK314" s="920">
        <f>BK313/BK201/4</f>
        <v>3.5666666666666666E-2</v>
      </c>
      <c r="BL314" s="920">
        <f>BL313/BL201/4</f>
        <v>3.586212386562649E-2</v>
      </c>
      <c r="BM314" s="920">
        <f>BM313/BM201/4</f>
        <v>1.9454169318905156E-2</v>
      </c>
      <c r="BN314" s="1059">
        <f>BN313/BN201/4</f>
        <v>3.8994545186495651E-2</v>
      </c>
      <c r="BO314" s="760">
        <f>BO313/BO201</f>
        <v>4.1738993214454789E-2</v>
      </c>
      <c r="BP314" s="760">
        <f>BP313/BP201</f>
        <v>4.1738993214454789E-2</v>
      </c>
      <c r="BQ314" s="277">
        <f>BK314</f>
        <v>3.5666666666666666E-2</v>
      </c>
      <c r="BR314" s="278">
        <f t="shared" ref="BR314:BT314" si="1025">BL314</f>
        <v>3.586212386562649E-2</v>
      </c>
      <c r="BS314" s="278">
        <f t="shared" si="1025"/>
        <v>1.9454169318905156E-2</v>
      </c>
      <c r="BT314" s="279">
        <f t="shared" si="1025"/>
        <v>3.8994545186495651E-2</v>
      </c>
      <c r="BU314" s="760">
        <f>BU313/BU201</f>
        <v>4.1941811193993796E-2</v>
      </c>
      <c r="BV314" s="277"/>
      <c r="BW314" s="278"/>
      <c r="BX314" s="278"/>
      <c r="BY314" s="279"/>
      <c r="BZ314" s="276">
        <f>+BU314+0.5%</f>
        <v>4.6941811193993793E-2</v>
      </c>
      <c r="CA314" s="277"/>
      <c r="CB314" s="278"/>
      <c r="CC314" s="278"/>
      <c r="CD314" s="279"/>
      <c r="CE314" s="276">
        <v>4.4999999999999998E-2</v>
      </c>
      <c r="CF314" s="277"/>
      <c r="CG314" s="278"/>
      <c r="CH314" s="278"/>
      <c r="CI314" s="279"/>
      <c r="CJ314" s="276">
        <v>4.4999999999999998E-2</v>
      </c>
      <c r="CK314" s="294"/>
      <c r="CL314" s="681"/>
      <c r="CM314" s="681"/>
      <c r="CN314" s="987"/>
      <c r="CO314" s="1026"/>
      <c r="CP314" s="681"/>
      <c r="CQ314" s="681"/>
      <c r="CR314" s="681"/>
      <c r="CS314" s="681"/>
      <c r="CT314" s="294"/>
      <c r="CX314"/>
      <c r="CY314"/>
      <c r="CZ314"/>
      <c r="DA314"/>
      <c r="DB314"/>
      <c r="DC314"/>
    </row>
    <row r="315" spans="1:107" s="180" customFormat="1">
      <c r="A315" s="192" t="s">
        <v>38</v>
      </c>
      <c r="B315" s="193">
        <v>9647</v>
      </c>
      <c r="C315" s="193">
        <v>7190</v>
      </c>
      <c r="D315" s="193">
        <v>7125</v>
      </c>
      <c r="E315" s="193">
        <v>7124</v>
      </c>
      <c r="F315" s="193">
        <v>8313</v>
      </c>
      <c r="G315" s="193">
        <v>9517</v>
      </c>
      <c r="H315" s="192">
        <v>9099</v>
      </c>
      <c r="I315" s="192">
        <v>8150</v>
      </c>
      <c r="J315" s="192">
        <v>7807</v>
      </c>
      <c r="K315" s="192">
        <v>7616</v>
      </c>
      <c r="L315" s="193">
        <f>K315</f>
        <v>7616</v>
      </c>
      <c r="M315" s="192">
        <v>7497</v>
      </c>
      <c r="N315" s="192">
        <v>7981</v>
      </c>
      <c r="O315" s="192">
        <v>8168</v>
      </c>
      <c r="P315" s="192">
        <v>7417</v>
      </c>
      <c r="Q315" s="193">
        <f>P315</f>
        <v>7417</v>
      </c>
      <c r="R315" s="192">
        <v>7339</v>
      </c>
      <c r="S315" s="192">
        <v>7594</v>
      </c>
      <c r="T315" s="192">
        <v>7549</v>
      </c>
      <c r="U315" s="192">
        <v>7868</v>
      </c>
      <c r="V315" s="193">
        <f>U315</f>
        <v>7868</v>
      </c>
      <c r="W315" s="192">
        <v>8179</v>
      </c>
      <c r="X315" s="192">
        <v>7720</v>
      </c>
      <c r="Y315" s="192">
        <v>7525</v>
      </c>
      <c r="Z315" s="192">
        <v>8822</v>
      </c>
      <c r="AA315" s="193">
        <f>Z315</f>
        <v>8822</v>
      </c>
      <c r="AB315" s="192">
        <v>8544</v>
      </c>
      <c r="AC315" s="192">
        <v>8077</v>
      </c>
      <c r="AD315" s="192">
        <v>8112</v>
      </c>
      <c r="AE315" s="192">
        <v>9309</v>
      </c>
      <c r="AF315" s="193">
        <f>AE315</f>
        <v>9309</v>
      </c>
      <c r="AG315" s="192">
        <v>9185</v>
      </c>
      <c r="AH315" s="192">
        <v>8779</v>
      </c>
      <c r="AI315" s="192">
        <v>9260</v>
      </c>
      <c r="AJ315" s="192">
        <v>9246</v>
      </c>
      <c r="AK315" s="193">
        <f>AJ315</f>
        <v>9246</v>
      </c>
      <c r="AL315" s="192">
        <v>9458</v>
      </c>
      <c r="AM315" s="192">
        <v>9276</v>
      </c>
      <c r="AN315" s="192">
        <v>9752</v>
      </c>
      <c r="AO315" s="192">
        <v>9816</v>
      </c>
      <c r="AP315" s="193">
        <f>AP306+AP307+AP310+AP312+AP308+AP313</f>
        <v>9816</v>
      </c>
      <c r="AQ315" s="192">
        <v>10439</v>
      </c>
      <c r="AR315" s="192">
        <v>10299</v>
      </c>
      <c r="AS315" s="192">
        <v>10285</v>
      </c>
      <c r="AT315" s="192">
        <v>10292</v>
      </c>
      <c r="AU315" s="193">
        <f>AU306+AU307+AU310+AU312+AU308+AU313</f>
        <v>10292</v>
      </c>
      <c r="AV315" s="192"/>
      <c r="AW315" s="192"/>
      <c r="AX315" s="192"/>
      <c r="AY315" s="192"/>
      <c r="AZ315" s="193">
        <v>10292</v>
      </c>
      <c r="BA315" s="194">
        <v>10241</v>
      </c>
      <c r="BB315" s="192">
        <v>8704</v>
      </c>
      <c r="BC315" s="742">
        <v>9528</v>
      </c>
      <c r="BD315" s="910">
        <v>9812</v>
      </c>
      <c r="BE315" s="948">
        <f>BE306+BE307+BE310+BE312+BE308+BE313</f>
        <v>9812</v>
      </c>
      <c r="BF315" s="899">
        <v>9359</v>
      </c>
      <c r="BG315" s="742">
        <v>9850</v>
      </c>
      <c r="BH315" s="742">
        <v>10155</v>
      </c>
      <c r="BI315" s="910">
        <v>10885</v>
      </c>
      <c r="BJ315" s="193">
        <f t="shared" ref="BJ315:BO315" si="1026">BJ306+BJ307+BJ310+BJ312+BJ308+BJ313</f>
        <v>10885</v>
      </c>
      <c r="BK315" s="899">
        <v>10515</v>
      </c>
      <c r="BL315" s="192">
        <v>10937</v>
      </c>
      <c r="BM315" s="192">
        <v>10778</v>
      </c>
      <c r="BN315" s="195">
        <v>11326</v>
      </c>
      <c r="BO315" s="193">
        <f t="shared" si="1026"/>
        <v>11326</v>
      </c>
      <c r="BP315" s="193">
        <f t="shared" ref="BP315" si="1027">BP306+BP307+BP310+BP312+BP308+BP313</f>
        <v>11326</v>
      </c>
      <c r="BQ315" s="194">
        <f t="shared" ref="BQ315:BT315" si="1028">BQ306+BQ307+BQ310+BQ312+BQ308+BQ313</f>
        <v>10348.333297875977</v>
      </c>
      <c r="BR315" s="192">
        <f t="shared" si="1028"/>
        <v>10371.259299127156</v>
      </c>
      <c r="BS315" s="192">
        <f t="shared" si="1028"/>
        <v>10289.571996742301</v>
      </c>
      <c r="BT315" s="195">
        <f t="shared" si="1028"/>
        <v>11554.041185667833</v>
      </c>
      <c r="BU315" s="193">
        <f>BU306+BU307+BU310+BU312+BU308+BU313</f>
        <v>11554.041185667833</v>
      </c>
      <c r="BV315" s="194"/>
      <c r="BW315" s="192"/>
      <c r="BX315" s="192"/>
      <c r="BY315" s="195"/>
      <c r="BZ315" s="193">
        <f>BZ306+BZ307+BZ310+BZ312+BZ308+BZ313</f>
        <v>11985.451029743132</v>
      </c>
      <c r="CA315" s="194"/>
      <c r="CB315" s="192"/>
      <c r="CC315" s="192"/>
      <c r="CD315" s="195"/>
      <c r="CE315" s="193">
        <f>CE306+CE307+CE310+CE312+CE308+CE313</f>
        <v>12449.40537279359</v>
      </c>
      <c r="CF315" s="194"/>
      <c r="CG315" s="192"/>
      <c r="CH315" s="192"/>
      <c r="CI315" s="195"/>
      <c r="CJ315" s="193">
        <f>CJ306+CJ307+CJ310+CJ312+CJ308+CJ313</f>
        <v>12755.21808808322</v>
      </c>
      <c r="CK315" s="291"/>
      <c r="CL315" s="679"/>
      <c r="CM315" s="994"/>
      <c r="CN315" s="682"/>
      <c r="CO315" s="994"/>
      <c r="CP315" s="994"/>
      <c r="CQ315" s="994"/>
      <c r="CR315" s="994"/>
      <c r="CS315" s="994"/>
      <c r="CT315" s="291"/>
      <c r="CX315"/>
      <c r="CY315"/>
      <c r="CZ315"/>
      <c r="DA315"/>
      <c r="DB315"/>
      <c r="DC315"/>
    </row>
    <row r="316" spans="1:107" s="180" customFormat="1">
      <c r="A316" s="171" t="s">
        <v>53</v>
      </c>
      <c r="B316" s="170">
        <v>2196</v>
      </c>
      <c r="C316" s="170">
        <v>2396</v>
      </c>
      <c r="D316" s="170">
        <v>2711</v>
      </c>
      <c r="E316" s="170">
        <v>2738</v>
      </c>
      <c r="F316" s="170">
        <v>2136</v>
      </c>
      <c r="G316" s="170">
        <v>2131</v>
      </c>
      <c r="H316" s="171">
        <v>2105</v>
      </c>
      <c r="I316" s="171">
        <v>2086</v>
      </c>
      <c r="J316" s="171">
        <v>2062</v>
      </c>
      <c r="K316" s="171">
        <v>2058</v>
      </c>
      <c r="L316" s="170">
        <f>K316</f>
        <v>2058</v>
      </c>
      <c r="M316" s="171">
        <v>2035</v>
      </c>
      <c r="N316" s="171">
        <v>2021</v>
      </c>
      <c r="O316" s="171">
        <v>1990</v>
      </c>
      <c r="P316" s="171">
        <v>2024</v>
      </c>
      <c r="Q316" s="170">
        <f>P316</f>
        <v>2024</v>
      </c>
      <c r="R316" s="171">
        <v>1981</v>
      </c>
      <c r="S316" s="171">
        <v>1961</v>
      </c>
      <c r="T316" s="171">
        <v>1945</v>
      </c>
      <c r="U316" s="171">
        <v>2001</v>
      </c>
      <c r="V316" s="170">
        <f>U316</f>
        <v>2001</v>
      </c>
      <c r="W316" s="171">
        <v>1969</v>
      </c>
      <c r="X316" s="171">
        <v>1953</v>
      </c>
      <c r="Y316" s="171">
        <v>1951</v>
      </c>
      <c r="Z316" s="171">
        <v>2003</v>
      </c>
      <c r="AA316" s="170">
        <f>Z316</f>
        <v>2003</v>
      </c>
      <c r="AB316" s="171">
        <v>1997</v>
      </c>
      <c r="AC316" s="171">
        <v>1966</v>
      </c>
      <c r="AD316" s="171">
        <v>1958</v>
      </c>
      <c r="AE316" s="171">
        <v>2006</v>
      </c>
      <c r="AF316" s="170">
        <f>AE316</f>
        <v>2006</v>
      </c>
      <c r="AG316" s="171">
        <v>1979</v>
      </c>
      <c r="AH316" s="171">
        <v>1943</v>
      </c>
      <c r="AI316" s="171">
        <v>1929</v>
      </c>
      <c r="AJ316" s="171">
        <v>1986</v>
      </c>
      <c r="AK316" s="170">
        <f>AJ316</f>
        <v>1986</v>
      </c>
      <c r="AL316" s="171">
        <v>1954</v>
      </c>
      <c r="AM316" s="171">
        <f>+AL316-AM286-AM278</f>
        <v>1897</v>
      </c>
      <c r="AN316" s="171">
        <v>1907</v>
      </c>
      <c r="AO316" s="171">
        <v>1937</v>
      </c>
      <c r="AP316" s="170">
        <f>AO316</f>
        <v>1937</v>
      </c>
      <c r="AQ316" s="171">
        <v>1902</v>
      </c>
      <c r="AR316" s="171">
        <v>1878</v>
      </c>
      <c r="AS316" s="171">
        <v>1860</v>
      </c>
      <c r="AT316" s="171">
        <v>1935</v>
      </c>
      <c r="AU316" s="170">
        <f>AT316</f>
        <v>1935</v>
      </c>
      <c r="AV316" s="171"/>
      <c r="AW316" s="171"/>
      <c r="AX316" s="171"/>
      <c r="AY316" s="171"/>
      <c r="AZ316" s="170">
        <v>1935</v>
      </c>
      <c r="BA316" s="172">
        <v>1906</v>
      </c>
      <c r="BB316" s="171">
        <v>1929</v>
      </c>
      <c r="BC316" s="747">
        <v>1934</v>
      </c>
      <c r="BD316" s="911">
        <v>2005</v>
      </c>
      <c r="BE316" s="949">
        <f>BD316</f>
        <v>2005</v>
      </c>
      <c r="BF316" s="905">
        <v>2018</v>
      </c>
      <c r="BG316" s="747">
        <v>2028</v>
      </c>
      <c r="BH316" s="747">
        <v>2053</v>
      </c>
      <c r="BI316" s="911">
        <v>2166</v>
      </c>
      <c r="BJ316" s="701">
        <f>BI316</f>
        <v>2166</v>
      </c>
      <c r="BK316" s="747">
        <v>2146</v>
      </c>
      <c r="BL316" s="669">
        <v>2172</v>
      </c>
      <c r="BM316" s="669">
        <v>2248</v>
      </c>
      <c r="BN316" s="173">
        <v>2439</v>
      </c>
      <c r="BO316" s="170">
        <f t="shared" ref="BO316:BP318" si="1029">+BN316</f>
        <v>2439</v>
      </c>
      <c r="BP316" s="170">
        <f t="shared" si="1029"/>
        <v>2439</v>
      </c>
      <c r="BQ316" s="171">
        <f>+BO316-BQ286-BQ278-BQ291</f>
        <v>2533.6999999999998</v>
      </c>
      <c r="BR316" s="171">
        <f t="shared" ref="BR316:BT316" si="1030">+BQ316-BR286-BR278-BR291</f>
        <v>2625.22</v>
      </c>
      <c r="BS316" s="171">
        <f t="shared" si="1030"/>
        <v>2711.4399999999996</v>
      </c>
      <c r="BT316" s="173">
        <f t="shared" si="1030"/>
        <v>2785.9999999999995</v>
      </c>
      <c r="BU316" s="170">
        <f>+BT316</f>
        <v>2785.9999999999995</v>
      </c>
      <c r="BV316" s="172"/>
      <c r="BW316" s="171"/>
      <c r="BX316" s="171"/>
      <c r="BY316" s="173"/>
      <c r="BZ316" s="170">
        <f>+BU316-BZ286-BZ278-BZ291</f>
        <v>3100.9911052172497</v>
      </c>
      <c r="CA316" s="172"/>
      <c r="CB316" s="171"/>
      <c r="CC316" s="171"/>
      <c r="CD316" s="173"/>
      <c r="CE316" s="170">
        <f>+BZ316-CE286-CE278-CE291</f>
        <v>3387.1783889662875</v>
      </c>
      <c r="CF316" s="172"/>
      <c r="CG316" s="171"/>
      <c r="CH316" s="171"/>
      <c r="CI316" s="173"/>
      <c r="CJ316" s="170">
        <f>+CE316-CJ286-CJ278-CJ291</f>
        <v>3640.5231647302417</v>
      </c>
      <c r="CK316" s="291"/>
      <c r="CL316" s="679"/>
      <c r="CM316" s="994"/>
      <c r="CN316" s="682"/>
      <c r="CO316" s="994"/>
      <c r="CP316" s="994"/>
      <c r="CQ316" s="994"/>
      <c r="CR316" s="994"/>
      <c r="CS316" s="994"/>
      <c r="CT316" s="291"/>
      <c r="CX316"/>
      <c r="CY316"/>
      <c r="CZ316"/>
      <c r="DA316"/>
      <c r="DB316"/>
      <c r="DC316"/>
    </row>
    <row r="317" spans="1:107" s="180" customFormat="1">
      <c r="A317" s="171" t="s">
        <v>70</v>
      </c>
      <c r="B317" s="170">
        <v>11358</v>
      </c>
      <c r="C317" s="170">
        <v>11170</v>
      </c>
      <c r="D317" s="170">
        <v>11479</v>
      </c>
      <c r="E317" s="170">
        <v>11516</v>
      </c>
      <c r="F317" s="170">
        <v>11554</v>
      </c>
      <c r="G317" s="170">
        <v>11539</v>
      </c>
      <c r="H317" s="171">
        <v>11539</v>
      </c>
      <c r="I317" s="171">
        <v>11541</v>
      </c>
      <c r="J317" s="171">
        <v>11464</v>
      </c>
      <c r="K317" s="171">
        <v>11627</v>
      </c>
      <c r="L317" s="170">
        <f>K317</f>
        <v>11627</v>
      </c>
      <c r="M317" s="171">
        <v>11632</v>
      </c>
      <c r="N317" s="171">
        <v>11657</v>
      </c>
      <c r="O317" s="171">
        <v>11667</v>
      </c>
      <c r="P317" s="171">
        <v>11662</v>
      </c>
      <c r="Q317" s="170">
        <f>P317</f>
        <v>11662</v>
      </c>
      <c r="R317" s="171">
        <v>11661</v>
      </c>
      <c r="S317" s="171">
        <v>11665</v>
      </c>
      <c r="T317" s="171">
        <v>11668</v>
      </c>
      <c r="U317" s="171">
        <v>11922</v>
      </c>
      <c r="V317" s="170">
        <f>U317</f>
        <v>11922</v>
      </c>
      <c r="W317" s="171">
        <v>11925</v>
      </c>
      <c r="X317" s="171">
        <v>11921</v>
      </c>
      <c r="Y317" s="171">
        <v>11924</v>
      </c>
      <c r="Z317" s="171">
        <v>12045</v>
      </c>
      <c r="AA317" s="170">
        <f>Z317</f>
        <v>12045</v>
      </c>
      <c r="AB317" s="171">
        <v>12435</v>
      </c>
      <c r="AC317" s="171">
        <v>12469</v>
      </c>
      <c r="AD317" s="171">
        <v>12468</v>
      </c>
      <c r="AE317" s="171">
        <v>12544</v>
      </c>
      <c r="AF317" s="170">
        <f>AE317</f>
        <v>12544</v>
      </c>
      <c r="AG317" s="171">
        <v>12544</v>
      </c>
      <c r="AH317" s="171">
        <v>12542</v>
      </c>
      <c r="AI317" s="171">
        <v>12546</v>
      </c>
      <c r="AJ317" s="171">
        <v>12756</v>
      </c>
      <c r="AK317" s="170">
        <f>AJ317</f>
        <v>12756</v>
      </c>
      <c r="AL317" s="171">
        <v>12757</v>
      </c>
      <c r="AM317" s="171">
        <v>12764</v>
      </c>
      <c r="AN317" s="353">
        <v>12765</v>
      </c>
      <c r="AO317" s="353">
        <v>12764</v>
      </c>
      <c r="AP317" s="137">
        <f>AO317</f>
        <v>12764</v>
      </c>
      <c r="AQ317" s="171">
        <v>12765</v>
      </c>
      <c r="AR317" s="171">
        <v>12765</v>
      </c>
      <c r="AS317" s="353">
        <v>12762</v>
      </c>
      <c r="AT317" s="353">
        <v>13061</v>
      </c>
      <c r="AU317" s="137">
        <f>AT317</f>
        <v>13061</v>
      </c>
      <c r="AV317" s="171"/>
      <c r="AW317" s="171"/>
      <c r="AX317" s="353"/>
      <c r="AY317" s="353"/>
      <c r="AZ317" s="137">
        <v>13061</v>
      </c>
      <c r="BA317" s="353">
        <v>13060</v>
      </c>
      <c r="BB317" s="353">
        <v>14683</v>
      </c>
      <c r="BC317" s="747">
        <v>14681</v>
      </c>
      <c r="BD317" s="747">
        <v>14731</v>
      </c>
      <c r="BE317" s="727">
        <f>BD317</f>
        <v>14731</v>
      </c>
      <c r="BF317" s="747">
        <v>14791</v>
      </c>
      <c r="BG317" s="747">
        <v>14791</v>
      </c>
      <c r="BH317" s="747">
        <v>14791</v>
      </c>
      <c r="BI317" s="747">
        <v>14788</v>
      </c>
      <c r="BJ317" s="727">
        <f>BI317</f>
        <v>14788</v>
      </c>
      <c r="BK317" s="747">
        <v>14825</v>
      </c>
      <c r="BL317" s="763">
        <v>14827</v>
      </c>
      <c r="BM317" s="763">
        <v>14878</v>
      </c>
      <c r="BN317" s="763">
        <v>14871</v>
      </c>
      <c r="BO317" s="137">
        <f t="shared" si="1029"/>
        <v>14871</v>
      </c>
      <c r="BP317" s="137">
        <f t="shared" si="1029"/>
        <v>14871</v>
      </c>
      <c r="BQ317" s="353">
        <f>+BO317</f>
        <v>14871</v>
      </c>
      <c r="BR317" s="353">
        <f t="shared" ref="BR317:BT317" si="1031">+BQ317</f>
        <v>14871</v>
      </c>
      <c r="BS317" s="353">
        <f t="shared" si="1031"/>
        <v>14871</v>
      </c>
      <c r="BT317" s="353">
        <f t="shared" si="1031"/>
        <v>14871</v>
      </c>
      <c r="BU317" s="137">
        <f>BO317</f>
        <v>14871</v>
      </c>
      <c r="BV317" s="353"/>
      <c r="BW317" s="353"/>
      <c r="BX317" s="353"/>
      <c r="BY317" s="353"/>
      <c r="BZ317" s="137">
        <f>BU317</f>
        <v>14871</v>
      </c>
      <c r="CA317" s="353"/>
      <c r="CB317" s="353"/>
      <c r="CC317" s="353"/>
      <c r="CD317" s="353"/>
      <c r="CE317" s="137">
        <f>BZ317</f>
        <v>14871</v>
      </c>
      <c r="CF317" s="353"/>
      <c r="CG317" s="353"/>
      <c r="CH317" s="353"/>
      <c r="CI317" s="353"/>
      <c r="CJ317" s="137">
        <f>CE317</f>
        <v>14871</v>
      </c>
      <c r="CK317" s="291"/>
      <c r="CL317" s="679"/>
      <c r="CM317" s="994"/>
      <c r="CN317" s="682"/>
      <c r="CO317" s="994"/>
      <c r="CP317" s="994"/>
      <c r="CQ317" s="994"/>
      <c r="CR317" s="994"/>
      <c r="CS317" s="994"/>
      <c r="CT317" s="291"/>
      <c r="CX317"/>
      <c r="CY317"/>
      <c r="CZ317"/>
      <c r="DA317"/>
      <c r="DB317"/>
      <c r="DC317"/>
    </row>
    <row r="318" spans="1:107" s="180" customFormat="1">
      <c r="A318" s="171" t="s">
        <v>39</v>
      </c>
      <c r="B318" s="176">
        <f t="shared" ref="B318:AO318" si="1032">B319-B316-B315-B317</f>
        <v>3572</v>
      </c>
      <c r="C318" s="176">
        <f t="shared" si="1032"/>
        <v>3190</v>
      </c>
      <c r="D318" s="176">
        <f t="shared" si="1032"/>
        <v>2893</v>
      </c>
      <c r="E318" s="176">
        <f t="shared" si="1032"/>
        <v>2775</v>
      </c>
      <c r="F318" s="176">
        <f t="shared" si="1032"/>
        <v>2378</v>
      </c>
      <c r="G318" s="176">
        <f t="shared" si="1032"/>
        <v>2304</v>
      </c>
      <c r="H318" s="178">
        <f t="shared" si="1032"/>
        <v>2340</v>
      </c>
      <c r="I318" s="177">
        <f t="shared" si="1032"/>
        <v>2513</v>
      </c>
      <c r="J318" s="177">
        <f t="shared" si="1032"/>
        <v>2158</v>
      </c>
      <c r="K318" s="179">
        <f t="shared" si="1032"/>
        <v>1980</v>
      </c>
      <c r="L318" s="176">
        <f t="shared" si="1032"/>
        <v>1980</v>
      </c>
      <c r="M318" s="178">
        <f t="shared" si="1032"/>
        <v>1970</v>
      </c>
      <c r="N318" s="177">
        <f t="shared" si="1032"/>
        <v>1938</v>
      </c>
      <c r="O318" s="177">
        <f t="shared" si="1032"/>
        <v>1941</v>
      </c>
      <c r="P318" s="179">
        <f t="shared" si="1032"/>
        <v>2031</v>
      </c>
      <c r="Q318" s="176">
        <f t="shared" si="1032"/>
        <v>2031</v>
      </c>
      <c r="R318" s="178">
        <f t="shared" si="1032"/>
        <v>1898</v>
      </c>
      <c r="S318" s="177">
        <f t="shared" si="1032"/>
        <v>1830</v>
      </c>
      <c r="T318" s="177">
        <f t="shared" si="1032"/>
        <v>1718</v>
      </c>
      <c r="U318" s="179">
        <f t="shared" si="1032"/>
        <v>1816</v>
      </c>
      <c r="V318" s="176">
        <f t="shared" si="1032"/>
        <v>1816</v>
      </c>
      <c r="W318" s="178">
        <f t="shared" si="1032"/>
        <v>1727</v>
      </c>
      <c r="X318" s="177">
        <f t="shared" si="1032"/>
        <v>1687</v>
      </c>
      <c r="Y318" s="177">
        <f t="shared" si="1032"/>
        <v>1452</v>
      </c>
      <c r="Z318" s="179">
        <f t="shared" si="1032"/>
        <v>1552</v>
      </c>
      <c r="AA318" s="176">
        <f t="shared" si="1032"/>
        <v>1552</v>
      </c>
      <c r="AB318" s="178">
        <f t="shared" si="1032"/>
        <v>1598</v>
      </c>
      <c r="AC318" s="177">
        <f t="shared" si="1032"/>
        <v>1543</v>
      </c>
      <c r="AD318" s="177">
        <f t="shared" si="1032"/>
        <v>1582</v>
      </c>
      <c r="AE318" s="179">
        <f t="shared" si="1032"/>
        <v>1995</v>
      </c>
      <c r="AF318" s="176">
        <f t="shared" si="1032"/>
        <v>1995</v>
      </c>
      <c r="AG318" s="178">
        <f t="shared" si="1032"/>
        <v>1919</v>
      </c>
      <c r="AH318" s="177">
        <f t="shared" si="1032"/>
        <v>1814</v>
      </c>
      <c r="AI318" s="177">
        <f t="shared" si="1032"/>
        <v>1962</v>
      </c>
      <c r="AJ318" s="179">
        <f t="shared" si="1032"/>
        <v>2698</v>
      </c>
      <c r="AK318" s="176">
        <f t="shared" si="1032"/>
        <v>2698</v>
      </c>
      <c r="AL318" s="178">
        <f t="shared" si="1032"/>
        <v>2518</v>
      </c>
      <c r="AM318" s="177">
        <f t="shared" si="1032"/>
        <v>2439</v>
      </c>
      <c r="AN318" s="177">
        <f t="shared" si="1032"/>
        <v>2354</v>
      </c>
      <c r="AO318" s="177">
        <f t="shared" si="1032"/>
        <v>1450</v>
      </c>
      <c r="AP318" s="176">
        <f>AO318</f>
        <v>1450</v>
      </c>
      <c r="AQ318" s="177">
        <f>AQ319-AQ316-AQ315-AQ317</f>
        <v>1435</v>
      </c>
      <c r="AR318" s="177">
        <f>AR319-AR316-AR315-AR317</f>
        <v>1438</v>
      </c>
      <c r="AS318" s="177">
        <f>AS319-AS316-AS315-AS317</f>
        <v>1400</v>
      </c>
      <c r="AT318" s="177">
        <f>AT319-AT316-AT315-AT317</f>
        <v>2612</v>
      </c>
      <c r="AU318" s="696">
        <f>AT318</f>
        <v>2612</v>
      </c>
      <c r="AV318" s="177"/>
      <c r="AW318" s="177"/>
      <c r="AX318" s="177"/>
      <c r="AY318" s="177"/>
      <c r="AZ318" s="696">
        <f>AZ319-AZ316-AZ315-AZ317</f>
        <v>2612</v>
      </c>
      <c r="BA318" s="177">
        <f>BA319-BA316-BA315-BA317</f>
        <v>2591</v>
      </c>
      <c r="BB318" s="177">
        <f>BB319-BB316-BB315-BB317</f>
        <v>3121</v>
      </c>
      <c r="BC318" s="749">
        <f>BC319-BC316-BC315-BC317</f>
        <v>3106</v>
      </c>
      <c r="BD318" s="749">
        <f>BD319-BD316-BD315-BD317</f>
        <v>2733</v>
      </c>
      <c r="BE318" s="727">
        <f>BD318</f>
        <v>2733</v>
      </c>
      <c r="BF318" s="749">
        <f>BF319-BF316-BF315-BF317</f>
        <v>2661</v>
      </c>
      <c r="BG318" s="749">
        <f>BG319-BG316-BG315-BG317</f>
        <v>2429</v>
      </c>
      <c r="BH318" s="749">
        <f>BH319-BH316-BH315-BH317</f>
        <v>2453</v>
      </c>
      <c r="BI318" s="749">
        <f>BI319-BI316-BI315-BI317</f>
        <v>2399</v>
      </c>
      <c r="BJ318" s="727">
        <f>BI318</f>
        <v>2399</v>
      </c>
      <c r="BK318" s="749">
        <f>BK319-BK316-BK315-BK317</f>
        <v>2383</v>
      </c>
      <c r="BL318" s="749">
        <f>BL319-BL316-BL315-BL317</f>
        <v>2293</v>
      </c>
      <c r="BM318" s="667">
        <v>2374</v>
      </c>
      <c r="BN318" s="667">
        <v>2224</v>
      </c>
      <c r="BO318" s="727">
        <f t="shared" si="1029"/>
        <v>2224</v>
      </c>
      <c r="BP318" s="727">
        <f t="shared" si="1029"/>
        <v>2224</v>
      </c>
      <c r="BQ318" s="242">
        <v>2051.3499462695627</v>
      </c>
      <c r="BR318" s="242">
        <v>1878.6998925391254</v>
      </c>
      <c r="BS318" s="242">
        <v>1706.049838808688</v>
      </c>
      <c r="BT318" s="242">
        <v>1533.3997850782507</v>
      </c>
      <c r="BU318" s="721">
        <f>+BT318</f>
        <v>1533.3997850782507</v>
      </c>
      <c r="BV318" s="242"/>
      <c r="BW318" s="242"/>
      <c r="BX318" s="242"/>
      <c r="BY318" s="242"/>
      <c r="BZ318" s="243">
        <v>1329.8666665197129</v>
      </c>
      <c r="CA318" s="242"/>
      <c r="CB318" s="242"/>
      <c r="CC318" s="242"/>
      <c r="CD318" s="242"/>
      <c r="CE318" s="243">
        <v>1112.07728505517</v>
      </c>
      <c r="CF318" s="242"/>
      <c r="CG318" s="242"/>
      <c r="CH318" s="242"/>
      <c r="CI318" s="242"/>
      <c r="CJ318" s="243">
        <v>879.03123711889384</v>
      </c>
      <c r="CK318" s="291"/>
      <c r="CL318" s="679"/>
      <c r="CM318" s="994"/>
      <c r="CN318" s="1028"/>
      <c r="CO318" s="1028"/>
      <c r="CP318" s="1028"/>
      <c r="CQ318" s="1028"/>
      <c r="CR318" s="1028"/>
      <c r="CS318" s="994"/>
      <c r="CT318" s="291"/>
      <c r="CX318"/>
      <c r="CY318"/>
      <c r="CZ318"/>
      <c r="DA318"/>
      <c r="DB318"/>
      <c r="DC318"/>
    </row>
    <row r="319" spans="1:107" s="180" customFormat="1">
      <c r="A319" s="192" t="s">
        <v>23</v>
      </c>
      <c r="B319" s="193">
        <v>26773</v>
      </c>
      <c r="C319" s="193">
        <v>23946</v>
      </c>
      <c r="D319" s="193">
        <v>24208</v>
      </c>
      <c r="E319" s="193">
        <v>24153</v>
      </c>
      <c r="F319" s="193">
        <v>24381</v>
      </c>
      <c r="G319" s="193">
        <v>25491</v>
      </c>
      <c r="H319" s="192">
        <v>25083</v>
      </c>
      <c r="I319" s="192">
        <v>24290</v>
      </c>
      <c r="J319" s="192">
        <v>23491</v>
      </c>
      <c r="K319" s="192">
        <v>23281</v>
      </c>
      <c r="L319" s="193">
        <f>K319</f>
        <v>23281</v>
      </c>
      <c r="M319" s="192">
        <v>23134</v>
      </c>
      <c r="N319" s="192">
        <v>23597</v>
      </c>
      <c r="O319" s="192">
        <v>23766</v>
      </c>
      <c r="P319" s="192">
        <v>23134</v>
      </c>
      <c r="Q319" s="193">
        <f>P319</f>
        <v>23134</v>
      </c>
      <c r="R319" s="192">
        <v>22879</v>
      </c>
      <c r="S319" s="192">
        <v>23050</v>
      </c>
      <c r="T319" s="192">
        <v>22880</v>
      </c>
      <c r="U319" s="192">
        <v>23607</v>
      </c>
      <c r="V319" s="193">
        <f>U319</f>
        <v>23607</v>
      </c>
      <c r="W319" s="192">
        <v>23800</v>
      </c>
      <c r="X319" s="192">
        <v>23281</v>
      </c>
      <c r="Y319" s="192">
        <v>22852</v>
      </c>
      <c r="Z319" s="192">
        <v>24422</v>
      </c>
      <c r="AA319" s="193">
        <f>Z319</f>
        <v>24422</v>
      </c>
      <c r="AB319" s="192">
        <v>24574</v>
      </c>
      <c r="AC319" s="192">
        <v>24055</v>
      </c>
      <c r="AD319" s="192">
        <v>24120</v>
      </c>
      <c r="AE319" s="192">
        <v>25854</v>
      </c>
      <c r="AF319" s="193">
        <f>AE319</f>
        <v>25854</v>
      </c>
      <c r="AG319" s="192">
        <v>25627</v>
      </c>
      <c r="AH319" s="192">
        <v>25078</v>
      </c>
      <c r="AI319" s="192">
        <v>25697</v>
      </c>
      <c r="AJ319" s="192">
        <v>26686</v>
      </c>
      <c r="AK319" s="193">
        <f>AJ319</f>
        <v>26686</v>
      </c>
      <c r="AL319" s="192">
        <v>26687</v>
      </c>
      <c r="AM319" s="192">
        <v>26376</v>
      </c>
      <c r="AN319" s="192">
        <v>26778</v>
      </c>
      <c r="AO319" s="192">
        <v>25967</v>
      </c>
      <c r="AP319" s="193">
        <f>SUM(AP315:AP318)</f>
        <v>25967</v>
      </c>
      <c r="AQ319" s="192">
        <v>26541</v>
      </c>
      <c r="AR319" s="192">
        <v>26380</v>
      </c>
      <c r="AS319" s="192">
        <v>26307</v>
      </c>
      <c r="AT319" s="192">
        <v>27900</v>
      </c>
      <c r="AU319" s="193">
        <f>SUM(AU315:AU318)</f>
        <v>27900</v>
      </c>
      <c r="AV319" s="192"/>
      <c r="AW319" s="192"/>
      <c r="AX319" s="192"/>
      <c r="AY319" s="192"/>
      <c r="AZ319" s="193">
        <v>27900</v>
      </c>
      <c r="BA319" s="192">
        <v>27798</v>
      </c>
      <c r="BB319" s="192">
        <v>28437</v>
      </c>
      <c r="BC319" s="742">
        <v>29249</v>
      </c>
      <c r="BD319" s="742">
        <v>29281</v>
      </c>
      <c r="BE319" s="912">
        <f>SUM(BE315:BE318)</f>
        <v>29281</v>
      </c>
      <c r="BF319" s="742">
        <v>28829</v>
      </c>
      <c r="BG319" s="742">
        <v>29098</v>
      </c>
      <c r="BH319" s="742">
        <v>29452</v>
      </c>
      <c r="BI319" s="742">
        <v>30238</v>
      </c>
      <c r="BJ319" s="193">
        <f t="shared" ref="BJ319:BO319" si="1033">SUM(BJ315:BJ318)</f>
        <v>30238</v>
      </c>
      <c r="BK319" s="742">
        <v>29869</v>
      </c>
      <c r="BL319" s="192">
        <v>30229</v>
      </c>
      <c r="BM319" s="192">
        <f t="shared" si="1033"/>
        <v>30278</v>
      </c>
      <c r="BN319" s="192">
        <f t="shared" si="1033"/>
        <v>30860</v>
      </c>
      <c r="BO319" s="193">
        <f t="shared" si="1033"/>
        <v>30860</v>
      </c>
      <c r="BP319" s="193">
        <f t="shared" ref="BP319" si="1034">SUM(BP315:BP318)</f>
        <v>30860</v>
      </c>
      <c r="BQ319" s="192">
        <f t="shared" ref="BQ319:BT319" si="1035">SUM(BQ315:BQ318)</f>
        <v>29804.383244145538</v>
      </c>
      <c r="BR319" s="192">
        <f t="shared" si="1035"/>
        <v>29746.179191666277</v>
      </c>
      <c r="BS319" s="192">
        <f t="shared" si="1035"/>
        <v>29578.061835550991</v>
      </c>
      <c r="BT319" s="192">
        <f t="shared" si="1035"/>
        <v>30744.440970746084</v>
      </c>
      <c r="BU319" s="193">
        <f>SUM(BU315:BU318)</f>
        <v>30744.440970746084</v>
      </c>
      <c r="BV319" s="192"/>
      <c r="BW319" s="192"/>
      <c r="BX319" s="192"/>
      <c r="BY319" s="192"/>
      <c r="BZ319" s="193">
        <f>SUM(BZ315:BZ318)</f>
        <v>31287.308801480092</v>
      </c>
      <c r="CA319" s="192"/>
      <c r="CB319" s="192"/>
      <c r="CC319" s="192"/>
      <c r="CD319" s="192"/>
      <c r="CE319" s="193">
        <f>SUM(CE315:CE318)</f>
        <v>31819.661046815047</v>
      </c>
      <c r="CF319" s="192"/>
      <c r="CG319" s="192"/>
      <c r="CH319" s="192"/>
      <c r="CI319" s="192"/>
      <c r="CJ319" s="193">
        <f>SUM(CJ315:CJ318)</f>
        <v>32145.772489932358</v>
      </c>
      <c r="CK319" s="291"/>
      <c r="CL319" s="679"/>
      <c r="CM319" s="994"/>
      <c r="CN319" s="1028"/>
      <c r="CO319" s="1028"/>
      <c r="CP319" s="994"/>
      <c r="CQ319" s="994"/>
      <c r="CR319" s="994"/>
      <c r="CS319" s="994"/>
      <c r="CT319" s="291"/>
      <c r="CX319"/>
      <c r="CY319"/>
      <c r="CZ319"/>
      <c r="DA319"/>
      <c r="DB319"/>
      <c r="DC319"/>
    </row>
    <row r="320" spans="1:107" s="180" customFormat="1">
      <c r="A320" s="129" t="s">
        <v>167</v>
      </c>
      <c r="B320" s="211"/>
      <c r="C320" s="211"/>
      <c r="D320" s="211"/>
      <c r="E320" s="211"/>
      <c r="F320" s="211"/>
      <c r="G320" s="211"/>
      <c r="H320" s="212"/>
      <c r="I320" s="212"/>
      <c r="J320" s="212"/>
      <c r="K320" s="212"/>
      <c r="L320" s="211"/>
      <c r="M320" s="212"/>
      <c r="N320" s="212"/>
      <c r="O320" s="212"/>
      <c r="P320" s="212"/>
      <c r="Q320" s="211"/>
      <c r="R320" s="212"/>
      <c r="S320" s="212"/>
      <c r="T320" s="212"/>
      <c r="U320" s="212"/>
      <c r="V320" s="211"/>
      <c r="W320" s="212"/>
      <c r="X320" s="212"/>
      <c r="Y320" s="212"/>
      <c r="Z320" s="212"/>
      <c r="AA320" s="211"/>
      <c r="AB320" s="212"/>
      <c r="AC320" s="212"/>
      <c r="AD320" s="212"/>
      <c r="AE320" s="212"/>
      <c r="AF320" s="211"/>
      <c r="AG320" s="212"/>
      <c r="AH320" s="212"/>
      <c r="AI320" s="212"/>
      <c r="AJ320" s="212"/>
      <c r="AK320" s="211"/>
      <c r="AL320" s="212"/>
      <c r="AM320" s="212"/>
      <c r="AN320" s="212"/>
      <c r="AO320" s="212"/>
      <c r="AP320" s="211"/>
      <c r="AQ320" s="212"/>
      <c r="AR320" s="212"/>
      <c r="AS320" s="212"/>
      <c r="AT320" s="212"/>
      <c r="AU320" s="211"/>
      <c r="AV320" s="212"/>
      <c r="AW320" s="212"/>
      <c r="AX320" s="212"/>
      <c r="AY320" s="212"/>
      <c r="AZ320" s="211"/>
      <c r="BA320" s="213"/>
      <c r="BB320" s="212"/>
      <c r="BC320" s="657"/>
      <c r="BD320" s="764"/>
      <c r="BE320" s="765"/>
      <c r="BF320" s="766"/>
      <c r="BG320" s="657"/>
      <c r="BH320" s="657"/>
      <c r="BI320" s="764"/>
      <c r="BJ320" s="765"/>
      <c r="BK320" s="766"/>
      <c r="BL320" s="657"/>
      <c r="BM320" s="657"/>
      <c r="BN320" s="764"/>
      <c r="BO320" s="211"/>
      <c r="BP320" s="211"/>
      <c r="BQ320" s="212"/>
      <c r="BR320" s="212"/>
      <c r="BS320" s="212"/>
      <c r="BT320" s="214"/>
      <c r="BU320" s="211"/>
      <c r="BV320" s="213"/>
      <c r="BW320" s="212"/>
      <c r="BX320" s="212"/>
      <c r="BY320" s="214"/>
      <c r="BZ320" s="211"/>
      <c r="CA320" s="213"/>
      <c r="CB320" s="212"/>
      <c r="CC320" s="212"/>
      <c r="CD320" s="214"/>
      <c r="CE320" s="211"/>
      <c r="CF320" s="213"/>
      <c r="CG320" s="212"/>
      <c r="CH320" s="212"/>
      <c r="CI320" s="214"/>
      <c r="CJ320" s="211"/>
      <c r="CK320" s="291"/>
      <c r="CL320" s="679"/>
      <c r="CM320" s="994"/>
      <c r="CN320" s="682"/>
      <c r="CO320" s="994"/>
      <c r="CP320" s="994"/>
      <c r="CQ320" s="994"/>
      <c r="CR320" s="994"/>
      <c r="CS320" s="994"/>
      <c r="CT320" s="291"/>
      <c r="CX320"/>
      <c r="CY320"/>
      <c r="CZ320"/>
      <c r="DA320"/>
      <c r="DB320"/>
      <c r="DC320"/>
    </row>
    <row r="321" spans="1:107" s="180" customFormat="1">
      <c r="A321" s="512" t="s">
        <v>319</v>
      </c>
      <c r="B321" s="170"/>
      <c r="C321" s="170"/>
      <c r="D321" s="170"/>
      <c r="E321" s="170"/>
      <c r="F321" s="170"/>
      <c r="G321" s="170"/>
      <c r="H321" s="171"/>
      <c r="I321" s="171"/>
      <c r="J321" s="171"/>
      <c r="K321" s="171"/>
      <c r="L321" s="170"/>
      <c r="M321" s="171"/>
      <c r="N321" s="171"/>
      <c r="O321" s="171"/>
      <c r="P321" s="171"/>
      <c r="Q321" s="170"/>
      <c r="R321" s="171"/>
      <c r="S321" s="171"/>
      <c r="T321" s="171"/>
      <c r="U321" s="171"/>
      <c r="V321" s="170"/>
      <c r="W321" s="171"/>
      <c r="X321" s="171"/>
      <c r="Y321" s="171"/>
      <c r="Z321" s="171"/>
      <c r="AA321" s="170"/>
      <c r="AB321" s="171"/>
      <c r="AC321" s="171"/>
      <c r="AD321" s="171"/>
      <c r="AE321" s="171"/>
      <c r="AF321" s="170"/>
      <c r="AG321" s="171"/>
      <c r="AH321" s="171"/>
      <c r="AI321" s="171"/>
      <c r="AJ321" s="171"/>
      <c r="AK321" s="170"/>
      <c r="AL321" s="171"/>
      <c r="AM321" s="171"/>
      <c r="AN321" s="171"/>
      <c r="AO321" s="171"/>
      <c r="AP321" s="170"/>
      <c r="AQ321" s="171"/>
      <c r="AR321" s="171"/>
      <c r="AS321" s="171"/>
      <c r="AT321" s="171"/>
      <c r="AU321" s="170"/>
      <c r="AV321" s="171"/>
      <c r="AW321" s="171"/>
      <c r="AX321" s="171"/>
      <c r="AY321" s="171"/>
      <c r="AZ321" s="170"/>
      <c r="BA321" s="172"/>
      <c r="BB321" s="171"/>
      <c r="BC321" s="747"/>
      <c r="BD321" s="911"/>
      <c r="BE321" s="913"/>
      <c r="BF321" s="905"/>
      <c r="BG321" s="747"/>
      <c r="BH321" s="747"/>
      <c r="BI321" s="911"/>
      <c r="BJ321" s="701"/>
      <c r="BK321" s="905">
        <v>251</v>
      </c>
      <c r="BL321" s="669">
        <v>300</v>
      </c>
      <c r="BM321" s="669">
        <v>300</v>
      </c>
      <c r="BN321" s="669">
        <v>300</v>
      </c>
      <c r="BO321" s="170">
        <f>+BN321</f>
        <v>300</v>
      </c>
      <c r="BP321" s="170">
        <f>+BO321</f>
        <v>300</v>
      </c>
      <c r="BQ321" s="874">
        <f t="shared" ref="BQ321" si="1036">+BO321</f>
        <v>300</v>
      </c>
      <c r="BR321" s="874">
        <f t="shared" ref="BR321" si="1037">+BQ321</f>
        <v>300</v>
      </c>
      <c r="BS321" s="874">
        <f t="shared" ref="BS321" si="1038">+BR321</f>
        <v>300</v>
      </c>
      <c r="BT321" s="875">
        <f t="shared" ref="BT321" si="1039">+BS321</f>
        <v>300</v>
      </c>
      <c r="BU321" s="170">
        <f>+BT321</f>
        <v>300</v>
      </c>
      <c r="BV321" s="172"/>
      <c r="BW321" s="171"/>
      <c r="BX321" s="171"/>
      <c r="BY321" s="173"/>
      <c r="BZ321" s="937">
        <f>+BU321</f>
        <v>300</v>
      </c>
      <c r="CA321" s="172"/>
      <c r="CB321" s="171"/>
      <c r="CC321" s="171"/>
      <c r="CD321" s="173"/>
      <c r="CE321" s="937">
        <f>+BZ321</f>
        <v>300</v>
      </c>
      <c r="CF321" s="172"/>
      <c r="CG321" s="171"/>
      <c r="CH321" s="171"/>
      <c r="CI321" s="173"/>
      <c r="CJ321" s="937">
        <f>+CE321</f>
        <v>300</v>
      </c>
      <c r="CK321" s="291"/>
      <c r="CL321" s="679"/>
      <c r="CM321" s="994"/>
      <c r="CN321" s="682"/>
      <c r="CO321" s="994"/>
      <c r="CP321" s="994"/>
      <c r="CQ321" s="994"/>
      <c r="CR321" s="994"/>
      <c r="CS321" s="994"/>
      <c r="CT321" s="291"/>
      <c r="CX321"/>
      <c r="CY321"/>
      <c r="CZ321"/>
      <c r="DA321"/>
      <c r="DB321"/>
      <c r="DC321"/>
    </row>
    <row r="322" spans="1:107" s="180" customFormat="1">
      <c r="A322" s="512" t="s">
        <v>320</v>
      </c>
      <c r="B322" s="170"/>
      <c r="C322" s="170"/>
      <c r="D322" s="170"/>
      <c r="E322" s="170"/>
      <c r="F322" s="170"/>
      <c r="G322" s="170"/>
      <c r="H322" s="171"/>
      <c r="I322" s="171"/>
      <c r="J322" s="171"/>
      <c r="K322" s="171"/>
      <c r="L322" s="170"/>
      <c r="M322" s="171"/>
      <c r="N322" s="171"/>
      <c r="O322" s="171"/>
      <c r="P322" s="171"/>
      <c r="Q322" s="170"/>
      <c r="R322" s="171"/>
      <c r="S322" s="171"/>
      <c r="T322" s="171"/>
      <c r="U322" s="171"/>
      <c r="V322" s="170"/>
      <c r="W322" s="171"/>
      <c r="X322" s="171"/>
      <c r="Y322" s="171"/>
      <c r="Z322" s="171"/>
      <c r="AA322" s="170"/>
      <c r="AB322" s="171"/>
      <c r="AC322" s="171"/>
      <c r="AD322" s="171"/>
      <c r="AE322" s="171"/>
      <c r="AF322" s="170"/>
      <c r="AG322" s="171"/>
      <c r="AH322" s="171"/>
      <c r="AI322" s="171"/>
      <c r="AJ322" s="171"/>
      <c r="AK322" s="170"/>
      <c r="AL322" s="171"/>
      <c r="AM322" s="171"/>
      <c r="AN322" s="171"/>
      <c r="AO322" s="171"/>
      <c r="AP322" s="170"/>
      <c r="AQ322" s="171"/>
      <c r="AR322" s="171"/>
      <c r="AS322" s="171"/>
      <c r="AT322" s="171"/>
      <c r="AU322" s="170"/>
      <c r="AV322" s="171"/>
      <c r="AW322" s="171"/>
      <c r="AX322" s="171"/>
      <c r="AY322" s="171"/>
      <c r="AZ322" s="170"/>
      <c r="BA322" s="951"/>
      <c r="BB322" s="952"/>
      <c r="BC322" s="952"/>
      <c r="BD322" s="953"/>
      <c r="BE322" s="949"/>
      <c r="BF322" s="951"/>
      <c r="BG322" s="952"/>
      <c r="BH322" s="952"/>
      <c r="BI322" s="953"/>
      <c r="BJ322" s="701"/>
      <c r="BK322" s="905">
        <v>2605</v>
      </c>
      <c r="BL322" s="669">
        <v>2704</v>
      </c>
      <c r="BM322" s="669">
        <v>2519</v>
      </c>
      <c r="BN322" s="669">
        <v>2927</v>
      </c>
      <c r="BO322" s="170">
        <f>+BN322</f>
        <v>2927</v>
      </c>
      <c r="BP322" s="170">
        <f>+BO322</f>
        <v>2927</v>
      </c>
      <c r="BQ322" s="172">
        <f t="shared" ref="BQ322:BT322" si="1040">(BQ323*BQ77)/(360)*4</f>
        <v>2732.8002579999993</v>
      </c>
      <c r="BR322" s="171">
        <f t="shared" si="1040"/>
        <v>2867.4132544499284</v>
      </c>
      <c r="BS322" s="171">
        <f t="shared" si="1040"/>
        <v>2664.0364257200827</v>
      </c>
      <c r="BT322" s="173">
        <f t="shared" si="1040"/>
        <v>3110.8390423227183</v>
      </c>
      <c r="BU322" s="170">
        <f>+BT322</f>
        <v>3110.8390423227183</v>
      </c>
      <c r="BV322" s="722"/>
      <c r="BW322" s="669"/>
      <c r="BX322" s="669"/>
      <c r="BY322" s="762"/>
      <c r="BZ322" s="701">
        <f>(BZ323*BZ77)/(360)</f>
        <v>3326.0506078004455</v>
      </c>
      <c r="CA322" s="722"/>
      <c r="CB322" s="669"/>
      <c r="CC322" s="669"/>
      <c r="CD322" s="762"/>
      <c r="CE322" s="701">
        <f>(CE323*CE77)/(360)</f>
        <v>3515.339124734262</v>
      </c>
      <c r="CF322" s="722"/>
      <c r="CG322" s="669"/>
      <c r="CH322" s="669"/>
      <c r="CI322" s="762"/>
      <c r="CJ322" s="701">
        <f>(CJ323*CJ77)/(360)</f>
        <v>3716.44303660679</v>
      </c>
      <c r="CK322" s="291"/>
      <c r="CL322" s="679"/>
      <c r="CM322" s="994"/>
      <c r="CN322" s="682"/>
      <c r="CO322" s="994"/>
      <c r="CP322" s="994"/>
      <c r="CQ322" s="994"/>
      <c r="CR322" s="994"/>
      <c r="CS322" s="994"/>
      <c r="CT322" s="291"/>
      <c r="CX322"/>
      <c r="CY322"/>
      <c r="CZ322"/>
      <c r="DA322"/>
      <c r="DB322"/>
      <c r="DC322"/>
    </row>
    <row r="323" spans="1:107" s="407" customFormat="1">
      <c r="A323" s="513" t="s">
        <v>4</v>
      </c>
      <c r="B323" s="361"/>
      <c r="C323" s="361"/>
      <c r="D323" s="361"/>
      <c r="E323" s="361"/>
      <c r="F323" s="361"/>
      <c r="G323" s="361"/>
      <c r="H323" s="363"/>
      <c r="I323" s="362"/>
      <c r="J323" s="362"/>
      <c r="K323" s="362"/>
      <c r="L323" s="361"/>
      <c r="M323" s="363"/>
      <c r="N323" s="362"/>
      <c r="O323" s="362"/>
      <c r="P323" s="362"/>
      <c r="Q323" s="361"/>
      <c r="R323" s="363"/>
      <c r="S323" s="362"/>
      <c r="T323" s="362"/>
      <c r="U323" s="362"/>
      <c r="V323" s="361"/>
      <c r="W323" s="363"/>
      <c r="X323" s="362"/>
      <c r="Y323" s="362"/>
      <c r="Z323" s="362"/>
      <c r="AA323" s="361"/>
      <c r="AB323" s="363"/>
      <c r="AC323" s="362"/>
      <c r="AD323" s="362"/>
      <c r="AE323" s="362"/>
      <c r="AF323" s="361"/>
      <c r="AG323" s="363"/>
      <c r="AH323" s="362"/>
      <c r="AI323" s="362"/>
      <c r="AJ323" s="362"/>
      <c r="AK323" s="361"/>
      <c r="AL323" s="363"/>
      <c r="AM323" s="362"/>
      <c r="AN323" s="362"/>
      <c r="AO323" s="362"/>
      <c r="AP323" s="361"/>
      <c r="AQ323" s="362"/>
      <c r="AR323" s="362"/>
      <c r="AS323" s="362"/>
      <c r="AT323" s="362"/>
      <c r="AU323" s="85"/>
      <c r="AV323" s="362"/>
      <c r="AW323" s="362"/>
      <c r="AX323" s="362"/>
      <c r="AY323" s="362"/>
      <c r="AZ323" s="85"/>
      <c r="BA323" s="362"/>
      <c r="BB323" s="362"/>
      <c r="BC323" s="921"/>
      <c r="BD323" s="914"/>
      <c r="BE323" s="915"/>
      <c r="BF323" s="916"/>
      <c r="BG323" s="921"/>
      <c r="BH323" s="921"/>
      <c r="BI323" s="914"/>
      <c r="BJ323" s="767"/>
      <c r="BK323" s="921">
        <f>BK322/BK77*360/4</f>
        <v>39.074999999999996</v>
      </c>
      <c r="BL323" s="970">
        <f>BL322/BL77*360/4</f>
        <v>38.745422703391178</v>
      </c>
      <c r="BM323" s="970">
        <f>BM322/BM77*360/4</f>
        <v>36.077339274347551</v>
      </c>
      <c r="BN323" s="1060">
        <f>BN322/BN77*360/4</f>
        <v>38.836797877045555</v>
      </c>
      <c r="BO323" s="767">
        <f>BO322/BO77*365</f>
        <v>42.147506706643526</v>
      </c>
      <c r="BP323" s="767">
        <f>BP322/BP77*365</f>
        <v>42.147506706643526</v>
      </c>
      <c r="BQ323" s="343">
        <f>BK323</f>
        <v>39.074999999999996</v>
      </c>
      <c r="BR323" s="49">
        <f t="shared" ref="BR323:BT323" si="1041">BL323</f>
        <v>38.745422703391178</v>
      </c>
      <c r="BS323" s="49">
        <f t="shared" si="1041"/>
        <v>36.077339274347551</v>
      </c>
      <c r="BT323" s="344">
        <f t="shared" si="1041"/>
        <v>38.836797877045555</v>
      </c>
      <c r="BU323" s="767">
        <f>BU322/BU77*365</f>
        <v>42.352309733609857</v>
      </c>
      <c r="BV323" s="285"/>
      <c r="BW323" s="283"/>
      <c r="BX323" s="283"/>
      <c r="BY323" s="286"/>
      <c r="BZ323" s="284">
        <f>BU323</f>
        <v>42.352309733609857</v>
      </c>
      <c r="CA323" s="285"/>
      <c r="CB323" s="283"/>
      <c r="CC323" s="283"/>
      <c r="CD323" s="286"/>
      <c r="CE323" s="284">
        <f>BZ323</f>
        <v>42.352309733609857</v>
      </c>
      <c r="CF323" s="285"/>
      <c r="CG323" s="283"/>
      <c r="CH323" s="283"/>
      <c r="CI323" s="286"/>
      <c r="CJ323" s="284">
        <f>CE323</f>
        <v>42.352309733609857</v>
      </c>
      <c r="CK323" s="405"/>
      <c r="CL323" s="746"/>
      <c r="CM323" s="994"/>
      <c r="CN323" s="682"/>
      <c r="CO323" s="994"/>
      <c r="CP323" s="994"/>
      <c r="CQ323" s="994"/>
      <c r="CR323" s="994"/>
      <c r="CS323" s="994"/>
      <c r="CT323" s="405"/>
      <c r="CX323"/>
      <c r="CY323"/>
      <c r="CZ323"/>
      <c r="DA323"/>
      <c r="DB323"/>
      <c r="DC323"/>
    </row>
    <row r="324" spans="1:107" s="180" customFormat="1" ht="11.25" hidden="1" customHeight="1">
      <c r="A324" s="512" t="s">
        <v>3</v>
      </c>
      <c r="B324" s="170">
        <v>883</v>
      </c>
      <c r="C324" s="170">
        <v>819</v>
      </c>
      <c r="D324" s="170">
        <v>1578</v>
      </c>
      <c r="E324" s="170">
        <v>1900</v>
      </c>
      <c r="F324" s="170">
        <v>1678</v>
      </c>
      <c r="G324" s="170">
        <v>1962</v>
      </c>
      <c r="H324" s="171">
        <v>1947</v>
      </c>
      <c r="I324" s="171">
        <v>1895</v>
      </c>
      <c r="J324" s="171">
        <v>1786</v>
      </c>
      <c r="K324" s="171">
        <v>1845</v>
      </c>
      <c r="L324" s="170">
        <f>K324</f>
        <v>1845</v>
      </c>
      <c r="M324" s="171">
        <v>1842</v>
      </c>
      <c r="N324" s="171">
        <v>1933</v>
      </c>
      <c r="O324" s="171">
        <v>1850</v>
      </c>
      <c r="P324" s="171">
        <v>1970</v>
      </c>
      <c r="Q324" s="170">
        <f>P324</f>
        <v>1970</v>
      </c>
      <c r="R324" s="171">
        <v>1794</v>
      </c>
      <c r="S324" s="171">
        <v>1968</v>
      </c>
      <c r="T324" s="171">
        <v>2002</v>
      </c>
      <c r="U324" s="171">
        <v>2224</v>
      </c>
      <c r="V324" s="170">
        <f>U324</f>
        <v>2224</v>
      </c>
      <c r="W324" s="171">
        <v>2173</v>
      </c>
      <c r="X324" s="171">
        <v>2159</v>
      </c>
      <c r="Y324" s="171">
        <v>2070</v>
      </c>
      <c r="Z324" s="171">
        <v>2201</v>
      </c>
      <c r="AA324" s="170">
        <f>Z324</f>
        <v>2201</v>
      </c>
      <c r="AB324" s="171">
        <v>2104</v>
      </c>
      <c r="AC324" s="171">
        <v>1978</v>
      </c>
      <c r="AD324" s="171">
        <v>2044</v>
      </c>
      <c r="AE324" s="171">
        <v>2542</v>
      </c>
      <c r="AF324" s="170">
        <f>AE324</f>
        <v>2542</v>
      </c>
      <c r="AG324" s="171">
        <v>2360</v>
      </c>
      <c r="AH324" s="171">
        <v>2274</v>
      </c>
      <c r="AI324" s="171">
        <v>2169</v>
      </c>
      <c r="AJ324" s="171">
        <f>AK324</f>
        <v>2398</v>
      </c>
      <c r="AK324" s="170">
        <v>2398</v>
      </c>
      <c r="AL324" s="171">
        <v>2187</v>
      </c>
      <c r="AM324" s="171">
        <v>2140</v>
      </c>
      <c r="AN324" s="171">
        <v>2232</v>
      </c>
      <c r="AO324" s="171">
        <v>2350</v>
      </c>
      <c r="AP324" s="170">
        <f>AO324</f>
        <v>2350</v>
      </c>
      <c r="AQ324" s="171">
        <v>2612</v>
      </c>
      <c r="AR324" s="171">
        <v>2558</v>
      </c>
      <c r="AS324" s="171">
        <v>2382</v>
      </c>
      <c r="AT324" s="171">
        <v>2284</v>
      </c>
      <c r="AU324" s="170">
        <f>AT324</f>
        <v>2284</v>
      </c>
      <c r="AV324" s="171"/>
      <c r="AW324" s="171"/>
      <c r="AX324" s="171"/>
      <c r="AY324" s="171"/>
      <c r="AZ324" s="170">
        <v>2284</v>
      </c>
      <c r="BA324" s="172">
        <v>1944</v>
      </c>
      <c r="BB324" s="171">
        <v>1975</v>
      </c>
      <c r="BC324" s="747">
        <v>2215</v>
      </c>
      <c r="BD324" s="911">
        <v>2193</v>
      </c>
      <c r="BE324" s="913">
        <f>BD324</f>
        <v>2193</v>
      </c>
      <c r="BF324" s="905">
        <v>2136</v>
      </c>
      <c r="BG324" s="747">
        <v>2136</v>
      </c>
      <c r="BH324" s="747">
        <v>2063</v>
      </c>
      <c r="BI324" s="911">
        <v>2239</v>
      </c>
      <c r="BJ324" s="701">
        <f>BI324</f>
        <v>2239</v>
      </c>
      <c r="BK324" s="905"/>
      <c r="BL324" s="669"/>
      <c r="BM324" s="669"/>
      <c r="BN324" s="762"/>
      <c r="BO324" s="170"/>
      <c r="BP324" s="170"/>
      <c r="BQ324" s="172"/>
      <c r="BR324" s="171"/>
      <c r="BS324" s="171"/>
      <c r="BT324" s="173"/>
      <c r="BU324" s="170"/>
      <c r="BV324" s="172"/>
      <c r="BW324" s="171"/>
      <c r="BX324" s="171"/>
      <c r="BY324" s="173"/>
      <c r="BZ324" s="170"/>
      <c r="CA324" s="172"/>
      <c r="CB324" s="171"/>
      <c r="CC324" s="171"/>
      <c r="CD324" s="173"/>
      <c r="CE324" s="170"/>
      <c r="CF324" s="172"/>
      <c r="CG324" s="171"/>
      <c r="CH324" s="171"/>
      <c r="CI324" s="173"/>
      <c r="CJ324" s="170"/>
      <c r="CK324" s="291"/>
      <c r="CL324" s="679"/>
      <c r="CM324" s="994"/>
      <c r="CN324" s="682"/>
      <c r="CO324" s="994"/>
      <c r="CP324" s="994"/>
      <c r="CQ324" s="994"/>
      <c r="CR324" s="994"/>
      <c r="CS324" s="994"/>
      <c r="CT324" s="291"/>
      <c r="CX324"/>
      <c r="CY324"/>
      <c r="CZ324"/>
      <c r="DA324"/>
      <c r="DB324"/>
      <c r="DC324"/>
    </row>
    <row r="325" spans="1:107" s="407" customFormat="1" ht="11.25" hidden="1" customHeight="1">
      <c r="A325" s="513" t="s">
        <v>4</v>
      </c>
      <c r="B325" s="361">
        <f t="shared" ref="B325:G325" si="1042">B324/B77*360</f>
        <v>19.846413185989888</v>
      </c>
      <c r="C325" s="361">
        <f t="shared" si="1042"/>
        <v>17.591885441527445</v>
      </c>
      <c r="D325" s="361">
        <f t="shared" si="1042"/>
        <v>31.370036998177703</v>
      </c>
      <c r="E325" s="361">
        <f t="shared" si="1042"/>
        <v>38.373071528751751</v>
      </c>
      <c r="F325" s="361">
        <f t="shared" si="1042"/>
        <v>32.668865934779085</v>
      </c>
      <c r="G325" s="361">
        <f t="shared" si="1042"/>
        <v>35.841071700411021</v>
      </c>
      <c r="H325" s="363">
        <f>H324/H77*360/4</f>
        <v>36.475853455453787</v>
      </c>
      <c r="I325" s="362">
        <f>I324/I77*360/4</f>
        <v>32.313376278893521</v>
      </c>
      <c r="J325" s="362">
        <f>J324/J77*360/4</f>
        <v>30.799003640544164</v>
      </c>
      <c r="K325" s="362">
        <f>K324/K77*360/4</f>
        <v>27.675000000000001</v>
      </c>
      <c r="L325" s="361">
        <f>L324/L77*360</f>
        <v>31.181634665039198</v>
      </c>
      <c r="M325" s="363">
        <f>M324/M77*360/4</f>
        <v>30.963765409039972</v>
      </c>
      <c r="N325" s="362">
        <f>N324/N77*360/4</f>
        <v>29.637137989778537</v>
      </c>
      <c r="O325" s="362">
        <f>O324/O77*360/4</f>
        <v>28.393587994542973</v>
      </c>
      <c r="P325" s="362">
        <f>P324/P77*360/4</f>
        <v>29.132435096943805</v>
      </c>
      <c r="Q325" s="361">
        <f>Q324/Q77*360</f>
        <v>30.603262276689392</v>
      </c>
      <c r="R325" s="363">
        <f>R324/R77*360/4</f>
        <v>27.440516655336506</v>
      </c>
      <c r="S325" s="362">
        <f>S324/S77*360/4</f>
        <v>28.917551020408165</v>
      </c>
      <c r="T325" s="362">
        <f>T324/T77*360/4</f>
        <v>29.037872683319904</v>
      </c>
      <c r="U325" s="362">
        <f>U324/U77*360/4</f>
        <v>30.022498875056247</v>
      </c>
      <c r="V325" s="361">
        <f>V324/V77*360</f>
        <v>32.178770949720672</v>
      </c>
      <c r="W325" s="363">
        <f>W324/W77*360/4</f>
        <v>32.309598546175451</v>
      </c>
      <c r="X325" s="362">
        <f>X324/X77*360/4</f>
        <v>32.531391260673026</v>
      </c>
      <c r="Y325" s="362">
        <f>Y324/Y77*360/4</f>
        <v>29.70344387755102</v>
      </c>
      <c r="Z325" s="362">
        <f>Z324/Z77*360/4</f>
        <v>28.771241830065357</v>
      </c>
      <c r="AA325" s="361">
        <f>AA324/AA77*360</f>
        <v>31.464082913076282</v>
      </c>
      <c r="AB325" s="363">
        <f>AB324/AB77*360/4</f>
        <v>31.288830138797092</v>
      </c>
      <c r="AC325" s="362">
        <f>AC324/AC77*360/4</f>
        <v>28.708272859216255</v>
      </c>
      <c r="AD325" s="362">
        <f>AD324/AD77*360/4</f>
        <v>30.078482668410725</v>
      </c>
      <c r="AE325" s="362">
        <f>AE324/AE77*360/4</f>
        <v>35.624416069760194</v>
      </c>
      <c r="AF325" s="361">
        <f>AF324/AF77*360</f>
        <v>36.913395990480417</v>
      </c>
      <c r="AG325" s="363">
        <f>AG324/AG77*360/4</f>
        <v>35.769619400471541</v>
      </c>
      <c r="AH325" s="362">
        <f>AH324/AH77*360/4</f>
        <v>34.155540720961284</v>
      </c>
      <c r="AI325" s="362">
        <f>AI324/AI77*360/4</f>
        <v>32.292803970223325</v>
      </c>
      <c r="AJ325" s="362">
        <f>AJ324/AJ77*360/4</f>
        <v>33.517626960708185</v>
      </c>
      <c r="AK325" s="361">
        <f>AK324/AK77*360</f>
        <v>35.360039321700661</v>
      </c>
      <c r="AL325" s="363">
        <f>AL324/AL77*360/4</f>
        <v>33.480183704711685</v>
      </c>
      <c r="AM325" s="362">
        <f>AM324/AM77*360/4</f>
        <v>31.49632052330335</v>
      </c>
      <c r="AN325" s="362">
        <f>AN324/AN77*360/4</f>
        <v>34.385484423142756</v>
      </c>
      <c r="AO325" s="362">
        <f>AO324/AO77*360/4</f>
        <v>36.030664395229984</v>
      </c>
      <c r="AP325" s="361">
        <f>AP324/AP77*365</f>
        <v>36.050519060227799</v>
      </c>
      <c r="AQ325" s="362">
        <f>AQ324/AQ77*360/4</f>
        <v>42.679738562091501</v>
      </c>
      <c r="AR325" s="362">
        <f>AR324/AR77*360/4</f>
        <v>40.38238905455183</v>
      </c>
      <c r="AS325" s="362">
        <f>AS324/AS77*360/4</f>
        <v>39.163317500913408</v>
      </c>
      <c r="AT325" s="362">
        <f>AT324/AT77*360/4</f>
        <v>33.46247761679961</v>
      </c>
      <c r="AU325" s="85">
        <f>AU324/AU77*365</f>
        <v>36.522386751949533</v>
      </c>
      <c r="AV325" s="362"/>
      <c r="AW325" s="362"/>
      <c r="AX325" s="362"/>
      <c r="AY325" s="362"/>
      <c r="AZ325" s="85">
        <f>AZ324/AZ77*360</f>
        <v>36.022080084114606</v>
      </c>
      <c r="BA325" s="362">
        <f>BA324/BA77*360/4</f>
        <v>33.086232980332831</v>
      </c>
      <c r="BB325" s="362">
        <f>BB324/BB77*360/4</f>
        <v>30.395006839945278</v>
      </c>
      <c r="BC325" s="921">
        <f>BC324/BC77*360/4</f>
        <v>34.471727477088017</v>
      </c>
      <c r="BD325" s="914">
        <f>BD324/BD77*360/4</f>
        <v>31.189949431099873</v>
      </c>
      <c r="BE325" s="915">
        <f>BE324/BE77*365</f>
        <v>34.432184798038456</v>
      </c>
      <c r="BF325" s="916">
        <f>BF324/BF77*360/4</f>
        <v>33.133402275077557</v>
      </c>
      <c r="BG325" s="921">
        <f>BG324/BG77*360/4</f>
        <v>31.854183927091967</v>
      </c>
      <c r="BH325" s="921">
        <f>BH324/BH77*360/4</f>
        <v>30.775733465937346</v>
      </c>
      <c r="BI325" s="914">
        <f>BI324/BI77*360/4</f>
        <v>32.491131892937759</v>
      </c>
      <c r="BJ325" s="767">
        <f>BJ324/BJ77*365</f>
        <v>33.949609504818881</v>
      </c>
      <c r="BK325" s="880"/>
      <c r="BL325" s="876"/>
      <c r="BM325" s="876"/>
      <c r="BN325" s="877"/>
      <c r="BO325" s="767"/>
      <c r="BP325" s="767"/>
      <c r="BQ325" s="343"/>
      <c r="BR325" s="49"/>
      <c r="BS325" s="49"/>
      <c r="BT325" s="344"/>
      <c r="BU325" s="548"/>
      <c r="BV325" s="343"/>
      <c r="BW325" s="49"/>
      <c r="BX325" s="49"/>
      <c r="BY325" s="344"/>
      <c r="BZ325" s="548"/>
      <c r="CA325" s="343"/>
      <c r="CB325" s="49"/>
      <c r="CC325" s="49"/>
      <c r="CD325" s="344"/>
      <c r="CE325" s="548"/>
      <c r="CF325" s="343"/>
      <c r="CG325" s="49"/>
      <c r="CH325" s="49"/>
      <c r="CI325" s="344"/>
      <c r="CJ325" s="548"/>
      <c r="CK325" s="405"/>
      <c r="CL325" s="746"/>
      <c r="CM325" s="994"/>
      <c r="CN325" s="682"/>
      <c r="CO325" s="994"/>
      <c r="CP325" s="994"/>
      <c r="CQ325" s="994"/>
      <c r="CR325" s="994"/>
      <c r="CS325" s="994"/>
      <c r="CT325" s="405"/>
      <c r="CX325"/>
      <c r="CY325"/>
      <c r="CZ325"/>
      <c r="DA325"/>
      <c r="DB325"/>
      <c r="DC325"/>
    </row>
    <row r="326" spans="1:107" s="180" customFormat="1">
      <c r="A326" s="171" t="s">
        <v>49</v>
      </c>
      <c r="B326" s="176">
        <v>910</v>
      </c>
      <c r="C326" s="176">
        <v>776</v>
      </c>
      <c r="D326" s="176">
        <v>833</v>
      </c>
      <c r="E326" s="176">
        <v>867</v>
      </c>
      <c r="F326" s="176">
        <v>813</v>
      </c>
      <c r="G326" s="176">
        <v>920</v>
      </c>
      <c r="H326" s="177">
        <v>833</v>
      </c>
      <c r="I326" s="177">
        <v>893</v>
      </c>
      <c r="J326" s="177">
        <v>982</v>
      </c>
      <c r="K326" s="177">
        <v>1141</v>
      </c>
      <c r="L326" s="176">
        <f>K326</f>
        <v>1141</v>
      </c>
      <c r="M326" s="177">
        <v>1044</v>
      </c>
      <c r="N326" s="177">
        <v>1128</v>
      </c>
      <c r="O326" s="177">
        <v>1196</v>
      </c>
      <c r="P326" s="177">
        <v>1201</v>
      </c>
      <c r="Q326" s="176">
        <f>P326</f>
        <v>1201</v>
      </c>
      <c r="R326" s="177">
        <v>1209</v>
      </c>
      <c r="S326" s="177">
        <v>1189</v>
      </c>
      <c r="T326" s="177">
        <v>1266</v>
      </c>
      <c r="U326" s="177">
        <v>1397</v>
      </c>
      <c r="V326" s="176">
        <f>U326</f>
        <v>1397</v>
      </c>
      <c r="W326" s="177">
        <v>1310</v>
      </c>
      <c r="X326" s="177">
        <v>1330</v>
      </c>
      <c r="Y326" s="177">
        <v>1413</v>
      </c>
      <c r="Z326" s="177">
        <v>1538</v>
      </c>
      <c r="AA326" s="176">
        <f>Z326</f>
        <v>1538</v>
      </c>
      <c r="AB326" s="177">
        <v>1322</v>
      </c>
      <c r="AC326" s="177">
        <v>1331</v>
      </c>
      <c r="AD326" s="177">
        <v>1349</v>
      </c>
      <c r="AE326" s="177">
        <v>1507</v>
      </c>
      <c r="AF326" s="176">
        <f>AE326</f>
        <v>1507</v>
      </c>
      <c r="AG326" s="177">
        <v>1199</v>
      </c>
      <c r="AH326" s="177">
        <v>1179</v>
      </c>
      <c r="AI326" s="177">
        <v>1190</v>
      </c>
      <c r="AJ326" s="177">
        <v>1348</v>
      </c>
      <c r="AK326" s="176">
        <f>AJ326</f>
        <v>1348</v>
      </c>
      <c r="AL326" s="177">
        <v>1221</v>
      </c>
      <c r="AM326" s="177">
        <v>1164</v>
      </c>
      <c r="AN326" s="177">
        <v>1143</v>
      </c>
      <c r="AO326" s="177">
        <v>1178</v>
      </c>
      <c r="AP326" s="176">
        <f>AO326</f>
        <v>1178</v>
      </c>
      <c r="AQ326" s="177">
        <v>1078</v>
      </c>
      <c r="AR326" s="177">
        <v>1113</v>
      </c>
      <c r="AS326" s="177">
        <v>1060</v>
      </c>
      <c r="AT326" s="177">
        <v>1250</v>
      </c>
      <c r="AU326" s="176">
        <f>AT326</f>
        <v>1250</v>
      </c>
      <c r="AV326" s="177"/>
      <c r="AW326" s="177"/>
      <c r="AX326" s="177"/>
      <c r="AY326" s="177"/>
      <c r="AZ326" s="176">
        <v>1250</v>
      </c>
      <c r="BA326" s="178">
        <v>1141</v>
      </c>
      <c r="BB326" s="177">
        <v>1171</v>
      </c>
      <c r="BC326" s="749">
        <v>1334</v>
      </c>
      <c r="BD326" s="769">
        <v>1402</v>
      </c>
      <c r="BE326" s="727">
        <f>BD326</f>
        <v>1402</v>
      </c>
      <c r="BF326" s="750">
        <v>1304</v>
      </c>
      <c r="BG326" s="749">
        <v>1405</v>
      </c>
      <c r="BH326" s="749">
        <v>1415</v>
      </c>
      <c r="BI326" s="769">
        <v>1520</v>
      </c>
      <c r="BJ326" s="696">
        <f>BI326</f>
        <v>1520</v>
      </c>
      <c r="BK326" s="750">
        <v>1282</v>
      </c>
      <c r="BL326" s="667">
        <v>1278</v>
      </c>
      <c r="BM326" s="667">
        <v>1347</v>
      </c>
      <c r="BN326" s="756">
        <v>1519</v>
      </c>
      <c r="BO326" s="696">
        <f>BN326</f>
        <v>1519</v>
      </c>
      <c r="BP326" s="696">
        <f>BO326</f>
        <v>1519</v>
      </c>
      <c r="BQ326" s="178">
        <f t="shared" ref="BQ326:BT326" si="1043">(BQ327*BQ201)/(360)*4</f>
        <v>1344.8944071999999</v>
      </c>
      <c r="BR326" s="177">
        <f t="shared" si="1043"/>
        <v>1355.2345189301068</v>
      </c>
      <c r="BS326" s="177">
        <f t="shared" si="1043"/>
        <v>1424.5561990650858</v>
      </c>
      <c r="BT326" s="179">
        <f t="shared" si="1043"/>
        <v>1614.4053656604749</v>
      </c>
      <c r="BU326" s="696">
        <f>BT326</f>
        <v>1614.4053656604749</v>
      </c>
      <c r="BV326" s="178"/>
      <c r="BW326" s="177"/>
      <c r="BX326" s="177"/>
      <c r="BY326" s="179"/>
      <c r="BZ326" s="176">
        <f>(BZ327*BZ201)/(360)</f>
        <v>1702.4467657001614</v>
      </c>
      <c r="CA326" s="178"/>
      <c r="CB326" s="177"/>
      <c r="CC326" s="177"/>
      <c r="CD326" s="179"/>
      <c r="CE326" s="176">
        <f>(CE327*CE201)/(360)</f>
        <v>1799.3345348406513</v>
      </c>
      <c r="CF326" s="178"/>
      <c r="CG326" s="177"/>
      <c r="CH326" s="177"/>
      <c r="CI326" s="179"/>
      <c r="CJ326" s="176">
        <f>(CJ327*CJ201)/(360)</f>
        <v>1902.2700414544395</v>
      </c>
      <c r="CK326" s="291"/>
      <c r="CL326" s="679"/>
      <c r="CM326" s="994"/>
      <c r="CN326" s="682"/>
      <c r="CO326" s="994"/>
      <c r="CP326" s="994"/>
      <c r="CQ326" s="994"/>
      <c r="CR326" s="994"/>
      <c r="CS326" s="994"/>
      <c r="CT326" s="291"/>
      <c r="CX326"/>
      <c r="CY326"/>
      <c r="CZ326"/>
      <c r="DA326"/>
      <c r="DB326"/>
      <c r="DC326"/>
    </row>
    <row r="327" spans="1:107" s="282" customFormat="1">
      <c r="A327" s="274" t="s">
        <v>114</v>
      </c>
      <c r="B327" s="280">
        <f t="shared" ref="B327:G327" si="1044">(B326/B201)*(360)</f>
        <v>20.453268402322532</v>
      </c>
      <c r="C327" s="280">
        <f t="shared" si="1044"/>
        <v>16.668257756563246</v>
      </c>
      <c r="D327" s="280">
        <f t="shared" si="1044"/>
        <v>16.559721685349825</v>
      </c>
      <c r="E327" s="280">
        <f t="shared" si="1044"/>
        <v>17.51023842917251</v>
      </c>
      <c r="F327" s="280">
        <f t="shared" si="1044"/>
        <v>15.828240765777945</v>
      </c>
      <c r="G327" s="280">
        <f t="shared" si="1044"/>
        <v>16.806210991018418</v>
      </c>
      <c r="H327" s="281">
        <f>(H326/H201)*(360/4)</f>
        <v>15.605745212323063</v>
      </c>
      <c r="I327" s="281">
        <f>(I326/I201)*(360/4)</f>
        <v>15.227358848048503</v>
      </c>
      <c r="J327" s="281">
        <f>(J326/J201)*(360/4)</f>
        <v>16.934278597432456</v>
      </c>
      <c r="K327" s="281">
        <f>(K326/K201)*(360/4)</f>
        <v>17.115000000000002</v>
      </c>
      <c r="L327" s="280">
        <f>(L326/L201)*(360)</f>
        <v>19.28360170883996</v>
      </c>
      <c r="M327" s="281">
        <f>(M326/M201)*(360/4)</f>
        <v>17.54949570414643</v>
      </c>
      <c r="N327" s="281">
        <f>(N326/N201)*(360/4)</f>
        <v>17.29471890971039</v>
      </c>
      <c r="O327" s="281">
        <f>(O326/O201)*(360/4)</f>
        <v>18.356070941336974</v>
      </c>
      <c r="P327" s="281">
        <f>(P326/P201)*(360/4)</f>
        <v>17.760433782451528</v>
      </c>
      <c r="Q327" s="280">
        <f>(Q326/Q201)*(360)</f>
        <v>18.657115733149219</v>
      </c>
      <c r="R327" s="281">
        <f>(R326/R201)*(360/4)</f>
        <v>18.492522093813729</v>
      </c>
      <c r="S327" s="281">
        <f>(S326/S201)*(360/4)</f>
        <v>17.471020408163266</v>
      </c>
      <c r="T327" s="281">
        <f>(T326/T201)*(360/4)</f>
        <v>18.362610797743756</v>
      </c>
      <c r="U327" s="281">
        <f>(U326/U201)*(360/4)</f>
        <v>18.858557072146393</v>
      </c>
      <c r="V327" s="280">
        <f>(V326/V201)*(360)</f>
        <v>20.213013946384791</v>
      </c>
      <c r="W327" s="281">
        <f>(W326/W201)*(360/4)</f>
        <v>19.477944820750043</v>
      </c>
      <c r="X327" s="281">
        <f>(X326/X201)*(360/4)</f>
        <v>20.040180813661475</v>
      </c>
      <c r="Y327" s="281">
        <f>(Y326/Y201)*(360/4)</f>
        <v>20.275829081632654</v>
      </c>
      <c r="Z327" s="281">
        <f>(Z326/Z201)*(360/4)</f>
        <v>20.104575163398692</v>
      </c>
      <c r="AA327" s="280">
        <f>(AA326/AA201)*(360)</f>
        <v>21.986260572608504</v>
      </c>
      <c r="AB327" s="281">
        <f>(AB326/AB201)*(360/4)</f>
        <v>19.659616655651025</v>
      </c>
      <c r="AC327" s="281">
        <f>(AC326/AC201)*(360/4)</f>
        <v>19.317851959361395</v>
      </c>
      <c r="AD327" s="281">
        <f>(AD326/AD201)*(360/4)</f>
        <v>19.851209941137999</v>
      </c>
      <c r="AE327" s="281">
        <f>(AE326/AE201)*(360/4)</f>
        <v>21.11958891311118</v>
      </c>
      <c r="AF327" s="280">
        <f>(AF326/AF201)*(360)</f>
        <v>21.883748134403614</v>
      </c>
      <c r="AG327" s="281">
        <f>(AG326/AG201)*(360/4)</f>
        <v>18.172785449646344</v>
      </c>
      <c r="AH327" s="281">
        <f>(AH326/AH201)*(360/4)</f>
        <v>17.708611481975968</v>
      </c>
      <c r="AI327" s="281">
        <f>(AI326/AI201)*(360/4)</f>
        <v>17.717121588089331</v>
      </c>
      <c r="AJ327" s="281">
        <f>(AJ326/AJ201)*(360/4)</f>
        <v>18.841435005435628</v>
      </c>
      <c r="AK327" s="280">
        <f>(AK326/AK201)*(360)</f>
        <v>19.877119685426393</v>
      </c>
      <c r="AL327" s="281">
        <f>(AL326/AL201)*(360/4)</f>
        <v>18.691954414015989</v>
      </c>
      <c r="AM327" s="281">
        <f>(AM326/AM201)*(360/4)</f>
        <v>17.131643499591171</v>
      </c>
      <c r="AN327" s="281">
        <f>(AN326/AN201)*(360/4)</f>
        <v>17.608695652173914</v>
      </c>
      <c r="AO327" s="281">
        <f>(AO326/AO201)*(360/4)</f>
        <v>18.061328790459967</v>
      </c>
      <c r="AP327" s="280">
        <f>(AP326/AP201)*(360)</f>
        <v>17.823729668389863</v>
      </c>
      <c r="AQ327" s="281">
        <f>(AQ326/AQ201)*(360/4)</f>
        <v>17.614379084967318</v>
      </c>
      <c r="AR327" s="281">
        <f>(AR326/AR201)*(360/4)</f>
        <v>17.570601648833538</v>
      </c>
      <c r="AS327" s="281">
        <f>(AS326/AS201)*(360/4)</f>
        <v>17.427840701497992</v>
      </c>
      <c r="AT327" s="281">
        <f>(AT326/AT201)*(360/4)</f>
        <v>18.313527592381572</v>
      </c>
      <c r="AU327" s="280">
        <f>(AU326/AU201)*(360)</f>
        <v>19.714360816612633</v>
      </c>
      <c r="AV327" s="281"/>
      <c r="AW327" s="281"/>
      <c r="AX327" s="281"/>
      <c r="AY327" s="281"/>
      <c r="AZ327" s="280">
        <f>(AZ326/AZ201)*(360)</f>
        <v>19.714360816612633</v>
      </c>
      <c r="BA327" s="281">
        <f>(BA326/BA201)*(360/4)</f>
        <v>19.41944024205749</v>
      </c>
      <c r="BB327" s="281">
        <f>(BB326/BB201)*(360/4)</f>
        <v>18.021545827633378</v>
      </c>
      <c r="BC327" s="922">
        <f>(BC326/BC201)*(360/4)</f>
        <v>20.760850769496802</v>
      </c>
      <c r="BD327" s="917">
        <f>(BD326/BD201)*(360/4)</f>
        <v>19.939949431099873</v>
      </c>
      <c r="BE327" s="950">
        <f>(BE326/BE201)*(360)</f>
        <v>21.711188540456835</v>
      </c>
      <c r="BF327" s="918">
        <f>(BF326/BF201)*(360/4)</f>
        <v>20.227507755946228</v>
      </c>
      <c r="BG327" s="922">
        <f>(BG326/BG201)*(360/4)</f>
        <v>20.952775476387739</v>
      </c>
      <c r="BH327" s="922">
        <f>(BH326/BH201)*(360/4)</f>
        <v>21.108901044256587</v>
      </c>
      <c r="BI327" s="917">
        <f>(BI326/BI201)*(360/4)</f>
        <v>22.057400838439214</v>
      </c>
      <c r="BJ327" s="768">
        <f>(BJ326/BJ201)*(360)</f>
        <v>22.731804586241278</v>
      </c>
      <c r="BK327" s="918">
        <f>(BK326/BK201)*(360/4)</f>
        <v>19.23</v>
      </c>
      <c r="BL327" s="971">
        <f>(BL326/BL201)*(360/4)</f>
        <v>18.312370641617576</v>
      </c>
      <c r="BM327" s="971">
        <f>(BM326/BM201)*(360/4)</f>
        <v>19.291852323360917</v>
      </c>
      <c r="BN327" s="1061">
        <f>(BN326/BN201)*(360/4)</f>
        <v>20.154798761609907</v>
      </c>
      <c r="BO327" s="768">
        <f>(BO326/BO201)*(360)</f>
        <v>21.573299668612908</v>
      </c>
      <c r="BP327" s="768">
        <f>(BP326/BP201)*(360)</f>
        <v>21.573299668612908</v>
      </c>
      <c r="BQ327" s="285">
        <f>BK327</f>
        <v>19.23</v>
      </c>
      <c r="BR327" s="283">
        <f t="shared" ref="BR327:BT327" si="1045">BL327</f>
        <v>18.312370641617576</v>
      </c>
      <c r="BS327" s="283">
        <f t="shared" si="1045"/>
        <v>19.291852323360917</v>
      </c>
      <c r="BT327" s="286">
        <f t="shared" si="1045"/>
        <v>20.154798761609907</v>
      </c>
      <c r="BU327" s="768">
        <f>(BU326/BU201)*(360)</f>
        <v>21.678128575920194</v>
      </c>
      <c r="BV327" s="285"/>
      <c r="BW327" s="283"/>
      <c r="BX327" s="283"/>
      <c r="BY327" s="286"/>
      <c r="BZ327" s="284">
        <f>BU327</f>
        <v>21.678128575920194</v>
      </c>
      <c r="CA327" s="285"/>
      <c r="CB327" s="283"/>
      <c r="CC327" s="283"/>
      <c r="CD327" s="286"/>
      <c r="CE327" s="284">
        <f>BZ327</f>
        <v>21.678128575920194</v>
      </c>
      <c r="CF327" s="285"/>
      <c r="CG327" s="283"/>
      <c r="CH327" s="283"/>
      <c r="CI327" s="286"/>
      <c r="CJ327" s="284">
        <f>CE327</f>
        <v>21.678128575920194</v>
      </c>
      <c r="CK327" s="297"/>
      <c r="CL327" s="993"/>
      <c r="CM327" s="994"/>
      <c r="CN327" s="682"/>
      <c r="CO327" s="994"/>
      <c r="CP327" s="994"/>
      <c r="CQ327" s="994"/>
      <c r="CR327" s="994"/>
      <c r="CS327" s="994"/>
      <c r="CT327" s="297"/>
      <c r="CX327"/>
      <c r="CY327"/>
      <c r="CZ327"/>
      <c r="DA327"/>
      <c r="DB327"/>
      <c r="DC327"/>
    </row>
    <row r="328" spans="1:107" s="180" customFormat="1">
      <c r="A328" s="171" t="s">
        <v>54</v>
      </c>
      <c r="B328" s="176">
        <v>573</v>
      </c>
      <c r="C328" s="176">
        <v>710</v>
      </c>
      <c r="D328" s="176">
        <v>767</v>
      </c>
      <c r="E328" s="176">
        <v>934</v>
      </c>
      <c r="F328" s="176">
        <v>939</v>
      </c>
      <c r="G328" s="176">
        <v>944</v>
      </c>
      <c r="H328" s="177">
        <v>757</v>
      </c>
      <c r="I328" s="177">
        <v>754</v>
      </c>
      <c r="J328" s="177">
        <v>950</v>
      </c>
      <c r="K328" s="177">
        <v>902</v>
      </c>
      <c r="L328" s="176">
        <f>K328</f>
        <v>902</v>
      </c>
      <c r="M328" s="177">
        <v>563</v>
      </c>
      <c r="N328" s="177">
        <v>846</v>
      </c>
      <c r="O328" s="177">
        <v>838</v>
      </c>
      <c r="P328" s="177">
        <v>913</v>
      </c>
      <c r="Q328" s="176">
        <f>P328</f>
        <v>913</v>
      </c>
      <c r="R328" s="177">
        <v>567</v>
      </c>
      <c r="S328" s="177">
        <v>912</v>
      </c>
      <c r="T328" s="177">
        <v>914</v>
      </c>
      <c r="U328" s="177">
        <v>868</v>
      </c>
      <c r="V328" s="176">
        <f>U328</f>
        <v>868</v>
      </c>
      <c r="W328" s="177">
        <v>656</v>
      </c>
      <c r="X328" s="177">
        <v>972</v>
      </c>
      <c r="Y328" s="177">
        <v>898</v>
      </c>
      <c r="Z328" s="177">
        <v>901</v>
      </c>
      <c r="AA328" s="176">
        <f>Z328</f>
        <v>901</v>
      </c>
      <c r="AB328" s="177">
        <v>829</v>
      </c>
      <c r="AC328" s="177">
        <v>876</v>
      </c>
      <c r="AD328" s="177">
        <v>1080</v>
      </c>
      <c r="AE328" s="177">
        <v>941</v>
      </c>
      <c r="AF328" s="176">
        <f>AE328</f>
        <v>941</v>
      </c>
      <c r="AG328" s="177">
        <v>859</v>
      </c>
      <c r="AH328" s="177">
        <v>888</v>
      </c>
      <c r="AI328" s="177">
        <v>1130</v>
      </c>
      <c r="AJ328" s="177">
        <v>1014</v>
      </c>
      <c r="AK328" s="176">
        <f>AJ328</f>
        <v>1014</v>
      </c>
      <c r="AL328" s="177">
        <v>865</v>
      </c>
      <c r="AM328" s="177">
        <v>927</v>
      </c>
      <c r="AN328" s="177">
        <v>1153</v>
      </c>
      <c r="AO328" s="177">
        <v>1068</v>
      </c>
      <c r="AP328" s="176">
        <f>AO328</f>
        <v>1068</v>
      </c>
      <c r="AQ328" s="177">
        <v>867</v>
      </c>
      <c r="AR328" s="177">
        <v>926</v>
      </c>
      <c r="AS328" s="177">
        <v>1142</v>
      </c>
      <c r="AT328" s="177">
        <v>1059</v>
      </c>
      <c r="AU328" s="176">
        <f>AT328</f>
        <v>1059</v>
      </c>
      <c r="AV328" s="177"/>
      <c r="AW328" s="177"/>
      <c r="AX328" s="177"/>
      <c r="AY328" s="177"/>
      <c r="AZ328" s="176">
        <v>1059</v>
      </c>
      <c r="BA328" s="178">
        <v>905</v>
      </c>
      <c r="BB328" s="177">
        <v>964</v>
      </c>
      <c r="BC328" s="749">
        <v>1190</v>
      </c>
      <c r="BD328" s="769">
        <v>1154</v>
      </c>
      <c r="BE328" s="727">
        <f>BD328</f>
        <v>1154</v>
      </c>
      <c r="BF328" s="750">
        <v>803</v>
      </c>
      <c r="BG328" s="749">
        <v>1113</v>
      </c>
      <c r="BH328" s="749">
        <v>1131</v>
      </c>
      <c r="BI328" s="769">
        <v>1234</v>
      </c>
      <c r="BJ328" s="696">
        <f>BI328</f>
        <v>1234</v>
      </c>
      <c r="BK328" s="750">
        <v>871</v>
      </c>
      <c r="BL328" s="667">
        <v>1179</v>
      </c>
      <c r="BM328" s="667">
        <v>1165</v>
      </c>
      <c r="BN328" s="756">
        <v>1342</v>
      </c>
      <c r="BO328" s="696">
        <f>BN328</f>
        <v>1342</v>
      </c>
      <c r="BP328" s="696">
        <f>BO328</f>
        <v>1342</v>
      </c>
      <c r="BQ328" s="178">
        <f t="shared" ref="BQ328:BT328" si="1046">BQ329*BQ201*4</f>
        <v>913.7309115999999</v>
      </c>
      <c r="BR328" s="177">
        <f t="shared" si="1046"/>
        <v>1250.2515632383379</v>
      </c>
      <c r="BS328" s="177">
        <f t="shared" si="1046"/>
        <v>1232.0771877585933</v>
      </c>
      <c r="BT328" s="179">
        <f t="shared" si="1046"/>
        <v>1426.2883480687012</v>
      </c>
      <c r="BU328" s="696">
        <f>BT328</f>
        <v>1426.2883480687012</v>
      </c>
      <c r="BV328" s="178"/>
      <c r="BW328" s="177"/>
      <c r="BX328" s="177"/>
      <c r="BY328" s="179"/>
      <c r="BZ328" s="176">
        <f>BZ329*BZ201</f>
        <v>1504.0708094599188</v>
      </c>
      <c r="CA328" s="178"/>
      <c r="CB328" s="177"/>
      <c r="CC328" s="177"/>
      <c r="CD328" s="179"/>
      <c r="CE328" s="176">
        <f>CE329*CE201</f>
        <v>1589.6688253825898</v>
      </c>
      <c r="CF328" s="178"/>
      <c r="CG328" s="177"/>
      <c r="CH328" s="177"/>
      <c r="CI328" s="179"/>
      <c r="CJ328" s="176">
        <f>CJ329*CJ201</f>
        <v>1680.6098720420391</v>
      </c>
      <c r="CK328" s="291"/>
      <c r="CL328" s="679"/>
      <c r="CM328" s="657"/>
      <c r="CN328" s="682"/>
      <c r="CO328" s="657"/>
      <c r="CP328" s="657"/>
      <c r="CQ328" s="657"/>
      <c r="CR328" s="657"/>
      <c r="CS328" s="657"/>
      <c r="CT328" s="291"/>
      <c r="CX328"/>
      <c r="CY328"/>
      <c r="CZ328"/>
      <c r="DA328"/>
      <c r="DB328"/>
      <c r="DC328"/>
    </row>
    <row r="329" spans="1:107" s="247" customFormat="1">
      <c r="A329" s="275" t="s">
        <v>113</v>
      </c>
      <c r="B329" s="230">
        <f t="shared" ref="B329:G329" si="1047">B328/B201</f>
        <v>3.5774489604794908E-2</v>
      </c>
      <c r="C329" s="230">
        <f t="shared" si="1047"/>
        <v>4.2362768496420046E-2</v>
      </c>
      <c r="D329" s="230">
        <f t="shared" si="1047"/>
        <v>4.2354630294328788E-2</v>
      </c>
      <c r="E329" s="230">
        <f t="shared" si="1047"/>
        <v>5.2398316970546983E-2</v>
      </c>
      <c r="F329" s="230">
        <f t="shared" si="1047"/>
        <v>5.0781461251419607E-2</v>
      </c>
      <c r="G329" s="230">
        <f t="shared" si="1047"/>
        <v>4.7901760795656369E-2</v>
      </c>
      <c r="H329" s="247">
        <f>H328/H201/4</f>
        <v>3.9394254787676934E-2</v>
      </c>
      <c r="I329" s="247">
        <f>I328/I201/4</f>
        <v>3.5714285714285712E-2</v>
      </c>
      <c r="J329" s="247">
        <f>J328/J201/4</f>
        <v>4.5506802069361946E-2</v>
      </c>
      <c r="K329" s="247">
        <f>K328/K201/4</f>
        <v>3.7583333333333337E-2</v>
      </c>
      <c r="L329" s="230">
        <f>L328/L201</f>
        <v>4.2345429792028544E-2</v>
      </c>
      <c r="M329" s="247">
        <f>M328/M201/4</f>
        <v>2.6288756070227869E-2</v>
      </c>
      <c r="N329" s="247">
        <f>N328/N201/4</f>
        <v>3.6030664395229985E-2</v>
      </c>
      <c r="O329" s="247">
        <f>O328/O201/4</f>
        <v>3.5726466575716237E-2</v>
      </c>
      <c r="P329" s="247">
        <f>P328/P201/4</f>
        <v>3.7504107788366742E-2</v>
      </c>
      <c r="Q329" s="230">
        <f>Q328/Q201</f>
        <v>3.9397600759471824E-2</v>
      </c>
      <c r="R329" s="247">
        <f>R328/R201/4</f>
        <v>2.4090754588715159E-2</v>
      </c>
      <c r="S329" s="247">
        <f>S328/S201/4</f>
        <v>3.7224489795918365E-2</v>
      </c>
      <c r="T329" s="247">
        <f>T328/T201/4</f>
        <v>3.6825141015310231E-2</v>
      </c>
      <c r="U329" s="247">
        <f>U328/U201/4</f>
        <v>3.254837258137093E-2</v>
      </c>
      <c r="V329" s="230">
        <f>V328/V201</f>
        <v>3.4886057634339454E-2</v>
      </c>
      <c r="W329" s="247">
        <f>W328/W201/4</f>
        <v>2.7094002973732035E-2</v>
      </c>
      <c r="X329" s="247">
        <f>X328/X201/4</f>
        <v>4.0683073832245106E-2</v>
      </c>
      <c r="Y329" s="247">
        <f>Y328/Y201/4</f>
        <v>3.5794005102040817E-2</v>
      </c>
      <c r="Z329" s="247">
        <f>Z328/Z201/4</f>
        <v>3.271604938271605E-2</v>
      </c>
      <c r="AA329" s="230">
        <f>AA328/AA201</f>
        <v>3.5778104276694596E-2</v>
      </c>
      <c r="AB329" s="247">
        <f>AB328/AB201/4</f>
        <v>3.4244877726371449E-2</v>
      </c>
      <c r="AC329" s="247">
        <f>AC328/AC201/4</f>
        <v>3.531688437348815E-2</v>
      </c>
      <c r="AD329" s="247">
        <f>AD328/AD201/4</f>
        <v>4.4146500981033357E-2</v>
      </c>
      <c r="AE329" s="247">
        <f>AE328/AE201/4</f>
        <v>3.6631890376829651E-2</v>
      </c>
      <c r="AF329" s="230">
        <f>AF328/AF201</f>
        <v>3.7957323222137067E-2</v>
      </c>
      <c r="AG329" s="247">
        <f>AG328/AG201/4</f>
        <v>3.6165375547322333E-2</v>
      </c>
      <c r="AH329" s="247">
        <f>AH328/AH201/4</f>
        <v>3.7049399198931909E-2</v>
      </c>
      <c r="AI329" s="247">
        <f>AI328/AI201/4</f>
        <v>4.6732837055417698E-2</v>
      </c>
      <c r="AJ329" s="247">
        <f>AJ328/AJ201/4</f>
        <v>3.9369467308588292E-2</v>
      </c>
      <c r="AK329" s="230">
        <f>AK328/AK201</f>
        <v>4.1533546325878593E-2</v>
      </c>
      <c r="AL329" s="247">
        <f>AL328/AL201/4</f>
        <v>3.678346657594829E-2</v>
      </c>
      <c r="AM329" s="247">
        <f>AM328/AM201/4</f>
        <v>3.7898609975470156E-2</v>
      </c>
      <c r="AN329" s="247">
        <f>AN328/AN201/4</f>
        <v>4.9340979116740839E-2</v>
      </c>
      <c r="AO329" s="247">
        <f>AO328/AO201/4</f>
        <v>4.5485519591141395E-2</v>
      </c>
      <c r="AP329" s="230">
        <f>AP328/AP201</f>
        <v>4.4887151683268185E-2</v>
      </c>
      <c r="AQ329" s="247">
        <f>AQ328/AQ201/4</f>
        <v>3.9351851851851853E-2</v>
      </c>
      <c r="AR329" s="247">
        <f>AR328/AR201/4</f>
        <v>4.0606911068233643E-2</v>
      </c>
      <c r="AS329" s="247">
        <f>AS328/AS201/4</f>
        <v>5.2155644866642308E-2</v>
      </c>
      <c r="AT329" s="247">
        <f>AT328/AT201/4</f>
        <v>4.3097834934071301E-2</v>
      </c>
      <c r="AU329" s="230">
        <f>AU328/AU201</f>
        <v>4.639446245509507E-2</v>
      </c>
      <c r="AZ329" s="230">
        <f>AZ328/AZ201</f>
        <v>4.639446245509507E-2</v>
      </c>
      <c r="BA329" s="247">
        <f>BA328/BA201/4</f>
        <v>4.2785552193645993E-2</v>
      </c>
      <c r="BB329" s="247">
        <f>BB328/BB201/4</f>
        <v>4.1210670314637481E-2</v>
      </c>
      <c r="BC329" s="920">
        <f>BC328/BC201/4</f>
        <v>5.144388725574961E-2</v>
      </c>
      <c r="BD329" s="909">
        <f>BD328/BD201/4</f>
        <v>4.5591024020227564E-2</v>
      </c>
      <c r="BE329" s="947">
        <f>BE328/BE201</f>
        <v>4.9640813868456146E-2</v>
      </c>
      <c r="BF329" s="908">
        <f>BF328/BF201/4</f>
        <v>3.4600137883488452E-2</v>
      </c>
      <c r="BG329" s="920">
        <f>BG328/BG201/4</f>
        <v>4.6106048053024026E-2</v>
      </c>
      <c r="BH329" s="920">
        <f>BH328/BH201/4</f>
        <v>4.6867230233714571E-2</v>
      </c>
      <c r="BI329" s="909">
        <f>BI328/BI201/4</f>
        <v>4.9742018703643989E-2</v>
      </c>
      <c r="BJ329" s="760">
        <f>BJ328/BJ201</f>
        <v>5.1262878032568959E-2</v>
      </c>
      <c r="BK329" s="908">
        <f>BK328/BK201/4</f>
        <v>3.6291666666666667E-2</v>
      </c>
      <c r="BL329" s="724">
        <f>BL328/BL201/4</f>
        <v>4.6927240885209359E-2</v>
      </c>
      <c r="BM329" s="724">
        <f>BM328/BM201/4</f>
        <v>4.6347867600254618E-2</v>
      </c>
      <c r="BN329" s="1059">
        <f>BN328/BN201/4</f>
        <v>4.9461890019165559E-2</v>
      </c>
      <c r="BO329" s="760">
        <f>BO328/BO201</f>
        <v>5.2943032980905788E-2</v>
      </c>
      <c r="BP329" s="760">
        <f>BP328/BP201</f>
        <v>5.2943032980905788E-2</v>
      </c>
      <c r="BQ329" s="277">
        <f>BK329</f>
        <v>3.6291666666666667E-2</v>
      </c>
      <c r="BR329" s="278">
        <f t="shared" ref="BR329:BT329" si="1048">BL329</f>
        <v>4.6927240885209359E-2</v>
      </c>
      <c r="BS329" s="278">
        <f t="shared" si="1048"/>
        <v>4.6347867600254618E-2</v>
      </c>
      <c r="BT329" s="279">
        <f t="shared" si="1048"/>
        <v>4.9461890019165559E-2</v>
      </c>
      <c r="BU329" s="760">
        <f>BU328/BU201</f>
        <v>5.3200293593893826E-2</v>
      </c>
      <c r="BV329" s="277"/>
      <c r="BW329" s="278"/>
      <c r="BX329" s="278"/>
      <c r="BY329" s="279"/>
      <c r="BZ329" s="276">
        <f>BU329</f>
        <v>5.3200293593893826E-2</v>
      </c>
      <c r="CA329" s="277"/>
      <c r="CB329" s="278"/>
      <c r="CC329" s="278"/>
      <c r="CD329" s="279"/>
      <c r="CE329" s="276">
        <f>BZ329</f>
        <v>5.3200293593893826E-2</v>
      </c>
      <c r="CF329" s="277"/>
      <c r="CG329" s="278"/>
      <c r="CH329" s="278"/>
      <c r="CI329" s="279"/>
      <c r="CJ329" s="276">
        <f>CE329</f>
        <v>5.3200293593893826E-2</v>
      </c>
      <c r="CK329" s="294"/>
      <c r="CL329" s="681"/>
      <c r="CM329" s="681"/>
      <c r="CN329" s="987"/>
      <c r="CO329" s="681"/>
      <c r="CP329" s="681"/>
      <c r="CQ329" s="681"/>
      <c r="CR329" s="1026"/>
      <c r="CS329" s="681"/>
      <c r="CT329" s="294"/>
      <c r="CX329"/>
      <c r="CY329"/>
      <c r="CZ329"/>
      <c r="DA329"/>
      <c r="DB329"/>
      <c r="DC329"/>
    </row>
    <row r="330" spans="1:107" s="180" customFormat="1">
      <c r="A330" s="171" t="s">
        <v>55</v>
      </c>
      <c r="B330" s="176">
        <f>B331-B324-B326-B328</f>
        <v>3449</v>
      </c>
      <c r="C330" s="176">
        <f t="shared" ref="C330:BD330" si="1049">C331-C324-C326-C328</f>
        <v>2802</v>
      </c>
      <c r="D330" s="176">
        <f t="shared" si="1049"/>
        <v>1144</v>
      </c>
      <c r="E330" s="176">
        <f t="shared" si="1049"/>
        <v>1943</v>
      </c>
      <c r="F330" s="176">
        <f t="shared" si="1049"/>
        <v>2758</v>
      </c>
      <c r="G330" s="176">
        <f t="shared" si="1049"/>
        <v>2889</v>
      </c>
      <c r="H330" s="177">
        <f t="shared" si="1049"/>
        <v>2900</v>
      </c>
      <c r="I330" s="177">
        <f t="shared" si="1049"/>
        <v>2065</v>
      </c>
      <c r="J330" s="177">
        <f t="shared" si="1049"/>
        <v>1257</v>
      </c>
      <c r="K330" s="177">
        <f t="shared" si="1049"/>
        <v>900</v>
      </c>
      <c r="L330" s="176">
        <f t="shared" si="1049"/>
        <v>900</v>
      </c>
      <c r="M330" s="177">
        <f t="shared" si="1049"/>
        <v>1025</v>
      </c>
      <c r="N330" s="177">
        <f t="shared" si="1049"/>
        <v>903</v>
      </c>
      <c r="O330" s="177">
        <f t="shared" si="1049"/>
        <v>1175</v>
      </c>
      <c r="P330" s="177">
        <f t="shared" si="1049"/>
        <v>1065</v>
      </c>
      <c r="Q330" s="176">
        <f t="shared" si="1049"/>
        <v>1065</v>
      </c>
      <c r="R330" s="177">
        <f t="shared" si="1049"/>
        <v>1098</v>
      </c>
      <c r="S330" s="177">
        <f t="shared" si="1049"/>
        <v>1016</v>
      </c>
      <c r="T330" s="177">
        <f t="shared" si="1049"/>
        <v>988</v>
      </c>
      <c r="U330" s="177">
        <f t="shared" si="1049"/>
        <v>1034</v>
      </c>
      <c r="V330" s="176">
        <f t="shared" si="1049"/>
        <v>1034</v>
      </c>
      <c r="W330" s="177">
        <f t="shared" si="1049"/>
        <v>1220</v>
      </c>
      <c r="X330" s="177">
        <f t="shared" si="1049"/>
        <v>1214</v>
      </c>
      <c r="Y330" s="177">
        <f t="shared" si="1049"/>
        <v>933</v>
      </c>
      <c r="Z330" s="177">
        <f t="shared" si="1049"/>
        <v>1320</v>
      </c>
      <c r="AA330" s="176">
        <f t="shared" si="1049"/>
        <v>1320</v>
      </c>
      <c r="AB330" s="177">
        <f t="shared" si="1049"/>
        <v>1505</v>
      </c>
      <c r="AC330" s="177">
        <f t="shared" si="1049"/>
        <v>1156</v>
      </c>
      <c r="AD330" s="177">
        <f t="shared" si="1049"/>
        <v>1273</v>
      </c>
      <c r="AE330" s="177">
        <f t="shared" si="1049"/>
        <v>1140</v>
      </c>
      <c r="AF330" s="176">
        <f t="shared" si="1049"/>
        <v>1140</v>
      </c>
      <c r="AG330" s="177">
        <f t="shared" si="1049"/>
        <v>1313</v>
      </c>
      <c r="AH330" s="177">
        <f t="shared" si="1049"/>
        <v>1092</v>
      </c>
      <c r="AI330" s="177">
        <f t="shared" si="1049"/>
        <v>1179</v>
      </c>
      <c r="AJ330" s="177">
        <f t="shared" si="1049"/>
        <v>1142</v>
      </c>
      <c r="AK330" s="176">
        <f t="shared" si="1049"/>
        <v>1142</v>
      </c>
      <c r="AL330" s="177">
        <f t="shared" si="1049"/>
        <v>1416</v>
      </c>
      <c r="AM330" s="177">
        <f t="shared" si="1049"/>
        <v>1223</v>
      </c>
      <c r="AN330" s="177">
        <f t="shared" si="1049"/>
        <v>1311</v>
      </c>
      <c r="AO330" s="177">
        <f t="shared" si="1049"/>
        <v>1214</v>
      </c>
      <c r="AP330" s="176">
        <f>AO330</f>
        <v>1214</v>
      </c>
      <c r="AQ330" s="177">
        <f t="shared" si="1049"/>
        <v>1422</v>
      </c>
      <c r="AR330" s="177">
        <f t="shared" si="1049"/>
        <v>1299</v>
      </c>
      <c r="AS330" s="177">
        <f t="shared" si="1049"/>
        <v>1371</v>
      </c>
      <c r="AT330" s="177">
        <f t="shared" si="1049"/>
        <v>1337</v>
      </c>
      <c r="AU330" s="176">
        <f>AT330</f>
        <v>1337</v>
      </c>
      <c r="AV330" s="177"/>
      <c r="AW330" s="177"/>
      <c r="AX330" s="177"/>
      <c r="AY330" s="177"/>
      <c r="AZ330" s="176">
        <f t="shared" ref="AZ330" si="1050">AZ331-AZ324-AZ326-AZ328</f>
        <v>1337</v>
      </c>
      <c r="BA330" s="177">
        <f>BA331-BA326-BA328</f>
        <v>3589</v>
      </c>
      <c r="BB330" s="177">
        <f t="shared" si="1049"/>
        <v>1531</v>
      </c>
      <c r="BC330" s="749">
        <f t="shared" si="1049"/>
        <v>1589</v>
      </c>
      <c r="BD330" s="749">
        <f t="shared" si="1049"/>
        <v>1377</v>
      </c>
      <c r="BE330" s="727">
        <f>BD330</f>
        <v>1377</v>
      </c>
      <c r="BF330" s="750">
        <f>BF331-BF324-BF326-BF328</f>
        <v>1506</v>
      </c>
      <c r="BG330" s="749">
        <f>BG331-BG324-BG326-BG328</f>
        <v>1360</v>
      </c>
      <c r="BH330" s="749">
        <f>BH331-BH324-BH326-BH328</f>
        <v>1392</v>
      </c>
      <c r="BI330" s="769">
        <f>+BI331-BI328-BI326-BI322-BI321</f>
        <v>3785</v>
      </c>
      <c r="BJ330" s="696">
        <f>BI330</f>
        <v>3785</v>
      </c>
      <c r="BK330" s="749">
        <f>+BK331-BK328-BK326-BK322-BK321</f>
        <v>1298</v>
      </c>
      <c r="BL330" s="669">
        <f>+BL331-BL328-BL326-BL322-BL321</f>
        <v>1126</v>
      </c>
      <c r="BM330" s="669">
        <f>+BM331-BM328-BM326-BM322-BM321</f>
        <v>1161</v>
      </c>
      <c r="BN330" s="669">
        <f>+BN331-BN328-BN326-BN322-BN321</f>
        <v>1260</v>
      </c>
      <c r="BO330" s="170">
        <f>+BN330</f>
        <v>1260</v>
      </c>
      <c r="BP330" s="170">
        <f>+BO330</f>
        <v>1260</v>
      </c>
      <c r="BQ330" s="172">
        <f t="shared" ref="BQ330" si="1051">+BO330</f>
        <v>1260</v>
      </c>
      <c r="BR330" s="171">
        <f t="shared" ref="BR330" si="1052">+BQ330</f>
        <v>1260</v>
      </c>
      <c r="BS330" s="171">
        <f t="shared" ref="BS330" si="1053">+BR330</f>
        <v>1260</v>
      </c>
      <c r="BT330" s="173">
        <f t="shared" ref="BT330" si="1054">+BS330</f>
        <v>1260</v>
      </c>
      <c r="BU330" s="170">
        <f>+BT330</f>
        <v>1260</v>
      </c>
      <c r="BV330" s="172"/>
      <c r="BW330" s="171"/>
      <c r="BX330" s="171"/>
      <c r="BY330" s="173"/>
      <c r="BZ330" s="937">
        <f>BU330</f>
        <v>1260</v>
      </c>
      <c r="CA330" s="172"/>
      <c r="CB330" s="171"/>
      <c r="CC330" s="171"/>
      <c r="CD330" s="173"/>
      <c r="CE330" s="937">
        <f>BZ330</f>
        <v>1260</v>
      </c>
      <c r="CF330" s="172"/>
      <c r="CG330" s="171"/>
      <c r="CH330" s="171"/>
      <c r="CI330" s="173"/>
      <c r="CJ330" s="937">
        <f>CE330</f>
        <v>1260</v>
      </c>
      <c r="CK330" s="291"/>
      <c r="CL330" s="679"/>
      <c r="CM330" s="657"/>
      <c r="CN330" s="682"/>
      <c r="CO330" s="657"/>
      <c r="CP330" s="657"/>
      <c r="CQ330" s="657"/>
      <c r="CR330" s="657"/>
      <c r="CS330" s="657"/>
      <c r="CT330" s="291"/>
      <c r="CX330"/>
      <c r="CY330"/>
      <c r="CZ330"/>
      <c r="DA330"/>
      <c r="DB330"/>
      <c r="DC330"/>
    </row>
    <row r="331" spans="1:107" s="180" customFormat="1">
      <c r="A331" s="192" t="s">
        <v>24</v>
      </c>
      <c r="B331" s="193">
        <v>5815</v>
      </c>
      <c r="C331" s="193">
        <v>5107</v>
      </c>
      <c r="D331" s="193">
        <v>4322</v>
      </c>
      <c r="E331" s="193">
        <v>5644</v>
      </c>
      <c r="F331" s="193">
        <v>6188</v>
      </c>
      <c r="G331" s="193">
        <v>6715</v>
      </c>
      <c r="H331" s="192">
        <v>6437</v>
      </c>
      <c r="I331" s="192">
        <v>5607</v>
      </c>
      <c r="J331" s="192">
        <v>4975</v>
      </c>
      <c r="K331" s="192">
        <v>4788</v>
      </c>
      <c r="L331" s="193">
        <f>K331</f>
        <v>4788</v>
      </c>
      <c r="M331" s="192">
        <v>4474</v>
      </c>
      <c r="N331" s="192">
        <v>4810</v>
      </c>
      <c r="O331" s="192">
        <v>5059</v>
      </c>
      <c r="P331" s="192">
        <v>5149</v>
      </c>
      <c r="Q331" s="193">
        <f>P331</f>
        <v>5149</v>
      </c>
      <c r="R331" s="192">
        <v>4668</v>
      </c>
      <c r="S331" s="192">
        <v>5085</v>
      </c>
      <c r="T331" s="192">
        <v>5170</v>
      </c>
      <c r="U331" s="192">
        <v>5523</v>
      </c>
      <c r="V331" s="193">
        <f>U331</f>
        <v>5523</v>
      </c>
      <c r="W331" s="192">
        <v>5359</v>
      </c>
      <c r="X331" s="192">
        <v>5675</v>
      </c>
      <c r="Y331" s="192">
        <v>5314</v>
      </c>
      <c r="Z331" s="192">
        <v>5960</v>
      </c>
      <c r="AA331" s="193">
        <f>Z331</f>
        <v>5960</v>
      </c>
      <c r="AB331" s="192">
        <v>5760</v>
      </c>
      <c r="AC331" s="192">
        <v>5341</v>
      </c>
      <c r="AD331" s="192">
        <v>5746</v>
      </c>
      <c r="AE331" s="192">
        <v>6130</v>
      </c>
      <c r="AF331" s="193">
        <f>AE331</f>
        <v>6130</v>
      </c>
      <c r="AG331" s="192">
        <v>5731</v>
      </c>
      <c r="AH331" s="192">
        <v>5433</v>
      </c>
      <c r="AI331" s="192">
        <v>5668</v>
      </c>
      <c r="AJ331" s="192">
        <v>5902</v>
      </c>
      <c r="AK331" s="193">
        <f>AJ331</f>
        <v>5902</v>
      </c>
      <c r="AL331" s="192">
        <v>5689</v>
      </c>
      <c r="AM331" s="192">
        <v>5454</v>
      </c>
      <c r="AN331" s="192">
        <v>5839</v>
      </c>
      <c r="AO331" s="192">
        <v>5810</v>
      </c>
      <c r="AP331" s="193">
        <f>SUM(AP324,AP326,AP328,AP330)</f>
        <v>5810</v>
      </c>
      <c r="AQ331" s="192">
        <v>5979</v>
      </c>
      <c r="AR331" s="192">
        <v>5896</v>
      </c>
      <c r="AS331" s="192">
        <v>5955</v>
      </c>
      <c r="AT331" s="192">
        <v>5930</v>
      </c>
      <c r="AU331" s="193">
        <f>SUM(AU324,AU326,AU328,AU330)</f>
        <v>5930</v>
      </c>
      <c r="AV331" s="192"/>
      <c r="AW331" s="192"/>
      <c r="AX331" s="192"/>
      <c r="AY331" s="192"/>
      <c r="AZ331" s="193">
        <v>5930</v>
      </c>
      <c r="BA331" s="194">
        <v>5635</v>
      </c>
      <c r="BB331" s="192">
        <v>5641</v>
      </c>
      <c r="BC331" s="742">
        <v>6328</v>
      </c>
      <c r="BD331" s="910">
        <v>6126</v>
      </c>
      <c r="BE331" s="948">
        <f>SUM(BE324,BE326,BE328,BE330)</f>
        <v>6126</v>
      </c>
      <c r="BF331" s="899">
        <v>5749</v>
      </c>
      <c r="BG331" s="742">
        <v>6014</v>
      </c>
      <c r="BH331" s="742">
        <v>6001</v>
      </c>
      <c r="BI331" s="910">
        <v>6539</v>
      </c>
      <c r="BJ331" s="193">
        <f>+BI331</f>
        <v>6539</v>
      </c>
      <c r="BK331" s="899">
        <v>6307</v>
      </c>
      <c r="BL331" s="192">
        <v>6587</v>
      </c>
      <c r="BM331" s="192">
        <v>6492</v>
      </c>
      <c r="BN331" s="192">
        <v>7348</v>
      </c>
      <c r="BO331" s="193">
        <f t="shared" ref="BO331:CJ331" si="1055">+BO330+BO328+BO321+BO322+BO326</f>
        <v>7348</v>
      </c>
      <c r="BP331" s="193">
        <f t="shared" ref="BP331" si="1056">+BP330+BP328+BP321+BP322+BP326</f>
        <v>7348</v>
      </c>
      <c r="BQ331" s="192">
        <f t="shared" ref="BQ331:BT331" si="1057">+BQ330+BQ328+BQ321+BQ322+BQ326</f>
        <v>6551.4255767999985</v>
      </c>
      <c r="BR331" s="192">
        <f t="shared" si="1057"/>
        <v>7032.8993366183731</v>
      </c>
      <c r="BS331" s="192">
        <f t="shared" si="1057"/>
        <v>6880.6698125437615</v>
      </c>
      <c r="BT331" s="192">
        <f t="shared" si="1057"/>
        <v>7711.5327560518945</v>
      </c>
      <c r="BU331" s="193">
        <f t="shared" si="1055"/>
        <v>7711.5327560518945</v>
      </c>
      <c r="BV331" s="192">
        <f t="shared" si="1055"/>
        <v>0</v>
      </c>
      <c r="BW331" s="192">
        <f t="shared" si="1055"/>
        <v>0</v>
      </c>
      <c r="BX331" s="192">
        <f t="shared" si="1055"/>
        <v>0</v>
      </c>
      <c r="BY331" s="192">
        <f t="shared" si="1055"/>
        <v>0</v>
      </c>
      <c r="BZ331" s="195">
        <f t="shared" si="1055"/>
        <v>8092.5681829605255</v>
      </c>
      <c r="CA331" s="192">
        <f t="shared" si="1055"/>
        <v>0</v>
      </c>
      <c r="CB331" s="192">
        <f t="shared" si="1055"/>
        <v>0</v>
      </c>
      <c r="CC331" s="192">
        <f t="shared" si="1055"/>
        <v>0</v>
      </c>
      <c r="CD331" s="192">
        <f t="shared" si="1055"/>
        <v>0</v>
      </c>
      <c r="CE331" s="193">
        <f t="shared" si="1055"/>
        <v>8464.3424849575022</v>
      </c>
      <c r="CF331" s="192">
        <f t="shared" si="1055"/>
        <v>0</v>
      </c>
      <c r="CG331" s="192">
        <f t="shared" si="1055"/>
        <v>0</v>
      </c>
      <c r="CH331" s="192">
        <f t="shared" si="1055"/>
        <v>0</v>
      </c>
      <c r="CI331" s="192">
        <f t="shared" si="1055"/>
        <v>0</v>
      </c>
      <c r="CJ331" s="193">
        <f t="shared" si="1055"/>
        <v>8859.3229501032692</v>
      </c>
      <c r="CK331" s="291"/>
      <c r="CL331" s="679"/>
      <c r="CM331" s="657"/>
      <c r="CN331" s="682"/>
      <c r="CO331" s="657"/>
      <c r="CP331" s="657"/>
      <c r="CQ331" s="657"/>
      <c r="CR331" s="657"/>
      <c r="CS331" s="657"/>
      <c r="CT331" s="291"/>
      <c r="CX331"/>
      <c r="CY331"/>
      <c r="CZ331"/>
      <c r="DA331"/>
      <c r="DB331"/>
      <c r="DC331"/>
    </row>
    <row r="332" spans="1:107" s="180" customFormat="1">
      <c r="A332" s="171" t="s">
        <v>44</v>
      </c>
      <c r="B332" s="176">
        <f>6874+857</f>
        <v>7731</v>
      </c>
      <c r="C332" s="176">
        <f>6280+858</f>
        <v>7138</v>
      </c>
      <c r="D332" s="176">
        <f>6517+859</f>
        <v>7376</v>
      </c>
      <c r="E332" s="176">
        <f>4229+408</f>
        <v>4637</v>
      </c>
      <c r="F332" s="176">
        <v>3969</v>
      </c>
      <c r="G332" s="176">
        <v>3278</v>
      </c>
      <c r="H332" s="177">
        <v>3283</v>
      </c>
      <c r="I332" s="177">
        <v>2233</v>
      </c>
      <c r="J332" s="177">
        <v>2249</v>
      </c>
      <c r="K332" s="177">
        <v>2268</v>
      </c>
      <c r="L332" s="176">
        <f>K332</f>
        <v>2268</v>
      </c>
      <c r="M332" s="177">
        <v>2288</v>
      </c>
      <c r="N332" s="177">
        <v>2269</v>
      </c>
      <c r="O332" s="177">
        <v>2273</v>
      </c>
      <c r="P332" s="177">
        <v>2309</v>
      </c>
      <c r="Q332" s="176">
        <f>P332</f>
        <v>2309</v>
      </c>
      <c r="R332" s="177">
        <v>2297</v>
      </c>
      <c r="S332" s="177">
        <v>2295</v>
      </c>
      <c r="T332" s="177">
        <v>2293</v>
      </c>
      <c r="U332" s="177">
        <v>2329</v>
      </c>
      <c r="V332" s="176">
        <f>U332</f>
        <v>2329</v>
      </c>
      <c r="W332" s="177">
        <v>2328</v>
      </c>
      <c r="X332" s="177">
        <v>2327</v>
      </c>
      <c r="Y332" s="177">
        <v>2326</v>
      </c>
      <c r="Z332" s="177">
        <v>3610</v>
      </c>
      <c r="AA332" s="176">
        <f>Z332</f>
        <v>3610</v>
      </c>
      <c r="AB332" s="177">
        <v>3611</v>
      </c>
      <c r="AC332" s="177">
        <v>3612</v>
      </c>
      <c r="AD332" s="177">
        <v>3612</v>
      </c>
      <c r="AE332" s="177">
        <v>4605</v>
      </c>
      <c r="AF332" s="176">
        <f>AE332</f>
        <v>4605</v>
      </c>
      <c r="AG332" s="177">
        <v>4606</v>
      </c>
      <c r="AH332" s="177">
        <v>4607</v>
      </c>
      <c r="AI332" s="177">
        <v>4609</v>
      </c>
      <c r="AJ332" s="177">
        <v>4731</v>
      </c>
      <c r="AK332" s="176">
        <f>AJ332</f>
        <v>4731</v>
      </c>
      <c r="AL332" s="177">
        <v>4731</v>
      </c>
      <c r="AM332" s="177">
        <v>4732</v>
      </c>
      <c r="AN332" s="177">
        <v>4733</v>
      </c>
      <c r="AO332" s="177">
        <v>4734</v>
      </c>
      <c r="AP332" s="176">
        <f>AO332</f>
        <v>4734</v>
      </c>
      <c r="AQ332" s="177">
        <v>4735</v>
      </c>
      <c r="AR332" s="177">
        <v>4736</v>
      </c>
      <c r="AS332" s="177">
        <v>4737</v>
      </c>
      <c r="AT332" s="177">
        <v>5330</v>
      </c>
      <c r="AU332" s="176">
        <f>AT332</f>
        <v>5330</v>
      </c>
      <c r="AV332" s="177"/>
      <c r="AW332" s="177"/>
      <c r="AX332" s="177"/>
      <c r="AY332" s="177"/>
      <c r="AZ332" s="176">
        <v>5330</v>
      </c>
      <c r="BA332" s="178">
        <v>5331</v>
      </c>
      <c r="BB332" s="177">
        <v>5333</v>
      </c>
      <c r="BC332" s="749">
        <v>5334</v>
      </c>
      <c r="BD332" s="769">
        <v>5330</v>
      </c>
      <c r="BE332" s="727">
        <f>BD332</f>
        <v>5330</v>
      </c>
      <c r="BF332" s="750">
        <v>5332</v>
      </c>
      <c r="BG332" s="749">
        <v>5333</v>
      </c>
      <c r="BH332" s="749">
        <v>5334</v>
      </c>
      <c r="BI332" s="769">
        <v>5335</v>
      </c>
      <c r="BJ332" s="696">
        <f>BI332</f>
        <v>5335</v>
      </c>
      <c r="BK332" s="750">
        <v>5086</v>
      </c>
      <c r="BL332" s="667">
        <v>4747</v>
      </c>
      <c r="BM332" s="667">
        <v>4749</v>
      </c>
      <c r="BN332" s="756">
        <v>4750</v>
      </c>
      <c r="BO332" s="176">
        <f>+BN332</f>
        <v>4750</v>
      </c>
      <c r="BP332" s="176">
        <f>+BO332</f>
        <v>4750</v>
      </c>
      <c r="BQ332" s="178">
        <f>BO332+BQ297</f>
        <v>4750</v>
      </c>
      <c r="BR332" s="177">
        <f t="shared" ref="BR332:BT332" si="1058">BQ332+BR297</f>
        <v>4750</v>
      </c>
      <c r="BS332" s="177">
        <f t="shared" si="1058"/>
        <v>4750</v>
      </c>
      <c r="BT332" s="179">
        <f t="shared" si="1058"/>
        <v>4750</v>
      </c>
      <c r="BU332" s="176">
        <f>+BT332</f>
        <v>4750</v>
      </c>
      <c r="BV332" s="178"/>
      <c r="BW332" s="177"/>
      <c r="BX332" s="177"/>
      <c r="BY332" s="179"/>
      <c r="BZ332" s="176">
        <f>BU332+BZ297</f>
        <v>4750</v>
      </c>
      <c r="CA332" s="178"/>
      <c r="CB332" s="177"/>
      <c r="CC332" s="177"/>
      <c r="CD332" s="179"/>
      <c r="CE332" s="176">
        <f>BZ332+CE297</f>
        <v>4750</v>
      </c>
      <c r="CF332" s="178"/>
      <c r="CG332" s="177"/>
      <c r="CH332" s="177"/>
      <c r="CI332" s="179"/>
      <c r="CJ332" s="176">
        <f>CE332+CJ297</f>
        <v>4750</v>
      </c>
      <c r="CK332" s="291"/>
      <c r="CL332" s="679"/>
      <c r="CM332" s="657"/>
      <c r="CN332" s="682"/>
      <c r="CO332" s="657"/>
      <c r="CP332" s="657"/>
      <c r="CQ332" s="657"/>
      <c r="CR332" s="657"/>
      <c r="CS332" s="657"/>
      <c r="CT332" s="291"/>
      <c r="CX332"/>
      <c r="CY332"/>
      <c r="CZ332"/>
      <c r="DA332"/>
      <c r="DB332"/>
      <c r="DC332"/>
    </row>
    <row r="333" spans="1:107" s="180" customFormat="1">
      <c r="A333" s="747" t="s">
        <v>249</v>
      </c>
      <c r="B333" s="748">
        <v>0</v>
      </c>
      <c r="C333" s="748">
        <v>0</v>
      </c>
      <c r="D333" s="748">
        <v>0</v>
      </c>
      <c r="E333" s="748">
        <v>0</v>
      </c>
      <c r="F333" s="748">
        <v>0</v>
      </c>
      <c r="G333" s="748">
        <v>0</v>
      </c>
      <c r="H333" s="660">
        <v>0</v>
      </c>
      <c r="I333" s="660">
        <v>0</v>
      </c>
      <c r="J333" s="660">
        <v>0</v>
      </c>
      <c r="K333" s="660">
        <v>0</v>
      </c>
      <c r="L333" s="748">
        <v>0</v>
      </c>
      <c r="M333" s="660">
        <v>0</v>
      </c>
      <c r="N333" s="660">
        <v>0</v>
      </c>
      <c r="O333" s="660">
        <v>0</v>
      </c>
      <c r="P333" s="660">
        <v>0</v>
      </c>
      <c r="Q333" s="748">
        <v>0</v>
      </c>
      <c r="R333" s="660">
        <v>0</v>
      </c>
      <c r="S333" s="660">
        <v>0</v>
      </c>
      <c r="T333" s="660">
        <v>0</v>
      </c>
      <c r="U333" s="660">
        <v>0</v>
      </c>
      <c r="V333" s="748">
        <v>0</v>
      </c>
      <c r="W333" s="660">
        <v>0</v>
      </c>
      <c r="X333" s="660">
        <v>0</v>
      </c>
      <c r="Y333" s="660">
        <v>0</v>
      </c>
      <c r="Z333" s="660">
        <v>0</v>
      </c>
      <c r="AA333" s="748">
        <v>0</v>
      </c>
      <c r="AB333" s="660">
        <v>0</v>
      </c>
      <c r="AC333" s="660">
        <v>0</v>
      </c>
      <c r="AD333" s="660">
        <v>0</v>
      </c>
      <c r="AE333" s="660">
        <v>0</v>
      </c>
      <c r="AF333" s="748">
        <v>0</v>
      </c>
      <c r="AG333" s="660">
        <v>0</v>
      </c>
      <c r="AH333" s="660">
        <v>0</v>
      </c>
      <c r="AI333" s="660">
        <v>0</v>
      </c>
      <c r="AJ333" s="660">
        <v>0</v>
      </c>
      <c r="AK333" s="748">
        <v>0</v>
      </c>
      <c r="AL333" s="660">
        <v>0</v>
      </c>
      <c r="AM333" s="660">
        <v>0</v>
      </c>
      <c r="AN333" s="660">
        <v>0</v>
      </c>
      <c r="AO333" s="660">
        <v>0</v>
      </c>
      <c r="AP333" s="748">
        <v>0</v>
      </c>
      <c r="AQ333" s="660">
        <v>0</v>
      </c>
      <c r="AR333" s="749">
        <v>0</v>
      </c>
      <c r="AS333" s="660">
        <v>0</v>
      </c>
      <c r="AT333" s="660">
        <v>0</v>
      </c>
      <c r="AU333" s="748">
        <v>0</v>
      </c>
      <c r="AV333" s="660"/>
      <c r="AW333" s="749"/>
      <c r="AX333" s="660"/>
      <c r="AY333" s="660"/>
      <c r="AZ333" s="748">
        <v>0</v>
      </c>
      <c r="BA333" s="750">
        <v>0</v>
      </c>
      <c r="BB333" s="660">
        <v>343</v>
      </c>
      <c r="BC333" s="749">
        <v>343</v>
      </c>
      <c r="BD333" s="749">
        <v>355</v>
      </c>
      <c r="BE333" s="727">
        <f>BD333</f>
        <v>355</v>
      </c>
      <c r="BF333" s="750">
        <v>330</v>
      </c>
      <c r="BG333" s="749">
        <v>343</v>
      </c>
      <c r="BH333" s="749">
        <v>366</v>
      </c>
      <c r="BI333" s="769">
        <v>449</v>
      </c>
      <c r="BJ333" s="751">
        <f>BI333</f>
        <v>449</v>
      </c>
      <c r="BK333" s="750">
        <v>349</v>
      </c>
      <c r="BL333" s="749">
        <v>349</v>
      </c>
      <c r="BM333" s="749">
        <v>389</v>
      </c>
      <c r="BN333" s="769">
        <v>512</v>
      </c>
      <c r="BO333" s="748">
        <f t="shared" ref="BO333:BP333" si="1059">+BN333</f>
        <v>512</v>
      </c>
      <c r="BP333" s="748">
        <f t="shared" si="1059"/>
        <v>512</v>
      </c>
      <c r="BQ333" s="718">
        <f t="shared" ref="BQ333" si="1060">+BO333</f>
        <v>512</v>
      </c>
      <c r="BR333" s="660">
        <f t="shared" ref="BR333" si="1061">+BQ333</f>
        <v>512</v>
      </c>
      <c r="BS333" s="660">
        <f t="shared" ref="BS333" si="1062">+BR333</f>
        <v>512</v>
      </c>
      <c r="BT333" s="752">
        <f t="shared" ref="BT333:BU333" si="1063">+BS333</f>
        <v>512</v>
      </c>
      <c r="BU333" s="748">
        <f t="shared" si="1063"/>
        <v>512</v>
      </c>
      <c r="BV333" s="718"/>
      <c r="BW333" s="660"/>
      <c r="BX333" s="660"/>
      <c r="BY333" s="752"/>
      <c r="BZ333" s="748">
        <f>BU333</f>
        <v>512</v>
      </c>
      <c r="CA333" s="718"/>
      <c r="CB333" s="660"/>
      <c r="CC333" s="660"/>
      <c r="CD333" s="752"/>
      <c r="CE333" s="748">
        <f>BZ333</f>
        <v>512</v>
      </c>
      <c r="CF333" s="718"/>
      <c r="CG333" s="660"/>
      <c r="CH333" s="660"/>
      <c r="CI333" s="752"/>
      <c r="CJ333" s="748">
        <f>CE333</f>
        <v>512</v>
      </c>
      <c r="CK333" s="291"/>
      <c r="CL333" s="679"/>
      <c r="CM333" s="657"/>
      <c r="CN333" s="682"/>
      <c r="CO333" s="657"/>
      <c r="CP333" s="657"/>
      <c r="CQ333" s="657"/>
      <c r="CR333" s="657"/>
      <c r="CS333" s="657"/>
      <c r="CT333" s="291"/>
      <c r="CX333"/>
      <c r="CY333"/>
      <c r="CZ333"/>
      <c r="DA333"/>
      <c r="DB333"/>
      <c r="DC333"/>
    </row>
    <row r="334" spans="1:107" s="180" customFormat="1">
      <c r="A334" s="171" t="s">
        <v>8</v>
      </c>
      <c r="B334" s="176">
        <f t="shared" ref="B334:AH334" si="1064">B335-B331-B332</f>
        <v>1846</v>
      </c>
      <c r="C334" s="176">
        <f t="shared" si="1064"/>
        <v>2831</v>
      </c>
      <c r="D334" s="176">
        <f t="shared" si="1064"/>
        <v>3281</v>
      </c>
      <c r="E334" s="176">
        <f t="shared" si="1064"/>
        <v>3224</v>
      </c>
      <c r="F334" s="176">
        <f t="shared" si="1064"/>
        <v>3396</v>
      </c>
      <c r="G334" s="176">
        <f t="shared" si="1064"/>
        <v>4232</v>
      </c>
      <c r="H334" s="177">
        <f t="shared" si="1064"/>
        <v>3973</v>
      </c>
      <c r="I334" s="177">
        <f t="shared" si="1064"/>
        <v>4075</v>
      </c>
      <c r="J334" s="177">
        <f t="shared" si="1064"/>
        <v>4083</v>
      </c>
      <c r="K334" s="177">
        <f t="shared" si="1064"/>
        <v>3467</v>
      </c>
      <c r="L334" s="176">
        <f t="shared" si="1064"/>
        <v>3467</v>
      </c>
      <c r="M334" s="177">
        <f t="shared" si="1064"/>
        <v>3521</v>
      </c>
      <c r="N334" s="177">
        <f t="shared" si="1064"/>
        <v>3549</v>
      </c>
      <c r="O334" s="177">
        <f t="shared" si="1064"/>
        <v>3474</v>
      </c>
      <c r="P334" s="177">
        <f t="shared" si="1064"/>
        <v>6488</v>
      </c>
      <c r="Q334" s="176">
        <f t="shared" si="1064"/>
        <v>6488</v>
      </c>
      <c r="R334" s="177">
        <f t="shared" si="1064"/>
        <v>6614</v>
      </c>
      <c r="S334" s="177">
        <f t="shared" si="1064"/>
        <v>6131</v>
      </c>
      <c r="T334" s="177">
        <f t="shared" si="1064"/>
        <v>5778</v>
      </c>
      <c r="U334" s="177">
        <f t="shared" si="1064"/>
        <v>5816</v>
      </c>
      <c r="V334" s="176">
        <f t="shared" si="1064"/>
        <v>5816</v>
      </c>
      <c r="W334" s="177">
        <f t="shared" si="1064"/>
        <v>5877</v>
      </c>
      <c r="X334" s="177">
        <f t="shared" si="1064"/>
        <v>5284</v>
      </c>
      <c r="Y334" s="177">
        <f t="shared" si="1064"/>
        <v>4985</v>
      </c>
      <c r="Z334" s="177">
        <f t="shared" si="1064"/>
        <v>4962</v>
      </c>
      <c r="AA334" s="176">
        <f t="shared" si="1064"/>
        <v>4962</v>
      </c>
      <c r="AB334" s="177">
        <f t="shared" si="1064"/>
        <v>5150</v>
      </c>
      <c r="AC334" s="177">
        <f t="shared" si="1064"/>
        <v>4763</v>
      </c>
      <c r="AD334" s="177">
        <f t="shared" si="1064"/>
        <v>4355</v>
      </c>
      <c r="AE334" s="177">
        <f t="shared" si="1064"/>
        <v>6779</v>
      </c>
      <c r="AF334" s="176">
        <f t="shared" si="1064"/>
        <v>6779</v>
      </c>
      <c r="AG334" s="177">
        <f t="shared" si="1064"/>
        <v>6791</v>
      </c>
      <c r="AH334" s="177">
        <f t="shared" si="1064"/>
        <v>6239</v>
      </c>
      <c r="AI334" s="177">
        <f>AI335-AI331-AI332</f>
        <v>6195</v>
      </c>
      <c r="AJ334" s="177">
        <f>AJ335-AJ331-AJ332</f>
        <v>7863</v>
      </c>
      <c r="AK334" s="176">
        <f>AJ334</f>
        <v>7863</v>
      </c>
      <c r="AL334" s="177">
        <f>AL335-AL331-AL332</f>
        <v>7807</v>
      </c>
      <c r="AM334" s="177">
        <f>AM335-AM331-AM332</f>
        <v>7453</v>
      </c>
      <c r="AN334" s="177">
        <f>AN335-AN331-AN332</f>
        <v>7195</v>
      </c>
      <c r="AO334" s="177">
        <f>AO335-AO331-AO332</f>
        <v>4226</v>
      </c>
      <c r="AP334" s="137">
        <f>AO334</f>
        <v>4226</v>
      </c>
      <c r="AQ334" s="177">
        <f>AQ335-AQ331-AQ332</f>
        <v>4244</v>
      </c>
      <c r="AR334" s="177">
        <v>3854</v>
      </c>
      <c r="AS334" s="177">
        <v>3661</v>
      </c>
      <c r="AT334" s="136">
        <v>6919</v>
      </c>
      <c r="AU334" s="137">
        <f>AT334</f>
        <v>6919</v>
      </c>
      <c r="AV334" s="177"/>
      <c r="AW334" s="177"/>
      <c r="AX334" s="177"/>
      <c r="AY334" s="136"/>
      <c r="AZ334" s="137">
        <v>6919</v>
      </c>
      <c r="BA334" s="455">
        <v>6926</v>
      </c>
      <c r="BB334" s="136">
        <v>6865</v>
      </c>
      <c r="BC334" s="749">
        <v>6895</v>
      </c>
      <c r="BD334" s="769">
        <v>7140</v>
      </c>
      <c r="BE334" s="727">
        <f>BD334</f>
        <v>7140</v>
      </c>
      <c r="BF334" s="750">
        <v>7108</v>
      </c>
      <c r="BG334" s="749">
        <v>7092</v>
      </c>
      <c r="BH334" s="749">
        <v>7284</v>
      </c>
      <c r="BI334" s="769">
        <v>7758</v>
      </c>
      <c r="BJ334" s="727">
        <f>BI334</f>
        <v>7758</v>
      </c>
      <c r="BK334" s="750">
        <v>7743</v>
      </c>
      <c r="BL334" s="668">
        <v>7731</v>
      </c>
      <c r="BM334" s="668">
        <v>7791</v>
      </c>
      <c r="BN334" s="757">
        <v>8287</v>
      </c>
      <c r="BO334" s="727">
        <f>BN334</f>
        <v>8287</v>
      </c>
      <c r="BP334" s="727">
        <f>BO334</f>
        <v>8287</v>
      </c>
      <c r="BQ334" s="455">
        <v>7793.7141321987501</v>
      </c>
      <c r="BR334" s="136">
        <v>7300.4282643975002</v>
      </c>
      <c r="BS334" s="136">
        <v>6807.1423965962504</v>
      </c>
      <c r="BT334" s="138">
        <v>6313.8565287950005</v>
      </c>
      <c r="BU334" s="137">
        <v>6313.8565287950005</v>
      </c>
      <c r="BV334" s="455"/>
      <c r="BW334" s="136"/>
      <c r="BX334" s="136"/>
      <c r="BY334" s="138"/>
      <c r="BZ334" s="137">
        <v>5344.6512023257728</v>
      </c>
      <c r="CA334" s="455"/>
      <c r="CB334" s="136"/>
      <c r="CC334" s="136"/>
      <c r="CD334" s="138"/>
      <c r="CE334" s="137">
        <v>4307.5589096374733</v>
      </c>
      <c r="CF334" s="455"/>
      <c r="CG334" s="136"/>
      <c r="CH334" s="136"/>
      <c r="CI334" s="138"/>
      <c r="CJ334" s="137">
        <v>3197.8158242266345</v>
      </c>
      <c r="CK334" s="291"/>
      <c r="CL334" s="679"/>
      <c r="CM334" s="657"/>
      <c r="CN334" s="1028"/>
      <c r="CO334" s="1028"/>
      <c r="CP334" s="1028"/>
      <c r="CQ334" s="1028"/>
      <c r="CR334" s="657"/>
      <c r="CS334" s="657"/>
      <c r="CT334" s="291"/>
      <c r="CX334"/>
      <c r="CY334"/>
      <c r="CZ334"/>
      <c r="DA334"/>
      <c r="DB334"/>
      <c r="DC334"/>
    </row>
    <row r="335" spans="1:107" s="180" customFormat="1">
      <c r="A335" s="192" t="s">
        <v>40</v>
      </c>
      <c r="B335" s="193">
        <v>15392</v>
      </c>
      <c r="C335" s="193">
        <v>15076</v>
      </c>
      <c r="D335" s="193">
        <v>14979</v>
      </c>
      <c r="E335" s="193">
        <v>13505</v>
      </c>
      <c r="F335" s="193">
        <v>13553</v>
      </c>
      <c r="G335" s="193">
        <v>14225</v>
      </c>
      <c r="H335" s="192">
        <v>13693</v>
      </c>
      <c r="I335" s="192">
        <v>11915</v>
      </c>
      <c r="J335" s="192">
        <v>11307</v>
      </c>
      <c r="K335" s="192">
        <v>10523</v>
      </c>
      <c r="L335" s="193">
        <f>K335</f>
        <v>10523</v>
      </c>
      <c r="M335" s="192">
        <v>10283</v>
      </c>
      <c r="N335" s="192">
        <v>10628</v>
      </c>
      <c r="O335" s="192">
        <v>10806</v>
      </c>
      <c r="P335" s="192">
        <v>13946</v>
      </c>
      <c r="Q335" s="193">
        <f>P335</f>
        <v>13946</v>
      </c>
      <c r="R335" s="192">
        <v>13579</v>
      </c>
      <c r="S335" s="192">
        <v>13511</v>
      </c>
      <c r="T335" s="192">
        <v>13241</v>
      </c>
      <c r="U335" s="192">
        <v>13668</v>
      </c>
      <c r="V335" s="193">
        <f>U335</f>
        <v>13668</v>
      </c>
      <c r="W335" s="192">
        <v>13564</v>
      </c>
      <c r="X335" s="192">
        <v>13286</v>
      </c>
      <c r="Y335" s="192">
        <v>12625</v>
      </c>
      <c r="Z335" s="192">
        <v>14532</v>
      </c>
      <c r="AA335" s="193">
        <f>Z335</f>
        <v>14532</v>
      </c>
      <c r="AB335" s="192">
        <v>14521</v>
      </c>
      <c r="AC335" s="192">
        <v>13716</v>
      </c>
      <c r="AD335" s="192">
        <v>13713</v>
      </c>
      <c r="AE335" s="192">
        <v>17514</v>
      </c>
      <c r="AF335" s="193">
        <f>AE335</f>
        <v>17514</v>
      </c>
      <c r="AG335" s="192">
        <v>17128</v>
      </c>
      <c r="AH335" s="192">
        <v>16279</v>
      </c>
      <c r="AI335" s="192">
        <v>16472</v>
      </c>
      <c r="AJ335" s="192">
        <f>5902+7854+9+4731</f>
        <v>18496</v>
      </c>
      <c r="AK335" s="193">
        <f>AJ335</f>
        <v>18496</v>
      </c>
      <c r="AL335" s="192">
        <f>5689+7797+10+4731</f>
        <v>18227</v>
      </c>
      <c r="AM335" s="192">
        <f>5454+7443+10+4732</f>
        <v>17639</v>
      </c>
      <c r="AN335" s="192">
        <f>26778-AN342-AN343</f>
        <v>17767</v>
      </c>
      <c r="AO335" s="192">
        <f>25967-AO342-AO343</f>
        <v>14770</v>
      </c>
      <c r="AP335" s="193">
        <f>AP331+SUM(AP332:AP334)</f>
        <v>14770</v>
      </c>
      <c r="AQ335" s="192">
        <f>26541-11583</f>
        <v>14958</v>
      </c>
      <c r="AR335" s="192">
        <f>AR331+SUM(AR332:AR334)</f>
        <v>14486</v>
      </c>
      <c r="AS335" s="192">
        <f>AS331+SUM(AS332:AS334)</f>
        <v>14353</v>
      </c>
      <c r="AT335" s="192">
        <f>AT331+SUM(AT332:AT334)</f>
        <v>18179</v>
      </c>
      <c r="AU335" s="193">
        <f>AU331+SUM(AU332:AU334)</f>
        <v>18179</v>
      </c>
      <c r="AV335" s="192"/>
      <c r="AW335" s="192"/>
      <c r="AX335" s="192"/>
      <c r="AY335" s="192"/>
      <c r="AZ335" s="193">
        <f>AZ331+SUM(AZ332:AZ334)</f>
        <v>18179</v>
      </c>
      <c r="BA335" s="194">
        <f t="shared" ref="BA335:BO335" si="1065">BA331+SUM(BA332:BA334)</f>
        <v>17892</v>
      </c>
      <c r="BB335" s="192">
        <f t="shared" si="1065"/>
        <v>18182</v>
      </c>
      <c r="BC335" s="742">
        <f t="shared" si="1065"/>
        <v>18900</v>
      </c>
      <c r="BD335" s="910">
        <f t="shared" si="1065"/>
        <v>18951</v>
      </c>
      <c r="BE335" s="912">
        <f t="shared" si="1065"/>
        <v>18951</v>
      </c>
      <c r="BF335" s="899">
        <f t="shared" si="1065"/>
        <v>18519</v>
      </c>
      <c r="BG335" s="742">
        <f t="shared" si="1065"/>
        <v>18782</v>
      </c>
      <c r="BH335" s="742">
        <f t="shared" si="1065"/>
        <v>18985</v>
      </c>
      <c r="BI335" s="910">
        <f t="shared" si="1065"/>
        <v>20081</v>
      </c>
      <c r="BJ335" s="193">
        <f t="shared" si="1065"/>
        <v>20081</v>
      </c>
      <c r="BK335" s="899">
        <f t="shared" si="1065"/>
        <v>19485</v>
      </c>
      <c r="BL335" s="192">
        <f t="shared" si="1065"/>
        <v>19414</v>
      </c>
      <c r="BM335" s="192">
        <f t="shared" si="1065"/>
        <v>19421</v>
      </c>
      <c r="BN335" s="195">
        <f t="shared" si="1065"/>
        <v>20897</v>
      </c>
      <c r="BO335" s="193">
        <f t="shared" si="1065"/>
        <v>20897</v>
      </c>
      <c r="BP335" s="193">
        <f t="shared" ref="BP335" si="1066">BP331+SUM(BP332:BP334)</f>
        <v>20897</v>
      </c>
      <c r="BQ335" s="194">
        <f t="shared" ref="BQ335:BT335" si="1067">BQ331+SUM(BQ332:BQ334)</f>
        <v>19607.139708998751</v>
      </c>
      <c r="BR335" s="192">
        <f t="shared" si="1067"/>
        <v>19595.327601015873</v>
      </c>
      <c r="BS335" s="192">
        <f t="shared" si="1067"/>
        <v>18949.812209140011</v>
      </c>
      <c r="BT335" s="195">
        <f t="shared" si="1067"/>
        <v>19287.389284846897</v>
      </c>
      <c r="BU335" s="193">
        <f>BU331+SUM(BU332:BU334)</f>
        <v>19287.389284846897</v>
      </c>
      <c r="BV335" s="194"/>
      <c r="BW335" s="192"/>
      <c r="BX335" s="192"/>
      <c r="BY335" s="195"/>
      <c r="BZ335" s="193">
        <f>BZ331+SUM(BZ332:BZ334)</f>
        <v>18699.219385286298</v>
      </c>
      <c r="CA335" s="194"/>
      <c r="CB335" s="192"/>
      <c r="CC335" s="192"/>
      <c r="CD335" s="195"/>
      <c r="CE335" s="193">
        <f>CE331+SUM(CE332:CE334)</f>
        <v>18033.901394594977</v>
      </c>
      <c r="CF335" s="194"/>
      <c r="CG335" s="192"/>
      <c r="CH335" s="192"/>
      <c r="CI335" s="195"/>
      <c r="CJ335" s="193">
        <f>CJ331+SUM(CJ332:CJ334)</f>
        <v>17319.138774329906</v>
      </c>
      <c r="CK335" s="291"/>
      <c r="CL335" s="679"/>
      <c r="CM335" s="657"/>
      <c r="CN335" s="1028"/>
      <c r="CO335" s="1028"/>
      <c r="CP335" s="657"/>
      <c r="CQ335" s="657"/>
      <c r="CR335" s="657"/>
      <c r="CS335" s="657"/>
      <c r="CT335" s="291"/>
      <c r="CX335"/>
      <c r="CY335"/>
      <c r="CZ335"/>
      <c r="DA335"/>
      <c r="DB335"/>
      <c r="DC335"/>
    </row>
    <row r="336" spans="1:107" s="180" customFormat="1">
      <c r="A336" s="215" t="s">
        <v>166</v>
      </c>
      <c r="B336" s="211"/>
      <c r="C336" s="211"/>
      <c r="D336" s="211"/>
      <c r="E336" s="211"/>
      <c r="F336" s="211"/>
      <c r="G336" s="211"/>
      <c r="H336" s="212"/>
      <c r="I336" s="212"/>
      <c r="J336" s="212"/>
      <c r="K336" s="212"/>
      <c r="L336" s="211"/>
      <c r="M336" s="212"/>
      <c r="N336" s="212"/>
      <c r="O336" s="212"/>
      <c r="P336" s="212"/>
      <c r="Q336" s="211"/>
      <c r="R336" s="212"/>
      <c r="S336" s="212"/>
      <c r="T336" s="212"/>
      <c r="U336" s="212"/>
      <c r="V336" s="211"/>
      <c r="W336" s="212"/>
      <c r="X336" s="212"/>
      <c r="Y336" s="212"/>
      <c r="Z336" s="212"/>
      <c r="AA336" s="211"/>
      <c r="AB336" s="212"/>
      <c r="AC336" s="212"/>
      <c r="AD336" s="212"/>
      <c r="AE336" s="212"/>
      <c r="AF336" s="211"/>
      <c r="AG336" s="212"/>
      <c r="AH336" s="212"/>
      <c r="AI336" s="212"/>
      <c r="AJ336" s="212"/>
      <c r="AK336" s="211"/>
      <c r="AL336" s="212"/>
      <c r="AM336" s="212"/>
      <c r="AN336" s="212"/>
      <c r="AO336" s="212"/>
      <c r="AP336" s="211"/>
      <c r="AQ336" s="212"/>
      <c r="AR336" s="212"/>
      <c r="AS336" s="212"/>
      <c r="AT336" s="212"/>
      <c r="AU336" s="211"/>
      <c r="AV336" s="212"/>
      <c r="AW336" s="212"/>
      <c r="AX336" s="212"/>
      <c r="AY336" s="212"/>
      <c r="AZ336" s="211"/>
      <c r="BA336" s="213"/>
      <c r="BB336" s="212"/>
      <c r="BC336" s="657"/>
      <c r="BD336" s="764"/>
      <c r="BE336" s="765"/>
      <c r="BF336" s="766"/>
      <c r="BG336" s="657"/>
      <c r="BH336" s="657"/>
      <c r="BI336" s="764"/>
      <c r="BJ336" s="765"/>
      <c r="BK336" s="766"/>
      <c r="BL336" s="657"/>
      <c r="BM336" s="657"/>
      <c r="BN336" s="764"/>
      <c r="BO336" s="211"/>
      <c r="BP336" s="211"/>
      <c r="BQ336" s="213"/>
      <c r="BR336" s="212"/>
      <c r="BS336" s="212"/>
      <c r="BT336" s="214"/>
      <c r="BU336" s="211"/>
      <c r="BV336" s="213"/>
      <c r="BW336" s="212"/>
      <c r="BX336" s="212"/>
      <c r="BY336" s="214"/>
      <c r="BZ336" s="211"/>
      <c r="CA336" s="213"/>
      <c r="CB336" s="212"/>
      <c r="CC336" s="212"/>
      <c r="CD336" s="214"/>
      <c r="CE336" s="211"/>
      <c r="CF336" s="213"/>
      <c r="CG336" s="212"/>
      <c r="CH336" s="212"/>
      <c r="CI336" s="214"/>
      <c r="CJ336" s="211"/>
      <c r="CK336" s="291"/>
      <c r="CL336" s="679"/>
      <c r="CM336" s="657"/>
      <c r="CN336" s="682"/>
      <c r="CO336" s="657"/>
      <c r="CP336" s="657"/>
      <c r="CQ336" s="657"/>
      <c r="CR336" s="657"/>
      <c r="CS336" s="657"/>
      <c r="CT336" s="291"/>
      <c r="CX336"/>
      <c r="CY336"/>
      <c r="CZ336"/>
      <c r="DA336"/>
      <c r="DB336"/>
      <c r="DC336"/>
    </row>
    <row r="337" spans="1:107" s="180" customFormat="1">
      <c r="A337" s="171" t="s">
        <v>218</v>
      </c>
      <c r="B337" s="170">
        <v>4</v>
      </c>
      <c r="C337" s="170">
        <v>4</v>
      </c>
      <c r="D337" s="170">
        <v>4</v>
      </c>
      <c r="E337" s="170">
        <v>5</v>
      </c>
      <c r="F337" s="170">
        <v>5</v>
      </c>
      <c r="G337" s="170">
        <v>5</v>
      </c>
      <c r="H337" s="171">
        <v>5</v>
      </c>
      <c r="I337" s="171">
        <v>5</v>
      </c>
      <c r="J337" s="171">
        <v>4</v>
      </c>
      <c r="K337" s="171">
        <v>4</v>
      </c>
      <c r="L337" s="170">
        <f>K337</f>
        <v>4</v>
      </c>
      <c r="M337" s="171">
        <v>4</v>
      </c>
      <c r="N337" s="171">
        <v>4</v>
      </c>
      <c r="O337" s="171">
        <v>4</v>
      </c>
      <c r="P337" s="171">
        <v>4</v>
      </c>
      <c r="Q337" s="170">
        <f>P337</f>
        <v>4</v>
      </c>
      <c r="R337" s="171">
        <v>4</v>
      </c>
      <c r="S337" s="171">
        <v>4</v>
      </c>
      <c r="T337" s="171">
        <v>4</v>
      </c>
      <c r="U337" s="171">
        <v>4</v>
      </c>
      <c r="V337" s="170">
        <f>U337</f>
        <v>4</v>
      </c>
      <c r="W337" s="171">
        <v>4</v>
      </c>
      <c r="X337" s="171">
        <v>4</v>
      </c>
      <c r="Y337" s="171">
        <v>4</v>
      </c>
      <c r="Z337" s="171">
        <v>4</v>
      </c>
      <c r="AA337" s="170">
        <f>Z337</f>
        <v>4</v>
      </c>
      <c r="AB337" s="171">
        <v>4</v>
      </c>
      <c r="AC337" s="171">
        <v>4</v>
      </c>
      <c r="AD337" s="171">
        <v>3</v>
      </c>
      <c r="AE337" s="171">
        <f>AD337</f>
        <v>3</v>
      </c>
      <c r="AF337" s="170">
        <f>AE337</f>
        <v>3</v>
      </c>
      <c r="AG337" s="171">
        <v>3</v>
      </c>
      <c r="AH337" s="171">
        <v>3</v>
      </c>
      <c r="AI337" s="171">
        <v>3</v>
      </c>
      <c r="AJ337" s="171">
        <v>3</v>
      </c>
      <c r="AK337" s="170">
        <f>AJ337</f>
        <v>3</v>
      </c>
      <c r="AL337" s="171">
        <v>3</v>
      </c>
      <c r="AM337" s="171">
        <v>3</v>
      </c>
      <c r="AN337" s="171">
        <v>3</v>
      </c>
      <c r="AO337" s="353">
        <v>3</v>
      </c>
      <c r="AP337" s="170">
        <f>AO337</f>
        <v>3</v>
      </c>
      <c r="AQ337" s="171">
        <v>3</v>
      </c>
      <c r="AR337" s="669">
        <v>3</v>
      </c>
      <c r="AS337" s="669">
        <v>3</v>
      </c>
      <c r="AT337" s="669">
        <v>3</v>
      </c>
      <c r="AU337" s="540">
        <f>AT337</f>
        <v>3</v>
      </c>
      <c r="AV337" s="171"/>
      <c r="AW337" s="669"/>
      <c r="AX337" s="669"/>
      <c r="AY337" s="669"/>
      <c r="AZ337" s="540">
        <v>3</v>
      </c>
      <c r="BA337" s="722">
        <v>3</v>
      </c>
      <c r="BB337" s="669">
        <v>3</v>
      </c>
      <c r="BC337" s="747">
        <v>3</v>
      </c>
      <c r="BD337" s="911">
        <v>3</v>
      </c>
      <c r="BE337" s="949">
        <f t="shared" ref="BE337:BE341" si="1068">BD337</f>
        <v>3</v>
      </c>
      <c r="BF337" s="905">
        <v>3</v>
      </c>
      <c r="BG337" s="747">
        <v>3</v>
      </c>
      <c r="BH337" s="747">
        <v>3</v>
      </c>
      <c r="BI337" s="911">
        <v>3</v>
      </c>
      <c r="BJ337" s="701">
        <f t="shared" ref="BJ337:BJ341" si="1069">BI337</f>
        <v>3</v>
      </c>
      <c r="BK337" s="905">
        <v>3</v>
      </c>
      <c r="BL337" s="669">
        <v>3</v>
      </c>
      <c r="BM337" s="669">
        <v>3</v>
      </c>
      <c r="BN337" s="762">
        <v>3</v>
      </c>
      <c r="BO337" s="701">
        <f t="shared" ref="BO337:BP341" si="1070">BN337</f>
        <v>3</v>
      </c>
      <c r="BP337" s="701">
        <f t="shared" si="1070"/>
        <v>3</v>
      </c>
      <c r="BQ337" s="340">
        <f>+BO337</f>
        <v>3</v>
      </c>
      <c r="BR337" s="338">
        <f t="shared" ref="BR337:BT337" si="1071">+BQ337</f>
        <v>3</v>
      </c>
      <c r="BS337" s="338">
        <f t="shared" si="1071"/>
        <v>3</v>
      </c>
      <c r="BT337" s="341">
        <f t="shared" si="1071"/>
        <v>3</v>
      </c>
      <c r="BU337" s="701">
        <f t="shared" ref="BU337:BU339" si="1072">BT337</f>
        <v>3</v>
      </c>
      <c r="BV337" s="340"/>
      <c r="BW337" s="338"/>
      <c r="BX337" s="338"/>
      <c r="BY337" s="341"/>
      <c r="BZ337" s="339">
        <f>BU337</f>
        <v>3</v>
      </c>
      <c r="CA337" s="340"/>
      <c r="CB337" s="338"/>
      <c r="CC337" s="338"/>
      <c r="CD337" s="341"/>
      <c r="CE337" s="339">
        <f>BZ337</f>
        <v>3</v>
      </c>
      <c r="CF337" s="340"/>
      <c r="CG337" s="338"/>
      <c r="CH337" s="338"/>
      <c r="CI337" s="341"/>
      <c r="CJ337" s="339">
        <f>CE337</f>
        <v>3</v>
      </c>
      <c r="CK337" s="291"/>
      <c r="CL337" s="679"/>
      <c r="CM337" s="657"/>
      <c r="CN337" s="682"/>
      <c r="CO337" s="657"/>
      <c r="CP337" s="657"/>
      <c r="CQ337" s="657"/>
      <c r="CR337" s="657"/>
      <c r="CS337" s="657"/>
      <c r="CT337" s="291"/>
      <c r="CX337"/>
      <c r="CY337"/>
      <c r="CZ337"/>
      <c r="DA337"/>
      <c r="DB337"/>
      <c r="DC337"/>
    </row>
    <row r="338" spans="1:107" s="180" customFormat="1">
      <c r="A338" s="171" t="s">
        <v>56</v>
      </c>
      <c r="B338" s="176">
        <v>7723</v>
      </c>
      <c r="C338" s="176">
        <v>8146</v>
      </c>
      <c r="D338" s="176">
        <v>8434</v>
      </c>
      <c r="E338" s="176">
        <v>9540</v>
      </c>
      <c r="F338" s="176">
        <v>9722</v>
      </c>
      <c r="G338" s="176">
        <v>10097</v>
      </c>
      <c r="H338" s="177">
        <v>10220</v>
      </c>
      <c r="I338" s="177">
        <v>10337</v>
      </c>
      <c r="J338" s="177">
        <v>10458</v>
      </c>
      <c r="K338" s="177">
        <v>10544</v>
      </c>
      <c r="L338" s="176">
        <f>K338</f>
        <v>10544</v>
      </c>
      <c r="M338" s="177">
        <v>10669</v>
      </c>
      <c r="N338" s="177">
        <v>10788</v>
      </c>
      <c r="O338" s="177">
        <v>10838</v>
      </c>
      <c r="P338" s="177">
        <v>10873</v>
      </c>
      <c r="Q338" s="176">
        <f>P338</f>
        <v>10873</v>
      </c>
      <c r="R338" s="177">
        <v>10866</v>
      </c>
      <c r="S338" s="177">
        <v>10899</v>
      </c>
      <c r="T338" s="177">
        <v>10929</v>
      </c>
      <c r="U338" s="177">
        <v>10991</v>
      </c>
      <c r="V338" s="176">
        <f>U338</f>
        <v>10991</v>
      </c>
      <c r="W338" s="177">
        <v>11186</v>
      </c>
      <c r="X338" s="177">
        <v>11332</v>
      </c>
      <c r="Y338" s="177">
        <v>11359</v>
      </c>
      <c r="Z338" s="177">
        <v>11406</v>
      </c>
      <c r="AA338" s="176">
        <f>Z338</f>
        <v>11406</v>
      </c>
      <c r="AB338" s="177">
        <v>11448</v>
      </c>
      <c r="AC338" s="177">
        <v>11619</v>
      </c>
      <c r="AD338" s="177">
        <v>11640</v>
      </c>
      <c r="AE338" s="177">
        <v>11676</v>
      </c>
      <c r="AF338" s="176">
        <f>AE338</f>
        <v>11676</v>
      </c>
      <c r="AG338" s="177">
        <v>11774</v>
      </c>
      <c r="AH338" s="177">
        <v>11863</v>
      </c>
      <c r="AI338" s="177">
        <v>11900</v>
      </c>
      <c r="AJ338" s="177">
        <v>2928</v>
      </c>
      <c r="AK338" s="176">
        <f>AJ338</f>
        <v>2928</v>
      </c>
      <c r="AL338" s="177">
        <v>2740</v>
      </c>
      <c r="AM338" s="177">
        <v>2526</v>
      </c>
      <c r="AN338" s="177">
        <v>2335</v>
      </c>
      <c r="AO338" s="177">
        <v>1972</v>
      </c>
      <c r="AP338" s="176">
        <f>AO338</f>
        <v>1972</v>
      </c>
      <c r="AQ338" s="177">
        <v>1795</v>
      </c>
      <c r="AR338" s="667">
        <v>1566</v>
      </c>
      <c r="AS338" s="667">
        <v>1403</v>
      </c>
      <c r="AT338" s="667">
        <v>1309</v>
      </c>
      <c r="AU338" s="137">
        <f>AT338</f>
        <v>1309</v>
      </c>
      <c r="AV338" s="177"/>
      <c r="AW338" s="667"/>
      <c r="AX338" s="667"/>
      <c r="AY338" s="667"/>
      <c r="AZ338" s="137">
        <v>1309</v>
      </c>
      <c r="BA338" s="720">
        <v>1040</v>
      </c>
      <c r="BB338" s="667">
        <v>834</v>
      </c>
      <c r="BC338" s="749">
        <v>617</v>
      </c>
      <c r="BD338" s="749">
        <v>398</v>
      </c>
      <c r="BE338" s="727">
        <f t="shared" si="1068"/>
        <v>398</v>
      </c>
      <c r="BF338" s="750">
        <v>30</v>
      </c>
      <c r="BG338" s="749">
        <v>0</v>
      </c>
      <c r="BH338" s="749">
        <v>0</v>
      </c>
      <c r="BI338" s="769">
        <v>0</v>
      </c>
      <c r="BJ338" s="696">
        <f t="shared" si="1069"/>
        <v>0</v>
      </c>
      <c r="BK338" s="750">
        <v>0</v>
      </c>
      <c r="BL338" s="667">
        <v>0</v>
      </c>
      <c r="BM338" s="667">
        <v>0</v>
      </c>
      <c r="BN338" s="756">
        <v>0</v>
      </c>
      <c r="BO338" s="696">
        <f t="shared" si="1070"/>
        <v>0</v>
      </c>
      <c r="BP338" s="696">
        <f t="shared" si="1070"/>
        <v>0</v>
      </c>
      <c r="BQ338" s="272">
        <v>0</v>
      </c>
      <c r="BR338" s="270">
        <v>0</v>
      </c>
      <c r="BS338" s="270">
        <v>0</v>
      </c>
      <c r="BT338" s="273">
        <v>0</v>
      </c>
      <c r="BU338" s="696">
        <f t="shared" si="1072"/>
        <v>0</v>
      </c>
      <c r="BV338" s="272"/>
      <c r="BW338" s="270"/>
      <c r="BX338" s="270"/>
      <c r="BY338" s="273"/>
      <c r="BZ338" s="271">
        <f>BU338</f>
        <v>0</v>
      </c>
      <c r="CA338" s="272"/>
      <c r="CB338" s="270"/>
      <c r="CC338" s="270"/>
      <c r="CD338" s="273"/>
      <c r="CE338" s="271">
        <f>BZ338</f>
        <v>0</v>
      </c>
      <c r="CF338" s="272"/>
      <c r="CG338" s="270"/>
      <c r="CH338" s="270"/>
      <c r="CI338" s="273"/>
      <c r="CJ338" s="271">
        <f>CE338</f>
        <v>0</v>
      </c>
      <c r="CK338" s="291"/>
      <c r="CL338" s="679"/>
      <c r="CM338" s="657"/>
      <c r="CN338" s="700"/>
      <c r="CO338" s="657"/>
      <c r="CP338" s="657"/>
      <c r="CQ338" s="657"/>
      <c r="CR338" s="657"/>
      <c r="CS338" s="657"/>
      <c r="CT338" s="291"/>
      <c r="CX338"/>
      <c r="CY338"/>
      <c r="CZ338"/>
      <c r="DA338"/>
      <c r="DB338"/>
      <c r="DC338"/>
    </row>
    <row r="339" spans="1:107" s="180" customFormat="1">
      <c r="A339" s="171" t="s">
        <v>57</v>
      </c>
      <c r="B339" s="176">
        <v>-212</v>
      </c>
      <c r="C339" s="176">
        <v>-2180</v>
      </c>
      <c r="D339" s="176">
        <f>-2194-13</f>
        <v>-2207</v>
      </c>
      <c r="E339" s="176">
        <f>-1919-60</f>
        <v>-1979</v>
      </c>
      <c r="F339" s="176">
        <f>-1950-89</f>
        <v>-2039</v>
      </c>
      <c r="G339" s="176">
        <v>-2514</v>
      </c>
      <c r="H339" s="177">
        <v>-2450</v>
      </c>
      <c r="I339" s="177">
        <v>-2277</v>
      </c>
      <c r="J339" s="177">
        <v>-2292</v>
      </c>
      <c r="K339" s="177">
        <v>-1956</v>
      </c>
      <c r="L339" s="176">
        <f>K339</f>
        <v>-1956</v>
      </c>
      <c r="M339" s="177">
        <v>-1903</v>
      </c>
      <c r="N339" s="177">
        <v>-1856</v>
      </c>
      <c r="O339" s="177">
        <v>-1900</v>
      </c>
      <c r="P339" s="177">
        <v>-5182</v>
      </c>
      <c r="Q339" s="176">
        <f>P339</f>
        <v>-5182</v>
      </c>
      <c r="R339" s="177">
        <v>-5132</v>
      </c>
      <c r="S339" s="177">
        <v>-4962</v>
      </c>
      <c r="T339" s="177">
        <v>-4967</v>
      </c>
      <c r="U339" s="177">
        <v>-4824</v>
      </c>
      <c r="V339" s="176">
        <f>U339</f>
        <v>-4824</v>
      </c>
      <c r="W339" s="177">
        <v>-4768</v>
      </c>
      <c r="X339" s="177">
        <v>-4712</v>
      </c>
      <c r="Y339" s="177">
        <v>-4680</v>
      </c>
      <c r="Z339" s="177">
        <v>-5146</v>
      </c>
      <c r="AA339" s="176">
        <f>Z339</f>
        <v>-5146</v>
      </c>
      <c r="AB339" s="177">
        <v>-4965</v>
      </c>
      <c r="AC339" s="177">
        <v>-4803</v>
      </c>
      <c r="AD339" s="177">
        <v>-4808</v>
      </c>
      <c r="AE339" s="177">
        <v>-7001</v>
      </c>
      <c r="AF339" s="176">
        <f>AE339</f>
        <v>-7001</v>
      </c>
      <c r="AG339" s="177">
        <v>-6817</v>
      </c>
      <c r="AH339" s="177">
        <v>-6688</v>
      </c>
      <c r="AI339" s="177">
        <v>-6506</v>
      </c>
      <c r="AJ339" s="177">
        <v>-7788</v>
      </c>
      <c r="AK339" s="176">
        <f>AJ339</f>
        <v>-7788</v>
      </c>
      <c r="AL339" s="177">
        <v>-7646</v>
      </c>
      <c r="AM339" s="177">
        <v>-7464</v>
      </c>
      <c r="AN339" s="136">
        <v>-7314</v>
      </c>
      <c r="AO339" s="136">
        <v>-5113</v>
      </c>
      <c r="AP339" s="137">
        <f>AO339</f>
        <v>-5113</v>
      </c>
      <c r="AQ339" s="177">
        <v>-4962</v>
      </c>
      <c r="AR339" s="667">
        <v>-4786</v>
      </c>
      <c r="AS339" s="136">
        <v>-4895</v>
      </c>
      <c r="AT339" s="136">
        <v>-7458</v>
      </c>
      <c r="AU339" s="137">
        <f>AT339</f>
        <v>-7458</v>
      </c>
      <c r="AV339" s="177"/>
      <c r="AW339" s="667"/>
      <c r="AX339" s="136"/>
      <c r="AY339" s="136"/>
      <c r="AZ339" s="137">
        <v>-7458</v>
      </c>
      <c r="BA339" s="721">
        <v>-7353</v>
      </c>
      <c r="BB339" s="136">
        <v>-7095</v>
      </c>
      <c r="BC339" s="749">
        <v>-7024</v>
      </c>
      <c r="BD339" s="769">
        <v>-7176</v>
      </c>
      <c r="BE339" s="727">
        <f t="shared" si="1068"/>
        <v>-7176</v>
      </c>
      <c r="BF339" s="750">
        <v>-7050</v>
      </c>
      <c r="BG339" s="749">
        <v>-6899</v>
      </c>
      <c r="BH339" s="749">
        <v>-6856</v>
      </c>
      <c r="BI339" s="769">
        <v>-7411</v>
      </c>
      <c r="BJ339" s="696">
        <f t="shared" si="1069"/>
        <v>-7411</v>
      </c>
      <c r="BK339" s="750">
        <v>-7218</v>
      </c>
      <c r="BL339" s="668">
        <v>-6994</v>
      </c>
      <c r="BM339" s="668">
        <v>-7075</v>
      </c>
      <c r="BN339" s="757">
        <v>-7935</v>
      </c>
      <c r="BO339" s="696">
        <f t="shared" si="1070"/>
        <v>-7935</v>
      </c>
      <c r="BP339" s="696">
        <f t="shared" si="1070"/>
        <v>-7935</v>
      </c>
      <c r="BQ339" s="455">
        <v>-7692.5204068749999</v>
      </c>
      <c r="BR339" s="136">
        <v>-7450.0408137499999</v>
      </c>
      <c r="BS339" s="136">
        <v>-7207.5612206249998</v>
      </c>
      <c r="BT339" s="138">
        <v>-6965.0816274999997</v>
      </c>
      <c r="BU339" s="696">
        <f t="shared" si="1072"/>
        <v>-6965.0816274999997</v>
      </c>
      <c r="BV339" s="455"/>
      <c r="BW339" s="136"/>
      <c r="BX339" s="136"/>
      <c r="BY339" s="138"/>
      <c r="BZ339" s="137">
        <v>-5848.260644</v>
      </c>
      <c r="CA339" s="455"/>
      <c r="CB339" s="136"/>
      <c r="CC339" s="136"/>
      <c r="CD339" s="138"/>
      <c r="CE339" s="137">
        <v>-4721.4396605000002</v>
      </c>
      <c r="CF339" s="455"/>
      <c r="CG339" s="136"/>
      <c r="CH339" s="136"/>
      <c r="CI339" s="138"/>
      <c r="CJ339" s="137">
        <v>-3584.6186769999999</v>
      </c>
      <c r="CK339" s="291"/>
      <c r="CL339" s="679"/>
      <c r="CM339" s="657"/>
      <c r="CN339" s="1028"/>
      <c r="CO339" s="1028"/>
      <c r="CP339" s="1028"/>
      <c r="CQ339" s="1028"/>
      <c r="CR339" s="657"/>
      <c r="CS339" s="657"/>
      <c r="CT339" s="291"/>
      <c r="CX339"/>
      <c r="CY339"/>
      <c r="CZ339"/>
      <c r="DA339"/>
      <c r="DB339"/>
      <c r="DC339"/>
    </row>
    <row r="340" spans="1:107" s="180" customFormat="1">
      <c r="A340" s="171" t="s">
        <v>50</v>
      </c>
      <c r="B340" s="176">
        <v>-1</v>
      </c>
      <c r="C340" s="176">
        <v>-4</v>
      </c>
      <c r="D340" s="176">
        <v>-6</v>
      </c>
      <c r="E340" s="176">
        <v>-13</v>
      </c>
      <c r="F340" s="176">
        <v>-454</v>
      </c>
      <c r="G340" s="176">
        <v>-816</v>
      </c>
      <c r="H340" s="177">
        <v>-1113</v>
      </c>
      <c r="I340" s="177">
        <v>-1658</v>
      </c>
      <c r="J340" s="177">
        <v>-2160</v>
      </c>
      <c r="K340" s="177">
        <v>-2502</v>
      </c>
      <c r="L340" s="176">
        <f>K340</f>
        <v>-2502</v>
      </c>
      <c r="M340" s="177">
        <v>-2854</v>
      </c>
      <c r="N340" s="177">
        <v>-3225</v>
      </c>
      <c r="O340" s="177">
        <v>-3571</v>
      </c>
      <c r="P340" s="177">
        <v>-4254</v>
      </c>
      <c r="Q340" s="176">
        <f>P340</f>
        <v>-4254</v>
      </c>
      <c r="R340" s="177">
        <v>-4523</v>
      </c>
      <c r="S340" s="177">
        <v>-4844</v>
      </c>
      <c r="T340" s="177">
        <v>-5145</v>
      </c>
      <c r="U340" s="177">
        <v>-5446</v>
      </c>
      <c r="V340" s="176">
        <f>U340</f>
        <v>-5446</v>
      </c>
      <c r="W340" s="177">
        <v>-5712</v>
      </c>
      <c r="X340" s="177">
        <v>-6222</v>
      </c>
      <c r="Y340" s="177">
        <v>-6648</v>
      </c>
      <c r="Z340" s="177">
        <v>-6900</v>
      </c>
      <c r="AA340" s="176">
        <f>Z340</f>
        <v>-6900</v>
      </c>
      <c r="AB340" s="177">
        <v>-7195</v>
      </c>
      <c r="AC340" s="177">
        <v>-7531</v>
      </c>
      <c r="AD340" s="177">
        <v>-7838</v>
      </c>
      <c r="AE340" s="177">
        <v>-8153</v>
      </c>
      <c r="AF340" s="176">
        <f>AE340</f>
        <v>-8153</v>
      </c>
      <c r="AG340" s="177">
        <v>-8562</v>
      </c>
      <c r="AH340" s="177">
        <v>-8779</v>
      </c>
      <c r="AI340" s="177">
        <v>-8913</v>
      </c>
      <c r="AJ340" s="177">
        <v>0</v>
      </c>
      <c r="AK340" s="176">
        <f>AJ340</f>
        <v>0</v>
      </c>
      <c r="AL340" s="177">
        <v>0</v>
      </c>
      <c r="AM340" s="177">
        <v>0</v>
      </c>
      <c r="AN340" s="177">
        <v>0</v>
      </c>
      <c r="AO340" s="136">
        <v>0</v>
      </c>
      <c r="AP340" s="176">
        <f>AO340</f>
        <v>0</v>
      </c>
      <c r="AQ340" s="136">
        <v>0</v>
      </c>
      <c r="AR340" s="668">
        <v>0</v>
      </c>
      <c r="AS340" s="136">
        <v>0</v>
      </c>
      <c r="AT340" s="136">
        <v>0</v>
      </c>
      <c r="AU340" s="176">
        <f>AT340</f>
        <v>0</v>
      </c>
      <c r="AV340" s="136"/>
      <c r="AW340" s="668"/>
      <c r="AX340" s="136"/>
      <c r="AY340" s="136"/>
      <c r="AZ340" s="176">
        <v>0</v>
      </c>
      <c r="BA340" s="720">
        <v>0</v>
      </c>
      <c r="BB340" s="177">
        <v>0</v>
      </c>
      <c r="BC340" s="749">
        <v>0</v>
      </c>
      <c r="BD340" s="749">
        <v>0</v>
      </c>
      <c r="BE340" s="727">
        <f t="shared" si="1068"/>
        <v>0</v>
      </c>
      <c r="BF340" s="750">
        <v>0</v>
      </c>
      <c r="BG340" s="749">
        <v>0</v>
      </c>
      <c r="BH340" s="749">
        <v>0</v>
      </c>
      <c r="BI340" s="769">
        <v>0</v>
      </c>
      <c r="BJ340" s="696">
        <f t="shared" si="1069"/>
        <v>0</v>
      </c>
      <c r="BK340" s="750">
        <v>0</v>
      </c>
      <c r="BL340" s="667">
        <v>0</v>
      </c>
      <c r="BM340" s="667">
        <v>0</v>
      </c>
      <c r="BN340" s="756">
        <v>0</v>
      </c>
      <c r="BO340" s="696">
        <f t="shared" si="1070"/>
        <v>0</v>
      </c>
      <c r="BP340" s="696">
        <f t="shared" si="1070"/>
        <v>0</v>
      </c>
      <c r="BQ340" s="178">
        <f>BO340+BQ295</f>
        <v>-391.54159215766646</v>
      </c>
      <c r="BR340" s="177">
        <f t="shared" ref="BR340:BT340" si="1073">BQ340+BR295</f>
        <v>-1119.6416777923944</v>
      </c>
      <c r="BS340" s="177">
        <f t="shared" si="1073"/>
        <v>-1320.1196622430596</v>
      </c>
      <c r="BT340" s="179">
        <f t="shared" si="1073"/>
        <v>-1258.3756367452613</v>
      </c>
      <c r="BU340" s="696">
        <f t="shared" ref="BU340:BU341" si="1074">BT340</f>
        <v>-1258.3756367452613</v>
      </c>
      <c r="BV340" s="178"/>
      <c r="BW340" s="177"/>
      <c r="BX340" s="177"/>
      <c r="BY340" s="179"/>
      <c r="BZ340" s="176">
        <f>BU340+BZ295</f>
        <v>-3269.4829127376529</v>
      </c>
      <c r="CA340" s="178"/>
      <c r="CB340" s="177"/>
      <c r="CC340" s="177"/>
      <c r="CD340" s="179"/>
      <c r="CE340" s="176">
        <f>BZ340+CE295</f>
        <v>-5480.7233194504261</v>
      </c>
      <c r="CF340" s="178"/>
      <c r="CG340" s="177"/>
      <c r="CH340" s="177"/>
      <c r="CI340" s="179"/>
      <c r="CJ340" s="176">
        <f>CE340+CJ295</f>
        <v>-7912.3224562693485</v>
      </c>
      <c r="CK340" s="291"/>
      <c r="CL340" s="679"/>
      <c r="CM340" s="657"/>
      <c r="CN340" s="1028"/>
      <c r="CO340" s="1028"/>
      <c r="CP340" s="657"/>
      <c r="CQ340" s="657"/>
      <c r="CR340" s="657"/>
      <c r="CS340" s="657"/>
      <c r="CT340" s="291"/>
      <c r="CX340"/>
      <c r="CY340"/>
      <c r="CZ340"/>
      <c r="DA340"/>
      <c r="DB340"/>
      <c r="DC340"/>
    </row>
    <row r="341" spans="1:107" s="180" customFormat="1">
      <c r="A341" s="171" t="s">
        <v>219</v>
      </c>
      <c r="B341" s="176">
        <v>3867</v>
      </c>
      <c r="C341" s="176">
        <v>2904</v>
      </c>
      <c r="D341" s="176">
        <v>2937</v>
      </c>
      <c r="E341" s="176">
        <v>2998</v>
      </c>
      <c r="F341" s="176">
        <v>3475</v>
      </c>
      <c r="G341" s="176">
        <v>4329</v>
      </c>
      <c r="H341" s="177">
        <v>4549</v>
      </c>
      <c r="I341" s="177">
        <v>5773</v>
      </c>
      <c r="J341" s="177">
        <v>5963</v>
      </c>
      <c r="K341" s="177">
        <v>6452</v>
      </c>
      <c r="L341" s="176">
        <f>K341</f>
        <v>6452</v>
      </c>
      <c r="M341" s="177">
        <v>6716</v>
      </c>
      <c r="N341" s="177">
        <v>7025</v>
      </c>
      <c r="O341" s="177">
        <v>7336</v>
      </c>
      <c r="P341" s="177">
        <v>7646</v>
      </c>
      <c r="Q341" s="176">
        <f>P341</f>
        <v>7646</v>
      </c>
      <c r="R341" s="177">
        <v>7976</v>
      </c>
      <c r="S341" s="177">
        <v>8344</v>
      </c>
      <c r="T341" s="177">
        <v>8714</v>
      </c>
      <c r="U341" s="177">
        <v>9102</v>
      </c>
      <c r="V341" s="176">
        <f>U341</f>
        <v>9102</v>
      </c>
      <c r="W341" s="177">
        <v>9406</v>
      </c>
      <c r="X341" s="177">
        <v>9473</v>
      </c>
      <c r="Y341" s="177">
        <v>10065</v>
      </c>
      <c r="Z341" s="177">
        <v>10390</v>
      </c>
      <c r="AA341" s="176">
        <f>Z341</f>
        <v>10390</v>
      </c>
      <c r="AB341" s="177">
        <v>10620</v>
      </c>
      <c r="AC341" s="177">
        <v>10906</v>
      </c>
      <c r="AD341" s="177">
        <v>11258</v>
      </c>
      <c r="AE341" s="177">
        <v>11656</v>
      </c>
      <c r="AF341" s="176">
        <f>AE341</f>
        <v>11656</v>
      </c>
      <c r="AG341" s="177">
        <v>11938</v>
      </c>
      <c r="AH341" s="177">
        <v>12242</v>
      </c>
      <c r="AI341" s="177">
        <v>12578</v>
      </c>
      <c r="AJ341" s="177">
        <v>12883</v>
      </c>
      <c r="AK341" s="176">
        <f>AJ341</f>
        <v>12883</v>
      </c>
      <c r="AL341" s="177">
        <v>13193</v>
      </c>
      <c r="AM341" s="177">
        <v>13503</v>
      </c>
      <c r="AN341" s="177">
        <v>13817</v>
      </c>
      <c r="AO341" s="177">
        <v>14173</v>
      </c>
      <c r="AP341" s="176">
        <f>AO341</f>
        <v>14173</v>
      </c>
      <c r="AQ341" s="177">
        <v>14582</v>
      </c>
      <c r="AR341" s="667">
        <v>14945</v>
      </c>
      <c r="AS341" s="177">
        <v>15273</v>
      </c>
      <c r="AT341" s="177">
        <v>15671</v>
      </c>
      <c r="AU341" s="176">
        <f>AT341</f>
        <v>15671</v>
      </c>
      <c r="AV341" s="177"/>
      <c r="AW341" s="667"/>
      <c r="AX341" s="177"/>
      <c r="AY341" s="177"/>
      <c r="AZ341" s="176">
        <v>15671</v>
      </c>
      <c r="BA341" s="720">
        <v>16017</v>
      </c>
      <c r="BB341" s="177">
        <v>16314</v>
      </c>
      <c r="BC341" s="749">
        <v>16552</v>
      </c>
      <c r="BD341" s="769">
        <v>16903</v>
      </c>
      <c r="BE341" s="727">
        <f t="shared" si="1068"/>
        <v>16903</v>
      </c>
      <c r="BF341" s="750">
        <v>17141</v>
      </c>
      <c r="BG341" s="749">
        <v>17212</v>
      </c>
      <c r="BH341" s="749">
        <v>17320</v>
      </c>
      <c r="BI341" s="769">
        <v>17565</v>
      </c>
      <c r="BJ341" s="696">
        <f t="shared" si="1069"/>
        <v>17565</v>
      </c>
      <c r="BK341" s="750">
        <v>17599</v>
      </c>
      <c r="BL341" s="667">
        <v>17806</v>
      </c>
      <c r="BM341" s="667">
        <v>17929</v>
      </c>
      <c r="BN341" s="756">
        <v>17895</v>
      </c>
      <c r="BO341" s="696">
        <f t="shared" si="1070"/>
        <v>17895</v>
      </c>
      <c r="BP341" s="696">
        <f t="shared" si="1070"/>
        <v>17895</v>
      </c>
      <c r="BQ341" s="178">
        <f>BO341+BQ276+BQ277+BQ294+BQ292</f>
        <v>18278.305534179457</v>
      </c>
      <c r="BR341" s="177">
        <f t="shared" ref="BR341:BT341" si="1075">BQ341+BR276+BR277+BR294+BR292</f>
        <v>18717.534082192804</v>
      </c>
      <c r="BS341" s="177">
        <f t="shared" si="1075"/>
        <v>19152.930509279038</v>
      </c>
      <c r="BT341" s="179">
        <f t="shared" si="1075"/>
        <v>19677.508950144449</v>
      </c>
      <c r="BU341" s="696">
        <f t="shared" si="1074"/>
        <v>19677.508950144449</v>
      </c>
      <c r="BV341" s="178"/>
      <c r="BW341" s="177"/>
      <c r="BX341" s="177"/>
      <c r="BY341" s="179"/>
      <c r="BZ341" s="176">
        <f>BU341+BZ276+BZ277+BZ294+BZ292</f>
        <v>21702.832972931443</v>
      </c>
      <c r="CA341" s="178"/>
      <c r="CB341" s="177"/>
      <c r="CC341" s="177"/>
      <c r="CD341" s="179"/>
      <c r="CE341" s="176">
        <f>BZ341+CE276+CE277+CE294+CE292</f>
        <v>23984.922632170492</v>
      </c>
      <c r="CF341" s="178"/>
      <c r="CG341" s="177"/>
      <c r="CH341" s="177"/>
      <c r="CI341" s="179"/>
      <c r="CJ341" s="176">
        <f>CE341+CJ276+CJ277+CJ294+CJ292</f>
        <v>26320.574848871798</v>
      </c>
      <c r="CK341" s="291"/>
      <c r="CL341" s="679"/>
      <c r="CM341" s="657"/>
      <c r="CN341" s="682"/>
      <c r="CO341" s="657"/>
      <c r="CP341" s="657"/>
      <c r="CQ341" s="657"/>
      <c r="CR341" s="657"/>
      <c r="CS341" s="657"/>
      <c r="CT341" s="291"/>
      <c r="CX341"/>
      <c r="CY341"/>
      <c r="CZ341"/>
      <c r="DA341"/>
      <c r="DB341"/>
      <c r="DC341"/>
    </row>
    <row r="342" spans="1:107" s="180" customFormat="1">
      <c r="A342" s="192" t="s">
        <v>41</v>
      </c>
      <c r="B342" s="193">
        <f t="shared" ref="B342:AU342" si="1076">SUM(B337:B341)</f>
        <v>11381</v>
      </c>
      <c r="C342" s="193">
        <f t="shared" si="1076"/>
        <v>8870</v>
      </c>
      <c r="D342" s="193">
        <f t="shared" si="1076"/>
        <v>9162</v>
      </c>
      <c r="E342" s="193">
        <f t="shared" si="1076"/>
        <v>10551</v>
      </c>
      <c r="F342" s="193">
        <f t="shared" si="1076"/>
        <v>10709</v>
      </c>
      <c r="G342" s="193">
        <f t="shared" si="1076"/>
        <v>11101</v>
      </c>
      <c r="H342" s="192">
        <f t="shared" si="1076"/>
        <v>11211</v>
      </c>
      <c r="I342" s="192">
        <f t="shared" si="1076"/>
        <v>12180</v>
      </c>
      <c r="J342" s="192">
        <f t="shared" si="1076"/>
        <v>11973</v>
      </c>
      <c r="K342" s="192">
        <f t="shared" si="1076"/>
        <v>12542</v>
      </c>
      <c r="L342" s="193">
        <f t="shared" si="1076"/>
        <v>12542</v>
      </c>
      <c r="M342" s="192">
        <f t="shared" si="1076"/>
        <v>12632</v>
      </c>
      <c r="N342" s="192">
        <f t="shared" si="1076"/>
        <v>12736</v>
      </c>
      <c r="O342" s="192">
        <f t="shared" si="1076"/>
        <v>12707</v>
      </c>
      <c r="P342" s="192">
        <f t="shared" si="1076"/>
        <v>9087</v>
      </c>
      <c r="Q342" s="193">
        <f t="shared" si="1076"/>
        <v>9087</v>
      </c>
      <c r="R342" s="192">
        <f t="shared" si="1076"/>
        <v>9191</v>
      </c>
      <c r="S342" s="192">
        <f t="shared" si="1076"/>
        <v>9441</v>
      </c>
      <c r="T342" s="192">
        <f t="shared" si="1076"/>
        <v>9535</v>
      </c>
      <c r="U342" s="192">
        <f t="shared" si="1076"/>
        <v>9827</v>
      </c>
      <c r="V342" s="193">
        <f t="shared" si="1076"/>
        <v>9827</v>
      </c>
      <c r="W342" s="192">
        <f t="shared" si="1076"/>
        <v>10116</v>
      </c>
      <c r="X342" s="192">
        <f t="shared" si="1076"/>
        <v>9875</v>
      </c>
      <c r="Y342" s="192">
        <f t="shared" si="1076"/>
        <v>10100</v>
      </c>
      <c r="Z342" s="192">
        <f t="shared" si="1076"/>
        <v>9754</v>
      </c>
      <c r="AA342" s="193">
        <f t="shared" si="1076"/>
        <v>9754</v>
      </c>
      <c r="AB342" s="192">
        <f t="shared" si="1076"/>
        <v>9912</v>
      </c>
      <c r="AC342" s="192">
        <f t="shared" si="1076"/>
        <v>10195</v>
      </c>
      <c r="AD342" s="192">
        <f t="shared" si="1076"/>
        <v>10255</v>
      </c>
      <c r="AE342" s="192">
        <f t="shared" si="1076"/>
        <v>8181</v>
      </c>
      <c r="AF342" s="193">
        <f t="shared" si="1076"/>
        <v>8181</v>
      </c>
      <c r="AG342" s="192">
        <f t="shared" si="1076"/>
        <v>8336</v>
      </c>
      <c r="AH342" s="192">
        <f t="shared" si="1076"/>
        <v>8641</v>
      </c>
      <c r="AI342" s="192">
        <f t="shared" si="1076"/>
        <v>9062</v>
      </c>
      <c r="AJ342" s="192">
        <f t="shared" si="1076"/>
        <v>8026</v>
      </c>
      <c r="AK342" s="193">
        <f t="shared" si="1076"/>
        <v>8026</v>
      </c>
      <c r="AL342" s="192">
        <f t="shared" si="1076"/>
        <v>8290</v>
      </c>
      <c r="AM342" s="192">
        <f t="shared" si="1076"/>
        <v>8568</v>
      </c>
      <c r="AN342" s="192">
        <f t="shared" si="1076"/>
        <v>8841</v>
      </c>
      <c r="AO342" s="192">
        <f t="shared" si="1076"/>
        <v>11035</v>
      </c>
      <c r="AP342" s="193">
        <f t="shared" si="1076"/>
        <v>11035</v>
      </c>
      <c r="AQ342" s="192">
        <f t="shared" si="1076"/>
        <v>11418</v>
      </c>
      <c r="AR342" s="192">
        <f t="shared" si="1076"/>
        <v>11728</v>
      </c>
      <c r="AS342" s="192">
        <f t="shared" si="1076"/>
        <v>11784</v>
      </c>
      <c r="AT342" s="192">
        <f t="shared" si="1076"/>
        <v>9525</v>
      </c>
      <c r="AU342" s="193">
        <f t="shared" si="1076"/>
        <v>9525</v>
      </c>
      <c r="AV342" s="192"/>
      <c r="AW342" s="192"/>
      <c r="AX342" s="192"/>
      <c r="AY342" s="192"/>
      <c r="AZ342" s="193">
        <f t="shared" ref="AZ342" si="1077">SUM(AZ337:AZ341)</f>
        <v>9525</v>
      </c>
      <c r="BA342" s="194">
        <f t="shared" ref="BA342:BO342" si="1078">SUM(BA337:BA341)</f>
        <v>9707</v>
      </c>
      <c r="BB342" s="192">
        <f t="shared" si="1078"/>
        <v>10056</v>
      </c>
      <c r="BC342" s="742">
        <f t="shared" si="1078"/>
        <v>10148</v>
      </c>
      <c r="BD342" s="742">
        <f t="shared" si="1078"/>
        <v>10128</v>
      </c>
      <c r="BE342" s="948">
        <f t="shared" si="1078"/>
        <v>10128</v>
      </c>
      <c r="BF342" s="899">
        <f t="shared" si="1078"/>
        <v>10124</v>
      </c>
      <c r="BG342" s="742">
        <f t="shared" si="1078"/>
        <v>10316</v>
      </c>
      <c r="BH342" s="742">
        <f t="shared" si="1078"/>
        <v>10467</v>
      </c>
      <c r="BI342" s="910">
        <f t="shared" si="1078"/>
        <v>10157</v>
      </c>
      <c r="BJ342" s="193">
        <f t="shared" si="1078"/>
        <v>10157</v>
      </c>
      <c r="BK342" s="899">
        <f t="shared" si="1078"/>
        <v>10384</v>
      </c>
      <c r="BL342" s="192">
        <f t="shared" si="1078"/>
        <v>10815</v>
      </c>
      <c r="BM342" s="192">
        <f t="shared" si="1078"/>
        <v>10857</v>
      </c>
      <c r="BN342" s="195">
        <f t="shared" si="1078"/>
        <v>9963</v>
      </c>
      <c r="BO342" s="193">
        <f t="shared" si="1078"/>
        <v>9963</v>
      </c>
      <c r="BP342" s="193">
        <f t="shared" ref="BP342" si="1079">SUM(BP337:BP341)</f>
        <v>9963</v>
      </c>
      <c r="BQ342" s="194">
        <f t="shared" ref="BQ342:BT342" si="1080">SUM(BQ337:BQ341)</f>
        <v>10197.24353514679</v>
      </c>
      <c r="BR342" s="192">
        <f t="shared" si="1080"/>
        <v>10150.851590650409</v>
      </c>
      <c r="BS342" s="192">
        <f t="shared" si="1080"/>
        <v>10628.24962641098</v>
      </c>
      <c r="BT342" s="195">
        <f t="shared" si="1080"/>
        <v>11457.051685899189</v>
      </c>
      <c r="BU342" s="193">
        <f>SUM(BU337:BU341)</f>
        <v>11457.051685899189</v>
      </c>
      <c r="BV342" s="194"/>
      <c r="BW342" s="192"/>
      <c r="BX342" s="192"/>
      <c r="BY342" s="195"/>
      <c r="BZ342" s="193">
        <f>SUM(BZ337:BZ341)</f>
        <v>12588.08941619379</v>
      </c>
      <c r="CA342" s="194"/>
      <c r="CB342" s="192"/>
      <c r="CC342" s="192"/>
      <c r="CD342" s="195"/>
      <c r="CE342" s="193">
        <f>SUM(CE337:CE341)</f>
        <v>13785.759652220066</v>
      </c>
      <c r="CF342" s="194"/>
      <c r="CG342" s="192"/>
      <c r="CH342" s="192"/>
      <c r="CI342" s="195"/>
      <c r="CJ342" s="193">
        <f>SUM(CJ337:CJ341)</f>
        <v>14826.633715602449</v>
      </c>
      <c r="CK342" s="291"/>
      <c r="CL342" s="679"/>
      <c r="CM342" s="657"/>
      <c r="CN342" s="682"/>
      <c r="CO342" s="657"/>
      <c r="CP342" s="657"/>
      <c r="CQ342" s="657"/>
      <c r="CR342" s="657"/>
      <c r="CS342" s="657"/>
      <c r="CT342" s="291"/>
      <c r="CX342"/>
      <c r="CY342"/>
      <c r="CZ342"/>
      <c r="DA342"/>
      <c r="DB342"/>
      <c r="DC342"/>
    </row>
    <row r="343" spans="1:107" s="180" customFormat="1" ht="12.75" customHeight="1">
      <c r="A343" s="171" t="s">
        <v>30</v>
      </c>
      <c r="B343" s="176"/>
      <c r="C343" s="176">
        <v>0</v>
      </c>
      <c r="D343" s="176">
        <v>67</v>
      </c>
      <c r="E343" s="176">
        <v>97</v>
      </c>
      <c r="F343" s="176">
        <v>119</v>
      </c>
      <c r="G343" s="176">
        <v>165</v>
      </c>
      <c r="H343" s="177">
        <v>179</v>
      </c>
      <c r="I343" s="177">
        <v>195</v>
      </c>
      <c r="J343" s="177">
        <v>211</v>
      </c>
      <c r="K343" s="177">
        <v>216</v>
      </c>
      <c r="L343" s="176">
        <f>K343</f>
        <v>216</v>
      </c>
      <c r="M343" s="177">
        <v>219</v>
      </c>
      <c r="N343" s="177">
        <v>233</v>
      </c>
      <c r="O343" s="177">
        <v>253</v>
      </c>
      <c r="P343" s="177">
        <v>101</v>
      </c>
      <c r="Q343" s="176">
        <f>P343</f>
        <v>101</v>
      </c>
      <c r="R343" s="177">
        <v>109</v>
      </c>
      <c r="S343" s="177">
        <v>98</v>
      </c>
      <c r="T343" s="177">
        <v>104</v>
      </c>
      <c r="U343" s="177">
        <v>112</v>
      </c>
      <c r="V343" s="176">
        <f>U343</f>
        <v>112</v>
      </c>
      <c r="W343" s="177">
        <v>120</v>
      </c>
      <c r="X343" s="177">
        <v>120</v>
      </c>
      <c r="Y343" s="177">
        <v>127</v>
      </c>
      <c r="Z343" s="177">
        <v>136</v>
      </c>
      <c r="AA343" s="176">
        <f>Z343</f>
        <v>136</v>
      </c>
      <c r="AB343" s="177">
        <v>141</v>
      </c>
      <c r="AC343" s="177">
        <v>144</v>
      </c>
      <c r="AD343" s="177">
        <v>152</v>
      </c>
      <c r="AE343" s="177">
        <v>159</v>
      </c>
      <c r="AF343" s="176">
        <f>AE343</f>
        <v>159</v>
      </c>
      <c r="AG343" s="177">
        <v>163</v>
      </c>
      <c r="AH343" s="177">
        <v>158</v>
      </c>
      <c r="AI343" s="177">
        <v>163</v>
      </c>
      <c r="AJ343" s="177">
        <v>164</v>
      </c>
      <c r="AK343" s="176">
        <f>AJ343</f>
        <v>164</v>
      </c>
      <c r="AL343" s="177">
        <v>170</v>
      </c>
      <c r="AM343" s="177">
        <v>169</v>
      </c>
      <c r="AN343" s="177">
        <v>170</v>
      </c>
      <c r="AO343" s="177">
        <v>162</v>
      </c>
      <c r="AP343" s="176">
        <f>AO343</f>
        <v>162</v>
      </c>
      <c r="AQ343" s="177">
        <v>165</v>
      </c>
      <c r="AR343" s="667">
        <v>166</v>
      </c>
      <c r="AS343" s="667">
        <v>170</v>
      </c>
      <c r="AT343" s="667">
        <v>196</v>
      </c>
      <c r="AU343" s="137">
        <f>AT343</f>
        <v>196</v>
      </c>
      <c r="AV343" s="177"/>
      <c r="AW343" s="667"/>
      <c r="AX343" s="667"/>
      <c r="AY343" s="667"/>
      <c r="AZ343" s="137">
        <v>196</v>
      </c>
      <c r="BA343" s="720">
        <v>199</v>
      </c>
      <c r="BB343" s="667">
        <v>199</v>
      </c>
      <c r="BC343" s="749">
        <v>201</v>
      </c>
      <c r="BD343" s="769">
        <v>202</v>
      </c>
      <c r="BE343" s="751">
        <f>BD343</f>
        <v>202</v>
      </c>
      <c r="BF343" s="750">
        <v>186</v>
      </c>
      <c r="BG343" s="749">
        <v>0</v>
      </c>
      <c r="BH343" s="749">
        <v>0</v>
      </c>
      <c r="BI343" s="769">
        <v>0</v>
      </c>
      <c r="BJ343" s="696">
        <f>BI343</f>
        <v>0</v>
      </c>
      <c r="BK343" s="750">
        <v>0</v>
      </c>
      <c r="BL343" s="667">
        <v>0</v>
      </c>
      <c r="BM343" s="667">
        <v>0</v>
      </c>
      <c r="BN343" s="756">
        <v>0</v>
      </c>
      <c r="BO343" s="696">
        <f>BN343</f>
        <v>0</v>
      </c>
      <c r="BP343" s="696">
        <f>BO343</f>
        <v>0</v>
      </c>
      <c r="BQ343" s="272">
        <f t="shared" ref="BQ343" si="1081">+BO343</f>
        <v>0</v>
      </c>
      <c r="BR343" s="270">
        <f t="shared" ref="BR343" si="1082">+BQ343</f>
        <v>0</v>
      </c>
      <c r="BS343" s="270">
        <f t="shared" ref="BS343" si="1083">+BR343</f>
        <v>0</v>
      </c>
      <c r="BT343" s="273">
        <f t="shared" ref="BT343" si="1084">+BS343</f>
        <v>0</v>
      </c>
      <c r="BU343" s="271">
        <f>BO343</f>
        <v>0</v>
      </c>
      <c r="BV343" s="272"/>
      <c r="BW343" s="270"/>
      <c r="BX343" s="270"/>
      <c r="BY343" s="273"/>
      <c r="BZ343" s="271">
        <f>BU343</f>
        <v>0</v>
      </c>
      <c r="CA343" s="272"/>
      <c r="CB343" s="270"/>
      <c r="CC343" s="270"/>
      <c r="CD343" s="273"/>
      <c r="CE343" s="271">
        <f>BZ343</f>
        <v>0</v>
      </c>
      <c r="CF343" s="272"/>
      <c r="CG343" s="270"/>
      <c r="CH343" s="270"/>
      <c r="CI343" s="273"/>
      <c r="CJ343" s="271">
        <f>CE343</f>
        <v>0</v>
      </c>
      <c r="CK343" s="291"/>
      <c r="CL343" s="679"/>
      <c r="CM343" s="657"/>
      <c r="CN343" s="682"/>
      <c r="CO343" s="657"/>
      <c r="CP343" s="657"/>
      <c r="CQ343" s="657"/>
      <c r="CR343" s="657"/>
      <c r="CS343" s="657"/>
      <c r="CT343" s="291"/>
      <c r="CX343"/>
      <c r="CY343"/>
      <c r="CZ343"/>
      <c r="DA343"/>
      <c r="DB343"/>
      <c r="DC343"/>
    </row>
    <row r="344" spans="1:107" s="180" customFormat="1" ht="12.75" customHeight="1">
      <c r="A344" s="192" t="s">
        <v>42</v>
      </c>
      <c r="B344" s="193">
        <f t="shared" ref="B344:AU344" si="1085">SUM(B335,B342,B343)</f>
        <v>26773</v>
      </c>
      <c r="C344" s="193">
        <f t="shared" si="1085"/>
        <v>23946</v>
      </c>
      <c r="D344" s="193">
        <f t="shared" si="1085"/>
        <v>24208</v>
      </c>
      <c r="E344" s="193">
        <f t="shared" si="1085"/>
        <v>24153</v>
      </c>
      <c r="F344" s="193">
        <f t="shared" si="1085"/>
        <v>24381</v>
      </c>
      <c r="G344" s="193">
        <f t="shared" si="1085"/>
        <v>25491</v>
      </c>
      <c r="H344" s="192">
        <f t="shared" si="1085"/>
        <v>25083</v>
      </c>
      <c r="I344" s="192">
        <f t="shared" si="1085"/>
        <v>24290</v>
      </c>
      <c r="J344" s="192">
        <f t="shared" si="1085"/>
        <v>23491</v>
      </c>
      <c r="K344" s="192">
        <f t="shared" si="1085"/>
        <v>23281</v>
      </c>
      <c r="L344" s="193">
        <f t="shared" si="1085"/>
        <v>23281</v>
      </c>
      <c r="M344" s="192">
        <f t="shared" si="1085"/>
        <v>23134</v>
      </c>
      <c r="N344" s="192">
        <f t="shared" si="1085"/>
        <v>23597</v>
      </c>
      <c r="O344" s="192">
        <f t="shared" si="1085"/>
        <v>23766</v>
      </c>
      <c r="P344" s="192">
        <f t="shared" si="1085"/>
        <v>23134</v>
      </c>
      <c r="Q344" s="193">
        <f t="shared" si="1085"/>
        <v>23134</v>
      </c>
      <c r="R344" s="192">
        <f t="shared" si="1085"/>
        <v>22879</v>
      </c>
      <c r="S344" s="192">
        <f t="shared" si="1085"/>
        <v>23050</v>
      </c>
      <c r="T344" s="192">
        <f t="shared" si="1085"/>
        <v>22880</v>
      </c>
      <c r="U344" s="192">
        <f t="shared" si="1085"/>
        <v>23607</v>
      </c>
      <c r="V344" s="193">
        <f t="shared" si="1085"/>
        <v>23607</v>
      </c>
      <c r="W344" s="192">
        <f t="shared" si="1085"/>
        <v>23800</v>
      </c>
      <c r="X344" s="192">
        <f t="shared" si="1085"/>
        <v>23281</v>
      </c>
      <c r="Y344" s="192">
        <f t="shared" si="1085"/>
        <v>22852</v>
      </c>
      <c r="Z344" s="192">
        <f t="shared" si="1085"/>
        <v>24422</v>
      </c>
      <c r="AA344" s="193">
        <f t="shared" si="1085"/>
        <v>24422</v>
      </c>
      <c r="AB344" s="192">
        <f t="shared" si="1085"/>
        <v>24574</v>
      </c>
      <c r="AC344" s="192">
        <f t="shared" si="1085"/>
        <v>24055</v>
      </c>
      <c r="AD344" s="192">
        <f t="shared" si="1085"/>
        <v>24120</v>
      </c>
      <c r="AE344" s="192">
        <f t="shared" si="1085"/>
        <v>25854</v>
      </c>
      <c r="AF344" s="193">
        <f t="shared" si="1085"/>
        <v>25854</v>
      </c>
      <c r="AG344" s="192">
        <f t="shared" si="1085"/>
        <v>25627</v>
      </c>
      <c r="AH344" s="192">
        <f t="shared" si="1085"/>
        <v>25078</v>
      </c>
      <c r="AI344" s="192">
        <f t="shared" si="1085"/>
        <v>25697</v>
      </c>
      <c r="AJ344" s="192">
        <f t="shared" si="1085"/>
        <v>26686</v>
      </c>
      <c r="AK344" s="193">
        <f t="shared" si="1085"/>
        <v>26686</v>
      </c>
      <c r="AL344" s="192">
        <f t="shared" si="1085"/>
        <v>26687</v>
      </c>
      <c r="AM344" s="192">
        <f t="shared" si="1085"/>
        <v>26376</v>
      </c>
      <c r="AN344" s="192">
        <f t="shared" si="1085"/>
        <v>26778</v>
      </c>
      <c r="AO344" s="192">
        <f t="shared" si="1085"/>
        <v>25967</v>
      </c>
      <c r="AP344" s="193">
        <f t="shared" si="1085"/>
        <v>25967</v>
      </c>
      <c r="AQ344" s="192">
        <f t="shared" si="1085"/>
        <v>26541</v>
      </c>
      <c r="AR344" s="192">
        <f t="shared" si="1085"/>
        <v>26380</v>
      </c>
      <c r="AS344" s="192">
        <f t="shared" si="1085"/>
        <v>26307</v>
      </c>
      <c r="AT344" s="192">
        <f t="shared" si="1085"/>
        <v>27900</v>
      </c>
      <c r="AU344" s="193">
        <f t="shared" si="1085"/>
        <v>27900</v>
      </c>
      <c r="AV344" s="192"/>
      <c r="AW344" s="192"/>
      <c r="AX344" s="192"/>
      <c r="AY344" s="192"/>
      <c r="AZ344" s="193">
        <f t="shared" ref="AZ344" si="1086">SUM(AZ335,AZ342,AZ343)</f>
        <v>27900</v>
      </c>
      <c r="BA344" s="194">
        <f t="shared" ref="BA344:BO344" si="1087">SUM(BA335,BA342,BA343)</f>
        <v>27798</v>
      </c>
      <c r="BB344" s="192">
        <f t="shared" si="1087"/>
        <v>28437</v>
      </c>
      <c r="BC344" s="742">
        <f t="shared" si="1087"/>
        <v>29249</v>
      </c>
      <c r="BD344" s="910">
        <f t="shared" si="1087"/>
        <v>29281</v>
      </c>
      <c r="BE344" s="912">
        <f t="shared" si="1087"/>
        <v>29281</v>
      </c>
      <c r="BF344" s="899">
        <f t="shared" si="1087"/>
        <v>28829</v>
      </c>
      <c r="BG344" s="742">
        <f t="shared" si="1087"/>
        <v>29098</v>
      </c>
      <c r="BH344" s="742">
        <f t="shared" si="1087"/>
        <v>29452</v>
      </c>
      <c r="BI344" s="910">
        <f t="shared" si="1087"/>
        <v>30238</v>
      </c>
      <c r="BJ344" s="193">
        <f t="shared" si="1087"/>
        <v>30238</v>
      </c>
      <c r="BK344" s="899">
        <f t="shared" si="1087"/>
        <v>29869</v>
      </c>
      <c r="BL344" s="192">
        <f t="shared" si="1087"/>
        <v>30229</v>
      </c>
      <c r="BM344" s="192">
        <f t="shared" si="1087"/>
        <v>30278</v>
      </c>
      <c r="BN344" s="195">
        <f t="shared" si="1087"/>
        <v>30860</v>
      </c>
      <c r="BO344" s="193">
        <f t="shared" si="1087"/>
        <v>30860</v>
      </c>
      <c r="BP344" s="193">
        <f t="shared" ref="BP344" si="1088">SUM(BP335,BP342,BP343)</f>
        <v>30860</v>
      </c>
      <c r="BQ344" s="194">
        <f t="shared" ref="BQ344:BT344" si="1089">SUM(BQ335,BQ342,BQ343)</f>
        <v>29804.383244145542</v>
      </c>
      <c r="BR344" s="192">
        <f t="shared" si="1089"/>
        <v>29746.179191666284</v>
      </c>
      <c r="BS344" s="192">
        <f t="shared" si="1089"/>
        <v>29578.061835550991</v>
      </c>
      <c r="BT344" s="195">
        <f t="shared" si="1089"/>
        <v>30744.440970746087</v>
      </c>
      <c r="BU344" s="193">
        <f>SUM(BU335,BU342,BU343)</f>
        <v>30744.440970746087</v>
      </c>
      <c r="BV344" s="194"/>
      <c r="BW344" s="192"/>
      <c r="BX344" s="192"/>
      <c r="BY344" s="195"/>
      <c r="BZ344" s="193">
        <f>SUM(BZ335,BZ342,BZ343)</f>
        <v>31287.308801480089</v>
      </c>
      <c r="CA344" s="194"/>
      <c r="CB344" s="192"/>
      <c r="CC344" s="192"/>
      <c r="CD344" s="195"/>
      <c r="CE344" s="193">
        <f>SUM(CE335,CE342,CE343)</f>
        <v>31819.661046815043</v>
      </c>
      <c r="CF344" s="194"/>
      <c r="CG344" s="192"/>
      <c r="CH344" s="192"/>
      <c r="CI344" s="195"/>
      <c r="CJ344" s="193">
        <f>SUM(CJ335,CJ342,CJ343)</f>
        <v>32145.772489932355</v>
      </c>
      <c r="CK344" s="291"/>
      <c r="CL344" s="679"/>
      <c r="CM344" s="657"/>
      <c r="CN344" s="682"/>
      <c r="CO344" s="657"/>
      <c r="CP344" s="657"/>
      <c r="CQ344" s="657"/>
      <c r="CR344" s="657"/>
      <c r="CS344" s="657"/>
      <c r="CT344" s="291"/>
      <c r="CX344"/>
      <c r="CY344"/>
      <c r="CZ344"/>
      <c r="DA344"/>
      <c r="DB344"/>
      <c r="DC344"/>
    </row>
    <row r="345" spans="1:107" s="329" customFormat="1">
      <c r="A345" s="324" t="s">
        <v>22</v>
      </c>
      <c r="B345" s="325">
        <f t="shared" ref="B345:AU345" si="1090">B319-B344</f>
        <v>0</v>
      </c>
      <c r="C345" s="325">
        <f t="shared" si="1090"/>
        <v>0</v>
      </c>
      <c r="D345" s="325">
        <f t="shared" si="1090"/>
        <v>0</v>
      </c>
      <c r="E345" s="325">
        <f t="shared" si="1090"/>
        <v>0</v>
      </c>
      <c r="F345" s="325">
        <f t="shared" si="1090"/>
        <v>0</v>
      </c>
      <c r="G345" s="325">
        <f t="shared" si="1090"/>
        <v>0</v>
      </c>
      <c r="H345" s="324">
        <f t="shared" si="1090"/>
        <v>0</v>
      </c>
      <c r="I345" s="324">
        <f t="shared" si="1090"/>
        <v>0</v>
      </c>
      <c r="J345" s="324">
        <f t="shared" si="1090"/>
        <v>0</v>
      </c>
      <c r="K345" s="324">
        <f t="shared" si="1090"/>
        <v>0</v>
      </c>
      <c r="L345" s="325">
        <f t="shared" si="1090"/>
        <v>0</v>
      </c>
      <c r="M345" s="324">
        <f t="shared" si="1090"/>
        <v>0</v>
      </c>
      <c r="N345" s="324">
        <f t="shared" si="1090"/>
        <v>0</v>
      </c>
      <c r="O345" s="324">
        <f t="shared" si="1090"/>
        <v>0</v>
      </c>
      <c r="P345" s="324">
        <f t="shared" si="1090"/>
        <v>0</v>
      </c>
      <c r="Q345" s="325">
        <f t="shared" si="1090"/>
        <v>0</v>
      </c>
      <c r="R345" s="324">
        <f t="shared" si="1090"/>
        <v>0</v>
      </c>
      <c r="S345" s="324">
        <f t="shared" si="1090"/>
        <v>0</v>
      </c>
      <c r="T345" s="324">
        <f t="shared" si="1090"/>
        <v>0</v>
      </c>
      <c r="U345" s="324">
        <f t="shared" si="1090"/>
        <v>0</v>
      </c>
      <c r="V345" s="325">
        <f t="shared" si="1090"/>
        <v>0</v>
      </c>
      <c r="W345" s="324">
        <f t="shared" si="1090"/>
        <v>0</v>
      </c>
      <c r="X345" s="324">
        <f t="shared" si="1090"/>
        <v>0</v>
      </c>
      <c r="Y345" s="324">
        <f t="shared" si="1090"/>
        <v>0</v>
      </c>
      <c r="Z345" s="324">
        <f t="shared" si="1090"/>
        <v>0</v>
      </c>
      <c r="AA345" s="325">
        <f t="shared" si="1090"/>
        <v>0</v>
      </c>
      <c r="AB345" s="324">
        <f t="shared" si="1090"/>
        <v>0</v>
      </c>
      <c r="AC345" s="324">
        <f t="shared" si="1090"/>
        <v>0</v>
      </c>
      <c r="AD345" s="324">
        <f t="shared" si="1090"/>
        <v>0</v>
      </c>
      <c r="AE345" s="324">
        <f t="shared" si="1090"/>
        <v>0</v>
      </c>
      <c r="AF345" s="325">
        <f t="shared" si="1090"/>
        <v>0</v>
      </c>
      <c r="AG345" s="324">
        <f t="shared" si="1090"/>
        <v>0</v>
      </c>
      <c r="AH345" s="324">
        <f t="shared" si="1090"/>
        <v>0</v>
      </c>
      <c r="AI345" s="324">
        <f t="shared" si="1090"/>
        <v>0</v>
      </c>
      <c r="AJ345" s="324">
        <f t="shared" si="1090"/>
        <v>0</v>
      </c>
      <c r="AK345" s="325">
        <f t="shared" si="1090"/>
        <v>0</v>
      </c>
      <c r="AL345" s="324">
        <f t="shared" si="1090"/>
        <v>0</v>
      </c>
      <c r="AM345" s="324">
        <f t="shared" si="1090"/>
        <v>0</v>
      </c>
      <c r="AN345" s="324">
        <f t="shared" si="1090"/>
        <v>0</v>
      </c>
      <c r="AO345" s="324">
        <f t="shared" si="1090"/>
        <v>0</v>
      </c>
      <c r="AP345" s="325">
        <f t="shared" si="1090"/>
        <v>0</v>
      </c>
      <c r="AQ345" s="324">
        <f t="shared" si="1090"/>
        <v>0</v>
      </c>
      <c r="AR345" s="324">
        <f t="shared" si="1090"/>
        <v>0</v>
      </c>
      <c r="AS345" s="324">
        <f t="shared" si="1090"/>
        <v>0</v>
      </c>
      <c r="AT345" s="324">
        <f t="shared" si="1090"/>
        <v>0</v>
      </c>
      <c r="AU345" s="325">
        <f t="shared" si="1090"/>
        <v>0</v>
      </c>
      <c r="AV345" s="324"/>
      <c r="AW345" s="324"/>
      <c r="AX345" s="324"/>
      <c r="AY345" s="324"/>
      <c r="AZ345" s="325">
        <f>AZ319-AZ344</f>
        <v>0</v>
      </c>
      <c r="BA345" s="324">
        <f t="shared" ref="BA345:BO345" si="1091">BA319-BA344</f>
        <v>0</v>
      </c>
      <c r="BB345" s="324">
        <f t="shared" si="1091"/>
        <v>0</v>
      </c>
      <c r="BC345" s="324">
        <f t="shared" si="1091"/>
        <v>0</v>
      </c>
      <c r="BD345" s="324">
        <f t="shared" si="1091"/>
        <v>0</v>
      </c>
      <c r="BE345" s="325">
        <f t="shared" si="1091"/>
        <v>0</v>
      </c>
      <c r="BF345" s="326">
        <f t="shared" si="1091"/>
        <v>0</v>
      </c>
      <c r="BG345" s="324">
        <f t="shared" si="1091"/>
        <v>0</v>
      </c>
      <c r="BH345" s="324">
        <f t="shared" si="1091"/>
        <v>0</v>
      </c>
      <c r="BI345" s="327">
        <f t="shared" si="1091"/>
        <v>0</v>
      </c>
      <c r="BJ345" s="325">
        <f t="shared" si="1091"/>
        <v>0</v>
      </c>
      <c r="BK345" s="326">
        <f t="shared" si="1091"/>
        <v>0</v>
      </c>
      <c r="BL345" s="324">
        <f t="shared" si="1091"/>
        <v>0</v>
      </c>
      <c r="BM345" s="324">
        <f t="shared" si="1091"/>
        <v>0</v>
      </c>
      <c r="BN345" s="327">
        <f t="shared" si="1091"/>
        <v>0</v>
      </c>
      <c r="BO345" s="325">
        <f t="shared" si="1091"/>
        <v>0</v>
      </c>
      <c r="BP345" s="325">
        <f t="shared" ref="BP345" si="1092">BP319-BP344</f>
        <v>0</v>
      </c>
      <c r="BQ345" s="326">
        <f t="shared" ref="BQ345:BT345" si="1093">BQ319-BQ344</f>
        <v>0</v>
      </c>
      <c r="BR345" s="324">
        <f t="shared" si="1093"/>
        <v>0</v>
      </c>
      <c r="BS345" s="324">
        <f t="shared" si="1093"/>
        <v>0</v>
      </c>
      <c r="BT345" s="327">
        <f t="shared" si="1093"/>
        <v>0</v>
      </c>
      <c r="BU345" s="325">
        <f>BU319-BU344</f>
        <v>0</v>
      </c>
      <c r="BV345" s="326"/>
      <c r="BW345" s="324"/>
      <c r="BX345" s="324"/>
      <c r="BY345" s="327"/>
      <c r="BZ345" s="325">
        <f>BZ319-BZ344</f>
        <v>0</v>
      </c>
      <c r="CA345" s="326"/>
      <c r="CB345" s="324"/>
      <c r="CC345" s="324"/>
      <c r="CD345" s="327"/>
      <c r="CE345" s="325">
        <f>CE319-CE344</f>
        <v>0</v>
      </c>
      <c r="CF345" s="326"/>
      <c r="CG345" s="324"/>
      <c r="CH345" s="324"/>
      <c r="CI345" s="327"/>
      <c r="CJ345" s="325">
        <f>CJ319-CJ344</f>
        <v>0</v>
      </c>
      <c r="CK345" s="328"/>
      <c r="CL345" s="989"/>
      <c r="CM345" s="989"/>
      <c r="CN345" s="682"/>
      <c r="CO345" s="989"/>
      <c r="CP345" s="989"/>
      <c r="CQ345" s="989"/>
      <c r="CR345" s="989"/>
      <c r="CS345" s="989"/>
      <c r="CT345" s="328"/>
      <c r="CX345"/>
      <c r="CY345"/>
      <c r="CZ345"/>
      <c r="DA345"/>
      <c r="DB345"/>
      <c r="DC345"/>
    </row>
    <row r="346" spans="1:107">
      <c r="A346" s="151"/>
      <c r="B346" s="146"/>
      <c r="C346" s="146"/>
      <c r="D346" s="146"/>
      <c r="E346" s="146"/>
      <c r="F346" s="146"/>
      <c r="G346" s="146"/>
      <c r="H346" s="147"/>
      <c r="I346" s="147"/>
      <c r="J346" s="147"/>
      <c r="K346" s="147"/>
      <c r="L346" s="146"/>
      <c r="M346" s="147"/>
      <c r="N346" s="147"/>
      <c r="O346" s="147"/>
      <c r="P346" s="147"/>
      <c r="Q346" s="146"/>
      <c r="R346" s="147"/>
      <c r="S346" s="147"/>
      <c r="T346" s="147"/>
      <c r="U346" s="147"/>
      <c r="V346" s="146"/>
      <c r="W346" s="147"/>
      <c r="X346" s="147"/>
      <c r="Y346" s="147"/>
      <c r="Z346" s="147"/>
      <c r="AA346" s="146"/>
      <c r="AB346" s="147"/>
      <c r="AC346" s="147"/>
      <c r="AD346" s="147"/>
      <c r="AE346" s="147"/>
      <c r="AF346" s="146"/>
      <c r="AG346" s="147"/>
      <c r="AH346" s="147"/>
      <c r="AI346" s="147"/>
      <c r="AJ346" s="147"/>
      <c r="AK346" s="146"/>
      <c r="AL346" s="148"/>
      <c r="AM346" s="148"/>
      <c r="AN346" s="148"/>
      <c r="AO346" s="148"/>
      <c r="AP346" s="146"/>
      <c r="AQ346" s="148"/>
      <c r="AR346" s="148"/>
      <c r="AS346" s="148"/>
      <c r="AT346" s="148"/>
      <c r="AU346" s="544"/>
      <c r="AV346" s="148"/>
      <c r="AW346" s="148"/>
      <c r="AX346" s="148"/>
      <c r="AY346" s="148"/>
      <c r="AZ346" s="544"/>
      <c r="BA346" s="149"/>
      <c r="BB346" s="147"/>
      <c r="BC346" s="147"/>
      <c r="BD346" s="150"/>
      <c r="BE346" s="146"/>
      <c r="BF346" s="149"/>
      <c r="BG346" s="147"/>
      <c r="BH346" s="147"/>
      <c r="BI346" s="150"/>
      <c r="BJ346" s="146"/>
      <c r="BK346" s="149"/>
      <c r="BL346" s="147"/>
      <c r="BM346" s="147"/>
      <c r="BN346" s="150"/>
      <c r="BO346" s="146"/>
      <c r="BP346" s="146"/>
      <c r="BQ346" s="149"/>
      <c r="BR346" s="147"/>
      <c r="BS346" s="147"/>
      <c r="BT346" s="150"/>
      <c r="BU346" s="146"/>
      <c r="BV346" s="149"/>
      <c r="BW346" s="147"/>
      <c r="BX346" s="147"/>
      <c r="BY346" s="150"/>
      <c r="BZ346" s="146"/>
      <c r="CA346" s="149"/>
      <c r="CB346" s="147"/>
      <c r="CC346" s="147"/>
      <c r="CD346" s="150"/>
      <c r="CE346" s="146"/>
      <c r="CF346" s="149"/>
      <c r="CG346" s="147"/>
      <c r="CH346" s="147"/>
      <c r="CI346" s="150"/>
      <c r="CJ346" s="146"/>
      <c r="CK346" s="289"/>
      <c r="CL346" s="658"/>
      <c r="CM346" s="658"/>
      <c r="CN346" s="682"/>
      <c r="CO346" s="658"/>
      <c r="CP346" s="658"/>
      <c r="CQ346" s="658"/>
      <c r="CR346" s="658"/>
      <c r="CS346" s="658"/>
      <c r="CT346" s="289"/>
    </row>
    <row r="347" spans="1:107" s="306" customFormat="1" ht="12" customHeight="1">
      <c r="A347" s="120"/>
      <c r="B347" s="155"/>
      <c r="C347" s="155"/>
      <c r="D347" s="155"/>
      <c r="E347" s="155"/>
      <c r="F347" s="155"/>
      <c r="G347" s="155"/>
      <c r="H347" s="61"/>
      <c r="I347" s="61"/>
      <c r="J347" s="61"/>
      <c r="K347" s="119"/>
      <c r="L347" s="155"/>
      <c r="M347" s="61"/>
      <c r="N347" s="61"/>
      <c r="O347" s="61"/>
      <c r="P347" s="119"/>
      <c r="Q347" s="155"/>
      <c r="R347" s="61"/>
      <c r="S347" s="61"/>
      <c r="T347" s="61"/>
      <c r="U347" s="119"/>
      <c r="V347" s="155"/>
      <c r="W347" s="61"/>
      <c r="X347" s="61"/>
      <c r="Y347" s="61"/>
      <c r="Z347" s="119"/>
      <c r="AA347" s="155"/>
      <c r="AB347" s="61"/>
      <c r="AC347" s="61"/>
      <c r="AD347" s="61"/>
      <c r="AE347" s="119"/>
      <c r="AF347" s="155"/>
      <c r="AG347" s="61"/>
      <c r="AH347" s="61"/>
      <c r="AI347" s="61"/>
      <c r="AJ347" s="119"/>
      <c r="AK347" s="155"/>
      <c r="AL347" s="61"/>
      <c r="AM347" s="61"/>
      <c r="AN347" s="61"/>
      <c r="AO347" s="119"/>
      <c r="AP347" s="155"/>
      <c r="AQ347" s="61"/>
      <c r="AR347" s="61"/>
      <c r="AS347" s="61"/>
      <c r="AT347" s="119"/>
      <c r="AU347" s="155"/>
      <c r="AV347" s="61"/>
      <c r="AW347" s="61"/>
      <c r="AX347" s="61"/>
      <c r="AY347" s="119"/>
      <c r="AZ347" s="155"/>
      <c r="BA347" s="156"/>
      <c r="BB347" s="119"/>
      <c r="BC347" s="119"/>
      <c r="BD347" s="157"/>
      <c r="BE347" s="155"/>
      <c r="BF347" s="156"/>
      <c r="BG347" s="119"/>
      <c r="BH347" s="119"/>
      <c r="BI347" s="157"/>
      <c r="BJ347" s="155"/>
      <c r="BK347" s="156"/>
      <c r="BL347" s="119"/>
      <c r="BM347" s="119"/>
      <c r="BN347" s="157"/>
      <c r="BO347" s="155"/>
      <c r="BP347" s="155"/>
      <c r="BQ347" s="156"/>
      <c r="BR347" s="119"/>
      <c r="BS347" s="119"/>
      <c r="BT347" s="157"/>
      <c r="BU347" s="155"/>
      <c r="BV347" s="156"/>
      <c r="BW347" s="119"/>
      <c r="BX347" s="119"/>
      <c r="BY347" s="157"/>
      <c r="BZ347" s="155"/>
      <c r="CA347" s="156"/>
      <c r="CB347" s="119"/>
      <c r="CC347" s="119"/>
      <c r="CD347" s="157"/>
      <c r="CE347" s="155"/>
      <c r="CF347" s="156"/>
      <c r="CG347" s="119"/>
      <c r="CH347" s="119"/>
      <c r="CI347" s="157"/>
      <c r="CJ347" s="155"/>
      <c r="CK347" s="66"/>
      <c r="CL347" s="658"/>
      <c r="CM347" s="658"/>
      <c r="CN347" s="682"/>
      <c r="CO347" s="658"/>
      <c r="CP347" s="658"/>
      <c r="CQ347" s="658"/>
      <c r="CR347" s="658"/>
      <c r="CS347" s="658"/>
      <c r="CT347" s="66"/>
      <c r="CX347"/>
      <c r="CY347"/>
      <c r="CZ347"/>
      <c r="DA347"/>
      <c r="DB347"/>
      <c r="DC347"/>
    </row>
    <row r="348" spans="1:107" s="371" customFormat="1" ht="12" customHeight="1" outlineLevel="1">
      <c r="A348" s="365" t="s">
        <v>207</v>
      </c>
      <c r="B348" s="366"/>
      <c r="C348" s="366"/>
      <c r="D348" s="366"/>
      <c r="E348" s="366"/>
      <c r="F348" s="366"/>
      <c r="G348" s="366"/>
      <c r="H348" s="367"/>
      <c r="I348" s="367"/>
      <c r="J348" s="367"/>
      <c r="K348" s="368"/>
      <c r="L348" s="366"/>
      <c r="M348" s="367"/>
      <c r="N348" s="367"/>
      <c r="O348" s="367"/>
      <c r="P348" s="368"/>
      <c r="Q348" s="366"/>
      <c r="R348" s="367"/>
      <c r="S348" s="367"/>
      <c r="T348" s="367"/>
      <c r="U348" s="368"/>
      <c r="V348" s="366"/>
      <c r="W348" s="367"/>
      <c r="X348" s="367"/>
      <c r="Y348" s="367"/>
      <c r="Z348" s="368"/>
      <c r="AA348" s="366"/>
      <c r="AB348" s="367"/>
      <c r="AC348" s="367"/>
      <c r="AD348" s="367"/>
      <c r="AE348" s="368"/>
      <c r="AF348" s="366"/>
      <c r="AG348" s="367"/>
      <c r="AH348" s="367"/>
      <c r="AI348" s="367"/>
      <c r="AJ348" s="368"/>
      <c r="AK348" s="366"/>
      <c r="AL348" s="367"/>
      <c r="AM348" s="367"/>
      <c r="AN348" s="367"/>
      <c r="AO348" s="368"/>
      <c r="AP348" s="366"/>
      <c r="AQ348" s="367"/>
      <c r="AR348" s="367"/>
      <c r="AS348" s="367"/>
      <c r="AT348" s="368"/>
      <c r="AU348" s="366"/>
      <c r="AV348" s="367"/>
      <c r="AW348" s="367"/>
      <c r="AX348" s="367"/>
      <c r="AY348" s="368"/>
      <c r="AZ348" s="366"/>
      <c r="BA348" s="369"/>
      <c r="BB348" s="368"/>
      <c r="BC348" s="368"/>
      <c r="BD348" s="370"/>
      <c r="BE348" s="366"/>
      <c r="BF348" s="369"/>
      <c r="BG348" s="368"/>
      <c r="BH348" s="368"/>
      <c r="BI348" s="370"/>
      <c r="BJ348" s="366"/>
      <c r="BK348" s="369"/>
      <c r="BL348" s="368"/>
      <c r="BM348" s="368"/>
      <c r="BN348" s="370"/>
      <c r="BO348" s="366"/>
      <c r="BP348" s="366"/>
      <c r="BQ348" s="369"/>
      <c r="BR348" s="368"/>
      <c r="BS348" s="368"/>
      <c r="BT348" s="370"/>
      <c r="BU348" s="366"/>
      <c r="BV348" s="369"/>
      <c r="BW348" s="368"/>
      <c r="BX348" s="368"/>
      <c r="BY348" s="370"/>
      <c r="BZ348" s="366"/>
      <c r="CA348" s="369"/>
      <c r="CB348" s="368"/>
      <c r="CC348" s="368"/>
      <c r="CD348" s="370"/>
      <c r="CE348" s="366"/>
      <c r="CF348" s="369"/>
      <c r="CG348" s="368"/>
      <c r="CH348" s="368"/>
      <c r="CI348" s="370"/>
      <c r="CJ348" s="366"/>
      <c r="CK348" s="66"/>
      <c r="CL348" s="658"/>
      <c r="CM348" s="658"/>
      <c r="CN348" s="682"/>
      <c r="CO348" s="658"/>
      <c r="CP348" s="658"/>
      <c r="CQ348" s="658"/>
      <c r="CR348" s="658"/>
      <c r="CS348" s="658"/>
      <c r="CT348" s="66"/>
      <c r="CX348"/>
      <c r="CY348"/>
      <c r="CZ348"/>
      <c r="DA348"/>
      <c r="DB348"/>
      <c r="DC348"/>
    </row>
    <row r="349" spans="1:107" outlineLevel="1">
      <c r="A349" s="6" t="s">
        <v>43</v>
      </c>
      <c r="B349" s="80">
        <f t="shared" ref="B349:AU349" si="1094">(B77-B199)</f>
        <v>15251</v>
      </c>
      <c r="C349" s="80">
        <f t="shared" si="1094"/>
        <v>14977</v>
      </c>
      <c r="D349" s="80">
        <f t="shared" si="1094"/>
        <v>16793</v>
      </c>
      <c r="E349" s="80">
        <f t="shared" si="1094"/>
        <v>16524</v>
      </c>
      <c r="F349" s="80">
        <f t="shared" si="1094"/>
        <v>16872</v>
      </c>
      <c r="G349" s="80">
        <f t="shared" si="1094"/>
        <v>17763</v>
      </c>
      <c r="H349" s="7">
        <f t="shared" si="1094"/>
        <v>4283</v>
      </c>
      <c r="I349" s="7">
        <f t="shared" si="1094"/>
        <v>4689</v>
      </c>
      <c r="J349" s="7">
        <f t="shared" si="1094"/>
        <v>4647</v>
      </c>
      <c r="K349" s="35">
        <f t="shared" si="1094"/>
        <v>5354</v>
      </c>
      <c r="L349" s="80">
        <f t="shared" si="1094"/>
        <v>18947</v>
      </c>
      <c r="M349" s="7">
        <f t="shared" si="1094"/>
        <v>4745</v>
      </c>
      <c r="N349" s="7">
        <f t="shared" si="1094"/>
        <v>5202</v>
      </c>
      <c r="O349" s="7">
        <f t="shared" si="1094"/>
        <v>5174</v>
      </c>
      <c r="P349" s="35">
        <f t="shared" si="1094"/>
        <v>5433</v>
      </c>
      <c r="Q349" s="80">
        <f t="shared" si="1094"/>
        <v>20554</v>
      </c>
      <c r="R349" s="7">
        <f t="shared" si="1094"/>
        <v>5172</v>
      </c>
      <c r="S349" s="7">
        <f t="shared" si="1094"/>
        <v>5360</v>
      </c>
      <c r="T349" s="7">
        <f t="shared" si="1094"/>
        <v>5440</v>
      </c>
      <c r="U349" s="35">
        <f t="shared" si="1094"/>
        <v>5867</v>
      </c>
      <c r="V349" s="80">
        <f t="shared" si="1094"/>
        <v>21839</v>
      </c>
      <c r="W349" s="7">
        <f t="shared" si="1094"/>
        <v>5344</v>
      </c>
      <c r="X349" s="7">
        <f t="shared" si="1094"/>
        <v>5628</v>
      </c>
      <c r="Y349" s="7">
        <f t="shared" si="1094"/>
        <v>5523</v>
      </c>
      <c r="Z349" s="35">
        <f t="shared" si="1094"/>
        <v>6081</v>
      </c>
      <c r="AA349" s="80">
        <f t="shared" si="1094"/>
        <v>22576</v>
      </c>
      <c r="AB349" s="7">
        <f t="shared" si="1094"/>
        <v>5463</v>
      </c>
      <c r="AC349" s="7">
        <f t="shared" si="1094"/>
        <v>5531</v>
      </c>
      <c r="AD349" s="7">
        <f t="shared" si="1094"/>
        <v>5394</v>
      </c>
      <c r="AE349" s="35">
        <f t="shared" si="1094"/>
        <v>5573</v>
      </c>
      <c r="AF349" s="80">
        <f t="shared" si="1094"/>
        <v>21961</v>
      </c>
      <c r="AG349" s="7">
        <f t="shared" si="1094"/>
        <v>5232</v>
      </c>
      <c r="AH349" s="7">
        <f t="shared" si="1094"/>
        <v>5250</v>
      </c>
      <c r="AI349" s="7">
        <f t="shared" si="1094"/>
        <v>5259</v>
      </c>
      <c r="AJ349" s="35">
        <f t="shared" si="1094"/>
        <v>5684</v>
      </c>
      <c r="AK349" s="80">
        <f t="shared" si="1094"/>
        <v>21425</v>
      </c>
      <c r="AL349" s="7">
        <f t="shared" si="1094"/>
        <v>5173</v>
      </c>
      <c r="AM349" s="7">
        <f t="shared" si="1094"/>
        <v>5349</v>
      </c>
      <c r="AN349" s="7">
        <f t="shared" si="1094"/>
        <v>5085</v>
      </c>
      <c r="AO349" s="35">
        <f t="shared" si="1094"/>
        <v>5161</v>
      </c>
      <c r="AP349" s="80">
        <f t="shared" si="1094"/>
        <v>20663</v>
      </c>
      <c r="AQ349" s="7">
        <f t="shared" si="1094"/>
        <v>4720.6000000000004</v>
      </c>
      <c r="AR349" s="7">
        <f t="shared" si="1094"/>
        <v>4943</v>
      </c>
      <c r="AS349" s="7">
        <f t="shared" si="1094"/>
        <v>4714</v>
      </c>
      <c r="AT349" s="35">
        <f t="shared" si="1094"/>
        <v>5274</v>
      </c>
      <c r="AU349" s="80">
        <f t="shared" si="1094"/>
        <v>19651.599999999999</v>
      </c>
      <c r="AV349" s="7"/>
      <c r="AW349" s="7"/>
      <c r="AX349" s="7"/>
      <c r="AY349" s="35"/>
      <c r="AZ349" s="80">
        <f t="shared" ref="AZ349:BI349" si="1095">(AZ77-AZ199)</f>
        <v>19647</v>
      </c>
      <c r="BA349" s="7">
        <f t="shared" si="1095"/>
        <v>4448</v>
      </c>
      <c r="BB349" s="7">
        <f t="shared" si="1095"/>
        <v>5200</v>
      </c>
      <c r="BC349" s="7">
        <f t="shared" si="1095"/>
        <v>5086</v>
      </c>
      <c r="BD349" s="35">
        <f t="shared" si="1095"/>
        <v>5503</v>
      </c>
      <c r="BE349" s="80">
        <f t="shared" si="1095"/>
        <v>20237</v>
      </c>
      <c r="BF349" s="91">
        <f t="shared" si="1095"/>
        <v>5189</v>
      </c>
      <c r="BG349" s="35">
        <f t="shared" si="1095"/>
        <v>5075</v>
      </c>
      <c r="BH349" s="35">
        <f t="shared" si="1095"/>
        <v>5227</v>
      </c>
      <c r="BI349" s="37">
        <f t="shared" si="1095"/>
        <v>5341</v>
      </c>
      <c r="BJ349" s="80">
        <f>(BJ77-BJ199)</f>
        <v>20832</v>
      </c>
      <c r="BK349" s="91">
        <f t="shared" ref="BK349:BN349" si="1096">(BK77-BK199)</f>
        <v>5259</v>
      </c>
      <c r="BL349" s="35">
        <f t="shared" si="1096"/>
        <v>5432</v>
      </c>
      <c r="BM349" s="35">
        <f t="shared" si="1096"/>
        <v>5426</v>
      </c>
      <c r="BN349" s="37">
        <f t="shared" si="1096"/>
        <v>5913</v>
      </c>
      <c r="BO349" s="80">
        <f>(BO77-BO199)</f>
        <v>22030</v>
      </c>
      <c r="BP349" s="80">
        <f>(BP77-BP199)</f>
        <v>21117</v>
      </c>
      <c r="BQ349" s="91">
        <f t="shared" ref="BQ349:BT349" si="1097">(BQ77-BQ199)</f>
        <v>5229.744279999999</v>
      </c>
      <c r="BR349" s="35">
        <f t="shared" si="1097"/>
        <v>5528.5211200000003</v>
      </c>
      <c r="BS349" s="35">
        <f t="shared" si="1097"/>
        <v>5519.6135450000002</v>
      </c>
      <c r="BT349" s="37">
        <f t="shared" si="1097"/>
        <v>5974.5583150000002</v>
      </c>
      <c r="BU349" s="80">
        <f>(BU77-BU199)</f>
        <v>22252.437260000002</v>
      </c>
      <c r="BV349" s="91"/>
      <c r="BW349" s="35"/>
      <c r="BX349" s="35"/>
      <c r="BY349" s="37"/>
      <c r="BZ349" s="80">
        <f>(BZ77-BZ199)</f>
        <v>23430.779633898521</v>
      </c>
      <c r="CA349" s="91"/>
      <c r="CB349" s="35"/>
      <c r="CC349" s="35"/>
      <c r="CD349" s="37"/>
      <c r="CE349" s="80">
        <f>(CE77-CE199)</f>
        <v>24787.5361719094</v>
      </c>
      <c r="CF349" s="91"/>
      <c r="CG349" s="35"/>
      <c r="CH349" s="35"/>
      <c r="CI349" s="37"/>
      <c r="CJ349" s="80">
        <f>(CJ77-CJ199)</f>
        <v>26243.074503702483</v>
      </c>
      <c r="CK349" s="289"/>
      <c r="CL349" s="658"/>
      <c r="CM349" s="658"/>
      <c r="CN349" s="682"/>
      <c r="CO349" s="658"/>
      <c r="CP349" s="658"/>
      <c r="CQ349" s="658"/>
      <c r="CR349" s="658"/>
      <c r="CS349" s="658"/>
      <c r="CT349" s="289"/>
      <c r="CV349" s="945"/>
      <c r="CW349" s="945"/>
    </row>
    <row r="350" spans="1:107" ht="12" customHeight="1" outlineLevel="1">
      <c r="A350" s="6" t="s">
        <v>25</v>
      </c>
      <c r="B350" s="79"/>
      <c r="C350" s="79">
        <f t="shared" ref="C350:K350" si="1098">(C341-B341)-C241-C352</f>
        <v>-1398</v>
      </c>
      <c r="D350" s="79">
        <f t="shared" si="1098"/>
        <v>-171</v>
      </c>
      <c r="E350" s="79">
        <f t="shared" si="1098"/>
        <v>36</v>
      </c>
      <c r="F350" s="79">
        <f t="shared" si="1098"/>
        <v>-34</v>
      </c>
      <c r="G350" s="79">
        <f t="shared" si="1098"/>
        <v>87</v>
      </c>
      <c r="H350" s="20">
        <f t="shared" si="1098"/>
        <v>3</v>
      </c>
      <c r="I350" s="20">
        <f t="shared" si="1098"/>
        <v>982</v>
      </c>
      <c r="J350" s="20">
        <f t="shared" si="1098"/>
        <v>-79</v>
      </c>
      <c r="K350" s="38">
        <f t="shared" si="1098"/>
        <v>-36</v>
      </c>
      <c r="L350" s="79">
        <f>(L341-G341)-L241-L352</f>
        <v>870</v>
      </c>
      <c r="M350" s="20">
        <f>(M341-K341)-M241-M352</f>
        <v>-27</v>
      </c>
      <c r="N350" s="20">
        <f>(N341-M341)-N241-N352</f>
        <v>1</v>
      </c>
      <c r="O350" s="20">
        <f>(O341-N341)-O241-O352</f>
        <v>1</v>
      </c>
      <c r="P350" s="38">
        <f>(P341-O341)-P241-P352</f>
        <v>5</v>
      </c>
      <c r="Q350" s="79">
        <f>(Q341-L341)-Q241-Q352</f>
        <v>-20.004899999999907</v>
      </c>
      <c r="R350" s="20">
        <f>(R341-P341)-R241-R352</f>
        <v>-7</v>
      </c>
      <c r="S350" s="20">
        <f>(S341-R341)-S241-S352</f>
        <v>-2</v>
      </c>
      <c r="T350" s="20">
        <f>(T341-S341)-T241-T352</f>
        <v>0</v>
      </c>
      <c r="U350" s="38">
        <f>(U341-T341)-U241-U352</f>
        <v>-8</v>
      </c>
      <c r="V350" s="79">
        <f>(V341-Q341)-V241-V352</f>
        <v>-17</v>
      </c>
      <c r="W350" s="20">
        <f>(W341-U341)-W241-W352</f>
        <v>-32</v>
      </c>
      <c r="X350" s="20">
        <f>(X341-W341)-X241-X352</f>
        <v>-2</v>
      </c>
      <c r="Y350" s="20">
        <f>(Y341-X341)-Y241-Y352</f>
        <v>93</v>
      </c>
      <c r="Z350" s="38">
        <f>(Z341-Y341)-Z241-Z352</f>
        <v>-39</v>
      </c>
      <c r="AA350" s="79">
        <f>(AA341-V341)-AA241-AA352</f>
        <v>20</v>
      </c>
      <c r="AB350" s="20">
        <f>(AB341-Z341)-AB241-AB352</f>
        <v>-16</v>
      </c>
      <c r="AC350" s="20">
        <f>(AC341-AB341)-AC241-AC352</f>
        <v>9</v>
      </c>
      <c r="AD350" s="20">
        <f>(AD341-AC341)-AD241-AD352</f>
        <v>6</v>
      </c>
      <c r="AE350" s="38">
        <f>(AE341-AD341)-AE241-AE352</f>
        <v>7</v>
      </c>
      <c r="AF350" s="79">
        <f>(AF341-AA341)-AF241-AF352</f>
        <v>6</v>
      </c>
      <c r="AG350" s="20">
        <f>(AG341-AE341)-AG241-AG352</f>
        <v>-22</v>
      </c>
      <c r="AH350" s="20">
        <f>(AH341-AG341)-AH241-AH352</f>
        <v>-1</v>
      </c>
      <c r="AI350" s="20">
        <f>(AI341-AH341)-AI241-AI352</f>
        <v>-0.5</v>
      </c>
      <c r="AJ350" s="38">
        <f>(AJ341-AI341)-AJ241-AJ352</f>
        <v>4</v>
      </c>
      <c r="AK350" s="79">
        <f>(AK341-AF341)-AK241-AK352</f>
        <v>-19.5</v>
      </c>
      <c r="AL350" s="20">
        <f>(AL341-AJ341)-AL241-AL352</f>
        <v>-16</v>
      </c>
      <c r="AM350" s="20">
        <f>(AM341-AL341)-AM241-AM352</f>
        <v>1</v>
      </c>
      <c r="AN350" s="20">
        <f>(AN341-AM341)-AN241-AN352</f>
        <v>4</v>
      </c>
      <c r="AO350" s="38">
        <f>(AO341-AN341)-AO241-AO352</f>
        <v>63</v>
      </c>
      <c r="AP350" s="79">
        <f>(AP341-AK341)-AP241-AP352</f>
        <v>-140</v>
      </c>
      <c r="AQ350" s="20">
        <f>(AQ341-AO341)-AQ241-AQ352</f>
        <v>-5.8899999999999864</v>
      </c>
      <c r="AR350" s="20">
        <f>(AR341-AQ341)-AR241-AR352</f>
        <v>54</v>
      </c>
      <c r="AS350" s="20">
        <f>(AS341-AR341)-AS241-AS352</f>
        <v>4</v>
      </c>
      <c r="AT350" s="38">
        <f>(AT341-AS341)-AT241-AT352</f>
        <v>6</v>
      </c>
      <c r="AU350" s="79">
        <f>(AU341-AP341)-AU241-AU352</f>
        <v>58.110000000000127</v>
      </c>
      <c r="AV350" s="20"/>
      <c r="AW350" s="20"/>
      <c r="AX350" s="20"/>
      <c r="AY350" s="38"/>
      <c r="AZ350" s="79">
        <f>(AZ341-AU341)-AZ241-AZ352</f>
        <v>-1444</v>
      </c>
      <c r="BA350" s="20">
        <f>(BA341-AT341)-BA241-BA352</f>
        <v>-19</v>
      </c>
      <c r="BB350" s="20">
        <f>(BB341-BA341)-BB241-BB352</f>
        <v>-2</v>
      </c>
      <c r="BC350" s="20">
        <f>(BC341-BB341)-BC241-BC352</f>
        <v>-6</v>
      </c>
      <c r="BD350" s="38">
        <f>(BD341-BC341)-BD241-BD352</f>
        <v>-2</v>
      </c>
      <c r="BE350" s="80">
        <f>(BE341-AZ341)-BE241-BE352</f>
        <v>-29</v>
      </c>
      <c r="BF350" s="43"/>
      <c r="BG350" s="38"/>
      <c r="BH350" s="38"/>
      <c r="BI350" s="39"/>
      <c r="BJ350" s="79">
        <f>(BJ341-BE341)-BJ241-BJ352</f>
        <v>-696</v>
      </c>
      <c r="BK350" s="43"/>
      <c r="BL350" s="38"/>
      <c r="BM350" s="38"/>
      <c r="BN350" s="39"/>
      <c r="BO350" s="79">
        <f>(BO341-BJ341)-BO241-BO352</f>
        <v>-978</v>
      </c>
      <c r="BP350" s="79">
        <f>(BP341-BJ341)-BP241-BP352</f>
        <v>-978</v>
      </c>
      <c r="BQ350" s="43"/>
      <c r="BR350" s="38"/>
      <c r="BS350" s="38"/>
      <c r="BT350" s="39"/>
      <c r="BU350" s="79">
        <f>(BU341-BO341)-BU241-BU352</f>
        <v>-20.000000000001819</v>
      </c>
      <c r="BV350" s="43"/>
      <c r="BW350" s="38"/>
      <c r="BX350" s="38"/>
      <c r="BY350" s="39"/>
      <c r="BZ350" s="79">
        <f>(BZ341-BU341)-BZ241-BZ352</f>
        <v>-20.000000000002728</v>
      </c>
      <c r="CA350" s="43"/>
      <c r="CB350" s="38"/>
      <c r="CC350" s="38"/>
      <c r="CD350" s="39"/>
      <c r="CE350" s="79">
        <f>(CE341-BZ341)-CE241-CE352</f>
        <v>-20.000000000001592</v>
      </c>
      <c r="CF350" s="43"/>
      <c r="CG350" s="38"/>
      <c r="CH350" s="38"/>
      <c r="CI350" s="39"/>
      <c r="CJ350" s="79">
        <f>(CJ341-CE341)-CJ241-CJ352</f>
        <v>-19.999999999999318</v>
      </c>
      <c r="CK350" s="289"/>
      <c r="CL350" s="658"/>
      <c r="CM350" s="658"/>
      <c r="CN350" s="682"/>
      <c r="CO350" s="658"/>
      <c r="CP350" s="658"/>
      <c r="CQ350" s="658"/>
      <c r="CR350" s="658"/>
      <c r="CS350" s="658"/>
      <c r="CT350" s="289"/>
      <c r="CV350" s="945"/>
      <c r="CW350" s="945"/>
    </row>
    <row r="351" spans="1:107" outlineLevel="1">
      <c r="A351" s="6" t="s">
        <v>25</v>
      </c>
      <c r="B351" s="77"/>
      <c r="C351" s="77">
        <f t="shared" ref="C351:K351" si="1099">C337-B337+C340-B340+C338-B338</f>
        <v>420</v>
      </c>
      <c r="D351" s="77">
        <f t="shared" si="1099"/>
        <v>286</v>
      </c>
      <c r="E351" s="77">
        <f t="shared" si="1099"/>
        <v>1100</v>
      </c>
      <c r="F351" s="77">
        <f t="shared" si="1099"/>
        <v>-259</v>
      </c>
      <c r="G351" s="77">
        <f t="shared" si="1099"/>
        <v>13</v>
      </c>
      <c r="H351" s="26">
        <f t="shared" si="1099"/>
        <v>-174</v>
      </c>
      <c r="I351" s="26">
        <f t="shared" si="1099"/>
        <v>-428</v>
      </c>
      <c r="J351" s="26">
        <f t="shared" si="1099"/>
        <v>-382</v>
      </c>
      <c r="K351" s="31">
        <f t="shared" si="1099"/>
        <v>-256</v>
      </c>
      <c r="L351" s="77">
        <f>L337-G337+L340-G340+L338-G338</f>
        <v>-1240</v>
      </c>
      <c r="M351" s="26">
        <f>M337-K337+M340-K340+M338-K338</f>
        <v>-227</v>
      </c>
      <c r="N351" s="26">
        <f>N337-M337+N340-M340+N338-M338</f>
        <v>-252</v>
      </c>
      <c r="O351" s="26">
        <f>O337-N337+O340-N340+O338-N338</f>
        <v>-296</v>
      </c>
      <c r="P351" s="31">
        <f>P337-O337+P340-O340+P338-O338</f>
        <v>-648</v>
      </c>
      <c r="Q351" s="77">
        <f>Q337-L337+Q340-L340+Q338-L338</f>
        <v>-1423</v>
      </c>
      <c r="R351" s="26">
        <f>R337-P337+R340-P340+R338-P338</f>
        <v>-276</v>
      </c>
      <c r="S351" s="26">
        <f>S337-R337+S340-R340+S338-R338</f>
        <v>-288</v>
      </c>
      <c r="T351" s="26">
        <f>T337-S337+T340-S340+T338-S338</f>
        <v>-271</v>
      </c>
      <c r="U351" s="31">
        <f>U337-T337+U340-T340+U338-T338</f>
        <v>-239</v>
      </c>
      <c r="V351" s="77">
        <f>V337-Q337+V340-Q340+V338-Q338</f>
        <v>-1074</v>
      </c>
      <c r="W351" s="26">
        <f>W337-U337+W340-U340+W338-U338</f>
        <v>-71</v>
      </c>
      <c r="X351" s="26">
        <f>X337-W337+X340-W340+X338-W338</f>
        <v>-364</v>
      </c>
      <c r="Y351" s="26">
        <f>Y337-X337+Y340-X340+Y338-X338</f>
        <v>-399</v>
      </c>
      <c r="Z351" s="31">
        <f>Z337-Y337+Z340-Y340+Z338-Y338</f>
        <v>-205</v>
      </c>
      <c r="AA351" s="77">
        <f>AA337-V337+AA340-V340+AA338-V338</f>
        <v>-1039</v>
      </c>
      <c r="AB351" s="26">
        <f>AB337-Z337+AB340-Z340+AB338-Z338</f>
        <v>-253</v>
      </c>
      <c r="AC351" s="26">
        <f>AC337-AB337+AC340-AB340+AC338-AB338</f>
        <v>-165</v>
      </c>
      <c r="AD351" s="26">
        <f>AD337-AC337+AD340-AC340+AD338-AC338</f>
        <v>-287</v>
      </c>
      <c r="AE351" s="31">
        <f>AE337-AD337+AE340-AD340+AE338-AD338</f>
        <v>-279</v>
      </c>
      <c r="AF351" s="77">
        <f>AF337-AA337+AF340-AA340+AF338-AA338</f>
        <v>-984</v>
      </c>
      <c r="AG351" s="26">
        <f>AG337-AE337+AG340-AE340+AG338-AE338</f>
        <v>-311</v>
      </c>
      <c r="AH351" s="26">
        <f>AH337-AG337+AH340-AG340+AH338-AG338</f>
        <v>-128</v>
      </c>
      <c r="AI351" s="26">
        <f>AI337-AH337+AI340-AH340+AI338-AH338</f>
        <v>-97</v>
      </c>
      <c r="AJ351" s="31">
        <f>AJ337-AI337+AJ340-AI340+AJ338-AI338</f>
        <v>-59</v>
      </c>
      <c r="AK351" s="77">
        <f>AK337-AF337+AK340-AF340+AK338-AF338</f>
        <v>-595</v>
      </c>
      <c r="AL351" s="26">
        <f>AL337-AJ337+AL340-AJ340+AL338-AJ338</f>
        <v>-188</v>
      </c>
      <c r="AM351" s="26">
        <f>AM337-AL337+AM340-AL340+AM338-AL338</f>
        <v>-214</v>
      </c>
      <c r="AN351" s="26">
        <f>AN337-AM337+AN340-AM340+AN338-AM338</f>
        <v>-191</v>
      </c>
      <c r="AO351" s="31">
        <f>AO337-AN337+AO340-AN340+AO338-AN338</f>
        <v>-363</v>
      </c>
      <c r="AP351" s="77">
        <f>AP337-AK337+AP340-AK340+AP338-AK338</f>
        <v>-956</v>
      </c>
      <c r="AQ351" s="26">
        <f>AQ337-AO337+AQ340-AO340+AQ338-AO338</f>
        <v>-177</v>
      </c>
      <c r="AR351" s="26">
        <f>AR337-AQ337+AR340-AQ340+AR338-AQ338</f>
        <v>-229</v>
      </c>
      <c r="AS351" s="26">
        <f>AS337-AR337+AS340-AR340+AS338-AR338</f>
        <v>-163</v>
      </c>
      <c r="AT351" s="31">
        <f>AT337-AS337+AT340-AS340+AT338-AS338</f>
        <v>-94</v>
      </c>
      <c r="AU351" s="77">
        <f>AU337-AP337+AU340-AP340+AU338-AP338</f>
        <v>-663</v>
      </c>
      <c r="AV351" s="26"/>
      <c r="AW351" s="26"/>
      <c r="AX351" s="26"/>
      <c r="AY351" s="31"/>
      <c r="AZ351" s="77">
        <f>AZ337-AU337+AZ340-AU340+AZ338-AU338</f>
        <v>0</v>
      </c>
      <c r="BA351" s="26">
        <f>BA337-AT337+BA340-AT340+BA338-AT338</f>
        <v>-269</v>
      </c>
      <c r="BB351" s="26">
        <f>BB337-BA337+BB340-BA340+BB338-BA338</f>
        <v>-206</v>
      </c>
      <c r="BC351" s="26">
        <f>BC337-BB337+BC340-BB340+BC338-BB338</f>
        <v>-217</v>
      </c>
      <c r="BD351" s="31">
        <f>BD337-BC337+BD340-BC340+BD338-BC338</f>
        <v>-219</v>
      </c>
      <c r="BE351" s="77">
        <f>BE337-AZ337+BE340-AZ340+BE338-AZ338</f>
        <v>-911</v>
      </c>
      <c r="BF351" s="32"/>
      <c r="BG351" s="31"/>
      <c r="BH351" s="31"/>
      <c r="BI351" s="33"/>
      <c r="BJ351" s="77">
        <f>BJ337-BE337+BJ340-BE340+BJ338-BE338</f>
        <v>-398</v>
      </c>
      <c r="BK351" s="32"/>
      <c r="BL351" s="31"/>
      <c r="BM351" s="31"/>
      <c r="BN351" s="33"/>
      <c r="BO351" s="77">
        <f>BO337-BJ337+BO340-BJ340+BO338-BJ338</f>
        <v>0</v>
      </c>
      <c r="BP351" s="77">
        <f>BP337-BJ337+BP340-BJ340+BP338-BJ338</f>
        <v>0</v>
      </c>
      <c r="BQ351" s="32"/>
      <c r="BR351" s="31"/>
      <c r="BS351" s="31"/>
      <c r="BT351" s="33"/>
      <c r="BU351" s="77">
        <f>BU337-BO337+BU340-BO340+BU338-BO338</f>
        <v>-1258.3756367452613</v>
      </c>
      <c r="BV351" s="32"/>
      <c r="BW351" s="31"/>
      <c r="BX351" s="31"/>
      <c r="BY351" s="33"/>
      <c r="BZ351" s="77">
        <f>BZ337-BU337+BZ340-BU340+BZ338-BU338</f>
        <v>-2011.1072759923916</v>
      </c>
      <c r="CA351" s="32"/>
      <c r="CB351" s="31"/>
      <c r="CC351" s="31"/>
      <c r="CD351" s="33"/>
      <c r="CE351" s="77">
        <f>CE337-BZ337+CE340-BZ340+CE338-BZ338</f>
        <v>-2211.2404067127732</v>
      </c>
      <c r="CF351" s="32"/>
      <c r="CG351" s="31"/>
      <c r="CH351" s="31"/>
      <c r="CI351" s="33"/>
      <c r="CJ351" s="77">
        <f>CJ337-CE337+CJ340-CE340+CJ338-CE338</f>
        <v>-2431.5991368189225</v>
      </c>
      <c r="CK351" s="289"/>
      <c r="CL351" s="658"/>
      <c r="CM351" s="658"/>
      <c r="CN351" s="682"/>
      <c r="CO351" s="658"/>
      <c r="CP351" s="658"/>
      <c r="CQ351" s="658"/>
      <c r="CR351" s="658"/>
      <c r="CS351" s="658"/>
      <c r="CT351" s="289"/>
      <c r="CV351" s="945"/>
      <c r="CW351" s="945"/>
    </row>
    <row r="352" spans="1:107" outlineLevel="1">
      <c r="A352" s="6" t="s">
        <v>33</v>
      </c>
      <c r="B352" s="77">
        <f t="shared" ref="B352:AP352" si="1100">B294</f>
        <v>-281</v>
      </c>
      <c r="C352" s="77">
        <f t="shared" si="1100"/>
        <v>-321</v>
      </c>
      <c r="D352" s="77">
        <f t="shared" si="1100"/>
        <v>-331</v>
      </c>
      <c r="E352" s="77">
        <f t="shared" si="1100"/>
        <v>-349</v>
      </c>
      <c r="F352" s="77">
        <f t="shared" si="1100"/>
        <v>-387</v>
      </c>
      <c r="G352" s="77">
        <f t="shared" si="1100"/>
        <v>-420</v>
      </c>
      <c r="H352" s="26">
        <f t="shared" si="1100"/>
        <v>-107</v>
      </c>
      <c r="I352" s="26">
        <f t="shared" si="1100"/>
        <v>-113</v>
      </c>
      <c r="J352" s="26">
        <f t="shared" si="1100"/>
        <v>-111</v>
      </c>
      <c r="K352" s="31">
        <f t="shared" si="1100"/>
        <v>-109</v>
      </c>
      <c r="L352" s="77">
        <f t="shared" si="1100"/>
        <v>-440</v>
      </c>
      <c r="M352" s="26">
        <f t="shared" si="1100"/>
        <v>-109</v>
      </c>
      <c r="N352" s="26">
        <f t="shared" si="1100"/>
        <v>-118</v>
      </c>
      <c r="O352" s="26">
        <f t="shared" si="1100"/>
        <v>-117</v>
      </c>
      <c r="P352" s="31">
        <f t="shared" si="1100"/>
        <v>-116</v>
      </c>
      <c r="Q352" s="77">
        <f t="shared" si="1100"/>
        <v>-460</v>
      </c>
      <c r="R352" s="26">
        <f t="shared" si="1100"/>
        <v>-112</v>
      </c>
      <c r="S352" s="26">
        <f t="shared" si="1100"/>
        <v>-122</v>
      </c>
      <c r="T352" s="26">
        <f t="shared" si="1100"/>
        <v>-121</v>
      </c>
      <c r="U352" s="31">
        <f t="shared" si="1100"/>
        <v>-118</v>
      </c>
      <c r="V352" s="77">
        <f t="shared" si="1100"/>
        <v>-473</v>
      </c>
      <c r="W352" s="26">
        <f t="shared" si="1100"/>
        <v>-117</v>
      </c>
      <c r="X352" s="26">
        <f t="shared" si="1100"/>
        <v>-143</v>
      </c>
      <c r="Y352" s="26">
        <f t="shared" si="1100"/>
        <v>-141</v>
      </c>
      <c r="Z352" s="31">
        <f t="shared" si="1100"/>
        <v>-135</v>
      </c>
      <c r="AA352" s="77">
        <f t="shared" si="1100"/>
        <v>-536</v>
      </c>
      <c r="AB352" s="26">
        <f t="shared" si="1100"/>
        <v>-135</v>
      </c>
      <c r="AC352" s="26">
        <f t="shared" si="1100"/>
        <v>-153</v>
      </c>
      <c r="AD352" s="26">
        <f t="shared" si="1100"/>
        <v>-152</v>
      </c>
      <c r="AE352" s="31">
        <f t="shared" si="1100"/>
        <v>-148</v>
      </c>
      <c r="AF352" s="77">
        <f t="shared" si="1100"/>
        <v>-588</v>
      </c>
      <c r="AG352" s="26">
        <f t="shared" si="1100"/>
        <v>-146</v>
      </c>
      <c r="AH352" s="26">
        <f t="shared" si="1100"/>
        <v>-167</v>
      </c>
      <c r="AI352" s="26">
        <f t="shared" si="1100"/>
        <v>-165</v>
      </c>
      <c r="AJ352" s="31">
        <f t="shared" si="1100"/>
        <v>-165</v>
      </c>
      <c r="AK352" s="77">
        <f t="shared" si="1100"/>
        <v>-643</v>
      </c>
      <c r="AL352" s="26">
        <f t="shared" si="1100"/>
        <v>-164</v>
      </c>
      <c r="AM352" s="26">
        <f t="shared" si="1100"/>
        <v>-179</v>
      </c>
      <c r="AN352" s="26">
        <f t="shared" si="1100"/>
        <v>-177</v>
      </c>
      <c r="AO352" s="31">
        <f t="shared" si="1100"/>
        <v>-174</v>
      </c>
      <c r="AP352" s="77">
        <f t="shared" si="1100"/>
        <v>-694</v>
      </c>
      <c r="AQ352" s="26">
        <f t="shared" ref="AQ352:BE352" si="1101">AQ294</f>
        <v>-174</v>
      </c>
      <c r="AR352" s="26">
        <f t="shared" si="1101"/>
        <v>-189</v>
      </c>
      <c r="AS352" s="26">
        <f t="shared" si="1101"/>
        <v>-188</v>
      </c>
      <c r="AT352" s="31">
        <f t="shared" si="1101"/>
        <v>-184</v>
      </c>
      <c r="AU352" s="77">
        <f t="shared" si="1101"/>
        <v>-735</v>
      </c>
      <c r="AV352" s="26"/>
      <c r="AW352" s="26"/>
      <c r="AX352" s="26"/>
      <c r="AY352" s="31"/>
      <c r="AZ352" s="77">
        <f t="shared" ref="AZ352" si="1102">AZ294</f>
        <v>-735</v>
      </c>
      <c r="BA352" s="26">
        <f t="shared" si="1101"/>
        <v>-186</v>
      </c>
      <c r="BB352" s="26">
        <f t="shared" si="1101"/>
        <v>-205</v>
      </c>
      <c r="BC352" s="26">
        <f t="shared" si="1101"/>
        <v>-204</v>
      </c>
      <c r="BD352" s="31">
        <f t="shared" si="1101"/>
        <v>-202</v>
      </c>
      <c r="BE352" s="77">
        <f t="shared" si="1101"/>
        <v>-797</v>
      </c>
      <c r="BF352" s="32"/>
      <c r="BG352" s="31"/>
      <c r="BH352" s="31"/>
      <c r="BI352" s="33"/>
      <c r="BJ352" s="77">
        <f>BJ294</f>
        <v>-850</v>
      </c>
      <c r="BK352" s="32"/>
      <c r="BL352" s="31"/>
      <c r="BM352" s="31"/>
      <c r="BN352" s="33"/>
      <c r="BO352" s="77">
        <f>BO294</f>
        <v>-910</v>
      </c>
      <c r="BP352" s="77">
        <f>BP294</f>
        <v>-910</v>
      </c>
      <c r="BQ352" s="32"/>
      <c r="BR352" s="31"/>
      <c r="BS352" s="31"/>
      <c r="BT352" s="33"/>
      <c r="BU352" s="77">
        <f>BU294</f>
        <v>-1008.2446636233735</v>
      </c>
      <c r="BV352" s="32"/>
      <c r="BW352" s="31"/>
      <c r="BX352" s="31"/>
      <c r="BY352" s="33"/>
      <c r="BZ352" s="77">
        <f>BZ294</f>
        <v>-1130.4943290877072</v>
      </c>
      <c r="CA352" s="32"/>
      <c r="CB352" s="31"/>
      <c r="CC352" s="31"/>
      <c r="CD352" s="33"/>
      <c r="CE352" s="77">
        <f>CE294</f>
        <v>-1267.5667664895916</v>
      </c>
      <c r="CF352" s="32"/>
      <c r="CG352" s="31"/>
      <c r="CH352" s="31"/>
      <c r="CI352" s="33"/>
      <c r="CJ352" s="77">
        <f>CJ294</f>
        <v>-1421.2592369264542</v>
      </c>
      <c r="CK352" s="289"/>
      <c r="CL352" s="658"/>
      <c r="CM352" s="658"/>
      <c r="CN352" s="682"/>
      <c r="CO352" s="658"/>
      <c r="CP352" s="658"/>
      <c r="CQ352" s="658"/>
      <c r="CR352" s="658"/>
      <c r="CS352" s="658"/>
      <c r="CT352" s="289"/>
      <c r="CV352" s="945"/>
      <c r="CW352" s="945"/>
    </row>
    <row r="353" spans="1:101" outlineLevel="1">
      <c r="A353" s="6" t="s">
        <v>208</v>
      </c>
      <c r="B353" s="83">
        <v>0</v>
      </c>
      <c r="C353" s="83">
        <v>0</v>
      </c>
      <c r="D353" s="83">
        <v>0</v>
      </c>
      <c r="E353" s="83">
        <v>0</v>
      </c>
      <c r="F353" s="83">
        <v>0</v>
      </c>
      <c r="G353" s="83">
        <v>0</v>
      </c>
      <c r="H353" s="44">
        <v>0</v>
      </c>
      <c r="I353" s="44">
        <v>0</v>
      </c>
      <c r="J353" s="44">
        <v>0</v>
      </c>
      <c r="K353" s="42">
        <v>0</v>
      </c>
      <c r="L353" s="83">
        <v>0</v>
      </c>
      <c r="M353" s="44">
        <v>0</v>
      </c>
      <c r="N353" s="44">
        <v>0</v>
      </c>
      <c r="O353" s="44">
        <v>0</v>
      </c>
      <c r="P353" s="42">
        <v>0</v>
      </c>
      <c r="Q353" s="83">
        <v>0</v>
      </c>
      <c r="R353" s="44">
        <v>0</v>
      </c>
      <c r="S353" s="44">
        <v>0</v>
      </c>
      <c r="T353" s="44">
        <v>0</v>
      </c>
      <c r="U353" s="42">
        <v>0</v>
      </c>
      <c r="V353" s="83">
        <v>0</v>
      </c>
      <c r="W353" s="44">
        <v>0</v>
      </c>
      <c r="X353" s="44">
        <v>0</v>
      </c>
      <c r="Y353" s="44">
        <v>0</v>
      </c>
      <c r="Z353" s="42">
        <v>0</v>
      </c>
      <c r="AA353" s="83">
        <v>0</v>
      </c>
      <c r="AB353" s="44">
        <v>0</v>
      </c>
      <c r="AC353" s="44">
        <v>0</v>
      </c>
      <c r="AD353" s="44">
        <v>0</v>
      </c>
      <c r="AE353" s="42">
        <v>0</v>
      </c>
      <c r="AF353" s="83">
        <v>0</v>
      </c>
      <c r="AG353" s="44">
        <v>0</v>
      </c>
      <c r="AH353" s="44">
        <v>0</v>
      </c>
      <c r="AI353" s="44">
        <v>0</v>
      </c>
      <c r="AJ353" s="42">
        <v>0</v>
      </c>
      <c r="AK353" s="83">
        <v>0</v>
      </c>
      <c r="AL353" s="44">
        <v>0</v>
      </c>
      <c r="AM353" s="44">
        <v>0</v>
      </c>
      <c r="AN353" s="44">
        <v>0</v>
      </c>
      <c r="AO353" s="42">
        <v>0</v>
      </c>
      <c r="AP353" s="83">
        <v>0</v>
      </c>
      <c r="AQ353" s="44">
        <v>0</v>
      </c>
      <c r="AR353" s="44">
        <v>0</v>
      </c>
      <c r="AS353" s="44">
        <v>0</v>
      </c>
      <c r="AT353" s="42">
        <v>0</v>
      </c>
      <c r="AU353" s="83">
        <v>0</v>
      </c>
      <c r="AV353" s="44"/>
      <c r="AW353" s="44"/>
      <c r="AX353" s="44"/>
      <c r="AY353" s="42"/>
      <c r="AZ353" s="83">
        <v>0</v>
      </c>
      <c r="BA353" s="44">
        <v>0</v>
      </c>
      <c r="BB353" s="44">
        <v>0</v>
      </c>
      <c r="BC353" s="44">
        <v>0</v>
      </c>
      <c r="BD353" s="42">
        <v>0</v>
      </c>
      <c r="BE353" s="83">
        <v>0</v>
      </c>
      <c r="BF353" s="92"/>
      <c r="BG353" s="42"/>
      <c r="BH353" s="42"/>
      <c r="BI353" s="45"/>
      <c r="BJ353" s="83">
        <v>0</v>
      </c>
      <c r="BK353" s="92"/>
      <c r="BL353" s="42"/>
      <c r="BM353" s="42"/>
      <c r="BN353" s="45"/>
      <c r="BO353" s="83">
        <v>0</v>
      </c>
      <c r="BP353" s="83">
        <v>0</v>
      </c>
      <c r="BQ353" s="92"/>
      <c r="BR353" s="42"/>
      <c r="BS353" s="42"/>
      <c r="BT353" s="45"/>
      <c r="BU353" s="83">
        <v>0</v>
      </c>
      <c r="BV353" s="92"/>
      <c r="BW353" s="42"/>
      <c r="BX353" s="42"/>
      <c r="BY353" s="45"/>
      <c r="BZ353" s="83">
        <v>0</v>
      </c>
      <c r="CA353" s="92"/>
      <c r="CB353" s="42"/>
      <c r="CC353" s="42"/>
      <c r="CD353" s="45"/>
      <c r="CE353" s="83">
        <v>0</v>
      </c>
      <c r="CF353" s="92"/>
      <c r="CG353" s="42"/>
      <c r="CH353" s="42"/>
      <c r="CI353" s="45"/>
      <c r="CJ353" s="83">
        <v>0</v>
      </c>
      <c r="CK353" s="289"/>
      <c r="CL353" s="658"/>
      <c r="CM353" s="658"/>
      <c r="CN353" s="682"/>
      <c r="CO353" s="658"/>
      <c r="CP353" s="658"/>
      <c r="CQ353" s="658"/>
      <c r="CR353" s="658"/>
      <c r="CS353" s="658"/>
      <c r="CT353" s="289"/>
      <c r="CV353" s="945"/>
      <c r="CW353" s="945"/>
    </row>
    <row r="354" spans="1:101" customFormat="1"/>
    <row r="355" spans="1:101">
      <c r="CK355" s="289"/>
      <c r="CL355" s="995"/>
      <c r="CM355" s="995"/>
      <c r="CN355" s="996"/>
      <c r="CO355" s="995"/>
      <c r="CP355" s="995"/>
      <c r="CQ355" s="995"/>
      <c r="CR355" s="995"/>
      <c r="CS355" s="995"/>
    </row>
    <row r="356" spans="1:101">
      <c r="CK356" s="289"/>
      <c r="CL356" s="995"/>
      <c r="CM356" s="995"/>
      <c r="CN356" s="996"/>
      <c r="CO356" s="995"/>
      <c r="CP356" s="995"/>
      <c r="CQ356" s="995"/>
      <c r="CR356" s="995"/>
      <c r="CS356" s="995"/>
    </row>
    <row r="357" spans="1:101">
      <c r="BJ357" s="1004"/>
      <c r="CL357" s="995"/>
      <c r="CM357" s="995"/>
      <c r="CN357" s="996"/>
      <c r="CO357" s="995"/>
      <c r="CP357" s="995"/>
      <c r="CQ357" s="995"/>
      <c r="CR357" s="995"/>
      <c r="CS357" s="995"/>
    </row>
    <row r="358" spans="1:101">
      <c r="BJ358" s="1004"/>
      <c r="CL358" s="995"/>
      <c r="CM358" s="995"/>
      <c r="CN358" s="996"/>
      <c r="CO358" s="995"/>
      <c r="CP358" s="995"/>
      <c r="CQ358" s="995"/>
      <c r="CR358" s="995"/>
      <c r="CS358" s="995"/>
    </row>
    <row r="359" spans="1:101">
      <c r="BJ359" s="1004"/>
      <c r="CL359" s="995"/>
      <c r="CM359" s="995"/>
      <c r="CN359" s="996"/>
      <c r="CO359" s="995"/>
      <c r="CP359" s="995"/>
      <c r="CQ359" s="995"/>
      <c r="CR359" s="995"/>
      <c r="CS359" s="995"/>
    </row>
    <row r="360" spans="1:101">
      <c r="CL360" s="995"/>
      <c r="CM360" s="995"/>
      <c r="CN360" s="996"/>
      <c r="CO360" s="995"/>
      <c r="CP360" s="995"/>
      <c r="CQ360" s="995"/>
      <c r="CR360" s="995"/>
      <c r="CS360" s="995"/>
    </row>
    <row r="361" spans="1:101">
      <c r="CL361" s="995"/>
      <c r="CM361" s="995"/>
      <c r="CN361" s="996"/>
      <c r="CO361" s="995"/>
      <c r="CP361" s="995"/>
      <c r="CQ361" s="995"/>
      <c r="CR361" s="995"/>
      <c r="CS361" s="995"/>
    </row>
    <row r="362" spans="1:101">
      <c r="CL362" s="995"/>
      <c r="CM362" s="995"/>
      <c r="CN362" s="996"/>
      <c r="CO362" s="995"/>
      <c r="CP362" s="995"/>
      <c r="CQ362" s="995"/>
      <c r="CR362" s="995"/>
      <c r="CS362" s="995"/>
    </row>
    <row r="363" spans="1:101">
      <c r="CL363" s="995"/>
      <c r="CM363" s="995"/>
      <c r="CN363" s="996"/>
      <c r="CO363" s="995"/>
      <c r="CP363" s="995"/>
      <c r="CQ363" s="995"/>
      <c r="CR363" s="995"/>
      <c r="CS363" s="995"/>
    </row>
    <row r="364" spans="1:101">
      <c r="CL364" s="995"/>
      <c r="CM364" s="995"/>
      <c r="CN364" s="996"/>
      <c r="CO364" s="995"/>
      <c r="CP364" s="995"/>
      <c r="CQ364" s="995"/>
      <c r="CR364" s="995"/>
      <c r="CS364" s="995"/>
    </row>
    <row r="365" spans="1:101">
      <c r="CL365" s="995"/>
      <c r="CM365" s="995"/>
      <c r="CN365" s="996"/>
      <c r="CO365" s="995"/>
      <c r="CP365" s="995"/>
      <c r="CQ365" s="995"/>
      <c r="CR365" s="995"/>
      <c r="CS365" s="995"/>
    </row>
    <row r="366" spans="1:101">
      <c r="CL366" s="995"/>
      <c r="CM366" s="995"/>
      <c r="CN366" s="996"/>
      <c r="CO366" s="995"/>
      <c r="CP366" s="995"/>
      <c r="CQ366" s="995"/>
      <c r="CR366" s="995"/>
      <c r="CS366" s="995"/>
    </row>
    <row r="367" spans="1:101">
      <c r="CL367" s="995"/>
      <c r="CM367" s="995"/>
      <c r="CN367" s="996"/>
      <c r="CO367" s="995"/>
      <c r="CP367" s="995"/>
      <c r="CQ367" s="995"/>
      <c r="CR367" s="995"/>
      <c r="CS367" s="995"/>
    </row>
    <row r="368" spans="1:101">
      <c r="CL368" s="995"/>
      <c r="CM368" s="995"/>
      <c r="CN368" s="996"/>
      <c r="CO368" s="995"/>
      <c r="CP368" s="995"/>
      <c r="CQ368" s="995"/>
      <c r="CR368" s="995"/>
      <c r="CS368" s="995"/>
    </row>
    <row r="369" spans="90:97">
      <c r="CL369" s="995"/>
      <c r="CM369" s="995"/>
      <c r="CN369" s="996"/>
      <c r="CO369" s="995"/>
      <c r="CP369" s="995"/>
      <c r="CQ369" s="995"/>
      <c r="CR369" s="995"/>
      <c r="CS369" s="995"/>
    </row>
    <row r="65404" customFormat="1"/>
    <row r="65405" customFormat="1"/>
    <row r="65406" customFormat="1"/>
    <row r="65407" customFormat="1"/>
    <row r="65408" customFormat="1"/>
    <row r="65409" customFormat="1"/>
    <row r="65410" customFormat="1"/>
    <row r="65411" customFormat="1"/>
    <row r="65412" customFormat="1"/>
    <row r="65413" customFormat="1"/>
    <row r="65414" customFormat="1"/>
    <row r="65415" customFormat="1"/>
    <row r="65416" customFormat="1"/>
    <row r="65417" customFormat="1"/>
    <row r="65418" customFormat="1"/>
    <row r="65419" customFormat="1"/>
    <row r="65420" customFormat="1"/>
    <row r="65421" customFormat="1"/>
    <row r="65422" customFormat="1"/>
    <row r="65423" customFormat="1"/>
    <row r="65424" customFormat="1"/>
    <row r="65425" customFormat="1"/>
    <row r="65426" customFormat="1"/>
    <row r="65427" customFormat="1"/>
    <row r="65428" customFormat="1"/>
    <row r="65429" customFormat="1"/>
    <row r="65430" customFormat="1"/>
    <row r="65431" customFormat="1"/>
    <row r="65432" customFormat="1"/>
    <row r="65433" customFormat="1"/>
    <row r="65434" customFormat="1"/>
    <row r="65435" customFormat="1"/>
    <row r="65436" customFormat="1"/>
    <row r="65437" customFormat="1"/>
    <row r="65438" customFormat="1"/>
    <row r="65439" customFormat="1"/>
    <row r="65440" customFormat="1"/>
    <row r="65441" customFormat="1"/>
    <row r="65442" customFormat="1"/>
    <row r="65443" customFormat="1"/>
    <row r="65444" customFormat="1"/>
    <row r="65445" customFormat="1"/>
    <row r="65446" customFormat="1"/>
    <row r="65447" customFormat="1"/>
  </sheetData>
  <phoneticPr fontId="3" type="noConversion"/>
  <conditionalFormatting sqref="BO345 B345:AU345 BA345:BE345">
    <cfRule type="cellIs" dxfId="10" priority="13" stopIfTrue="1" operator="notEqual">
      <formula>0</formula>
    </cfRule>
  </conditionalFormatting>
  <conditionalFormatting sqref="BF345:BI345">
    <cfRule type="cellIs" dxfId="9" priority="8" stopIfTrue="1" operator="notEqual">
      <formula>0</formula>
    </cfRule>
  </conditionalFormatting>
  <conditionalFormatting sqref="BJ345">
    <cfRule type="cellIs" dxfId="8" priority="7" stopIfTrue="1" operator="notEqual">
      <formula>0</formula>
    </cfRule>
  </conditionalFormatting>
  <conditionalFormatting sqref="BQ345:BT345">
    <cfRule type="cellIs" dxfId="7" priority="10" stopIfTrue="1" operator="notEqual">
      <formula>0</formula>
    </cfRule>
  </conditionalFormatting>
  <conditionalFormatting sqref="BV345:BZ345">
    <cfRule type="cellIs" dxfId="6" priority="9" stopIfTrue="1" operator="notEqual">
      <formula>0</formula>
    </cfRule>
  </conditionalFormatting>
  <conditionalFormatting sqref="BU345">
    <cfRule type="cellIs" dxfId="5" priority="6" stopIfTrue="1" operator="notEqual">
      <formula>0</formula>
    </cfRule>
  </conditionalFormatting>
  <conditionalFormatting sqref="CA345:CE345">
    <cfRule type="cellIs" dxfId="4" priority="5" stopIfTrue="1" operator="notEqual">
      <formula>0</formula>
    </cfRule>
  </conditionalFormatting>
  <conditionalFormatting sqref="CF345:CJ345">
    <cfRule type="cellIs" dxfId="3" priority="4" stopIfTrue="1" operator="notEqual">
      <formula>0</formula>
    </cfRule>
  </conditionalFormatting>
  <conditionalFormatting sqref="BK345:BN345">
    <cfRule type="cellIs" dxfId="2" priority="3" stopIfTrue="1" operator="notEqual">
      <formula>0</formula>
    </cfRule>
  </conditionalFormatting>
  <conditionalFormatting sqref="AV345:AZ345">
    <cfRule type="cellIs" dxfId="1" priority="2" stopIfTrue="1" operator="notEqual">
      <formula>0</formula>
    </cfRule>
  </conditionalFormatting>
  <conditionalFormatting sqref="BP345">
    <cfRule type="cellIs" dxfId="0" priority="1" stopIfTrue="1" operator="notEqual">
      <formula>0</formula>
    </cfRule>
  </conditionalFormatting>
  <pageMargins left="0.27" right="0.23" top="0.47" bottom="1" header="0.35" footer="0.5"/>
  <pageSetup scale="45" orientation="landscape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43"/>
  <sheetViews>
    <sheetView workbookViewId="0">
      <selection activeCell="B42" sqref="B42"/>
    </sheetView>
  </sheetViews>
  <sheetFormatPr defaultRowHeight="12.75"/>
  <cols>
    <col min="1" max="1" width="29.5703125" style="974" bestFit="1" customWidth="1"/>
    <col min="2" max="2" width="19.85546875" style="1093" customWidth="1"/>
    <col min="3" max="3" width="12" style="974" bestFit="1" customWidth="1"/>
    <col min="4" max="256" width="9.140625" style="974"/>
    <col min="257" max="257" width="29.5703125" style="974" bestFit="1" customWidth="1"/>
    <col min="258" max="258" width="19.85546875" style="974" customWidth="1"/>
    <col min="259" max="259" width="12" style="974" bestFit="1" customWidth="1"/>
    <col min="260" max="512" width="9.140625" style="974"/>
    <col min="513" max="513" width="29.5703125" style="974" bestFit="1" customWidth="1"/>
    <col min="514" max="514" width="19.85546875" style="974" customWidth="1"/>
    <col min="515" max="515" width="12" style="974" bestFit="1" customWidth="1"/>
    <col min="516" max="768" width="9.140625" style="974"/>
    <col min="769" max="769" width="29.5703125" style="974" bestFit="1" customWidth="1"/>
    <col min="770" max="770" width="19.85546875" style="974" customWidth="1"/>
    <col min="771" max="771" width="12" style="974" bestFit="1" customWidth="1"/>
    <col min="772" max="1024" width="9.140625" style="974"/>
    <col min="1025" max="1025" width="29.5703125" style="974" bestFit="1" customWidth="1"/>
    <col min="1026" max="1026" width="19.85546875" style="974" customWidth="1"/>
    <col min="1027" max="1027" width="12" style="974" bestFit="1" customWidth="1"/>
    <col min="1028" max="1280" width="9.140625" style="974"/>
    <col min="1281" max="1281" width="29.5703125" style="974" bestFit="1" customWidth="1"/>
    <col min="1282" max="1282" width="19.85546875" style="974" customWidth="1"/>
    <col min="1283" max="1283" width="12" style="974" bestFit="1" customWidth="1"/>
    <col min="1284" max="1536" width="9.140625" style="974"/>
    <col min="1537" max="1537" width="29.5703125" style="974" bestFit="1" customWidth="1"/>
    <col min="1538" max="1538" width="19.85546875" style="974" customWidth="1"/>
    <col min="1539" max="1539" width="12" style="974" bestFit="1" customWidth="1"/>
    <col min="1540" max="1792" width="9.140625" style="974"/>
    <col min="1793" max="1793" width="29.5703125" style="974" bestFit="1" customWidth="1"/>
    <col min="1794" max="1794" width="19.85546875" style="974" customWidth="1"/>
    <col min="1795" max="1795" width="12" style="974" bestFit="1" customWidth="1"/>
    <col min="1796" max="2048" width="9.140625" style="974"/>
    <col min="2049" max="2049" width="29.5703125" style="974" bestFit="1" customWidth="1"/>
    <col min="2050" max="2050" width="19.85546875" style="974" customWidth="1"/>
    <col min="2051" max="2051" width="12" style="974" bestFit="1" customWidth="1"/>
    <col min="2052" max="2304" width="9.140625" style="974"/>
    <col min="2305" max="2305" width="29.5703125" style="974" bestFit="1" customWidth="1"/>
    <col min="2306" max="2306" width="19.85546875" style="974" customWidth="1"/>
    <col min="2307" max="2307" width="12" style="974" bestFit="1" customWidth="1"/>
    <col min="2308" max="2560" width="9.140625" style="974"/>
    <col min="2561" max="2561" width="29.5703125" style="974" bestFit="1" customWidth="1"/>
    <col min="2562" max="2562" width="19.85546875" style="974" customWidth="1"/>
    <col min="2563" max="2563" width="12" style="974" bestFit="1" customWidth="1"/>
    <col min="2564" max="2816" width="9.140625" style="974"/>
    <col min="2817" max="2817" width="29.5703125" style="974" bestFit="1" customWidth="1"/>
    <col min="2818" max="2818" width="19.85546875" style="974" customWidth="1"/>
    <col min="2819" max="2819" width="12" style="974" bestFit="1" customWidth="1"/>
    <col min="2820" max="3072" width="9.140625" style="974"/>
    <col min="3073" max="3073" width="29.5703125" style="974" bestFit="1" customWidth="1"/>
    <col min="3074" max="3074" width="19.85546875" style="974" customWidth="1"/>
    <col min="3075" max="3075" width="12" style="974" bestFit="1" customWidth="1"/>
    <col min="3076" max="3328" width="9.140625" style="974"/>
    <col min="3329" max="3329" width="29.5703125" style="974" bestFit="1" customWidth="1"/>
    <col min="3330" max="3330" width="19.85546875" style="974" customWidth="1"/>
    <col min="3331" max="3331" width="12" style="974" bestFit="1" customWidth="1"/>
    <col min="3332" max="3584" width="9.140625" style="974"/>
    <col min="3585" max="3585" width="29.5703125" style="974" bestFit="1" customWidth="1"/>
    <col min="3586" max="3586" width="19.85546875" style="974" customWidth="1"/>
    <col min="3587" max="3587" width="12" style="974" bestFit="1" customWidth="1"/>
    <col min="3588" max="3840" width="9.140625" style="974"/>
    <col min="3841" max="3841" width="29.5703125" style="974" bestFit="1" customWidth="1"/>
    <col min="3842" max="3842" width="19.85546875" style="974" customWidth="1"/>
    <col min="3843" max="3843" width="12" style="974" bestFit="1" customWidth="1"/>
    <col min="3844" max="4096" width="9.140625" style="974"/>
    <col min="4097" max="4097" width="29.5703125" style="974" bestFit="1" customWidth="1"/>
    <col min="4098" max="4098" width="19.85546875" style="974" customWidth="1"/>
    <col min="4099" max="4099" width="12" style="974" bestFit="1" customWidth="1"/>
    <col min="4100" max="4352" width="9.140625" style="974"/>
    <col min="4353" max="4353" width="29.5703125" style="974" bestFit="1" customWidth="1"/>
    <col min="4354" max="4354" width="19.85546875" style="974" customWidth="1"/>
    <col min="4355" max="4355" width="12" style="974" bestFit="1" customWidth="1"/>
    <col min="4356" max="4608" width="9.140625" style="974"/>
    <col min="4609" max="4609" width="29.5703125" style="974" bestFit="1" customWidth="1"/>
    <col min="4610" max="4610" width="19.85546875" style="974" customWidth="1"/>
    <col min="4611" max="4611" width="12" style="974" bestFit="1" customWidth="1"/>
    <col min="4612" max="4864" width="9.140625" style="974"/>
    <col min="4865" max="4865" width="29.5703125" style="974" bestFit="1" customWidth="1"/>
    <col min="4866" max="4866" width="19.85546875" style="974" customWidth="1"/>
    <col min="4867" max="4867" width="12" style="974" bestFit="1" customWidth="1"/>
    <col min="4868" max="5120" width="9.140625" style="974"/>
    <col min="5121" max="5121" width="29.5703125" style="974" bestFit="1" customWidth="1"/>
    <col min="5122" max="5122" width="19.85546875" style="974" customWidth="1"/>
    <col min="5123" max="5123" width="12" style="974" bestFit="1" customWidth="1"/>
    <col min="5124" max="5376" width="9.140625" style="974"/>
    <col min="5377" max="5377" width="29.5703125" style="974" bestFit="1" customWidth="1"/>
    <col min="5378" max="5378" width="19.85546875" style="974" customWidth="1"/>
    <col min="5379" max="5379" width="12" style="974" bestFit="1" customWidth="1"/>
    <col min="5380" max="5632" width="9.140625" style="974"/>
    <col min="5633" max="5633" width="29.5703125" style="974" bestFit="1" customWidth="1"/>
    <col min="5634" max="5634" width="19.85546875" style="974" customWidth="1"/>
    <col min="5635" max="5635" width="12" style="974" bestFit="1" customWidth="1"/>
    <col min="5636" max="5888" width="9.140625" style="974"/>
    <col min="5889" max="5889" width="29.5703125" style="974" bestFit="1" customWidth="1"/>
    <col min="5890" max="5890" width="19.85546875" style="974" customWidth="1"/>
    <col min="5891" max="5891" width="12" style="974" bestFit="1" customWidth="1"/>
    <col min="5892" max="6144" width="9.140625" style="974"/>
    <col min="6145" max="6145" width="29.5703125" style="974" bestFit="1" customWidth="1"/>
    <col min="6146" max="6146" width="19.85546875" style="974" customWidth="1"/>
    <col min="6147" max="6147" width="12" style="974" bestFit="1" customWidth="1"/>
    <col min="6148" max="6400" width="9.140625" style="974"/>
    <col min="6401" max="6401" width="29.5703125" style="974" bestFit="1" customWidth="1"/>
    <col min="6402" max="6402" width="19.85546875" style="974" customWidth="1"/>
    <col min="6403" max="6403" width="12" style="974" bestFit="1" customWidth="1"/>
    <col min="6404" max="6656" width="9.140625" style="974"/>
    <col min="6657" max="6657" width="29.5703125" style="974" bestFit="1" customWidth="1"/>
    <col min="6658" max="6658" width="19.85546875" style="974" customWidth="1"/>
    <col min="6659" max="6659" width="12" style="974" bestFit="1" customWidth="1"/>
    <col min="6660" max="6912" width="9.140625" style="974"/>
    <col min="6913" max="6913" width="29.5703125" style="974" bestFit="1" customWidth="1"/>
    <col min="6914" max="6914" width="19.85546875" style="974" customWidth="1"/>
    <col min="6915" max="6915" width="12" style="974" bestFit="1" customWidth="1"/>
    <col min="6916" max="7168" width="9.140625" style="974"/>
    <col min="7169" max="7169" width="29.5703125" style="974" bestFit="1" customWidth="1"/>
    <col min="7170" max="7170" width="19.85546875" style="974" customWidth="1"/>
    <col min="7171" max="7171" width="12" style="974" bestFit="1" customWidth="1"/>
    <col min="7172" max="7424" width="9.140625" style="974"/>
    <col min="7425" max="7425" width="29.5703125" style="974" bestFit="1" customWidth="1"/>
    <col min="7426" max="7426" width="19.85546875" style="974" customWidth="1"/>
    <col min="7427" max="7427" width="12" style="974" bestFit="1" customWidth="1"/>
    <col min="7428" max="7680" width="9.140625" style="974"/>
    <col min="7681" max="7681" width="29.5703125" style="974" bestFit="1" customWidth="1"/>
    <col min="7682" max="7682" width="19.85546875" style="974" customWidth="1"/>
    <col min="7683" max="7683" width="12" style="974" bestFit="1" customWidth="1"/>
    <col min="7684" max="7936" width="9.140625" style="974"/>
    <col min="7937" max="7937" width="29.5703125" style="974" bestFit="1" customWidth="1"/>
    <col min="7938" max="7938" width="19.85546875" style="974" customWidth="1"/>
    <col min="7939" max="7939" width="12" style="974" bestFit="1" customWidth="1"/>
    <col min="7940" max="8192" width="9.140625" style="974"/>
    <col min="8193" max="8193" width="29.5703125" style="974" bestFit="1" customWidth="1"/>
    <col min="8194" max="8194" width="19.85546875" style="974" customWidth="1"/>
    <col min="8195" max="8195" width="12" style="974" bestFit="1" customWidth="1"/>
    <col min="8196" max="8448" width="9.140625" style="974"/>
    <col min="8449" max="8449" width="29.5703125" style="974" bestFit="1" customWidth="1"/>
    <col min="8450" max="8450" width="19.85546875" style="974" customWidth="1"/>
    <col min="8451" max="8451" width="12" style="974" bestFit="1" customWidth="1"/>
    <col min="8452" max="8704" width="9.140625" style="974"/>
    <col min="8705" max="8705" width="29.5703125" style="974" bestFit="1" customWidth="1"/>
    <col min="8706" max="8706" width="19.85546875" style="974" customWidth="1"/>
    <col min="8707" max="8707" width="12" style="974" bestFit="1" customWidth="1"/>
    <col min="8708" max="8960" width="9.140625" style="974"/>
    <col min="8961" max="8961" width="29.5703125" style="974" bestFit="1" customWidth="1"/>
    <col min="8962" max="8962" width="19.85546875" style="974" customWidth="1"/>
    <col min="8963" max="8963" width="12" style="974" bestFit="1" customWidth="1"/>
    <col min="8964" max="9216" width="9.140625" style="974"/>
    <col min="9217" max="9217" width="29.5703125" style="974" bestFit="1" customWidth="1"/>
    <col min="9218" max="9218" width="19.85546875" style="974" customWidth="1"/>
    <col min="9219" max="9219" width="12" style="974" bestFit="1" customWidth="1"/>
    <col min="9220" max="9472" width="9.140625" style="974"/>
    <col min="9473" max="9473" width="29.5703125" style="974" bestFit="1" customWidth="1"/>
    <col min="9474" max="9474" width="19.85546875" style="974" customWidth="1"/>
    <col min="9475" max="9475" width="12" style="974" bestFit="1" customWidth="1"/>
    <col min="9476" max="9728" width="9.140625" style="974"/>
    <col min="9729" max="9729" width="29.5703125" style="974" bestFit="1" customWidth="1"/>
    <col min="9730" max="9730" width="19.85546875" style="974" customWidth="1"/>
    <col min="9731" max="9731" width="12" style="974" bestFit="1" customWidth="1"/>
    <col min="9732" max="9984" width="9.140625" style="974"/>
    <col min="9985" max="9985" width="29.5703125" style="974" bestFit="1" customWidth="1"/>
    <col min="9986" max="9986" width="19.85546875" style="974" customWidth="1"/>
    <col min="9987" max="9987" width="12" style="974" bestFit="1" customWidth="1"/>
    <col min="9988" max="10240" width="9.140625" style="974"/>
    <col min="10241" max="10241" width="29.5703125" style="974" bestFit="1" customWidth="1"/>
    <col min="10242" max="10242" width="19.85546875" style="974" customWidth="1"/>
    <col min="10243" max="10243" width="12" style="974" bestFit="1" customWidth="1"/>
    <col min="10244" max="10496" width="9.140625" style="974"/>
    <col min="10497" max="10497" width="29.5703125" style="974" bestFit="1" customWidth="1"/>
    <col min="10498" max="10498" width="19.85546875" style="974" customWidth="1"/>
    <col min="10499" max="10499" width="12" style="974" bestFit="1" customWidth="1"/>
    <col min="10500" max="10752" width="9.140625" style="974"/>
    <col min="10753" max="10753" width="29.5703125" style="974" bestFit="1" customWidth="1"/>
    <col min="10754" max="10754" width="19.85546875" style="974" customWidth="1"/>
    <col min="10755" max="10755" width="12" style="974" bestFit="1" customWidth="1"/>
    <col min="10756" max="11008" width="9.140625" style="974"/>
    <col min="11009" max="11009" width="29.5703125" style="974" bestFit="1" customWidth="1"/>
    <col min="11010" max="11010" width="19.85546875" style="974" customWidth="1"/>
    <col min="11011" max="11011" width="12" style="974" bestFit="1" customWidth="1"/>
    <col min="11012" max="11264" width="9.140625" style="974"/>
    <col min="11265" max="11265" width="29.5703125" style="974" bestFit="1" customWidth="1"/>
    <col min="11266" max="11266" width="19.85546875" style="974" customWidth="1"/>
    <col min="11267" max="11267" width="12" style="974" bestFit="1" customWidth="1"/>
    <col min="11268" max="11520" width="9.140625" style="974"/>
    <col min="11521" max="11521" width="29.5703125" style="974" bestFit="1" customWidth="1"/>
    <col min="11522" max="11522" width="19.85546875" style="974" customWidth="1"/>
    <col min="11523" max="11523" width="12" style="974" bestFit="1" customWidth="1"/>
    <col min="11524" max="11776" width="9.140625" style="974"/>
    <col min="11777" max="11777" width="29.5703125" style="974" bestFit="1" customWidth="1"/>
    <col min="11778" max="11778" width="19.85546875" style="974" customWidth="1"/>
    <col min="11779" max="11779" width="12" style="974" bestFit="1" customWidth="1"/>
    <col min="11780" max="12032" width="9.140625" style="974"/>
    <col min="12033" max="12033" width="29.5703125" style="974" bestFit="1" customWidth="1"/>
    <col min="12034" max="12034" width="19.85546875" style="974" customWidth="1"/>
    <col min="12035" max="12035" width="12" style="974" bestFit="1" customWidth="1"/>
    <col min="12036" max="12288" width="9.140625" style="974"/>
    <col min="12289" max="12289" width="29.5703125" style="974" bestFit="1" customWidth="1"/>
    <col min="12290" max="12290" width="19.85546875" style="974" customWidth="1"/>
    <col min="12291" max="12291" width="12" style="974" bestFit="1" customWidth="1"/>
    <col min="12292" max="12544" width="9.140625" style="974"/>
    <col min="12545" max="12545" width="29.5703125" style="974" bestFit="1" customWidth="1"/>
    <col min="12546" max="12546" width="19.85546875" style="974" customWidth="1"/>
    <col min="12547" max="12547" width="12" style="974" bestFit="1" customWidth="1"/>
    <col min="12548" max="12800" width="9.140625" style="974"/>
    <col min="12801" max="12801" width="29.5703125" style="974" bestFit="1" customWidth="1"/>
    <col min="12802" max="12802" width="19.85546875" style="974" customWidth="1"/>
    <col min="12803" max="12803" width="12" style="974" bestFit="1" customWidth="1"/>
    <col min="12804" max="13056" width="9.140625" style="974"/>
    <col min="13057" max="13057" width="29.5703125" style="974" bestFit="1" customWidth="1"/>
    <col min="13058" max="13058" width="19.85546875" style="974" customWidth="1"/>
    <col min="13059" max="13059" width="12" style="974" bestFit="1" customWidth="1"/>
    <col min="13060" max="13312" width="9.140625" style="974"/>
    <col min="13313" max="13313" width="29.5703125" style="974" bestFit="1" customWidth="1"/>
    <col min="13314" max="13314" width="19.85546875" style="974" customWidth="1"/>
    <col min="13315" max="13315" width="12" style="974" bestFit="1" customWidth="1"/>
    <col min="13316" max="13568" width="9.140625" style="974"/>
    <col min="13569" max="13569" width="29.5703125" style="974" bestFit="1" customWidth="1"/>
    <col min="13570" max="13570" width="19.85546875" style="974" customWidth="1"/>
    <col min="13571" max="13571" width="12" style="974" bestFit="1" customWidth="1"/>
    <col min="13572" max="13824" width="9.140625" style="974"/>
    <col min="13825" max="13825" width="29.5703125" style="974" bestFit="1" customWidth="1"/>
    <col min="13826" max="13826" width="19.85546875" style="974" customWidth="1"/>
    <col min="13827" max="13827" width="12" style="974" bestFit="1" customWidth="1"/>
    <col min="13828" max="14080" width="9.140625" style="974"/>
    <col min="14081" max="14081" width="29.5703125" style="974" bestFit="1" customWidth="1"/>
    <col min="14082" max="14082" width="19.85546875" style="974" customWidth="1"/>
    <col min="14083" max="14083" width="12" style="974" bestFit="1" customWidth="1"/>
    <col min="14084" max="14336" width="9.140625" style="974"/>
    <col min="14337" max="14337" width="29.5703125" style="974" bestFit="1" customWidth="1"/>
    <col min="14338" max="14338" width="19.85546875" style="974" customWidth="1"/>
    <col min="14339" max="14339" width="12" style="974" bestFit="1" customWidth="1"/>
    <col min="14340" max="14592" width="9.140625" style="974"/>
    <col min="14593" max="14593" width="29.5703125" style="974" bestFit="1" customWidth="1"/>
    <col min="14594" max="14594" width="19.85546875" style="974" customWidth="1"/>
    <col min="14595" max="14595" width="12" style="974" bestFit="1" customWidth="1"/>
    <col min="14596" max="14848" width="9.140625" style="974"/>
    <col min="14849" max="14849" width="29.5703125" style="974" bestFit="1" customWidth="1"/>
    <col min="14850" max="14850" width="19.85546875" style="974" customWidth="1"/>
    <col min="14851" max="14851" width="12" style="974" bestFit="1" customWidth="1"/>
    <col min="14852" max="15104" width="9.140625" style="974"/>
    <col min="15105" max="15105" width="29.5703125" style="974" bestFit="1" customWidth="1"/>
    <col min="15106" max="15106" width="19.85546875" style="974" customWidth="1"/>
    <col min="15107" max="15107" width="12" style="974" bestFit="1" customWidth="1"/>
    <col min="15108" max="15360" width="9.140625" style="974"/>
    <col min="15361" max="15361" width="29.5703125" style="974" bestFit="1" customWidth="1"/>
    <col min="15362" max="15362" width="19.85546875" style="974" customWidth="1"/>
    <col min="15363" max="15363" width="12" style="974" bestFit="1" customWidth="1"/>
    <col min="15364" max="15616" width="9.140625" style="974"/>
    <col min="15617" max="15617" width="29.5703125" style="974" bestFit="1" customWidth="1"/>
    <col min="15618" max="15618" width="19.85546875" style="974" customWidth="1"/>
    <col min="15619" max="15619" width="12" style="974" bestFit="1" customWidth="1"/>
    <col min="15620" max="15872" width="9.140625" style="974"/>
    <col min="15873" max="15873" width="29.5703125" style="974" bestFit="1" customWidth="1"/>
    <col min="15874" max="15874" width="19.85546875" style="974" customWidth="1"/>
    <col min="15875" max="15875" width="12" style="974" bestFit="1" customWidth="1"/>
    <col min="15876" max="16128" width="9.140625" style="974"/>
    <col min="16129" max="16129" width="29.5703125" style="974" bestFit="1" customWidth="1"/>
    <col min="16130" max="16130" width="19.85546875" style="974" customWidth="1"/>
    <col min="16131" max="16131" width="12" style="974" bestFit="1" customWidth="1"/>
    <col min="16132" max="16384" width="9.140625" style="974"/>
  </cols>
  <sheetData>
    <row r="1" spans="1:2">
      <c r="A1" s="974" t="s">
        <v>674</v>
      </c>
      <c r="B1" s="1092">
        <v>6.1</v>
      </c>
    </row>
    <row r="2" spans="1:2">
      <c r="A2" s="974" t="s">
        <v>675</v>
      </c>
      <c r="B2" s="1096">
        <v>43201.531944444447</v>
      </c>
    </row>
    <row r="3" spans="1:2">
      <c r="A3" s="974" t="s">
        <v>676</v>
      </c>
      <c r="B3" s="1093" t="s">
        <v>372</v>
      </c>
    </row>
    <row r="4" spans="1:2">
      <c r="A4" s="974" t="s">
        <v>677</v>
      </c>
      <c r="B4" s="1093" t="s">
        <v>678</v>
      </c>
    </row>
    <row r="5" spans="1:2">
      <c r="A5" s="974" t="s">
        <v>679</v>
      </c>
      <c r="B5" s="1093" t="s">
        <v>680</v>
      </c>
    </row>
    <row r="6" spans="1:2">
      <c r="A6" s="974" t="s">
        <v>681</v>
      </c>
    </row>
    <row r="7" spans="1:2">
      <c r="A7" s="974" t="s">
        <v>682</v>
      </c>
      <c r="B7" s="1093" t="s">
        <v>19</v>
      </c>
    </row>
    <row r="8" spans="1:2">
      <c r="A8" s="974" t="s">
        <v>683</v>
      </c>
      <c r="B8" s="1093" t="s">
        <v>684</v>
      </c>
    </row>
    <row r="9" spans="1:2">
      <c r="A9" s="974" t="s">
        <v>685</v>
      </c>
      <c r="B9" s="1093" t="s">
        <v>723</v>
      </c>
    </row>
    <row r="10" spans="1:2">
      <c r="A10" s="974" t="s">
        <v>686</v>
      </c>
    </row>
    <row r="11" spans="1:2">
      <c r="A11" s="974" t="s">
        <v>687</v>
      </c>
    </row>
    <row r="12" spans="1:2">
      <c r="A12" s="974" t="s">
        <v>688</v>
      </c>
    </row>
    <row r="13" spans="1:2">
      <c r="A13" s="974" t="s">
        <v>689</v>
      </c>
    </row>
    <row r="14" spans="1:2">
      <c r="A14" s="974" t="s">
        <v>690</v>
      </c>
    </row>
    <row r="15" spans="1:2">
      <c r="A15" s="974" t="s">
        <v>691</v>
      </c>
    </row>
    <row r="16" spans="1:2">
      <c r="A16" s="974" t="s">
        <v>692</v>
      </c>
    </row>
    <row r="17" spans="1:4">
      <c r="A17" s="974" t="s">
        <v>693</v>
      </c>
      <c r="B17" s="1093" t="s">
        <v>724</v>
      </c>
    </row>
    <row r="18" spans="1:4">
      <c r="A18" s="974" t="s">
        <v>694</v>
      </c>
      <c r="B18" s="1093" t="s">
        <v>373</v>
      </c>
    </row>
    <row r="19" spans="1:4">
      <c r="A19" s="974" t="s">
        <v>695</v>
      </c>
      <c r="B19" s="1093" t="s">
        <v>101</v>
      </c>
    </row>
    <row r="20" spans="1:4">
      <c r="A20" s="974" t="s">
        <v>696</v>
      </c>
      <c r="B20" s="1094">
        <v>755111507</v>
      </c>
    </row>
    <row r="21" spans="1:4">
      <c r="A21" s="974" t="s">
        <v>697</v>
      </c>
      <c r="B21" s="1093" t="s">
        <v>101</v>
      </c>
    </row>
    <row r="22" spans="1:4">
      <c r="A22" s="974" t="s">
        <v>698</v>
      </c>
      <c r="B22" s="1094">
        <v>2758051</v>
      </c>
    </row>
    <row r="23" spans="1:4">
      <c r="A23" s="974" t="s">
        <v>211</v>
      </c>
      <c r="B23" s="1092">
        <v>220.28</v>
      </c>
    </row>
    <row r="24" spans="1:4">
      <c r="A24" s="974" t="s">
        <v>226</v>
      </c>
      <c r="B24" s="1093" t="s">
        <v>26</v>
      </c>
      <c r="D24" s="974" t="s">
        <v>699</v>
      </c>
    </row>
    <row r="25" spans="1:4">
      <c r="A25" s="974" t="s">
        <v>700</v>
      </c>
      <c r="B25" s="1093" t="s">
        <v>727</v>
      </c>
    </row>
    <row r="26" spans="1:4">
      <c r="A26" s="974" t="s">
        <v>701</v>
      </c>
      <c r="B26" s="1093">
        <v>0</v>
      </c>
    </row>
    <row r="27" spans="1:4">
      <c r="A27" s="974" t="s">
        <v>702</v>
      </c>
      <c r="B27" s="1093" t="s">
        <v>703</v>
      </c>
    </row>
    <row r="28" spans="1:4">
      <c r="A28" s="974" t="s">
        <v>704</v>
      </c>
      <c r="B28" s="1093" t="s">
        <v>705</v>
      </c>
    </row>
    <row r="29" spans="1:4">
      <c r="A29" s="974" t="s">
        <v>706</v>
      </c>
    </row>
    <row r="30" spans="1:4">
      <c r="A30" s="974" t="s">
        <v>707</v>
      </c>
    </row>
    <row r="31" spans="1:4">
      <c r="A31" s="974" t="s">
        <v>708</v>
      </c>
    </row>
    <row r="32" spans="1:4">
      <c r="A32" s="974" t="s">
        <v>709</v>
      </c>
      <c r="B32" s="1092"/>
    </row>
    <row r="33" spans="1:2">
      <c r="A33" s="974" t="s">
        <v>710</v>
      </c>
      <c r="B33" s="1092"/>
    </row>
    <row r="34" spans="1:2">
      <c r="A34" s="974" t="s">
        <v>711</v>
      </c>
      <c r="B34" s="1092"/>
    </row>
    <row r="35" spans="1:2">
      <c r="A35" s="974" t="s">
        <v>712</v>
      </c>
      <c r="B35" s="1093">
        <v>1000000</v>
      </c>
    </row>
    <row r="36" spans="1:2">
      <c r="A36" s="974" t="s">
        <v>713</v>
      </c>
      <c r="B36" s="1093" t="s">
        <v>725</v>
      </c>
    </row>
    <row r="37" spans="1:2">
      <c r="A37" s="974" t="s">
        <v>714</v>
      </c>
      <c r="B37" s="1093" t="s">
        <v>715</v>
      </c>
    </row>
    <row r="38" spans="1:2">
      <c r="A38" s="974" t="s">
        <v>716</v>
      </c>
      <c r="B38" s="1093" t="s">
        <v>717</v>
      </c>
    </row>
    <row r="39" spans="1:2">
      <c r="A39" s="974" t="s">
        <v>718</v>
      </c>
      <c r="B39" s="1093" t="s">
        <v>726</v>
      </c>
    </row>
    <row r="40" spans="1:2">
      <c r="A40" s="974" t="s">
        <v>719</v>
      </c>
      <c r="B40" s="1093">
        <v>1500004845</v>
      </c>
    </row>
    <row r="41" spans="1:2">
      <c r="A41" s="974" t="s">
        <v>720</v>
      </c>
      <c r="B41" s="1093">
        <v>1</v>
      </c>
    </row>
    <row r="42" spans="1:2">
      <c r="A42" s="1095" t="s">
        <v>721</v>
      </c>
    </row>
    <row r="43" spans="1:2">
      <c r="A43" s="974" t="s">
        <v>722</v>
      </c>
    </row>
  </sheetData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13"/>
  <sheetViews>
    <sheetView workbookViewId="0">
      <selection activeCell="E11" sqref="E11"/>
    </sheetView>
  </sheetViews>
  <sheetFormatPr defaultRowHeight="12.75"/>
  <cols>
    <col min="1" max="1" width="28.5703125" style="974" bestFit="1" customWidth="1"/>
    <col min="2" max="256" width="9.140625" style="974"/>
    <col min="257" max="257" width="28.5703125" style="974" bestFit="1" customWidth="1"/>
    <col min="258" max="512" width="9.140625" style="974"/>
    <col min="513" max="513" width="28.5703125" style="974" bestFit="1" customWidth="1"/>
    <col min="514" max="768" width="9.140625" style="974"/>
    <col min="769" max="769" width="28.5703125" style="974" bestFit="1" customWidth="1"/>
    <col min="770" max="1024" width="9.140625" style="974"/>
    <col min="1025" max="1025" width="28.5703125" style="974" bestFit="1" customWidth="1"/>
    <col min="1026" max="1280" width="9.140625" style="974"/>
    <col min="1281" max="1281" width="28.5703125" style="974" bestFit="1" customWidth="1"/>
    <col min="1282" max="1536" width="9.140625" style="974"/>
    <col min="1537" max="1537" width="28.5703125" style="974" bestFit="1" customWidth="1"/>
    <col min="1538" max="1792" width="9.140625" style="974"/>
    <col min="1793" max="1793" width="28.5703125" style="974" bestFit="1" customWidth="1"/>
    <col min="1794" max="2048" width="9.140625" style="974"/>
    <col min="2049" max="2049" width="28.5703125" style="974" bestFit="1" customWidth="1"/>
    <col min="2050" max="2304" width="9.140625" style="974"/>
    <col min="2305" max="2305" width="28.5703125" style="974" bestFit="1" customWidth="1"/>
    <col min="2306" max="2560" width="9.140625" style="974"/>
    <col min="2561" max="2561" width="28.5703125" style="974" bestFit="1" customWidth="1"/>
    <col min="2562" max="2816" width="9.140625" style="974"/>
    <col min="2817" max="2817" width="28.5703125" style="974" bestFit="1" customWidth="1"/>
    <col min="2818" max="3072" width="9.140625" style="974"/>
    <col min="3073" max="3073" width="28.5703125" style="974" bestFit="1" customWidth="1"/>
    <col min="3074" max="3328" width="9.140625" style="974"/>
    <col min="3329" max="3329" width="28.5703125" style="974" bestFit="1" customWidth="1"/>
    <col min="3330" max="3584" width="9.140625" style="974"/>
    <col min="3585" max="3585" width="28.5703125" style="974" bestFit="1" customWidth="1"/>
    <col min="3586" max="3840" width="9.140625" style="974"/>
    <col min="3841" max="3841" width="28.5703125" style="974" bestFit="1" customWidth="1"/>
    <col min="3842" max="4096" width="9.140625" style="974"/>
    <col min="4097" max="4097" width="28.5703125" style="974" bestFit="1" customWidth="1"/>
    <col min="4098" max="4352" width="9.140625" style="974"/>
    <col min="4353" max="4353" width="28.5703125" style="974" bestFit="1" customWidth="1"/>
    <col min="4354" max="4608" width="9.140625" style="974"/>
    <col min="4609" max="4609" width="28.5703125" style="974" bestFit="1" customWidth="1"/>
    <col min="4610" max="4864" width="9.140625" style="974"/>
    <col min="4865" max="4865" width="28.5703125" style="974" bestFit="1" customWidth="1"/>
    <col min="4866" max="5120" width="9.140625" style="974"/>
    <col min="5121" max="5121" width="28.5703125" style="974" bestFit="1" customWidth="1"/>
    <col min="5122" max="5376" width="9.140625" style="974"/>
    <col min="5377" max="5377" width="28.5703125" style="974" bestFit="1" customWidth="1"/>
    <col min="5378" max="5632" width="9.140625" style="974"/>
    <col min="5633" max="5633" width="28.5703125" style="974" bestFit="1" customWidth="1"/>
    <col min="5634" max="5888" width="9.140625" style="974"/>
    <col min="5889" max="5889" width="28.5703125" style="974" bestFit="1" customWidth="1"/>
    <col min="5890" max="6144" width="9.140625" style="974"/>
    <col min="6145" max="6145" width="28.5703125" style="974" bestFit="1" customWidth="1"/>
    <col min="6146" max="6400" width="9.140625" style="974"/>
    <col min="6401" max="6401" width="28.5703125" style="974" bestFit="1" customWidth="1"/>
    <col min="6402" max="6656" width="9.140625" style="974"/>
    <col min="6657" max="6657" width="28.5703125" style="974" bestFit="1" customWidth="1"/>
    <col min="6658" max="6912" width="9.140625" style="974"/>
    <col min="6913" max="6913" width="28.5703125" style="974" bestFit="1" customWidth="1"/>
    <col min="6914" max="7168" width="9.140625" style="974"/>
    <col min="7169" max="7169" width="28.5703125" style="974" bestFit="1" customWidth="1"/>
    <col min="7170" max="7424" width="9.140625" style="974"/>
    <col min="7425" max="7425" width="28.5703125" style="974" bestFit="1" customWidth="1"/>
    <col min="7426" max="7680" width="9.140625" style="974"/>
    <col min="7681" max="7681" width="28.5703125" style="974" bestFit="1" customWidth="1"/>
    <col min="7682" max="7936" width="9.140625" style="974"/>
    <col min="7937" max="7937" width="28.5703125" style="974" bestFit="1" customWidth="1"/>
    <col min="7938" max="8192" width="9.140625" style="974"/>
    <col min="8193" max="8193" width="28.5703125" style="974" bestFit="1" customWidth="1"/>
    <col min="8194" max="8448" width="9.140625" style="974"/>
    <col min="8449" max="8449" width="28.5703125" style="974" bestFit="1" customWidth="1"/>
    <col min="8450" max="8704" width="9.140625" style="974"/>
    <col min="8705" max="8705" width="28.5703125" style="974" bestFit="1" customWidth="1"/>
    <col min="8706" max="8960" width="9.140625" style="974"/>
    <col min="8961" max="8961" width="28.5703125" style="974" bestFit="1" customWidth="1"/>
    <col min="8962" max="9216" width="9.140625" style="974"/>
    <col min="9217" max="9217" width="28.5703125" style="974" bestFit="1" customWidth="1"/>
    <col min="9218" max="9472" width="9.140625" style="974"/>
    <col min="9473" max="9473" width="28.5703125" style="974" bestFit="1" customWidth="1"/>
    <col min="9474" max="9728" width="9.140625" style="974"/>
    <col min="9729" max="9729" width="28.5703125" style="974" bestFit="1" customWidth="1"/>
    <col min="9730" max="9984" width="9.140625" style="974"/>
    <col min="9985" max="9985" width="28.5703125" style="974" bestFit="1" customWidth="1"/>
    <col min="9986" max="10240" width="9.140625" style="974"/>
    <col min="10241" max="10241" width="28.5703125" style="974" bestFit="1" customWidth="1"/>
    <col min="10242" max="10496" width="9.140625" style="974"/>
    <col min="10497" max="10497" width="28.5703125" style="974" bestFit="1" customWidth="1"/>
    <col min="10498" max="10752" width="9.140625" style="974"/>
    <col min="10753" max="10753" width="28.5703125" style="974" bestFit="1" customWidth="1"/>
    <col min="10754" max="11008" width="9.140625" style="974"/>
    <col min="11009" max="11009" width="28.5703125" style="974" bestFit="1" customWidth="1"/>
    <col min="11010" max="11264" width="9.140625" style="974"/>
    <col min="11265" max="11265" width="28.5703125" style="974" bestFit="1" customWidth="1"/>
    <col min="11266" max="11520" width="9.140625" style="974"/>
    <col min="11521" max="11521" width="28.5703125" style="974" bestFit="1" customWidth="1"/>
    <col min="11522" max="11776" width="9.140625" style="974"/>
    <col min="11777" max="11777" width="28.5703125" style="974" bestFit="1" customWidth="1"/>
    <col min="11778" max="12032" width="9.140625" style="974"/>
    <col min="12033" max="12033" width="28.5703125" style="974" bestFit="1" customWidth="1"/>
    <col min="12034" max="12288" width="9.140625" style="974"/>
    <col min="12289" max="12289" width="28.5703125" style="974" bestFit="1" customWidth="1"/>
    <col min="12290" max="12544" width="9.140625" style="974"/>
    <col min="12545" max="12545" width="28.5703125" style="974" bestFit="1" customWidth="1"/>
    <col min="12546" max="12800" width="9.140625" style="974"/>
    <col min="12801" max="12801" width="28.5703125" style="974" bestFit="1" customWidth="1"/>
    <col min="12802" max="13056" width="9.140625" style="974"/>
    <col min="13057" max="13057" width="28.5703125" style="974" bestFit="1" customWidth="1"/>
    <col min="13058" max="13312" width="9.140625" style="974"/>
    <col min="13313" max="13313" width="28.5703125" style="974" bestFit="1" customWidth="1"/>
    <col min="13314" max="13568" width="9.140625" style="974"/>
    <col min="13569" max="13569" width="28.5703125" style="974" bestFit="1" customWidth="1"/>
    <col min="13570" max="13824" width="9.140625" style="974"/>
    <col min="13825" max="13825" width="28.5703125" style="974" bestFit="1" customWidth="1"/>
    <col min="13826" max="14080" width="9.140625" style="974"/>
    <col min="14081" max="14081" width="28.5703125" style="974" bestFit="1" customWidth="1"/>
    <col min="14082" max="14336" width="9.140625" style="974"/>
    <col min="14337" max="14337" width="28.5703125" style="974" bestFit="1" customWidth="1"/>
    <col min="14338" max="14592" width="9.140625" style="974"/>
    <col min="14593" max="14593" width="28.5703125" style="974" bestFit="1" customWidth="1"/>
    <col min="14594" max="14848" width="9.140625" style="974"/>
    <col min="14849" max="14849" width="28.5703125" style="974" bestFit="1" customWidth="1"/>
    <col min="14850" max="15104" width="9.140625" style="974"/>
    <col min="15105" max="15105" width="28.5703125" style="974" bestFit="1" customWidth="1"/>
    <col min="15106" max="15360" width="9.140625" style="974"/>
    <col min="15361" max="15361" width="28.5703125" style="974" bestFit="1" customWidth="1"/>
    <col min="15362" max="15616" width="9.140625" style="974"/>
    <col min="15617" max="15617" width="28.5703125" style="974" bestFit="1" customWidth="1"/>
    <col min="15618" max="15872" width="9.140625" style="974"/>
    <col min="15873" max="15873" width="28.5703125" style="974" bestFit="1" customWidth="1"/>
    <col min="15874" max="16128" width="9.140625" style="974"/>
    <col min="16129" max="16129" width="28.5703125" style="974" bestFit="1" customWidth="1"/>
    <col min="16130" max="16384" width="9.140625" style="974"/>
  </cols>
  <sheetData>
    <row r="1" spans="1:1">
      <c r="A1" s="1097" t="s">
        <v>728</v>
      </c>
    </row>
    <row r="2" spans="1:1">
      <c r="A2" s="1097" t="s">
        <v>733</v>
      </c>
    </row>
    <row r="3" spans="1:1">
      <c r="A3" s="1097" t="s">
        <v>734</v>
      </c>
    </row>
    <row r="4" spans="1:1">
      <c r="A4" s="1097" t="s">
        <v>735</v>
      </c>
    </row>
    <row r="5" spans="1:1">
      <c r="A5" s="1097" t="s">
        <v>736</v>
      </c>
    </row>
    <row r="6" spans="1:1">
      <c r="A6" s="1097" t="s">
        <v>729</v>
      </c>
    </row>
    <row r="7" spans="1:1">
      <c r="A7" s="1097" t="s">
        <v>737</v>
      </c>
    </row>
    <row r="8" spans="1:1">
      <c r="A8" s="1097" t="s">
        <v>738</v>
      </c>
    </row>
    <row r="9" spans="1:1">
      <c r="A9" s="1097" t="s">
        <v>739</v>
      </c>
    </row>
    <row r="10" spans="1:1">
      <c r="A10" s="1097" t="s">
        <v>730</v>
      </c>
    </row>
    <row r="11" spans="1:1">
      <c r="A11" s="1097" t="s">
        <v>740</v>
      </c>
    </row>
    <row r="12" spans="1:1">
      <c r="A12" s="1097" t="s">
        <v>731</v>
      </c>
    </row>
    <row r="13" spans="1:1">
      <c r="A13" s="1097" t="s">
        <v>732</v>
      </c>
    </row>
  </sheetData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Z2"/>
  <sheetViews>
    <sheetView workbookViewId="0"/>
  </sheetViews>
  <sheetFormatPr defaultRowHeight="12.75"/>
  <sheetData>
    <row r="1" spans="1:52">
      <c r="A1" t="s">
        <v>247</v>
      </c>
    </row>
    <row r="2" spans="1:52">
      <c r="A2" s="4" t="s">
        <v>244</v>
      </c>
      <c r="B2" s="4" t="s">
        <v>26</v>
      </c>
      <c r="C2" s="4" t="s">
        <v>245</v>
      </c>
      <c r="D2" s="4" t="s">
        <v>333</v>
      </c>
      <c r="E2" s="4" t="s">
        <v>246</v>
      </c>
      <c r="F2" s="4" t="s">
        <v>371</v>
      </c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</row>
  </sheetData>
  <phoneticPr fontId="3" type="noConversion"/>
  <pageMargins left="0.75" right="0.75" top="1" bottom="1" header="0.5" footer="0.5"/>
  <pageSetup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workbookViewId="0"/>
  </sheetViews>
  <sheetFormatPr defaultRowHeight="12.75"/>
  <sheetData/>
  <phoneticPr fontId="3" type="noConversion"/>
  <pageMargins left="0.75" right="0.75" top="1" bottom="1" header="0.5" footer="0.5"/>
  <pageSetup orientation="portrait" r:id="rId1"/>
  <headerFooter alignWithMargins="0"/>
  <customProperties>
    <customPr name="LinkingMetadata" r:id="rId2"/>
  </customProperties>
</worksheet>
</file>

<file path=customXml/_rels/item1.xml.rels><?xml version="1.0" encoding="UTF-8" standalone="yes"?>
<Relationships xmlns="http://schemas.openxmlformats.org/package/2006/relationships">
<Relationship Id="rId1" Target="itemProps1.xml" Type="http://schemas.openxmlformats.org/officeDocument/2006/relationships/customXmlProps"/>
</Relationships>

</file>

<file path=customXml/_rels/item2.xml.rels><?xml version="1.0" encoding="UTF-8" standalone="yes"?>
<Relationships xmlns="http://schemas.openxmlformats.org/package/2006/relationships">
<Relationship Id="rId1" Target="itemProps2.xml" Type="http://schemas.openxmlformats.org/officeDocument/2006/relationships/customXmlProps"/>
</Relationships>

</file>

<file path=customXml/item1.xml><?xml version="1.0" encoding="utf-8"?>
<lkmtd:Metadata xmlns:lkmtd="thomsonreuters.linking.metadatachange">
  <MetadataChanged>0</MetadataChanged>
</lkmtd:Metadata>
</file>

<file path=customXml/item2.xml><?xml version="1.0" encoding="utf-8"?>
<lk:Links xmlns:lk="thomsonreuters.linking.metadata"/>
</file>

<file path=customXml/itemProps1.xml><?xml version="1.0" encoding="utf-8"?>
<ds:datastoreItem xmlns:ds="http://schemas.openxmlformats.org/officeDocument/2006/customXml" ds:itemID="{2E3B44BA-6D85-452F-BE3F-5B69B0F2063C}">
  <ds:schemaRefs>
    <ds:schemaRef ds:uri="thomsonreuters.linking.metadatachange"/>
  </ds:schemaRefs>
</ds:datastoreItem>
</file>

<file path=customXml/itemProps2.xml><?xml version="1.0" encoding="utf-8"?>
<ds:datastoreItem xmlns:ds="http://schemas.openxmlformats.org/officeDocument/2006/customXml" ds:itemID="{E1CE46DA-3676-4E77-B9FE-3B249786A0F8}">
  <ds:schemaRefs>
    <ds:schemaRef ds:uri="thomsonreuters.linking.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77</vt:i4>
      </vt:variant>
    </vt:vector>
  </HeadingPairs>
  <TitlesOfParts>
    <vt:vector size="83" baseType="lpstr">
      <vt:lpstr>ImportantDisclosures</vt:lpstr>
      <vt:lpstr>Cover</vt:lpstr>
      <vt:lpstr>Valuation</vt:lpstr>
      <vt:lpstr>Model</vt:lpstr>
      <vt:lpstr>IndexInformation</vt:lpstr>
      <vt:lpstr>ModPubIndex</vt:lpstr>
      <vt:lpstr>AdditionalInstructions</vt:lpstr>
      <vt:lpstr>ImportantDisclosures!Address</vt:lpstr>
      <vt:lpstr>ModPubIndex!ANA</vt:lpstr>
      <vt:lpstr>ImportantDisclosures!Authors</vt:lpstr>
      <vt:lpstr>IndexInformation!Authors</vt:lpstr>
      <vt:lpstr>ModPubIndex!BRO</vt:lpstr>
      <vt:lpstr>CopyrightStamp</vt:lpstr>
      <vt:lpstr>ModPubIndex!COU</vt:lpstr>
      <vt:lpstr>IndexInformation!CQEnd</vt:lpstr>
      <vt:lpstr>IndexInformation!Currency</vt:lpstr>
      <vt:lpstr>IndexInformation!CurrentStockPrice</vt:lpstr>
      <vt:lpstr>IndexInformation!CurrQtrEPS</vt:lpstr>
      <vt:lpstr>IndexInformation!CurrYearEPS</vt:lpstr>
      <vt:lpstr>IndexInformation!CurrYearTotalRevenue</vt:lpstr>
      <vt:lpstr>IndexInformation!CurrYearTotalRevenueActual</vt:lpstr>
      <vt:lpstr>IndexInformation!CUSIP</vt:lpstr>
      <vt:lpstr>IndexInformation!CYEnd</vt:lpstr>
      <vt:lpstr>ImportantDisclosures!Date</vt:lpstr>
      <vt:lpstr>IndexInformation!Deleted</vt:lpstr>
      <vt:lpstr>IndexInformation!Description</vt:lpstr>
      <vt:lpstr>IndexInformation!Discipline</vt:lpstr>
      <vt:lpstr>ModPubIndex!DISCIPLINE</vt:lpstr>
      <vt:lpstr>DisclosuresText</vt:lpstr>
      <vt:lpstr>IndexInformation!Distribution</vt:lpstr>
      <vt:lpstr>ModPubIndex!DOCDAT</vt:lpstr>
      <vt:lpstr>ModPubIndex!DOCTIME</vt:lpstr>
      <vt:lpstr>IndexInformation!DocType</vt:lpstr>
      <vt:lpstr>ModPubIndex!EMAIL_ALERT</vt:lpstr>
      <vt:lpstr>IndexInformation!EmailAlert</vt:lpstr>
      <vt:lpstr>IndexInformation!FiveYearGrowthRate</vt:lpstr>
      <vt:lpstr>IndexInformation!FollowingYearEPS</vt:lpstr>
      <vt:lpstr>IndexInformation!FollowingYearTotalRevenue</vt:lpstr>
      <vt:lpstr>IndexInformation!FollowingYearTotalRevenueActual</vt:lpstr>
      <vt:lpstr>ModPubIndex!HL</vt:lpstr>
      <vt:lpstr>ModPubIndex!IND</vt:lpstr>
      <vt:lpstr>ImportantDisclosures!Industry</vt:lpstr>
      <vt:lpstr>IndustryId</vt:lpstr>
      <vt:lpstr>ImportantDisclosures!IndustryRating</vt:lpstr>
      <vt:lpstr>IndexInformation!KeepVersions</vt:lpstr>
      <vt:lpstr>LanguageCode</vt:lpstr>
      <vt:lpstr>ImportantDisclosures!LastCell</vt:lpstr>
      <vt:lpstr>Linking_Range_11</vt:lpstr>
      <vt:lpstr>Linking_Range_12</vt:lpstr>
      <vt:lpstr>Linking_Range_122</vt:lpstr>
      <vt:lpstr>Linking_Range_13</vt:lpstr>
      <vt:lpstr>Linking_Range_14</vt:lpstr>
      <vt:lpstr>IndexInformation!MacroVersion</vt:lpstr>
      <vt:lpstr>ImportantDisclosures!ModelPrice</vt:lpstr>
      <vt:lpstr>IndexInformation!Multiplier</vt:lpstr>
      <vt:lpstr>IndexInformation!NextYearEPS</vt:lpstr>
      <vt:lpstr>IndexInformation!NextYearTotalRevenue</vt:lpstr>
      <vt:lpstr>IndexInformation!NextYearTotalRevenueActual</vt:lpstr>
      <vt:lpstr>ObjectType</vt:lpstr>
      <vt:lpstr>ModPubIndex!PANA</vt:lpstr>
      <vt:lpstr>IndexInformation!PathName</vt:lpstr>
      <vt:lpstr>Model!Print_Area</vt:lpstr>
      <vt:lpstr>Valuation!Print_Area</vt:lpstr>
      <vt:lpstr>Model!Print_Titles</vt:lpstr>
      <vt:lpstr>ModPubIndex!PRODUCT</vt:lpstr>
      <vt:lpstr>ModPubIndex!PSYM</vt:lpstr>
      <vt:lpstr>IndexInformation!PublishDate</vt:lpstr>
      <vt:lpstr>IndexInformation!Rating</vt:lpstr>
      <vt:lpstr>ImportantDisclosures!RatingsDefined</vt:lpstr>
      <vt:lpstr>IndexInformation!ResearchTopic</vt:lpstr>
      <vt:lpstr>IndexInformation!RIC</vt:lpstr>
      <vt:lpstr>IndexInformation!SEDOL</vt:lpstr>
      <vt:lpstr>ImportantDisclosures!SourceDefined</vt:lpstr>
      <vt:lpstr>ImportantDisclosures!StockRating</vt:lpstr>
      <vt:lpstr>IndexInformation!SubjectCode</vt:lpstr>
      <vt:lpstr>SubmitterUserId</vt:lpstr>
      <vt:lpstr>ModPubIndex!SUPPRESSED</vt:lpstr>
      <vt:lpstr>ImportantDisclosures!TargetPrice</vt:lpstr>
      <vt:lpstr>TemplateRegion</vt:lpstr>
      <vt:lpstr>ImportantDisclosures!Ticker</vt:lpstr>
      <vt:lpstr>TickerRegion</vt:lpstr>
      <vt:lpstr>IndexInformation!Tickers</vt:lpstr>
      <vt:lpstr>IndexInformation!UpdateReason</vt:lpstr>
    </vt:vector>
  </TitlesOfParts>
  <Company>Morgan Stanley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2000-04-25T22:28:13Z</dcterms:created>
  <dc:creator>fraserc</dc:creator>
  <cp:lastModifiedBy>Boyd, Patrice (Research)</cp:lastModifiedBy>
  <cp:lastPrinted>2018-01-04T00:04:20Z</cp:lastPrinted>
  <dcterms:modified xsi:type="dcterms:W3CDTF">2018-04-11T17:02:33Z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LinkingAutoNameNumberLinking_Range_" pid="2">
    <vt:lpwstr>14</vt:lpwstr>
  </property>
  <property fmtid="{D5CDD505-2E9C-101B-9397-08002B2CF9AE}" name="ERModPubTicket" pid="3">
    <vt:lpwstr>NA</vt:lpwstr>
  </property>
  <property fmtid="{D5CDD505-2E9C-101B-9397-08002B2CF9AE}" name="ERCompanyUploadState" pid="4">
    <vt:lpwstr>P</vt:lpwstr>
  </property>
  <property fmtid="{D5CDD505-2E9C-101B-9397-08002B2CF9AE}" name="ModelId" pid="5">
    <vt:lpwstr>761038</vt:lpwstr>
  </property>
  <property fmtid="{D5CDD505-2E9C-101B-9397-08002B2CF9AE}" name="ERModPubCompanyName" pid="6">
    <vt:lpwstr>Raytheon Co</vt:lpwstr>
  </property>
  <property fmtid="{D5CDD505-2E9C-101B-9397-08002B2CF9AE}" name="MSDH34TAG" pid="7">
    <vt:lpwstr>.TEZUF76X5TAHATHESADREYAK-00-INB160+*94600-06=d40feff8/-3da7/-11e8/-b3f7/-7a79cfe26848,MD=20180411130704/-0400,ZZ=000Z-c68f.</vt:lpwstr>
  </property>
</Properties>
</file>